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Doesburg\Aanbesteding 2024\Correspondentie\1e NvI\"/>
    </mc:Choice>
  </mc:AlternateContent>
  <xr:revisionPtr revIDLastSave="0" documentId="13_ncr:1_{7B0ED878-5FB0-41C3-ABA4-48A730DB9099}" xr6:coauthVersionLast="47" xr6:coauthVersionMax="47" xr10:uidLastSave="{00000000-0000-0000-0000-000000000000}"/>
  <bookViews>
    <workbookView xWindow="-108" yWindow="-108" windowWidth="23256" windowHeight="12456" activeTab="1" xr2:uid="{364590C5-0BFC-4820-AEED-D7711DC4B850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ekenddag" sheetId="6" r:id="rId6"/>
    <sheet name="Objectinformatie" sheetId="7" r:id="rId7"/>
    <sheet name="Objecten" sheetId="8" r:id="rId8"/>
    <sheet name="Totaalblad Objecten" sheetId="9" r:id="rId9"/>
    <sheet name="Afroep" sheetId="10" r:id="rId10"/>
    <sheet name="Afroep incidenteel" sheetId="11" r:id="rId11"/>
    <sheet name="Glas" sheetId="12" r:id="rId12"/>
    <sheet name="Glas per locatie" sheetId="13" r:id="rId13"/>
    <sheet name="Totaal" sheetId="14" r:id="rId14"/>
  </sheets>
  <definedNames>
    <definedName name="_xlnm._FilterDatabase" localSheetId="5" hidden="1">'Ruimten weekenddag'!$A$3:$U$6</definedName>
    <definedName name="_xlnm._FilterDatabase" localSheetId="4" hidden="1">'Ruimten werkdag'!$A$3:$U$278</definedName>
    <definedName name="_xlnm.Print_Titles" localSheetId="9">Afroep!$1:$3</definedName>
    <definedName name="_xlnm.Print_Titles" localSheetId="10">'Afroep incidenteel'!$1:$3</definedName>
    <definedName name="_xlnm.Print_Titles" localSheetId="2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7">Objecten!$1:$3</definedName>
    <definedName name="_xlnm.Print_Titles" localSheetId="6">Objectinformatie!$A:$D,Objectinformatie!$1:$4</definedName>
    <definedName name="_xlnm.Print_Titles" localSheetId="3">'Regulier werk'!$1:$3</definedName>
    <definedName name="_xlnm.Print_Titles" localSheetId="5">'Ruimten weekenddag'!$1:$3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8">'Totaalblad Objecten'!$1:$3</definedName>
    <definedName name="catdw_1_AHB_1">Categorienormen!$F$6</definedName>
    <definedName name="catdw_1_AHV_12">Categorienormen!$F$7</definedName>
    <definedName name="catdw_1_BHB_1">Categorienormen!$F$8</definedName>
    <definedName name="catdw_1_BHV_51">Categorienormen!$F$9</definedName>
    <definedName name="catdw_1_BZB_1">Categorienormen!$F$10</definedName>
    <definedName name="catdw_1_BZV_51">Categorienormen!$F$11</definedName>
    <definedName name="catdw_1_CHB_1">Categorienormen!$F$26</definedName>
    <definedName name="catdw_1_CHV_51">Categorienormen!$F$27</definedName>
    <definedName name="catdw_1_DHB_1">Categorienormen!$F$20</definedName>
    <definedName name="catdw_1_DHV_51">Categorienormen!$F$21</definedName>
    <definedName name="catdw_1_EHB_1">Categorienormen!$F$28</definedName>
    <definedName name="catdw_1_EHV_51">Categorienormen!$F$29</definedName>
    <definedName name="catdw_1_EZB_1">Categorienormen!$F$30</definedName>
    <definedName name="catdw_1_EZV_51">Categorienormen!$F$31</definedName>
    <definedName name="catdw_1_IHB_1">Categorienormen!$F$32</definedName>
    <definedName name="catdw_1_IHV_51">Categorienormen!$F$33</definedName>
    <definedName name="catdw_1_KHB_1">Categorienormen!$F$22</definedName>
    <definedName name="catdw_1_KHV_51">Categorienormen!$F$23</definedName>
    <definedName name="catdw_1_LHB_1">Categorienormen!$F$12</definedName>
    <definedName name="catdw_1_LHV_51">Categorienormen!$F$13</definedName>
    <definedName name="catdw_1_LZB_1">Categorienormen!$F$14</definedName>
    <definedName name="catdw_1_LZV_51">Categorienormen!$F$15</definedName>
    <definedName name="catdw_1_OHB_1">Categorienormen!$F$16</definedName>
    <definedName name="catdw_1_OHV_51">Categorienormen!$F$17</definedName>
    <definedName name="catdw_1_OZB_1">Categorienormen!$F$18</definedName>
    <definedName name="catdw_1_OZV_51">Categorienormen!$F$19</definedName>
    <definedName name="catdw_1_PHB_1">Categorienormen!$F$34</definedName>
    <definedName name="catdw_1_PHV_51">Categorienormen!$F$35</definedName>
    <definedName name="catdw_1_RHB_1">Categorienormen!$F$36</definedName>
    <definedName name="catdw_1_RHV_51">Categorienormen!$F$37</definedName>
    <definedName name="catdw_1_SHB_1">Categorienormen!$F$24</definedName>
    <definedName name="catdw_1_SHV_51">Categorienormen!$F$25</definedName>
    <definedName name="catdw_1_THB_1">Categorienormen!$F$38</definedName>
    <definedName name="catdw_1_THV_51">Categorienormen!$F$39</definedName>
    <definedName name="catdw_1_VHB_1">Categorienormen!$F$40</definedName>
    <definedName name="catdw_1_VHV_51">Categorienormen!$F$41</definedName>
    <definedName name="catdw_1_VZB_1">Categorienormen!$F$42</definedName>
    <definedName name="catdw_1_VZV_51">Categorienormen!$F$43</definedName>
    <definedName name="catdw_1_WHB_1">Categorienormen!$F$44</definedName>
    <definedName name="catdw_1_WHV_51">Categorienormen!$F$45</definedName>
    <definedName name="catdw_1_XBB_1">Categorienormen!$F$46</definedName>
    <definedName name="catfd_1_AHB_1">Categorienormen!$C$6</definedName>
    <definedName name="catfd_1_AHV_12">Categorienormen!$C$7</definedName>
    <definedName name="catfd_1_BHB_1">Categorienormen!$C$8</definedName>
    <definedName name="catfd_1_BHV_51">Categorienormen!$C$9</definedName>
    <definedName name="catfd_1_BZB_1">Categorienormen!$C$10</definedName>
    <definedName name="catfd_1_BZV_51">Categorienormen!$C$11</definedName>
    <definedName name="catfd_1_CHB_1">Categorienormen!$C$26</definedName>
    <definedName name="catfd_1_CHV_51">Categorienormen!$C$27</definedName>
    <definedName name="catfd_1_DHB_1">Categorienormen!$C$20</definedName>
    <definedName name="catfd_1_DHV_51">Categorienormen!$C$21</definedName>
    <definedName name="catfd_1_EHB_1">Categorienormen!$C$28</definedName>
    <definedName name="catfd_1_EHV_51">Categorienormen!$C$29</definedName>
    <definedName name="catfd_1_EZB_1">Categorienormen!$C$30</definedName>
    <definedName name="catfd_1_EZV_51">Categorienormen!$C$31</definedName>
    <definedName name="catfd_1_IHB_1">Categorienormen!$C$32</definedName>
    <definedName name="catfd_1_IHV_51">Categorienormen!$C$33</definedName>
    <definedName name="catfd_1_KHB_1">Categorienormen!$C$22</definedName>
    <definedName name="catfd_1_KHV_51">Categorienormen!$C$23</definedName>
    <definedName name="catfd_1_LHB_1">Categorienormen!$C$12</definedName>
    <definedName name="catfd_1_LHV_51">Categorienormen!$C$13</definedName>
    <definedName name="catfd_1_LZB_1">Categorienormen!$C$14</definedName>
    <definedName name="catfd_1_LZV_51">Categorienormen!$C$15</definedName>
    <definedName name="catfd_1_OHB_1">Categorienormen!$C$16</definedName>
    <definedName name="catfd_1_OHV_51">Categorienormen!$C$17</definedName>
    <definedName name="catfd_1_OZB_1">Categorienormen!$C$18</definedName>
    <definedName name="catfd_1_OZV_51">Categorienormen!$C$19</definedName>
    <definedName name="catfd_1_PHB_1">Categorienormen!$C$34</definedName>
    <definedName name="catfd_1_PHV_51">Categorienormen!$C$35</definedName>
    <definedName name="catfd_1_RHB_1">Categorienormen!$C$36</definedName>
    <definedName name="catfd_1_RHV_51">Categorienormen!$C$37</definedName>
    <definedName name="catfd_1_SHB_1">Categorienormen!$C$24</definedName>
    <definedName name="catfd_1_SHV_51">Categorienormen!$C$25</definedName>
    <definedName name="catfd_1_THB_1">Categorienormen!$C$38</definedName>
    <definedName name="catfd_1_THV_51">Categorienormen!$C$39</definedName>
    <definedName name="catfd_1_VHB_1">Categorienormen!$C$40</definedName>
    <definedName name="catfd_1_VHV_51">Categorienormen!$C$41</definedName>
    <definedName name="catfd_1_VZB_1">Categorienormen!$C$42</definedName>
    <definedName name="catfd_1_VZV_51">Categorienormen!$C$43</definedName>
    <definedName name="catfd_1_WHB_1">Categorienormen!$C$44</definedName>
    <definedName name="catfd_1_WHV_51">Categorienormen!$C$45</definedName>
    <definedName name="catfd_1_XBB_1">Categorienormen!$C$46</definedName>
    <definedName name="catpn_1_AHB_1">Categorienormen!$E$6</definedName>
    <definedName name="catpn_1_AHV_12">Categorienormen!$E$7</definedName>
    <definedName name="catpn_1_BHB_1">Categorienormen!$E$8</definedName>
    <definedName name="catpn_1_BHV_51">Categorienormen!$E$9</definedName>
    <definedName name="catpn_1_BZB_1">Categorienormen!$E$10</definedName>
    <definedName name="catpn_1_BZV_51">Categorienormen!$E$11</definedName>
    <definedName name="catpn_1_CHB_1">Categorienormen!$E$26</definedName>
    <definedName name="catpn_1_CHV_51">Categorienormen!$E$27</definedName>
    <definedName name="catpn_1_DHB_1">Categorienormen!$E$20</definedName>
    <definedName name="catpn_1_DHV_51">Categorienormen!$E$21</definedName>
    <definedName name="catpn_1_EHB_1">Categorienormen!$E$28</definedName>
    <definedName name="catpn_1_EHV_51">Categorienormen!$E$29</definedName>
    <definedName name="catpn_1_EZB_1">Categorienormen!$E$30</definedName>
    <definedName name="catpn_1_EZV_51">Categorienormen!$E$31</definedName>
    <definedName name="catpn_1_IHB_1">Categorienormen!$E$32</definedName>
    <definedName name="catpn_1_IHV_51">Categorienormen!$E$33</definedName>
    <definedName name="catpn_1_KHB_1">Categorienormen!$E$22</definedName>
    <definedName name="catpn_1_KHV_51">Categorienormen!$E$23</definedName>
    <definedName name="catpn_1_LHB_1">Categorienormen!$E$12</definedName>
    <definedName name="catpn_1_LHV_51">Categorienormen!$E$13</definedName>
    <definedName name="catpn_1_LZB_1">Categorienormen!$E$14</definedName>
    <definedName name="catpn_1_LZV_51">Categorienormen!$E$15</definedName>
    <definedName name="catpn_1_OHB_1">Categorienormen!$E$16</definedName>
    <definedName name="catpn_1_OHV_51">Categorienormen!$E$17</definedName>
    <definedName name="catpn_1_OZB_1">Categorienormen!$E$18</definedName>
    <definedName name="catpn_1_OZV_51">Categorienormen!$E$19</definedName>
    <definedName name="catpn_1_PHB_1">Categorienormen!$E$34</definedName>
    <definedName name="catpn_1_PHV_51">Categorienormen!$E$35</definedName>
    <definedName name="catpn_1_RHB_1">Categorienormen!$E$36</definedName>
    <definedName name="catpn_1_RHV_51">Categorienormen!$E$37</definedName>
    <definedName name="catpn_1_SHB_1">Categorienormen!$E$24</definedName>
    <definedName name="catpn_1_SHV_51">Categorienormen!$E$25</definedName>
    <definedName name="catpn_1_THB_1">Categorienormen!$E$38</definedName>
    <definedName name="catpn_1_THV_51">Categorienormen!$E$39</definedName>
    <definedName name="catpn_1_VHB_1">Categorienormen!$E$40</definedName>
    <definedName name="catpn_1_VHV_51">Categorienormen!$E$41</definedName>
    <definedName name="catpn_1_VZB_1">Categorienormen!$E$42</definedName>
    <definedName name="catpn_1_VZV_51">Categorienormen!$E$43</definedName>
    <definedName name="catpn_1_WHB_1">Categorienormen!$E$44</definedName>
    <definedName name="catpn_1_WHV_51">Categorienormen!$E$45</definedName>
    <definedName name="catpn_1_XBB_1">Categorienormen!$E$46</definedName>
    <definedName name="cattf_1_AHB_1">Categorienormen!$H$6</definedName>
    <definedName name="cattf_1_AHV_12">Categorienormen!$H$7</definedName>
    <definedName name="cattf_1_BHB_1">Categorienormen!$H$8</definedName>
    <definedName name="cattf_1_BHV_51">Categorienormen!$H$9</definedName>
    <definedName name="cattf_1_BZB_1">Categorienormen!$H$10</definedName>
    <definedName name="cattf_1_BZV_51">Categorienormen!$H$11</definedName>
    <definedName name="cattf_1_CHB_1">Categorienormen!$H$26</definedName>
    <definedName name="cattf_1_CHV_51">Categorienormen!$H$27</definedName>
    <definedName name="cattf_1_DHB_1">Categorienormen!$H$20</definedName>
    <definedName name="cattf_1_DHV_51">Categorienormen!$H$21</definedName>
    <definedName name="cattf_1_EHB_1">Categorienormen!$H$28</definedName>
    <definedName name="cattf_1_EHV_51">Categorienormen!$H$29</definedName>
    <definedName name="cattf_1_EZB_1">Categorienormen!$H$30</definedName>
    <definedName name="cattf_1_EZV_51">Categorienormen!$H$31</definedName>
    <definedName name="cattf_1_IHB_1">Categorienormen!$H$32</definedName>
    <definedName name="cattf_1_IHV_51">Categorienormen!$H$33</definedName>
    <definedName name="cattf_1_KHB_1">Categorienormen!$H$22</definedName>
    <definedName name="cattf_1_KHV_51">Categorienormen!$H$23</definedName>
    <definedName name="cattf_1_LHB_1">Categorienormen!$H$12</definedName>
    <definedName name="cattf_1_LHV_51">Categorienormen!$H$13</definedName>
    <definedName name="cattf_1_LZB_1">Categorienormen!$H$14</definedName>
    <definedName name="cattf_1_LZV_51">Categorienormen!$H$15</definedName>
    <definedName name="cattf_1_OHB_1">Categorienormen!$H$16</definedName>
    <definedName name="cattf_1_OHV_51">Categorienormen!$H$17</definedName>
    <definedName name="cattf_1_OZB_1">Categorienormen!$H$18</definedName>
    <definedName name="cattf_1_OZV_51">Categorienormen!$H$19</definedName>
    <definedName name="cattf_1_PHB_1">Categorienormen!$H$34</definedName>
    <definedName name="cattf_1_PHV_51">Categorienormen!$H$35</definedName>
    <definedName name="cattf_1_RHB_1">Categorienormen!$H$36</definedName>
    <definedName name="cattf_1_RHV_51">Categorienormen!$H$37</definedName>
    <definedName name="cattf_1_SHB_1">Categorienormen!$H$24</definedName>
    <definedName name="cattf_1_SHV_51">Categorienormen!$H$25</definedName>
    <definedName name="cattf_1_THB_1">Categorienormen!$H$38</definedName>
    <definedName name="cattf_1_THV_51">Categorienormen!$H$39</definedName>
    <definedName name="cattf_1_VHB_1">Categorienormen!$H$40</definedName>
    <definedName name="cattf_1_VHV_51">Categorienormen!$H$41</definedName>
    <definedName name="cattf_1_VZB_1">Categorienormen!$H$42</definedName>
    <definedName name="cattf_1_VZV_51">Categorienormen!$H$43</definedName>
    <definedName name="cattf_1_WHB_1">Categorienormen!$H$44</definedName>
    <definedName name="cattf_1_WHV_51">Categorienormen!$H$45</definedName>
    <definedName name="cattf_1_XBB_1">Categorienormen!$H$46</definedName>
    <definedName name="dagenperjaar1">Omreken!$B$9</definedName>
    <definedName name="dagenperweek1">Omreken!$B$10</definedName>
    <definedName name="dagsoorttabel1">Omreken!$A$13:$B$27</definedName>
    <definedName name="dagwerk22">'Regulier werk'!$H$42</definedName>
    <definedName name="dagwerk23">'Regulier werk'!$H$43</definedName>
    <definedName name="dagwerk24">'Regulier werk'!$H$44</definedName>
    <definedName name="dagwerk25">'Regulier werk'!$H$45</definedName>
    <definedName name="dagwerk26">'Regulier werk'!$H$6</definedName>
    <definedName name="dagwerk27">'Regulier werk'!$H$7</definedName>
    <definedName name="dagwerk28">'Regulier werk'!$H$8</definedName>
    <definedName name="dagwerk29">'Regulier werk'!$H$9</definedName>
    <definedName name="dagwerk30">'Regulier werk'!$H$10</definedName>
    <definedName name="dagwerk31">'Regulier werk'!$H$11</definedName>
    <definedName name="dagwerk32">'Regulier werk'!$H$12</definedName>
    <definedName name="dagwerk33">'Regulier werk'!$H$13</definedName>
    <definedName name="dagwerk34">'Regulier werk'!$H$14</definedName>
    <definedName name="dagwerk35">'Regulier werk'!$H$15</definedName>
    <definedName name="dagwerk36">'Regulier werk'!$H$16</definedName>
    <definedName name="dagwerk37">'Regulier werk'!$H$17</definedName>
    <definedName name="dagwerk38">'Regulier werk'!$H$18</definedName>
    <definedName name="dagwerk39">'Regulier werk'!$H$19</definedName>
    <definedName name="dagwerk40">'Regulier werk'!$H$20</definedName>
    <definedName name="dagwerk41">'Regulier werk'!$H$21</definedName>
    <definedName name="dagwerk42">'Regulier werk'!$H$22</definedName>
    <definedName name="dagwerk43">'Regulier werk'!$H$23</definedName>
    <definedName name="dagwerk44">'Regulier werk'!$H$24</definedName>
    <definedName name="dagwerk45">'Regulier werk'!$H$25</definedName>
    <definedName name="dagwerk46">'Regulier werk'!$H$26</definedName>
    <definedName name="dagwerk47">'Regulier werk'!$H$27</definedName>
    <definedName name="dagwerk48">'Regulier werk'!$H$28</definedName>
    <definedName name="dagwerk49">'Regulier werk'!$H$29</definedName>
    <definedName name="dagwerk50">'Regulier werk'!$H$30</definedName>
    <definedName name="dagwerk51">'Regulier werk'!$H$31</definedName>
    <definedName name="dagwerk52">'Regulier werk'!$H$32</definedName>
    <definedName name="dagwerk53">'Regulier werk'!$H$33</definedName>
    <definedName name="dagwerk54">'Regulier werk'!$H$34</definedName>
    <definedName name="dagwerk55">'Regulier werk'!$H$35</definedName>
    <definedName name="dagwerk56">'Regulier werk'!$H$36</definedName>
    <definedName name="dagwerk57">'Regulier werk'!$H$37</definedName>
    <definedName name="dagwerk58">'Regulier werk'!$H$38</definedName>
    <definedName name="dagwerk59">'Regulier werk'!$H$39</definedName>
    <definedName name="dagwerk60">'Regulier werk'!$H$40</definedName>
    <definedName name="dagwerk61">'Regulier werk'!$H$41</definedName>
    <definedName name="dagwerk62">'Regulier werk'!$H$52</definedName>
    <definedName name="dagwerktabel1">Objectinformatie!$H$5:$H$44</definedName>
    <definedName name="dagwerktabel4">Objectinformatie!$H$47:$H$47</definedName>
    <definedName name="gemuurtarief1">'Regulier werk'!$J$48</definedName>
    <definedName name="gemuurtarief4">'Regulier werk'!$J$55</definedName>
    <definedName name="kengetaltabel1">Objectinformatie!$G$5:$G$44</definedName>
    <definedName name="kengetaltabel4">Objectinformatie!$G$47:$G$47</definedName>
    <definedName name="object1_gemuurtarief1">'Ruimten werkdag'!$P$69</definedName>
    <definedName name="object1_opptabel1">Objectinformatie!$J$5:$J$44</definedName>
    <definedName name="object1_opptabel4">Objectinformatie!$J$47:$J$47</definedName>
    <definedName name="object1_prijsdag1">'Ruimten werkdag'!$S$69</definedName>
    <definedName name="object1_prijsjaar1">'Ruimten werkdag'!$U$69</definedName>
    <definedName name="object1_urendag1">'Ruimten werkdag'!$Q$69</definedName>
    <definedName name="object1_urendaghf1">'Ruimten werkdag'!$R$69</definedName>
    <definedName name="object1_urenjaar1">'Ruimten werkdag'!$T$69</definedName>
    <definedName name="object2_gemuurtarief1">'Ruimten werkdag'!$P$103</definedName>
    <definedName name="object2_opptabel1">Objectinformatie!$K$5:$K$44</definedName>
    <definedName name="object2_opptabel4">Objectinformatie!$K$47:$K$47</definedName>
    <definedName name="object2_prijsdag1">'Ruimten werkdag'!$S$103</definedName>
    <definedName name="object2_prijsjaar1">'Ruimten werkdag'!$U$103</definedName>
    <definedName name="object2_urendag1">'Ruimten werkdag'!$Q$103</definedName>
    <definedName name="object2_urendaghf1">'Ruimten werkdag'!$R$103</definedName>
    <definedName name="object2_urenjaar1">'Ruimten werkdag'!$T$103</definedName>
    <definedName name="object3_gemuurtarief1">'Ruimten werkdag'!$P$141</definedName>
    <definedName name="object3_opptabel1">Objectinformatie!$L$5:$L$44</definedName>
    <definedName name="object3_opptabel4">Objectinformatie!$L$47:$L$47</definedName>
    <definedName name="object3_prijsdag1">'Ruimten werkdag'!$S$141</definedName>
    <definedName name="object3_prijsjaar1">'Ruimten werkdag'!$U$141</definedName>
    <definedName name="object3_urendag1">'Ruimten werkdag'!$Q$141</definedName>
    <definedName name="object3_urendaghf1">'Ruimten werkdag'!$R$141</definedName>
    <definedName name="object3_urenjaar1">'Ruimten werkdag'!$T$141</definedName>
    <definedName name="object4_gemuurtarief1">'Ruimten werkdag'!$P$159</definedName>
    <definedName name="object4_opptabel1">Objectinformatie!$M$5:$M$44</definedName>
    <definedName name="object4_opptabel4">Objectinformatie!$M$47:$M$47</definedName>
    <definedName name="object4_prijsdag1">'Ruimten werkdag'!$S$159</definedName>
    <definedName name="object4_prijsjaar1">'Ruimten werkdag'!$U$159</definedName>
    <definedName name="object4_urendag1">'Ruimten werkdag'!$Q$159</definedName>
    <definedName name="object4_urendaghf1">'Ruimten werkdag'!$R$159</definedName>
    <definedName name="object4_urenjaar1">'Ruimten werkdag'!$T$159</definedName>
    <definedName name="object5_gemuurtarief4">'Ruimten weekenddag'!$P$6</definedName>
    <definedName name="object5_opptabel1">Objectinformatie!$N$5:$N$44</definedName>
    <definedName name="object5_opptabel4">Objectinformatie!$N$47:$N$47</definedName>
    <definedName name="object5_prijsdag4">'Ruimten weekenddag'!$S$6</definedName>
    <definedName name="object5_prijsjaar4">'Ruimten weekenddag'!$U$6</definedName>
    <definedName name="object5_urendag4">'Ruimten weekenddag'!$Q$6</definedName>
    <definedName name="object5_urendaghf4">'Ruimten weekenddag'!$R$6</definedName>
    <definedName name="object5_urenjaar4">'Ruimten weekenddag'!$T$6</definedName>
    <definedName name="object6_opptabel1">Objectinformatie!$O$5:$O$44</definedName>
    <definedName name="object6_opptabel4">Objectinformatie!$O$47:$O$47</definedName>
    <definedName name="object7_gemuurtarief1">'Ruimten werkdag'!$P$278</definedName>
    <definedName name="object7_opptabel1">Objectinformatie!$P$5:$P$44</definedName>
    <definedName name="object7_opptabel4">Objectinformatie!$P$47:$P$47</definedName>
    <definedName name="object7_prijsdag1">'Ruimten werkdag'!$S$278</definedName>
    <definedName name="object7_prijsjaar1">'Ruimten werkdag'!$U$278</definedName>
    <definedName name="object7_urendag1">'Ruimten werkdag'!$Q$278</definedName>
    <definedName name="object7_urendaghf1">'Ruimten werkdag'!$R$278</definedName>
    <definedName name="object7_urenjaar1">'Ruimten werkdag'!$T$278</definedName>
    <definedName name="objectprijs1_1">Objecten!$Q$6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5_4">Objecten!$Q$17</definedName>
    <definedName name="objectprijs6_1">Objecten!$Q$11</definedName>
    <definedName name="objectprijs7_1">Objecten!$Q$12</definedName>
    <definedName name="objecturen1_1">Objecten!$P$6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5_4">Objecten!$P$17</definedName>
    <definedName name="objecturen6_1">Objecten!$P$11</definedName>
    <definedName name="objecturen7_1">Objecten!$P$12</definedName>
    <definedName name="objecturenhf1_1">Objecten!$O$6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5_4">Objecten!$O$17</definedName>
    <definedName name="objecturenhf6_1">Objecten!$O$11</definedName>
    <definedName name="objecturenhf7_1">Objecten!$O$12</definedName>
    <definedName name="prijsdag1">'Regulier werk'!$L$46</definedName>
    <definedName name="prijsdag4">'Regulier werk'!$L$53</definedName>
    <definedName name="prijsjaar">'Regulier werk'!$N$58</definedName>
    <definedName name="prijsjaar1">'Regulier werk'!$N$46</definedName>
    <definedName name="prijsjaar4">'Regulier werk'!$N$53</definedName>
    <definedName name="prijsjaarafroep">Afroep!$K$15</definedName>
    <definedName name="prijsjaarafroep1">Afroep!$K$13</definedName>
    <definedName name="prijsjaarglas">Glas!$K$27</definedName>
    <definedName name="prijsjaarglas1">Glas!$K$25</definedName>
    <definedName name="prijsjaartotaal">Objecten!$Q$21</definedName>
    <definedName name="prijsjaartotaal1">Objecten!$Q$13</definedName>
    <definedName name="prijsjaartotaal4">Objecten!$Q$18</definedName>
    <definedName name="prijsjaartotaaloverzicht">'Totaalblad Objecten'!$G$12</definedName>
    <definedName name="prijsmaandtotaal1">Objecten!$R$13</definedName>
    <definedName name="prijsmaandtotaal4">Objecten!$R$18</definedName>
    <definedName name="prodnorm0">Afroep!$H$12</definedName>
    <definedName name="prodnorm10">'Glas per locatie'!$I$27</definedName>
    <definedName name="prodnorm11">'Glas per locatie'!$I$34</definedName>
    <definedName name="prodnorm12">'Glas per locatie'!$I$42</definedName>
    <definedName name="prodnorm13">'Glas per locatie'!$I$28</definedName>
    <definedName name="prodnorm14">'Glas per locatie'!$I$11</definedName>
    <definedName name="prodnorm15">'Glas per locatie'!$I$12</definedName>
    <definedName name="prodnorm16">'Glas per locatie'!$I$13</definedName>
    <definedName name="prodnorm17">'Glas per locatie'!$I$14</definedName>
    <definedName name="prodnorm18">'Glas per locatie'!$I$35</definedName>
    <definedName name="prodnorm2">'Glas per locatie'!$I$6</definedName>
    <definedName name="prodnorm20">'Glas per locatie'!$I$43</definedName>
    <definedName name="prodnorm21">'Glas per locatie'!$I$15</definedName>
    <definedName name="prodnorm22">'Regulier werk'!$G$42</definedName>
    <definedName name="prodnorm23">'Regulier werk'!$G$43</definedName>
    <definedName name="prodnorm24">'Regulier werk'!$G$44</definedName>
    <definedName name="prodnorm25">'Regulier werk'!$G$45</definedName>
    <definedName name="prodnorm26">'Regulier werk'!$G$6</definedName>
    <definedName name="prodnorm27">'Regulier werk'!$G$7</definedName>
    <definedName name="prodnorm28">'Regulier werk'!$G$8</definedName>
    <definedName name="prodnorm29">'Regulier werk'!$G$9</definedName>
    <definedName name="prodnorm3">'Glas per locatie'!$I$32</definedName>
    <definedName name="prodnorm30">'Regulier werk'!$G$10</definedName>
    <definedName name="prodnorm31">'Regulier werk'!$G$11</definedName>
    <definedName name="prodnorm32">'Regulier werk'!$G$12</definedName>
    <definedName name="prodnorm33">'Regulier werk'!$G$13</definedName>
    <definedName name="prodnorm34">'Regulier werk'!$G$14</definedName>
    <definedName name="prodnorm35">'Regulier werk'!$G$15</definedName>
    <definedName name="prodnorm36">'Regulier werk'!$G$16</definedName>
    <definedName name="prodnorm37">'Regulier werk'!$G$17</definedName>
    <definedName name="prodnorm38">'Regulier werk'!$G$18</definedName>
    <definedName name="prodnorm39">'Regulier werk'!$G$19</definedName>
    <definedName name="prodnorm4">'Glas per locatie'!$I$39</definedName>
    <definedName name="prodnorm40">'Regulier werk'!$G$20</definedName>
    <definedName name="prodnorm41">'Regulier werk'!$G$21</definedName>
    <definedName name="prodnorm42">'Regulier werk'!$G$22</definedName>
    <definedName name="prodnorm43">'Regulier werk'!$G$23</definedName>
    <definedName name="prodnorm44">'Regulier werk'!$G$24</definedName>
    <definedName name="prodnorm45">'Regulier werk'!$G$25</definedName>
    <definedName name="prodnorm46">'Regulier werk'!$G$26</definedName>
    <definedName name="prodnorm47">'Regulier werk'!$G$27</definedName>
    <definedName name="prodnorm48">'Regulier werk'!$G$28</definedName>
    <definedName name="prodnorm49">'Regulier werk'!$G$29</definedName>
    <definedName name="prodnorm5">'Glas per locatie'!$I$26</definedName>
    <definedName name="prodnorm50">'Regulier werk'!$G$30</definedName>
    <definedName name="prodnorm51">'Regulier werk'!$G$31</definedName>
    <definedName name="prodnorm52">'Regulier werk'!$G$32</definedName>
    <definedName name="prodnorm53">'Regulier werk'!$G$33</definedName>
    <definedName name="prodnorm54">'Regulier werk'!$G$34</definedName>
    <definedName name="prodnorm55">'Regulier werk'!$G$35</definedName>
    <definedName name="prodnorm56">'Regulier werk'!$G$36</definedName>
    <definedName name="prodnorm57">'Regulier werk'!$G$37</definedName>
    <definedName name="prodnorm58">'Regulier werk'!$G$38</definedName>
    <definedName name="prodnorm59">'Regulier werk'!$G$39</definedName>
    <definedName name="prodnorm6">'Glas per locatie'!$I$40</definedName>
    <definedName name="prodnorm60">'Regulier werk'!$G$40</definedName>
    <definedName name="prodnorm61">'Regulier werk'!$G$41</definedName>
    <definedName name="prodnorm62">'Regulier werk'!$G$52</definedName>
    <definedName name="prodnorm7">'Glas per locatie'!$I$8</definedName>
    <definedName name="prodnorm8">'Glas per locatie'!$I$33</definedName>
    <definedName name="prodnorm9">'Glas per locatie'!$I$41</definedName>
    <definedName name="taakfreqtabel1">Objectinformatie!$E$5:$E$44</definedName>
    <definedName name="taakfreqtabel4">Objectinformatie!$E$47:$E$47</definedName>
    <definedName name="tabeltype">Omreken!$B$5:$B$5</definedName>
    <definedName name="Tariefopbouw1">Tariefopbouw!$B$53</definedName>
    <definedName name="Tariefopbouw2">Tariefopbouw!$D$53</definedName>
    <definedName name="Tariefopbouw3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tabel1">Objectinformatie!$I$5:$I$44</definedName>
    <definedName name="tarieftabel4">Objectinformatie!$I$47:$I$47</definedName>
    <definedName name="TariefUitvoering1">Tariefopbouw!$C$50</definedName>
    <definedName name="TariefUitvoering2">Tariefopbouw!$E$50</definedName>
    <definedName name="TariefUitvoering3">Tariefopbouw!$G$50</definedName>
    <definedName name="urendag1">'Regulier werk'!$K$46</definedName>
    <definedName name="urendag4">'Regulier werk'!$K$53</definedName>
    <definedName name="urenjaar">'Regulier werk'!$M$58</definedName>
    <definedName name="urenjaar1">'Regulier werk'!$M$46</definedName>
    <definedName name="urenjaar4">'Regulier werk'!$M$53</definedName>
    <definedName name="urenjaartotaal">Objecten!$P$21</definedName>
    <definedName name="urenjaartotaal1">Objecten!$P$13</definedName>
    <definedName name="urenjaartotaal4">Objecten!$P$18</definedName>
    <definedName name="urenjaartotaalhf">Objecten!$O$21</definedName>
    <definedName name="urenjaartotaalhf1">Objecten!$O$13</definedName>
    <definedName name="urenjaartotaalhf4">Objecten!$O$18</definedName>
    <definedName name="urenjaartotaaloverzicht">'Totaalblad Objecten'!$F$12</definedName>
    <definedName name="urenjaartotaaloverzichthf">'Totaalblad Objecten'!$E$12</definedName>
    <definedName name="uurfactortabel1">Objectinformatie!$F$5:$F$44</definedName>
    <definedName name="uurfactortabel4">Objectinformatie!$F$47:$F$47</definedName>
    <definedName name="uurtarief0">'Afroep incidenteel'!$E$68</definedName>
    <definedName name="uurtarief10">'Glas per locatie'!$J$27</definedName>
    <definedName name="uurtarief11">'Glas per locatie'!$J$34</definedName>
    <definedName name="uurtarief12">'Glas per locatie'!$J$42</definedName>
    <definedName name="uurtarief13">'Glas per locatie'!$J$28</definedName>
    <definedName name="uurtarief14">'Glas per locatie'!$J$11</definedName>
    <definedName name="uurtarief15">'Glas per locatie'!$J$12</definedName>
    <definedName name="uurtarief16">'Glas per locatie'!$J$13</definedName>
    <definedName name="uurtarief17">'Glas per locatie'!$J$14</definedName>
    <definedName name="uurtarief18">'Glas per locatie'!$J$35</definedName>
    <definedName name="uurtarief2">'Glas per locatie'!$J$6</definedName>
    <definedName name="uurtarief20">'Glas per locatie'!$J$43</definedName>
    <definedName name="uurtarief21">'Glas per locatie'!$J$15</definedName>
    <definedName name="uurtarief22">'Regulier werk'!$J$42</definedName>
    <definedName name="uurtarief23">'Regulier werk'!$J$43</definedName>
    <definedName name="uurtarief24">'Regulier werk'!$J$44</definedName>
    <definedName name="uurtarief25">'Regulier werk'!$J$45</definedName>
    <definedName name="uurtarief26">'Regulier werk'!$J$6</definedName>
    <definedName name="uurtarief27">'Regulier werk'!$J$7</definedName>
    <definedName name="uurtarief28">'Regulier werk'!$J$8</definedName>
    <definedName name="uurtarief29">'Regulier werk'!$J$9</definedName>
    <definedName name="uurtarief3">'Glas per locatie'!$J$32</definedName>
    <definedName name="uurtarief30">'Regulier werk'!$J$10</definedName>
    <definedName name="uurtarief31">'Regulier werk'!$J$11</definedName>
    <definedName name="uurtarief32">'Regulier werk'!$J$12</definedName>
    <definedName name="uurtarief33">'Regulier werk'!$J$13</definedName>
    <definedName name="uurtarief34">'Regulier werk'!$J$14</definedName>
    <definedName name="uurtarief35">'Regulier werk'!$J$15</definedName>
    <definedName name="uurtarief36">'Regulier werk'!$J$16</definedName>
    <definedName name="uurtarief37">'Regulier werk'!$J$17</definedName>
    <definedName name="uurtarief38">'Regulier werk'!$J$18</definedName>
    <definedName name="uurtarief39">'Regulier werk'!$J$19</definedName>
    <definedName name="uurtarief4">'Glas per locatie'!$J$39</definedName>
    <definedName name="uurtarief40">'Regulier werk'!$J$20</definedName>
    <definedName name="uurtarief41">'Regulier werk'!$J$21</definedName>
    <definedName name="uurtarief42">'Regulier werk'!$J$22</definedName>
    <definedName name="uurtarief43">'Regulier werk'!$J$23</definedName>
    <definedName name="uurtarief44">'Regulier werk'!$J$24</definedName>
    <definedName name="uurtarief45">'Regulier werk'!$J$25</definedName>
    <definedName name="uurtarief46">'Regulier werk'!$J$26</definedName>
    <definedName name="uurtarief47">'Regulier werk'!$J$27</definedName>
    <definedName name="uurtarief48">'Regulier werk'!$J$28</definedName>
    <definedName name="uurtarief49">'Regulier werk'!$J$29</definedName>
    <definedName name="uurtarief5">'Glas per locatie'!$J$26</definedName>
    <definedName name="uurtarief50">'Regulier werk'!$J$30</definedName>
    <definedName name="uurtarief51">'Regulier werk'!$J$31</definedName>
    <definedName name="uurtarief52">'Regulier werk'!$J$32</definedName>
    <definedName name="uurtarief53">'Regulier werk'!$J$33</definedName>
    <definedName name="uurtarief54">'Regulier werk'!$J$34</definedName>
    <definedName name="uurtarief55">'Regulier werk'!$J$35</definedName>
    <definedName name="uurtarief56">'Regulier werk'!$J$36</definedName>
    <definedName name="uurtarief57">'Regulier werk'!$J$37</definedName>
    <definedName name="uurtarief58">'Regulier werk'!$J$38</definedName>
    <definedName name="uurtarief59">'Regulier werk'!$J$39</definedName>
    <definedName name="uurtarief6">'Glas per locatie'!$J$40</definedName>
    <definedName name="uurtarief60">'Regulier werk'!$J$40</definedName>
    <definedName name="uurtarief61">'Regulier werk'!$J$41</definedName>
    <definedName name="uurtarief62">'Regulier werk'!$J$52</definedName>
    <definedName name="uurtarief7">'Glas per locatie'!$J$8</definedName>
    <definedName name="uurtarief8">'Glas per locatie'!$J$33</definedName>
    <definedName name="uurtarief9">'Glas per locatie'!$J$41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43" i="13"/>
  <c r="K43" i="13" s="1"/>
  <c r="H43" i="13"/>
  <c r="J42" i="13"/>
  <c r="K42" i="13" s="1"/>
  <c r="H42" i="13"/>
  <c r="J41" i="13"/>
  <c r="K41" i="13" s="1"/>
  <c r="H41" i="13"/>
  <c r="J40" i="13"/>
  <c r="K40" i="13" s="1"/>
  <c r="H40" i="13"/>
  <c r="J39" i="13"/>
  <c r="K39" i="13" s="1"/>
  <c r="K44" i="13" s="1"/>
  <c r="H39" i="13"/>
  <c r="J35" i="13"/>
  <c r="K35" i="13" s="1"/>
  <c r="H35" i="13"/>
  <c r="J34" i="13"/>
  <c r="K34" i="13" s="1"/>
  <c r="H34" i="13"/>
  <c r="J33" i="13"/>
  <c r="K33" i="13" s="1"/>
  <c r="H33" i="13"/>
  <c r="J32" i="13"/>
  <c r="K32" i="13" s="1"/>
  <c r="K36" i="13" s="1"/>
  <c r="H32" i="13"/>
  <c r="J28" i="13"/>
  <c r="K28" i="13" s="1"/>
  <c r="H28" i="13"/>
  <c r="J27" i="13"/>
  <c r="K27" i="13" s="1"/>
  <c r="H27" i="13"/>
  <c r="J26" i="13"/>
  <c r="K26" i="13" s="1"/>
  <c r="K29" i="13" s="1"/>
  <c r="H26" i="13"/>
  <c r="J22" i="13"/>
  <c r="K22" i="13" s="1"/>
  <c r="H22" i="13"/>
  <c r="J21" i="13"/>
  <c r="K21" i="13" s="1"/>
  <c r="H21" i="13"/>
  <c r="J20" i="13"/>
  <c r="K20" i="13" s="1"/>
  <c r="H20" i="13"/>
  <c r="J19" i="13"/>
  <c r="K19" i="13" s="1"/>
  <c r="K23" i="13" s="1"/>
  <c r="H19" i="13"/>
  <c r="J15" i="13"/>
  <c r="K15" i="13" s="1"/>
  <c r="H15" i="13"/>
  <c r="J14" i="13"/>
  <c r="K14" i="13" s="1"/>
  <c r="H14" i="13"/>
  <c r="J13" i="13"/>
  <c r="K13" i="13" s="1"/>
  <c r="H13" i="13"/>
  <c r="J12" i="13"/>
  <c r="K12" i="13" s="1"/>
  <c r="H12" i="13"/>
  <c r="J11" i="13"/>
  <c r="K11" i="13" s="1"/>
  <c r="H11" i="13"/>
  <c r="J10" i="13"/>
  <c r="K10" i="13" s="1"/>
  <c r="H10" i="13"/>
  <c r="J9" i="13"/>
  <c r="K9" i="13" s="1"/>
  <c r="H9" i="13"/>
  <c r="J8" i="13"/>
  <c r="K8" i="13" s="1"/>
  <c r="H8" i="13"/>
  <c r="J7" i="13"/>
  <c r="K7" i="13" s="1"/>
  <c r="H7" i="13"/>
  <c r="J6" i="13"/>
  <c r="K6" i="13" s="1"/>
  <c r="K16" i="13" s="1"/>
  <c r="H6" i="13"/>
  <c r="A1" i="13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A1" i="12"/>
  <c r="A1" i="11"/>
  <c r="J12" i="10"/>
  <c r="J11" i="10"/>
  <c r="J10" i="10"/>
  <c r="J9" i="10"/>
  <c r="J8" i="10"/>
  <c r="J7" i="10"/>
  <c r="J6" i="10"/>
  <c r="A1" i="10"/>
  <c r="A1" i="9"/>
  <c r="A1" i="8"/>
  <c r="H47" i="7"/>
  <c r="G47" i="7"/>
  <c r="H44" i="7"/>
  <c r="G44" i="7"/>
  <c r="H43" i="7"/>
  <c r="G43" i="7"/>
  <c r="H42" i="7"/>
  <c r="G42" i="7"/>
  <c r="H41" i="7"/>
  <c r="G41" i="7"/>
  <c r="H40" i="7"/>
  <c r="G40" i="7"/>
  <c r="N5" i="6"/>
  <c r="M5" i="6"/>
  <c r="A1" i="6"/>
  <c r="N163" i="5"/>
  <c r="M163" i="5"/>
  <c r="N161" i="5"/>
  <c r="M161" i="5"/>
  <c r="N158" i="5"/>
  <c r="M158" i="5"/>
  <c r="N68" i="5"/>
  <c r="M68" i="5"/>
  <c r="N65" i="5"/>
  <c r="M65" i="5"/>
  <c r="N64" i="5"/>
  <c r="M64" i="5"/>
  <c r="N62" i="5"/>
  <c r="M62" i="5"/>
  <c r="N61" i="5"/>
  <c r="M61" i="5"/>
  <c r="N60" i="5"/>
  <c r="M60" i="5"/>
  <c r="N59" i="5"/>
  <c r="M59" i="5"/>
  <c r="N58" i="5"/>
  <c r="M58" i="5"/>
  <c r="N57" i="5"/>
  <c r="M57" i="5"/>
  <c r="N56" i="5"/>
  <c r="M56" i="5"/>
  <c r="N55" i="5"/>
  <c r="M55" i="5"/>
  <c r="N54" i="5"/>
  <c r="M54" i="5"/>
  <c r="N53" i="5"/>
  <c r="M53" i="5"/>
  <c r="N52" i="5"/>
  <c r="M52" i="5"/>
  <c r="N51" i="5"/>
  <c r="M51" i="5"/>
  <c r="N50" i="5"/>
  <c r="M50" i="5"/>
  <c r="N49" i="5"/>
  <c r="M49" i="5"/>
  <c r="N37" i="5"/>
  <c r="M37" i="5"/>
  <c r="N32" i="5"/>
  <c r="M32" i="5"/>
  <c r="N31" i="5"/>
  <c r="M31" i="5"/>
  <c r="N30" i="5"/>
  <c r="M30" i="5"/>
  <c r="N29" i="5"/>
  <c r="M29" i="5"/>
  <c r="N28" i="5"/>
  <c r="M28" i="5"/>
  <c r="N27" i="5"/>
  <c r="M27" i="5"/>
  <c r="N23" i="5"/>
  <c r="M23" i="5"/>
  <c r="N22" i="5"/>
  <c r="M22" i="5"/>
  <c r="N21" i="5"/>
  <c r="M21" i="5"/>
  <c r="N16" i="5"/>
  <c r="M16" i="5"/>
  <c r="N15" i="5"/>
  <c r="M15" i="5"/>
  <c r="N14" i="5"/>
  <c r="M14" i="5"/>
  <c r="N13" i="5"/>
  <c r="M13" i="5"/>
  <c r="N12" i="5"/>
  <c r="M12" i="5"/>
  <c r="N11" i="5"/>
  <c r="M11" i="5"/>
  <c r="N10" i="5"/>
  <c r="M10" i="5"/>
  <c r="N9" i="5"/>
  <c r="M9" i="5"/>
  <c r="N8" i="5"/>
  <c r="M8" i="5"/>
  <c r="N7" i="5"/>
  <c r="M7" i="5"/>
  <c r="N6" i="5"/>
  <c r="M6" i="5"/>
  <c r="N5" i="5"/>
  <c r="M5" i="5"/>
  <c r="A1" i="5"/>
  <c r="K41" i="4"/>
  <c r="M41" i="4" s="1"/>
  <c r="H40" i="4"/>
  <c r="G40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2" i="2"/>
  <c r="A51" i="2"/>
  <c r="F50" i="2"/>
  <c r="D50" i="2"/>
  <c r="B50" i="2"/>
  <c r="A49" i="2"/>
  <c r="A48" i="2"/>
  <c r="A47" i="2"/>
  <c r="N9" i="2"/>
  <c r="L9" i="2"/>
  <c r="J9" i="2"/>
  <c r="H9" i="2"/>
  <c r="F9" i="2"/>
  <c r="D9" i="2"/>
  <c r="B9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36" i="7" l="1"/>
  <c r="E34" i="7"/>
  <c r="E32" i="7"/>
  <c r="E29" i="7"/>
  <c r="E27" i="7"/>
  <c r="E25" i="7"/>
  <c r="E23" i="7"/>
  <c r="E22" i="7"/>
  <c r="E21" i="7"/>
  <c r="E19" i="7"/>
  <c r="E17" i="7"/>
  <c r="E16" i="7"/>
  <c r="E15" i="7"/>
  <c r="E13" i="7"/>
  <c r="E11" i="7"/>
  <c r="E9" i="7"/>
  <c r="E7" i="7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5" i="5"/>
  <c r="L213" i="5"/>
  <c r="L211" i="5"/>
  <c r="L209" i="5"/>
  <c r="L207" i="5"/>
  <c r="L205" i="5"/>
  <c r="L203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8" i="5"/>
  <c r="L187" i="5"/>
  <c r="L186" i="5"/>
  <c r="L185" i="5"/>
  <c r="L184" i="5"/>
  <c r="L183" i="5"/>
  <c r="L182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39" i="5"/>
  <c r="L138" i="5"/>
  <c r="L134" i="5"/>
  <c r="L133" i="5"/>
  <c r="L131" i="5"/>
  <c r="L129" i="5"/>
  <c r="L128" i="5"/>
  <c r="L127" i="5"/>
  <c r="L126" i="5"/>
  <c r="L124" i="5"/>
  <c r="L123" i="5"/>
  <c r="L122" i="5"/>
  <c r="L121" i="5"/>
  <c r="L117" i="5"/>
  <c r="L116" i="5"/>
  <c r="L115" i="5"/>
  <c r="L114" i="5"/>
  <c r="L112" i="5"/>
  <c r="L111" i="5"/>
  <c r="L110" i="5"/>
  <c r="L109" i="5"/>
  <c r="L108" i="5"/>
  <c r="L107" i="5"/>
  <c r="L106" i="5"/>
  <c r="L105" i="5"/>
  <c r="L67" i="5"/>
  <c r="L66" i="5"/>
  <c r="L63" i="5"/>
  <c r="L48" i="5"/>
  <c r="L46" i="5"/>
  <c r="L44" i="5"/>
  <c r="L42" i="5"/>
  <c r="L40" i="5"/>
  <c r="L39" i="5"/>
  <c r="L38" i="5"/>
  <c r="L36" i="5"/>
  <c r="L35" i="5"/>
  <c r="L34" i="5"/>
  <c r="L33" i="5"/>
  <c r="L26" i="5"/>
  <c r="L25" i="5"/>
  <c r="L24" i="5"/>
  <c r="L20" i="5"/>
  <c r="L19" i="5"/>
  <c r="L18" i="5"/>
  <c r="L17" i="5"/>
  <c r="F37" i="4"/>
  <c r="F35" i="4"/>
  <c r="F33" i="4"/>
  <c r="F30" i="4"/>
  <c r="F28" i="4"/>
  <c r="F26" i="4"/>
  <c r="F24" i="4"/>
  <c r="F23" i="4"/>
  <c r="F22" i="4"/>
  <c r="F20" i="4"/>
  <c r="F18" i="4"/>
  <c r="F17" i="4"/>
  <c r="F16" i="4"/>
  <c r="F14" i="4"/>
  <c r="F12" i="4"/>
  <c r="F10" i="4"/>
  <c r="F8" i="4"/>
  <c r="E30" i="7"/>
  <c r="L45" i="5"/>
  <c r="L43" i="5"/>
  <c r="F31" i="4"/>
  <c r="E42" i="7"/>
  <c r="L161" i="5"/>
  <c r="Q161" i="5" s="1"/>
  <c r="T161" i="5" s="1"/>
  <c r="F43" i="4"/>
  <c r="K43" i="4" s="1"/>
  <c r="M43" i="4" s="1"/>
  <c r="E47" i="7"/>
  <c r="L5" i="6"/>
  <c r="Q5" i="6" s="1"/>
  <c r="F52" i="4"/>
  <c r="K52" i="4" s="1"/>
  <c r="E44" i="7"/>
  <c r="E41" i="7"/>
  <c r="E37" i="7"/>
  <c r="E35" i="7"/>
  <c r="E33" i="7"/>
  <c r="E31" i="7"/>
  <c r="E28" i="7"/>
  <c r="E26" i="7"/>
  <c r="E24" i="7"/>
  <c r="E20" i="7"/>
  <c r="E18" i="7"/>
  <c r="E14" i="7"/>
  <c r="E12" i="7"/>
  <c r="E10" i="7"/>
  <c r="E8" i="7"/>
  <c r="E6" i="7"/>
  <c r="L158" i="5"/>
  <c r="Q158" i="5" s="1"/>
  <c r="T158" i="5" s="1"/>
  <c r="L157" i="5"/>
  <c r="L136" i="5"/>
  <c r="L101" i="5"/>
  <c r="L99" i="5"/>
  <c r="L97" i="5"/>
  <c r="L96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68" i="5"/>
  <c r="Q68" i="5" s="1"/>
  <c r="T68" i="5" s="1"/>
  <c r="F45" i="4"/>
  <c r="K45" i="4" s="1"/>
  <c r="M45" i="4" s="1"/>
  <c r="F42" i="4"/>
  <c r="K42" i="4" s="1"/>
  <c r="M42" i="4" s="1"/>
  <c r="F38" i="4"/>
  <c r="F36" i="4"/>
  <c r="F34" i="4"/>
  <c r="F32" i="4"/>
  <c r="F29" i="4"/>
  <c r="F27" i="4"/>
  <c r="F25" i="4"/>
  <c r="F21" i="4"/>
  <c r="F19" i="4"/>
  <c r="F15" i="4"/>
  <c r="F13" i="4"/>
  <c r="F11" i="4"/>
  <c r="F9" i="4"/>
  <c r="F7" i="4"/>
  <c r="C6" i="10"/>
  <c r="K6" i="10" s="1"/>
  <c r="E43" i="7"/>
  <c r="L163" i="5"/>
  <c r="Q163" i="5" s="1"/>
  <c r="T163" i="5" s="1"/>
  <c r="F44" i="4"/>
  <c r="K44" i="4" s="1"/>
  <c r="M44" i="4" s="1"/>
  <c r="C8" i="13"/>
  <c r="L8" i="13" s="1"/>
  <c r="M8" i="13" s="1"/>
  <c r="C6" i="13"/>
  <c r="L6" i="13" s="1"/>
  <c r="C11" i="12"/>
  <c r="K11" i="12" s="1"/>
  <c r="L11" i="12" s="1"/>
  <c r="C6" i="12"/>
  <c r="K6" i="12" s="1"/>
  <c r="E40" i="7"/>
  <c r="E5" i="7"/>
  <c r="L125" i="5"/>
  <c r="L120" i="5"/>
  <c r="L119" i="5"/>
  <c r="L118" i="5"/>
  <c r="L113" i="5"/>
  <c r="L65" i="5"/>
  <c r="L64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37" i="5"/>
  <c r="L32" i="5"/>
  <c r="L31" i="5"/>
  <c r="L30" i="5"/>
  <c r="L29" i="5"/>
  <c r="L28" i="5"/>
  <c r="L27" i="5"/>
  <c r="L23" i="5"/>
  <c r="L22" i="5"/>
  <c r="L21" i="5"/>
  <c r="L16" i="5"/>
  <c r="L15" i="5"/>
  <c r="L14" i="5"/>
  <c r="L13" i="5"/>
  <c r="L12" i="5"/>
  <c r="L11" i="5"/>
  <c r="L10" i="5"/>
  <c r="L9" i="5"/>
  <c r="L8" i="5"/>
  <c r="L7" i="5"/>
  <c r="L6" i="5"/>
  <c r="L5" i="5"/>
  <c r="F41" i="4"/>
  <c r="F6" i="4"/>
  <c r="C12" i="10"/>
  <c r="K12" i="10" s="1"/>
  <c r="L12" i="10" s="1"/>
  <c r="C11" i="10"/>
  <c r="K11" i="10" s="1"/>
  <c r="L11" i="10" s="1"/>
  <c r="C10" i="10"/>
  <c r="K10" i="10" s="1"/>
  <c r="L10" i="10" s="1"/>
  <c r="C9" i="10"/>
  <c r="K9" i="10" s="1"/>
  <c r="L9" i="10" s="1"/>
  <c r="C8" i="10"/>
  <c r="K8" i="10" s="1"/>
  <c r="L8" i="10" s="1"/>
  <c r="C7" i="10"/>
  <c r="K7" i="10" s="1"/>
  <c r="L7" i="10" s="1"/>
  <c r="C28" i="13"/>
  <c r="L28" i="13" s="1"/>
  <c r="M28" i="13" s="1"/>
  <c r="C27" i="13"/>
  <c r="L27" i="13" s="1"/>
  <c r="M27" i="13" s="1"/>
  <c r="C26" i="13"/>
  <c r="L26" i="13" s="1"/>
  <c r="C21" i="13"/>
  <c r="L21" i="13" s="1"/>
  <c r="M21" i="13" s="1"/>
  <c r="C20" i="13"/>
  <c r="L20" i="13" s="1"/>
  <c r="M20" i="13" s="1"/>
  <c r="C19" i="13"/>
  <c r="L19" i="13" s="1"/>
  <c r="C17" i="12"/>
  <c r="K17" i="12" s="1"/>
  <c r="L17" i="12" s="1"/>
  <c r="C14" i="12"/>
  <c r="K14" i="12" s="1"/>
  <c r="L14" i="12" s="1"/>
  <c r="C9" i="12"/>
  <c r="K9" i="12" s="1"/>
  <c r="L9" i="12" s="1"/>
  <c r="C43" i="13"/>
  <c r="L43" i="13" s="1"/>
  <c r="M43" i="13" s="1"/>
  <c r="C42" i="13"/>
  <c r="L42" i="13" s="1"/>
  <c r="M42" i="13" s="1"/>
  <c r="C41" i="13"/>
  <c r="L41" i="13" s="1"/>
  <c r="M41" i="13" s="1"/>
  <c r="C40" i="13"/>
  <c r="L40" i="13" s="1"/>
  <c r="M40" i="13" s="1"/>
  <c r="C39" i="13"/>
  <c r="L39" i="13" s="1"/>
  <c r="C15" i="13"/>
  <c r="L15" i="13" s="1"/>
  <c r="M15" i="13" s="1"/>
  <c r="C14" i="13"/>
  <c r="L14" i="13" s="1"/>
  <c r="M14" i="13" s="1"/>
  <c r="C13" i="13"/>
  <c r="L13" i="13" s="1"/>
  <c r="M13" i="13" s="1"/>
  <c r="C12" i="13"/>
  <c r="L12" i="13" s="1"/>
  <c r="M12" i="13" s="1"/>
  <c r="C11" i="13"/>
  <c r="L11" i="13" s="1"/>
  <c r="M11" i="13" s="1"/>
  <c r="C10" i="13"/>
  <c r="L10" i="13" s="1"/>
  <c r="M10" i="13" s="1"/>
  <c r="C9" i="13"/>
  <c r="L9" i="13" s="1"/>
  <c r="M9" i="13" s="1"/>
  <c r="C7" i="13"/>
  <c r="L7" i="13" s="1"/>
  <c r="M7" i="13" s="1"/>
  <c r="C24" i="12"/>
  <c r="K24" i="12" s="1"/>
  <c r="L24" i="12" s="1"/>
  <c r="C23" i="12"/>
  <c r="K23" i="12" s="1"/>
  <c r="L23" i="12" s="1"/>
  <c r="C21" i="12"/>
  <c r="K21" i="12" s="1"/>
  <c r="L21" i="12" s="1"/>
  <c r="C20" i="12"/>
  <c r="K20" i="12" s="1"/>
  <c r="L20" i="12" s="1"/>
  <c r="C19" i="12"/>
  <c r="K19" i="12" s="1"/>
  <c r="L19" i="12" s="1"/>
  <c r="C18" i="12"/>
  <c r="K18" i="12" s="1"/>
  <c r="L18" i="12" s="1"/>
  <c r="C16" i="12"/>
  <c r="K16" i="12" s="1"/>
  <c r="L16" i="12" s="1"/>
  <c r="C13" i="12"/>
  <c r="K13" i="12" s="1"/>
  <c r="L13" i="12" s="1"/>
  <c r="C10" i="12"/>
  <c r="K10" i="12" s="1"/>
  <c r="L10" i="12" s="1"/>
  <c r="C8" i="12"/>
  <c r="K8" i="12" s="1"/>
  <c r="L8" i="12" s="1"/>
  <c r="E39" i="7"/>
  <c r="L137" i="5"/>
  <c r="L135" i="5"/>
  <c r="L132" i="5"/>
  <c r="L130" i="5"/>
  <c r="F40" i="4"/>
  <c r="C35" i="13"/>
  <c r="L35" i="13" s="1"/>
  <c r="M35" i="13" s="1"/>
  <c r="C34" i="13"/>
  <c r="L34" i="13" s="1"/>
  <c r="M34" i="13" s="1"/>
  <c r="C33" i="13"/>
  <c r="L33" i="13" s="1"/>
  <c r="M33" i="13" s="1"/>
  <c r="C32" i="13"/>
  <c r="L32" i="13" s="1"/>
  <c r="C22" i="13"/>
  <c r="L22" i="13" s="1"/>
  <c r="M22" i="13" s="1"/>
  <c r="C22" i="12"/>
  <c r="K22" i="12" s="1"/>
  <c r="L22" i="12" s="1"/>
  <c r="C15" i="12"/>
  <c r="K15" i="12" s="1"/>
  <c r="L15" i="12" s="1"/>
  <c r="C12" i="12"/>
  <c r="K12" i="12" s="1"/>
  <c r="L12" i="12" s="1"/>
  <c r="C7" i="12"/>
  <c r="K7" i="12" s="1"/>
  <c r="L7" i="12" s="1"/>
  <c r="E38" i="7"/>
  <c r="L216" i="5"/>
  <c r="L214" i="5"/>
  <c r="L212" i="5"/>
  <c r="L210" i="5"/>
  <c r="L208" i="5"/>
  <c r="L206" i="5"/>
  <c r="L204" i="5"/>
  <c r="L202" i="5"/>
  <c r="L189" i="5"/>
  <c r="L181" i="5"/>
  <c r="L140" i="5"/>
  <c r="L102" i="5"/>
  <c r="L100" i="5"/>
  <c r="L98" i="5"/>
  <c r="L95" i="5"/>
  <c r="L47" i="5"/>
  <c r="L41" i="5"/>
  <c r="F39" i="4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G5" i="7"/>
  <c r="M125" i="5"/>
  <c r="M120" i="5"/>
  <c r="M119" i="5"/>
  <c r="M118" i="5"/>
  <c r="M113" i="5"/>
  <c r="K6" i="4"/>
  <c r="H5" i="7"/>
  <c r="N125" i="5"/>
  <c r="N120" i="5"/>
  <c r="N119" i="5"/>
  <c r="N118" i="5"/>
  <c r="N113" i="5"/>
  <c r="I5" i="7"/>
  <c r="P125" i="5"/>
  <c r="P120" i="5"/>
  <c r="P119" i="5"/>
  <c r="P118" i="5"/>
  <c r="P113" i="5"/>
  <c r="L6" i="4"/>
  <c r="G6" i="7"/>
  <c r="M157" i="5"/>
  <c r="K7" i="4"/>
  <c r="M7" i="4" s="1"/>
  <c r="N7" i="4" s="1"/>
  <c r="H6" i="7"/>
  <c r="N157" i="5"/>
  <c r="I6" i="7"/>
  <c r="P157" i="5"/>
  <c r="L7" i="4"/>
  <c r="G7" i="7"/>
  <c r="M215" i="5"/>
  <c r="M211" i="5"/>
  <c r="M209" i="5"/>
  <c r="M197" i="5"/>
  <c r="M196" i="5"/>
  <c r="M195" i="5"/>
  <c r="M146" i="5"/>
  <c r="M144" i="5"/>
  <c r="M143" i="5"/>
  <c r="M35" i="5"/>
  <c r="K8" i="4"/>
  <c r="M8" i="4" s="1"/>
  <c r="N8" i="4" s="1"/>
  <c r="H7" i="7"/>
  <c r="N215" i="5"/>
  <c r="N211" i="5"/>
  <c r="N209" i="5"/>
  <c r="N197" i="5"/>
  <c r="N196" i="5"/>
  <c r="N195" i="5"/>
  <c r="N146" i="5"/>
  <c r="N144" i="5"/>
  <c r="N143" i="5"/>
  <c r="N35" i="5"/>
  <c r="I7" i="7"/>
  <c r="P215" i="5"/>
  <c r="P211" i="5"/>
  <c r="P209" i="5"/>
  <c r="P197" i="5"/>
  <c r="P196" i="5"/>
  <c r="P195" i="5"/>
  <c r="P146" i="5"/>
  <c r="P144" i="5"/>
  <c r="P143" i="5"/>
  <c r="P35" i="5"/>
  <c r="L8" i="4"/>
  <c r="G8" i="7"/>
  <c r="M93" i="5"/>
  <c r="M90" i="5"/>
  <c r="M89" i="5"/>
  <c r="M88" i="5"/>
  <c r="M74" i="5"/>
  <c r="K9" i="4"/>
  <c r="M9" i="4" s="1"/>
  <c r="N9" i="4" s="1"/>
  <c r="H8" i="7"/>
  <c r="N93" i="5"/>
  <c r="N90" i="5"/>
  <c r="N89" i="5"/>
  <c r="N88" i="5"/>
  <c r="N74" i="5"/>
  <c r="I8" i="7"/>
  <c r="P93" i="5"/>
  <c r="P90" i="5"/>
  <c r="P89" i="5"/>
  <c r="P88" i="5"/>
  <c r="P74" i="5"/>
  <c r="L9" i="4"/>
  <c r="G9" i="7"/>
  <c r="M252" i="5"/>
  <c r="M251" i="5"/>
  <c r="M250" i="5"/>
  <c r="M249" i="5"/>
  <c r="M239" i="5"/>
  <c r="M238" i="5"/>
  <c r="M236" i="5"/>
  <c r="M235" i="5"/>
  <c r="M234" i="5"/>
  <c r="M233" i="5"/>
  <c r="M232" i="5"/>
  <c r="M231" i="5"/>
  <c r="M230" i="5"/>
  <c r="M228" i="5"/>
  <c r="M227" i="5"/>
  <c r="M226" i="5"/>
  <c r="M225" i="5"/>
  <c r="M224" i="5"/>
  <c r="M223" i="5"/>
  <c r="M222" i="5"/>
  <c r="M221" i="5"/>
  <c r="M220" i="5"/>
  <c r="M219" i="5"/>
  <c r="M176" i="5"/>
  <c r="M175" i="5"/>
  <c r="M174" i="5"/>
  <c r="M170" i="5"/>
  <c r="M167" i="5"/>
  <c r="M138" i="5"/>
  <c r="M67" i="5"/>
  <c r="M38" i="5"/>
  <c r="M36" i="5"/>
  <c r="K10" i="4"/>
  <c r="M10" i="4" s="1"/>
  <c r="N10" i="4" s="1"/>
  <c r="H9" i="7"/>
  <c r="N252" i="5"/>
  <c r="N251" i="5"/>
  <c r="N250" i="5"/>
  <c r="N249" i="5"/>
  <c r="N239" i="5"/>
  <c r="N238" i="5"/>
  <c r="N236" i="5"/>
  <c r="N235" i="5"/>
  <c r="N234" i="5"/>
  <c r="N233" i="5"/>
  <c r="N232" i="5"/>
  <c r="N231" i="5"/>
  <c r="N230" i="5"/>
  <c r="N228" i="5"/>
  <c r="N227" i="5"/>
  <c r="N226" i="5"/>
  <c r="N225" i="5"/>
  <c r="N224" i="5"/>
  <c r="N223" i="5"/>
  <c r="N222" i="5"/>
  <c r="N221" i="5"/>
  <c r="N220" i="5"/>
  <c r="N219" i="5"/>
  <c r="N176" i="5"/>
  <c r="N175" i="5"/>
  <c r="N174" i="5"/>
  <c r="N170" i="5"/>
  <c r="N167" i="5"/>
  <c r="N138" i="5"/>
  <c r="N67" i="5"/>
  <c r="N38" i="5"/>
  <c r="N36" i="5"/>
  <c r="I9" i="7"/>
  <c r="P252" i="5"/>
  <c r="P251" i="5"/>
  <c r="P250" i="5"/>
  <c r="P249" i="5"/>
  <c r="P239" i="5"/>
  <c r="P238" i="5"/>
  <c r="P236" i="5"/>
  <c r="P235" i="5"/>
  <c r="P234" i="5"/>
  <c r="P233" i="5"/>
  <c r="P232" i="5"/>
  <c r="P231" i="5"/>
  <c r="P230" i="5"/>
  <c r="P228" i="5"/>
  <c r="P227" i="5"/>
  <c r="P226" i="5"/>
  <c r="P225" i="5"/>
  <c r="P224" i="5"/>
  <c r="P223" i="5"/>
  <c r="P222" i="5"/>
  <c r="P221" i="5"/>
  <c r="P220" i="5"/>
  <c r="P219" i="5"/>
  <c r="P176" i="5"/>
  <c r="P175" i="5"/>
  <c r="P174" i="5"/>
  <c r="P170" i="5"/>
  <c r="P167" i="5"/>
  <c r="P138" i="5"/>
  <c r="P67" i="5"/>
  <c r="P38" i="5"/>
  <c r="P36" i="5"/>
  <c r="L10" i="4"/>
  <c r="G10" i="7"/>
  <c r="M99" i="5"/>
  <c r="K11" i="4"/>
  <c r="M11" i="4" s="1"/>
  <c r="N11" i="4" s="1"/>
  <c r="H10" i="7"/>
  <c r="N99" i="5"/>
  <c r="I10" i="7"/>
  <c r="P99" i="5"/>
  <c r="L11" i="4"/>
  <c r="G11" i="7"/>
  <c r="M112" i="5"/>
  <c r="K12" i="4"/>
  <c r="M12" i="4" s="1"/>
  <c r="N12" i="4" s="1"/>
  <c r="H11" i="7"/>
  <c r="N112" i="5"/>
  <c r="I11" i="7"/>
  <c r="P112" i="5"/>
  <c r="L12" i="4"/>
  <c r="G12" i="7"/>
  <c r="M84" i="5"/>
  <c r="M82" i="5"/>
  <c r="M80" i="5"/>
  <c r="M79" i="5"/>
  <c r="K13" i="4"/>
  <c r="M13" i="4" s="1"/>
  <c r="N13" i="4" s="1"/>
  <c r="H12" i="7"/>
  <c r="N84" i="5"/>
  <c r="N82" i="5"/>
  <c r="N80" i="5"/>
  <c r="N79" i="5"/>
  <c r="I12" i="7"/>
  <c r="P84" i="5"/>
  <c r="P82" i="5"/>
  <c r="P80" i="5"/>
  <c r="P79" i="5"/>
  <c r="L13" i="4"/>
  <c r="G13" i="7"/>
  <c r="M110" i="5"/>
  <c r="K14" i="4"/>
  <c r="M14" i="4" s="1"/>
  <c r="N14" i="4" s="1"/>
  <c r="H13" i="7"/>
  <c r="N110" i="5"/>
  <c r="I13" i="7"/>
  <c r="P110" i="5"/>
  <c r="L14" i="4"/>
  <c r="G14" i="7"/>
  <c r="M78" i="5"/>
  <c r="M71" i="5"/>
  <c r="K15" i="4"/>
  <c r="M15" i="4" s="1"/>
  <c r="N15" i="4" s="1"/>
  <c r="H14" i="7"/>
  <c r="N78" i="5"/>
  <c r="N71" i="5"/>
  <c r="I14" i="7"/>
  <c r="P78" i="5"/>
  <c r="P71" i="5"/>
  <c r="L15" i="4"/>
  <c r="G15" i="7"/>
  <c r="M155" i="5"/>
  <c r="M34" i="5"/>
  <c r="K16" i="4"/>
  <c r="M16" i="4" s="1"/>
  <c r="N16" i="4" s="1"/>
  <c r="H15" i="7"/>
  <c r="N155" i="5"/>
  <c r="N34" i="5"/>
  <c r="I15" i="7"/>
  <c r="P155" i="5"/>
  <c r="P34" i="5"/>
  <c r="L16" i="4"/>
  <c r="G16" i="7"/>
  <c r="M190" i="5"/>
  <c r="M105" i="5"/>
  <c r="M33" i="5"/>
  <c r="M17" i="5"/>
  <c r="K17" i="4"/>
  <c r="M17" i="4" s="1"/>
  <c r="N17" i="4" s="1"/>
  <c r="H16" i="7"/>
  <c r="N190" i="5"/>
  <c r="N105" i="5"/>
  <c r="N33" i="5"/>
  <c r="N17" i="5"/>
  <c r="I16" i="7"/>
  <c r="P190" i="5"/>
  <c r="P105" i="5"/>
  <c r="P33" i="5"/>
  <c r="P17" i="5"/>
  <c r="L17" i="4"/>
  <c r="G17" i="7"/>
  <c r="M165" i="5"/>
  <c r="K18" i="4"/>
  <c r="M18" i="4" s="1"/>
  <c r="N18" i="4" s="1"/>
  <c r="H17" i="7"/>
  <c r="N165" i="5"/>
  <c r="I17" i="7"/>
  <c r="P165" i="5"/>
  <c r="L18" i="4"/>
  <c r="G18" i="7"/>
  <c r="M83" i="5"/>
  <c r="K19" i="4"/>
  <c r="M19" i="4" s="1"/>
  <c r="N19" i="4" s="1"/>
  <c r="H18" i="7"/>
  <c r="N83" i="5"/>
  <c r="I18" i="7"/>
  <c r="P83" i="5"/>
  <c r="L19" i="4"/>
  <c r="G19" i="7"/>
  <c r="M152" i="5"/>
  <c r="M149" i="5"/>
  <c r="K20" i="4"/>
  <c r="M20" i="4" s="1"/>
  <c r="N20" i="4" s="1"/>
  <c r="H19" i="7"/>
  <c r="N152" i="5"/>
  <c r="N149" i="5"/>
  <c r="I19" i="7"/>
  <c r="P152" i="5"/>
  <c r="P149" i="5"/>
  <c r="L20" i="4"/>
  <c r="G20" i="7"/>
  <c r="M136" i="5"/>
  <c r="K21" i="4"/>
  <c r="M21" i="4" s="1"/>
  <c r="N21" i="4" s="1"/>
  <c r="H20" i="7"/>
  <c r="N136" i="5"/>
  <c r="I20" i="7"/>
  <c r="P136" i="5"/>
  <c r="L21" i="4"/>
  <c r="G21" i="7"/>
  <c r="M116" i="5"/>
  <c r="K22" i="4"/>
  <c r="M22" i="4" s="1"/>
  <c r="N22" i="4" s="1"/>
  <c r="H21" i="7"/>
  <c r="N116" i="5"/>
  <c r="I21" i="7"/>
  <c r="P116" i="5"/>
  <c r="L22" i="4"/>
  <c r="G22" i="7"/>
  <c r="M213" i="5"/>
  <c r="M207" i="5"/>
  <c r="M205" i="5"/>
  <c r="M199" i="5"/>
  <c r="M193" i="5"/>
  <c r="M192" i="5"/>
  <c r="M128" i="5"/>
  <c r="M66" i="5"/>
  <c r="M63" i="5"/>
  <c r="M39" i="5"/>
  <c r="M25" i="5"/>
  <c r="K23" i="4"/>
  <c r="M23" i="4" s="1"/>
  <c r="N23" i="4" s="1"/>
  <c r="H22" i="7"/>
  <c r="N213" i="5"/>
  <c r="N207" i="5"/>
  <c r="N205" i="5"/>
  <c r="N199" i="5"/>
  <c r="N193" i="5"/>
  <c r="N192" i="5"/>
  <c r="N128" i="5"/>
  <c r="N66" i="5"/>
  <c r="N63" i="5"/>
  <c r="N39" i="5"/>
  <c r="N25" i="5"/>
  <c r="I22" i="7"/>
  <c r="P213" i="5"/>
  <c r="P207" i="5"/>
  <c r="P205" i="5"/>
  <c r="P199" i="5"/>
  <c r="P193" i="5"/>
  <c r="P192" i="5"/>
  <c r="P128" i="5"/>
  <c r="P66" i="5"/>
  <c r="P63" i="5"/>
  <c r="P39" i="5"/>
  <c r="P25" i="5"/>
  <c r="L23" i="4"/>
  <c r="G23" i="7"/>
  <c r="M267" i="5"/>
  <c r="M266" i="5"/>
  <c r="M265" i="5"/>
  <c r="M264" i="5"/>
  <c r="M263" i="5"/>
  <c r="M262" i="5"/>
  <c r="M261" i="5"/>
  <c r="M259" i="5"/>
  <c r="M237" i="5"/>
  <c r="M229" i="5"/>
  <c r="M173" i="5"/>
  <c r="M172" i="5"/>
  <c r="M171" i="5"/>
  <c r="M169" i="5"/>
  <c r="M168" i="5"/>
  <c r="M26" i="5"/>
  <c r="K24" i="4"/>
  <c r="M24" i="4" s="1"/>
  <c r="N24" i="4" s="1"/>
  <c r="H23" i="7"/>
  <c r="N267" i="5"/>
  <c r="N266" i="5"/>
  <c r="N265" i="5"/>
  <c r="N264" i="5"/>
  <c r="N263" i="5"/>
  <c r="N262" i="5"/>
  <c r="N261" i="5"/>
  <c r="N259" i="5"/>
  <c r="N237" i="5"/>
  <c r="N229" i="5"/>
  <c r="N173" i="5"/>
  <c r="N172" i="5"/>
  <c r="N171" i="5"/>
  <c r="N169" i="5"/>
  <c r="N168" i="5"/>
  <c r="N26" i="5"/>
  <c r="I23" i="7"/>
  <c r="P267" i="5"/>
  <c r="P266" i="5"/>
  <c r="P265" i="5"/>
  <c r="P264" i="5"/>
  <c r="P263" i="5"/>
  <c r="P262" i="5"/>
  <c r="P261" i="5"/>
  <c r="P259" i="5"/>
  <c r="P237" i="5"/>
  <c r="P229" i="5"/>
  <c r="P173" i="5"/>
  <c r="P172" i="5"/>
  <c r="P171" i="5"/>
  <c r="P169" i="5"/>
  <c r="P168" i="5"/>
  <c r="P26" i="5"/>
  <c r="L24" i="4"/>
  <c r="G24" i="7"/>
  <c r="M101" i="5"/>
  <c r="K25" i="4"/>
  <c r="M25" i="4" s="1"/>
  <c r="N25" i="4" s="1"/>
  <c r="H24" i="7"/>
  <c r="N101" i="5"/>
  <c r="I24" i="7"/>
  <c r="P101" i="5"/>
  <c r="L25" i="4"/>
  <c r="G25" i="7"/>
  <c r="M269" i="5"/>
  <c r="M247" i="5"/>
  <c r="M180" i="5"/>
  <c r="M154" i="5"/>
  <c r="M131" i="5"/>
  <c r="M124" i="5"/>
  <c r="M117" i="5"/>
  <c r="M48" i="5"/>
  <c r="K26" i="4"/>
  <c r="M26" i="4" s="1"/>
  <c r="N26" i="4" s="1"/>
  <c r="H25" i="7"/>
  <c r="N269" i="5"/>
  <c r="N247" i="5"/>
  <c r="N180" i="5"/>
  <c r="N154" i="5"/>
  <c r="N131" i="5"/>
  <c r="N124" i="5"/>
  <c r="N117" i="5"/>
  <c r="N48" i="5"/>
  <c r="I25" i="7"/>
  <c r="P269" i="5"/>
  <c r="P247" i="5"/>
  <c r="P180" i="5"/>
  <c r="P154" i="5"/>
  <c r="P131" i="5"/>
  <c r="P124" i="5"/>
  <c r="P117" i="5"/>
  <c r="P48" i="5"/>
  <c r="L26" i="4"/>
  <c r="G26" i="7"/>
  <c r="M97" i="5"/>
  <c r="K27" i="4"/>
  <c r="M27" i="4" s="1"/>
  <c r="N27" i="4" s="1"/>
  <c r="H26" i="7"/>
  <c r="N97" i="5"/>
  <c r="I26" i="7"/>
  <c r="P97" i="5"/>
  <c r="L27" i="4"/>
  <c r="G27" i="7"/>
  <c r="M198" i="5"/>
  <c r="M145" i="5"/>
  <c r="M114" i="5"/>
  <c r="M111" i="5"/>
  <c r="K28" i="4"/>
  <c r="M28" i="4" s="1"/>
  <c r="N28" i="4" s="1"/>
  <c r="H27" i="7"/>
  <c r="N198" i="5"/>
  <c r="N145" i="5"/>
  <c r="N114" i="5"/>
  <c r="N111" i="5"/>
  <c r="I27" i="7"/>
  <c r="P198" i="5"/>
  <c r="P145" i="5"/>
  <c r="P114" i="5"/>
  <c r="P111" i="5"/>
  <c r="L28" i="4"/>
  <c r="G28" i="7"/>
  <c r="M96" i="5"/>
  <c r="M81" i="5"/>
  <c r="M75" i="5"/>
  <c r="K29" i="4"/>
  <c r="M29" i="4" s="1"/>
  <c r="N29" i="4" s="1"/>
  <c r="H28" i="7"/>
  <c r="N96" i="5"/>
  <c r="N81" i="5"/>
  <c r="N75" i="5"/>
  <c r="I28" i="7"/>
  <c r="P96" i="5"/>
  <c r="P81" i="5"/>
  <c r="P75" i="5"/>
  <c r="L29" i="4"/>
  <c r="G29" i="7"/>
  <c r="M276" i="5"/>
  <c r="M275" i="5"/>
  <c r="M274" i="5"/>
  <c r="M273" i="5"/>
  <c r="M272" i="5"/>
  <c r="M271" i="5"/>
  <c r="M258" i="5"/>
  <c r="M257" i="5"/>
  <c r="M256" i="5"/>
  <c r="M255" i="5"/>
  <c r="M254" i="5"/>
  <c r="M253" i="5"/>
  <c r="M246" i="5"/>
  <c r="M245" i="5"/>
  <c r="M244" i="5"/>
  <c r="M243" i="5"/>
  <c r="M242" i="5"/>
  <c r="M241" i="5"/>
  <c r="M240" i="5"/>
  <c r="M187" i="5"/>
  <c r="M186" i="5"/>
  <c r="M185" i="5"/>
  <c r="M183" i="5"/>
  <c r="M182" i="5"/>
  <c r="M156" i="5"/>
  <c r="M150" i="5"/>
  <c r="M148" i="5"/>
  <c r="M133" i="5"/>
  <c r="M127" i="5"/>
  <c r="M126" i="5"/>
  <c r="M109" i="5"/>
  <c r="M44" i="5"/>
  <c r="M42" i="5"/>
  <c r="K30" i="4"/>
  <c r="M30" i="4" s="1"/>
  <c r="N30" i="4" s="1"/>
  <c r="H29" i="7"/>
  <c r="N276" i="5"/>
  <c r="N275" i="5"/>
  <c r="N274" i="5"/>
  <c r="N273" i="5"/>
  <c r="N272" i="5"/>
  <c r="N271" i="5"/>
  <c r="N258" i="5"/>
  <c r="N257" i="5"/>
  <c r="N256" i="5"/>
  <c r="N255" i="5"/>
  <c r="N254" i="5"/>
  <c r="N253" i="5"/>
  <c r="N246" i="5"/>
  <c r="N245" i="5"/>
  <c r="N244" i="5"/>
  <c r="N243" i="5"/>
  <c r="N242" i="5"/>
  <c r="N241" i="5"/>
  <c r="N240" i="5"/>
  <c r="N187" i="5"/>
  <c r="N186" i="5"/>
  <c r="N185" i="5"/>
  <c r="N183" i="5"/>
  <c r="N182" i="5"/>
  <c r="N156" i="5"/>
  <c r="N150" i="5"/>
  <c r="N148" i="5"/>
  <c r="N133" i="5"/>
  <c r="N127" i="5"/>
  <c r="N126" i="5"/>
  <c r="N109" i="5"/>
  <c r="N44" i="5"/>
  <c r="N42" i="5"/>
  <c r="I29" i="7"/>
  <c r="P276" i="5"/>
  <c r="P275" i="5"/>
  <c r="P274" i="5"/>
  <c r="P273" i="5"/>
  <c r="P272" i="5"/>
  <c r="P271" i="5"/>
  <c r="P258" i="5"/>
  <c r="P257" i="5"/>
  <c r="P256" i="5"/>
  <c r="P255" i="5"/>
  <c r="P254" i="5"/>
  <c r="P253" i="5"/>
  <c r="P246" i="5"/>
  <c r="P245" i="5"/>
  <c r="P244" i="5"/>
  <c r="P243" i="5"/>
  <c r="P242" i="5"/>
  <c r="P241" i="5"/>
  <c r="P240" i="5"/>
  <c r="P187" i="5"/>
  <c r="P186" i="5"/>
  <c r="P185" i="5"/>
  <c r="P183" i="5"/>
  <c r="P182" i="5"/>
  <c r="P156" i="5"/>
  <c r="P150" i="5"/>
  <c r="P148" i="5"/>
  <c r="P133" i="5"/>
  <c r="P127" i="5"/>
  <c r="P126" i="5"/>
  <c r="P109" i="5"/>
  <c r="P44" i="5"/>
  <c r="P42" i="5"/>
  <c r="L30" i="4"/>
  <c r="G30" i="7"/>
  <c r="M45" i="5"/>
  <c r="M43" i="5"/>
  <c r="K31" i="4"/>
  <c r="M31" i="4" s="1"/>
  <c r="H30" i="7"/>
  <c r="N45" i="5"/>
  <c r="N43" i="5"/>
  <c r="G31" i="7"/>
  <c r="M86" i="5"/>
  <c r="M77" i="5"/>
  <c r="K32" i="4"/>
  <c r="M32" i="4" s="1"/>
  <c r="N32" i="4" s="1"/>
  <c r="H31" i="7"/>
  <c r="N86" i="5"/>
  <c r="N77" i="5"/>
  <c r="I31" i="7"/>
  <c r="P86" i="5"/>
  <c r="P77" i="5"/>
  <c r="L32" i="4"/>
  <c r="G32" i="7"/>
  <c r="M217" i="5"/>
  <c r="M166" i="5"/>
  <c r="M122" i="5"/>
  <c r="M108" i="5"/>
  <c r="M20" i="5"/>
  <c r="K33" i="4"/>
  <c r="M33" i="4" s="1"/>
  <c r="N33" i="4" s="1"/>
  <c r="H32" i="7"/>
  <c r="N217" i="5"/>
  <c r="N166" i="5"/>
  <c r="N122" i="5"/>
  <c r="N108" i="5"/>
  <c r="N20" i="5"/>
  <c r="I32" i="7"/>
  <c r="P217" i="5"/>
  <c r="P166" i="5"/>
  <c r="P122" i="5"/>
  <c r="P108" i="5"/>
  <c r="P20" i="5"/>
  <c r="L33" i="4"/>
  <c r="G33" i="7"/>
  <c r="M94" i="5"/>
  <c r="M92" i="5"/>
  <c r="M87" i="5"/>
  <c r="K34" i="4"/>
  <c r="M34" i="4" s="1"/>
  <c r="N34" i="4" s="1"/>
  <c r="H33" i="7"/>
  <c r="N94" i="5"/>
  <c r="N92" i="5"/>
  <c r="N87" i="5"/>
  <c r="I33" i="7"/>
  <c r="P94" i="5"/>
  <c r="P92" i="5"/>
  <c r="P87" i="5"/>
  <c r="L34" i="4"/>
  <c r="G34" i="7"/>
  <c r="M248" i="5"/>
  <c r="M218" i="5"/>
  <c r="M203" i="5"/>
  <c r="M201" i="5"/>
  <c r="M200" i="5"/>
  <c r="M194" i="5"/>
  <c r="M191" i="5"/>
  <c r="M188" i="5"/>
  <c r="M153" i="5"/>
  <c r="M151" i="5"/>
  <c r="M147" i="5"/>
  <c r="M139" i="5"/>
  <c r="M134" i="5"/>
  <c r="M129" i="5"/>
  <c r="M123" i="5"/>
  <c r="M115" i="5"/>
  <c r="M46" i="5"/>
  <c r="M40" i="5"/>
  <c r="M24" i="5"/>
  <c r="M19" i="5"/>
  <c r="M18" i="5"/>
  <c r="K35" i="4"/>
  <c r="M35" i="4" s="1"/>
  <c r="N35" i="4" s="1"/>
  <c r="H34" i="7"/>
  <c r="N248" i="5"/>
  <c r="N218" i="5"/>
  <c r="N203" i="5"/>
  <c r="N201" i="5"/>
  <c r="N200" i="5"/>
  <c r="N194" i="5"/>
  <c r="N191" i="5"/>
  <c r="N188" i="5"/>
  <c r="N153" i="5"/>
  <c r="N151" i="5"/>
  <c r="N147" i="5"/>
  <c r="N139" i="5"/>
  <c r="N134" i="5"/>
  <c r="N129" i="5"/>
  <c r="N123" i="5"/>
  <c r="N115" i="5"/>
  <c r="N46" i="5"/>
  <c r="N40" i="5"/>
  <c r="N24" i="5"/>
  <c r="N19" i="5"/>
  <c r="N18" i="5"/>
  <c r="I34" i="7"/>
  <c r="P248" i="5"/>
  <c r="P218" i="5"/>
  <c r="P203" i="5"/>
  <c r="P201" i="5"/>
  <c r="P200" i="5"/>
  <c r="P194" i="5"/>
  <c r="P191" i="5"/>
  <c r="P188" i="5"/>
  <c r="P153" i="5"/>
  <c r="P151" i="5"/>
  <c r="P147" i="5"/>
  <c r="P139" i="5"/>
  <c r="P134" i="5"/>
  <c r="P129" i="5"/>
  <c r="P123" i="5"/>
  <c r="P115" i="5"/>
  <c r="P46" i="5"/>
  <c r="P40" i="5"/>
  <c r="P24" i="5"/>
  <c r="P19" i="5"/>
  <c r="P18" i="5"/>
  <c r="L35" i="4"/>
  <c r="G35" i="7"/>
  <c r="M85" i="5"/>
  <c r="M76" i="5"/>
  <c r="M72" i="5"/>
  <c r="K36" i="4"/>
  <c r="M36" i="4" s="1"/>
  <c r="N36" i="4" s="1"/>
  <c r="H35" i="7"/>
  <c r="N85" i="5"/>
  <c r="N76" i="5"/>
  <c r="N72" i="5"/>
  <c r="I35" i="7"/>
  <c r="P85" i="5"/>
  <c r="P76" i="5"/>
  <c r="P72" i="5"/>
  <c r="L36" i="4"/>
  <c r="G36" i="7"/>
  <c r="M277" i="5"/>
  <c r="M270" i="5"/>
  <c r="M268" i="5"/>
  <c r="M260" i="5"/>
  <c r="M184" i="5"/>
  <c r="M179" i="5"/>
  <c r="M178" i="5"/>
  <c r="M177" i="5"/>
  <c r="M121" i="5"/>
  <c r="M107" i="5"/>
  <c r="M106" i="5"/>
  <c r="K37" i="4"/>
  <c r="M37" i="4" s="1"/>
  <c r="N37" i="4" s="1"/>
  <c r="H36" i="7"/>
  <c r="N277" i="5"/>
  <c r="N270" i="5"/>
  <c r="N268" i="5"/>
  <c r="N260" i="5"/>
  <c r="N184" i="5"/>
  <c r="N179" i="5"/>
  <c r="N178" i="5"/>
  <c r="N177" i="5"/>
  <c r="N121" i="5"/>
  <c r="N107" i="5"/>
  <c r="N106" i="5"/>
  <c r="I36" i="7"/>
  <c r="P277" i="5"/>
  <c r="P270" i="5"/>
  <c r="P268" i="5"/>
  <c r="P260" i="5"/>
  <c r="P184" i="5"/>
  <c r="P179" i="5"/>
  <c r="P178" i="5"/>
  <c r="P177" i="5"/>
  <c r="P121" i="5"/>
  <c r="P107" i="5"/>
  <c r="P106" i="5"/>
  <c r="L37" i="4"/>
  <c r="G37" i="7"/>
  <c r="M91" i="5"/>
  <c r="M73" i="5"/>
  <c r="K38" i="4"/>
  <c r="M38" i="4" s="1"/>
  <c r="N38" i="4" s="1"/>
  <c r="H37" i="7"/>
  <c r="N91" i="5"/>
  <c r="N73" i="5"/>
  <c r="I37" i="7"/>
  <c r="P91" i="5"/>
  <c r="P73" i="5"/>
  <c r="L38" i="4"/>
  <c r="G38" i="7"/>
  <c r="M216" i="5"/>
  <c r="M214" i="5"/>
  <c r="M212" i="5"/>
  <c r="M210" i="5"/>
  <c r="M208" i="5"/>
  <c r="M206" i="5"/>
  <c r="M204" i="5"/>
  <c r="M202" i="5"/>
  <c r="M189" i="5"/>
  <c r="M181" i="5"/>
  <c r="M140" i="5"/>
  <c r="M102" i="5"/>
  <c r="M100" i="5"/>
  <c r="M98" i="5"/>
  <c r="M95" i="5"/>
  <c r="M47" i="5"/>
  <c r="M41" i="5"/>
  <c r="K39" i="4"/>
  <c r="M39" i="4" s="1"/>
  <c r="H38" i="7"/>
  <c r="N216" i="5"/>
  <c r="N214" i="5"/>
  <c r="N212" i="5"/>
  <c r="N210" i="5"/>
  <c r="N208" i="5"/>
  <c r="N206" i="5"/>
  <c r="N204" i="5"/>
  <c r="N202" i="5"/>
  <c r="N189" i="5"/>
  <c r="N181" i="5"/>
  <c r="N140" i="5"/>
  <c r="N102" i="5"/>
  <c r="N100" i="5"/>
  <c r="N98" i="5"/>
  <c r="N95" i="5"/>
  <c r="N47" i="5"/>
  <c r="N41" i="5"/>
  <c r="G39" i="7"/>
  <c r="M137" i="5"/>
  <c r="M135" i="5"/>
  <c r="M132" i="5"/>
  <c r="M130" i="5"/>
  <c r="K40" i="4"/>
  <c r="M40" i="4" s="1"/>
  <c r="H39" i="7"/>
  <c r="N137" i="5"/>
  <c r="N135" i="5"/>
  <c r="N132" i="5"/>
  <c r="N130" i="5"/>
  <c r="Q5" i="5"/>
  <c r="Q6" i="5"/>
  <c r="Q7" i="5"/>
  <c r="Q8" i="5"/>
  <c r="Q9" i="5"/>
  <c r="Q10" i="5"/>
  <c r="Q11" i="5"/>
  <c r="Q12" i="5"/>
  <c r="Q13" i="5"/>
  <c r="Q14" i="5"/>
  <c r="Q15" i="5"/>
  <c r="Q16" i="5"/>
  <c r="Q21" i="5"/>
  <c r="Q22" i="5"/>
  <c r="Q23" i="5"/>
  <c r="Q27" i="5"/>
  <c r="Q28" i="5"/>
  <c r="Q29" i="5"/>
  <c r="Q30" i="5"/>
  <c r="Q31" i="5"/>
  <c r="Q32" i="5"/>
  <c r="Q37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4" i="5"/>
  <c r="Q65" i="5"/>
  <c r="R68" i="5"/>
  <c r="R158" i="5"/>
  <c r="R161" i="5"/>
  <c r="R163" i="5"/>
  <c r="R5" i="6"/>
  <c r="R6" i="6" s="1"/>
  <c r="H17" i="8"/>
  <c r="J17" i="8" s="1"/>
  <c r="O17" i="8" s="1"/>
  <c r="O18" i="8" s="1"/>
  <c r="T65" i="5" l="1"/>
  <c r="R65" i="5"/>
  <c r="T64" i="5"/>
  <c r="R64" i="5"/>
  <c r="T62" i="5"/>
  <c r="R62" i="5"/>
  <c r="T61" i="5"/>
  <c r="R61" i="5"/>
  <c r="T60" i="5"/>
  <c r="R60" i="5"/>
  <c r="T59" i="5"/>
  <c r="R59" i="5"/>
  <c r="T58" i="5"/>
  <c r="R58" i="5"/>
  <c r="T57" i="5"/>
  <c r="R57" i="5"/>
  <c r="T56" i="5"/>
  <c r="R56" i="5"/>
  <c r="T55" i="5"/>
  <c r="R55" i="5"/>
  <c r="T54" i="5"/>
  <c r="R54" i="5"/>
  <c r="T53" i="5"/>
  <c r="R53" i="5"/>
  <c r="T52" i="5"/>
  <c r="R52" i="5"/>
  <c r="T51" i="5"/>
  <c r="R51" i="5"/>
  <c r="T50" i="5"/>
  <c r="R50" i="5"/>
  <c r="T49" i="5"/>
  <c r="R49" i="5"/>
  <c r="T37" i="5"/>
  <c r="R37" i="5"/>
  <c r="T32" i="5"/>
  <c r="R32" i="5"/>
  <c r="T31" i="5"/>
  <c r="R31" i="5"/>
  <c r="T30" i="5"/>
  <c r="R30" i="5"/>
  <c r="T29" i="5"/>
  <c r="R29" i="5"/>
  <c r="T28" i="5"/>
  <c r="R28" i="5"/>
  <c r="T27" i="5"/>
  <c r="R27" i="5"/>
  <c r="T23" i="5"/>
  <c r="R23" i="5"/>
  <c r="T22" i="5"/>
  <c r="R22" i="5"/>
  <c r="T21" i="5"/>
  <c r="R21" i="5"/>
  <c r="T16" i="5"/>
  <c r="R16" i="5"/>
  <c r="T15" i="5"/>
  <c r="R15" i="5"/>
  <c r="T14" i="5"/>
  <c r="R14" i="5"/>
  <c r="T13" i="5"/>
  <c r="R13" i="5"/>
  <c r="T12" i="5"/>
  <c r="R12" i="5"/>
  <c r="T11" i="5"/>
  <c r="R11" i="5"/>
  <c r="T10" i="5"/>
  <c r="R10" i="5"/>
  <c r="T9" i="5"/>
  <c r="R9" i="5"/>
  <c r="T8" i="5"/>
  <c r="R8" i="5"/>
  <c r="T7" i="5"/>
  <c r="R7" i="5"/>
  <c r="T6" i="5"/>
  <c r="R6" i="5"/>
  <c r="Q69" i="5"/>
  <c r="T5" i="5"/>
  <c r="R5" i="5"/>
  <c r="R69" i="5" s="1"/>
  <c r="Q130" i="5"/>
  <c r="Q132" i="5"/>
  <c r="Q135" i="5"/>
  <c r="Q137" i="5"/>
  <c r="Q41" i="5"/>
  <c r="Q47" i="5"/>
  <c r="Q95" i="5"/>
  <c r="Q98" i="5"/>
  <c r="Q100" i="5"/>
  <c r="Q102" i="5"/>
  <c r="Q140" i="5"/>
  <c r="Q181" i="5"/>
  <c r="Q189" i="5"/>
  <c r="Q202" i="5"/>
  <c r="Q204" i="5"/>
  <c r="Q206" i="5"/>
  <c r="Q208" i="5"/>
  <c r="Q210" i="5"/>
  <c r="Q212" i="5"/>
  <c r="Q214" i="5"/>
  <c r="Q216" i="5"/>
  <c r="Q73" i="5"/>
  <c r="Q91" i="5"/>
  <c r="Q106" i="5"/>
  <c r="Q107" i="5"/>
  <c r="Q121" i="5"/>
  <c r="Q177" i="5"/>
  <c r="Q178" i="5"/>
  <c r="Q179" i="5"/>
  <c r="Q184" i="5"/>
  <c r="Q260" i="5"/>
  <c r="Q268" i="5"/>
  <c r="Q270" i="5"/>
  <c r="Q277" i="5"/>
  <c r="Q72" i="5"/>
  <c r="Q76" i="5"/>
  <c r="Q85" i="5"/>
  <c r="Q18" i="5"/>
  <c r="Q19" i="5"/>
  <c r="Q24" i="5"/>
  <c r="Q40" i="5"/>
  <c r="Q46" i="5"/>
  <c r="Q115" i="5"/>
  <c r="Q123" i="5"/>
  <c r="Q129" i="5"/>
  <c r="Q134" i="5"/>
  <c r="Q139" i="5"/>
  <c r="Q147" i="5"/>
  <c r="Q151" i="5"/>
  <c r="Q153" i="5"/>
  <c r="Q188" i="5"/>
  <c r="Q191" i="5"/>
  <c r="Q194" i="5"/>
  <c r="Q200" i="5"/>
  <c r="Q201" i="5"/>
  <c r="Q203" i="5"/>
  <c r="Q218" i="5"/>
  <c r="Q248" i="5"/>
  <c r="Q87" i="5"/>
  <c r="Q92" i="5"/>
  <c r="Q94" i="5"/>
  <c r="Q20" i="5"/>
  <c r="Q108" i="5"/>
  <c r="Q122" i="5"/>
  <c r="Q166" i="5"/>
  <c r="Q217" i="5"/>
  <c r="Q77" i="5"/>
  <c r="Q86" i="5"/>
  <c r="Q43" i="5"/>
  <c r="Q45" i="5"/>
  <c r="Q42" i="5"/>
  <c r="Q44" i="5"/>
  <c r="Q109" i="5"/>
  <c r="Q126" i="5"/>
  <c r="Q127" i="5"/>
  <c r="Q133" i="5"/>
  <c r="Q148" i="5"/>
  <c r="Q150" i="5"/>
  <c r="Q156" i="5"/>
  <c r="Q182" i="5"/>
  <c r="Q183" i="5"/>
  <c r="Q185" i="5"/>
  <c r="Q186" i="5"/>
  <c r="Q187" i="5"/>
  <c r="Q240" i="5"/>
  <c r="Q241" i="5"/>
  <c r="Q242" i="5"/>
  <c r="Q243" i="5"/>
  <c r="Q244" i="5"/>
  <c r="Q245" i="5"/>
  <c r="Q246" i="5"/>
  <c r="Q253" i="5"/>
  <c r="Q254" i="5"/>
  <c r="Q255" i="5"/>
  <c r="Q256" i="5"/>
  <c r="Q257" i="5"/>
  <c r="Q258" i="5"/>
  <c r="Q271" i="5"/>
  <c r="Q272" i="5"/>
  <c r="Q273" i="5"/>
  <c r="Q274" i="5"/>
  <c r="Q275" i="5"/>
  <c r="Q276" i="5"/>
  <c r="Q75" i="5"/>
  <c r="Q81" i="5"/>
  <c r="Q96" i="5"/>
  <c r="Q111" i="5"/>
  <c r="Q114" i="5"/>
  <c r="Q145" i="5"/>
  <c r="Q198" i="5"/>
  <c r="Q97" i="5"/>
  <c r="Q48" i="5"/>
  <c r="Q117" i="5"/>
  <c r="Q124" i="5"/>
  <c r="Q131" i="5"/>
  <c r="Q154" i="5"/>
  <c r="Q180" i="5"/>
  <c r="Q247" i="5"/>
  <c r="Q269" i="5"/>
  <c r="Q101" i="5"/>
  <c r="Q26" i="5"/>
  <c r="Q168" i="5"/>
  <c r="Q169" i="5"/>
  <c r="Q171" i="5"/>
  <c r="Q172" i="5"/>
  <c r="Q173" i="5"/>
  <c r="Q229" i="5"/>
  <c r="Q237" i="5"/>
  <c r="Q259" i="5"/>
  <c r="Q261" i="5"/>
  <c r="Q262" i="5"/>
  <c r="Q263" i="5"/>
  <c r="Q264" i="5"/>
  <c r="Q265" i="5"/>
  <c r="Q266" i="5"/>
  <c r="Q267" i="5"/>
  <c r="Q25" i="5"/>
  <c r="Q39" i="5"/>
  <c r="Q63" i="5"/>
  <c r="Q66" i="5"/>
  <c r="Q128" i="5"/>
  <c r="Q192" i="5"/>
  <c r="Q193" i="5"/>
  <c r="Q199" i="5"/>
  <c r="Q205" i="5"/>
  <c r="Q207" i="5"/>
  <c r="Q213" i="5"/>
  <c r="Q116" i="5"/>
  <c r="Q136" i="5"/>
  <c r="Q149" i="5"/>
  <c r="Q152" i="5"/>
  <c r="Q83" i="5"/>
  <c r="Q165" i="5"/>
  <c r="Q17" i="5"/>
  <c r="Q33" i="5"/>
  <c r="Q105" i="5"/>
  <c r="Q190" i="5"/>
  <c r="Q34" i="5"/>
  <c r="Q155" i="5"/>
  <c r="Q71" i="5"/>
  <c r="Q78" i="5"/>
  <c r="Q110" i="5"/>
  <c r="Q79" i="5"/>
  <c r="Q80" i="5"/>
  <c r="Q82" i="5"/>
  <c r="Q84" i="5"/>
  <c r="Q112" i="5"/>
  <c r="Q99" i="5"/>
  <c r="Q36" i="5"/>
  <c r="Q38" i="5"/>
  <c r="Q67" i="5"/>
  <c r="Q138" i="5"/>
  <c r="Q167" i="5"/>
  <c r="Q170" i="5"/>
  <c r="Q174" i="5"/>
  <c r="Q175" i="5"/>
  <c r="Q176" i="5"/>
  <c r="Q219" i="5"/>
  <c r="Q220" i="5"/>
  <c r="Q221" i="5"/>
  <c r="Q222" i="5"/>
  <c r="Q223" i="5"/>
  <c r="Q224" i="5"/>
  <c r="Q225" i="5"/>
  <c r="Q226" i="5"/>
  <c r="Q227" i="5"/>
  <c r="Q228" i="5"/>
  <c r="Q230" i="5"/>
  <c r="Q231" i="5"/>
  <c r="Q232" i="5"/>
  <c r="Q233" i="5"/>
  <c r="Q234" i="5"/>
  <c r="Q235" i="5"/>
  <c r="Q236" i="5"/>
  <c r="Q238" i="5"/>
  <c r="Q239" i="5"/>
  <c r="Q249" i="5"/>
  <c r="Q250" i="5"/>
  <c r="Q251" i="5"/>
  <c r="Q252" i="5"/>
  <c r="Q74" i="5"/>
  <c r="Q88" i="5"/>
  <c r="Q89" i="5"/>
  <c r="Q90" i="5"/>
  <c r="Q93" i="5"/>
  <c r="Q35" i="5"/>
  <c r="Q143" i="5"/>
  <c r="Q144" i="5"/>
  <c r="Q146" i="5"/>
  <c r="Q195" i="5"/>
  <c r="Q196" i="5"/>
  <c r="Q197" i="5"/>
  <c r="Q209" i="5"/>
  <c r="Q211" i="5"/>
  <c r="Q215" i="5"/>
  <c r="Q157" i="5"/>
  <c r="K46" i="4"/>
  <c r="M6" i="4"/>
  <c r="Q113" i="5"/>
  <c r="Q118" i="5"/>
  <c r="Q119" i="5"/>
  <c r="Q120" i="5"/>
  <c r="Q125" i="5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L36" i="13"/>
  <c r="M36" i="13" s="1"/>
  <c r="M32" i="13"/>
  <c r="L44" i="13"/>
  <c r="M44" i="13" s="1"/>
  <c r="M39" i="13"/>
  <c r="L23" i="13"/>
  <c r="M23" i="13" s="1"/>
  <c r="M19" i="13"/>
  <c r="L29" i="13"/>
  <c r="M29" i="13" s="1"/>
  <c r="M26" i="13"/>
  <c r="K25" i="12"/>
  <c r="L6" i="12"/>
  <c r="L16" i="13"/>
  <c r="M16" i="13" s="1"/>
  <c r="M6" i="13"/>
  <c r="K13" i="10"/>
  <c r="L6" i="10"/>
  <c r="K53" i="4"/>
  <c r="M52" i="4"/>
  <c r="Q6" i="6"/>
  <c r="T5" i="6"/>
  <c r="G17" i="8"/>
  <c r="K17" i="8" s="1"/>
  <c r="P17" i="8" s="1"/>
  <c r="P18" i="8" s="1"/>
  <c r="T6" i="6" l="1"/>
  <c r="P6" i="6" s="1"/>
  <c r="M53" i="4"/>
  <c r="J55" i="4" s="1"/>
  <c r="F17" i="8" s="1"/>
  <c r="M17" i="8" s="1"/>
  <c r="K15" i="10"/>
  <c r="L13" i="10"/>
  <c r="K27" i="12"/>
  <c r="L25" i="12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T125" i="5"/>
  <c r="U125" i="5" s="1"/>
  <c r="S125" i="5"/>
  <c r="R125" i="5"/>
  <c r="T120" i="5"/>
  <c r="U120" i="5" s="1"/>
  <c r="S120" i="5"/>
  <c r="R120" i="5"/>
  <c r="T119" i="5"/>
  <c r="U119" i="5" s="1"/>
  <c r="S119" i="5"/>
  <c r="R119" i="5"/>
  <c r="T118" i="5"/>
  <c r="U118" i="5" s="1"/>
  <c r="S118" i="5"/>
  <c r="R118" i="5"/>
  <c r="T113" i="5"/>
  <c r="U113" i="5" s="1"/>
  <c r="S113" i="5"/>
  <c r="R113" i="5"/>
  <c r="M46" i="4"/>
  <c r="N6" i="4"/>
  <c r="T157" i="5"/>
  <c r="U157" i="5" s="1"/>
  <c r="S157" i="5"/>
  <c r="R157" i="5"/>
  <c r="T215" i="5"/>
  <c r="U215" i="5" s="1"/>
  <c r="S215" i="5"/>
  <c r="R215" i="5"/>
  <c r="T211" i="5"/>
  <c r="U211" i="5" s="1"/>
  <c r="S211" i="5"/>
  <c r="R211" i="5"/>
  <c r="T209" i="5"/>
  <c r="U209" i="5" s="1"/>
  <c r="S209" i="5"/>
  <c r="R209" i="5"/>
  <c r="T197" i="5"/>
  <c r="U197" i="5" s="1"/>
  <c r="S197" i="5"/>
  <c r="R197" i="5"/>
  <c r="T196" i="5"/>
  <c r="U196" i="5" s="1"/>
  <c r="S196" i="5"/>
  <c r="R196" i="5"/>
  <c r="T195" i="5"/>
  <c r="U195" i="5" s="1"/>
  <c r="S195" i="5"/>
  <c r="R195" i="5"/>
  <c r="T146" i="5"/>
  <c r="U146" i="5" s="1"/>
  <c r="S146" i="5"/>
  <c r="R146" i="5"/>
  <c r="T144" i="5"/>
  <c r="U144" i="5" s="1"/>
  <c r="S144" i="5"/>
  <c r="R144" i="5"/>
  <c r="Q159" i="5"/>
  <c r="T143" i="5"/>
  <c r="S143" i="5"/>
  <c r="S159" i="5" s="1"/>
  <c r="R143" i="5"/>
  <c r="R159" i="5" s="1"/>
  <c r="T35" i="5"/>
  <c r="U35" i="5" s="1"/>
  <c r="S35" i="5"/>
  <c r="R35" i="5"/>
  <c r="T93" i="5"/>
  <c r="U93" i="5" s="1"/>
  <c r="S93" i="5"/>
  <c r="R93" i="5"/>
  <c r="T90" i="5"/>
  <c r="U90" i="5" s="1"/>
  <c r="S90" i="5"/>
  <c r="R90" i="5"/>
  <c r="T89" i="5"/>
  <c r="U89" i="5" s="1"/>
  <c r="S89" i="5"/>
  <c r="R89" i="5"/>
  <c r="T88" i="5"/>
  <c r="U88" i="5" s="1"/>
  <c r="S88" i="5"/>
  <c r="R88" i="5"/>
  <c r="T74" i="5"/>
  <c r="U74" i="5" s="1"/>
  <c r="S74" i="5"/>
  <c r="R74" i="5"/>
  <c r="T252" i="5"/>
  <c r="U252" i="5" s="1"/>
  <c r="S252" i="5"/>
  <c r="R252" i="5"/>
  <c r="T251" i="5"/>
  <c r="U251" i="5" s="1"/>
  <c r="S251" i="5"/>
  <c r="R251" i="5"/>
  <c r="T250" i="5"/>
  <c r="U250" i="5" s="1"/>
  <c r="S250" i="5"/>
  <c r="R250" i="5"/>
  <c r="T249" i="5"/>
  <c r="U249" i="5" s="1"/>
  <c r="S249" i="5"/>
  <c r="R249" i="5"/>
  <c r="T239" i="5"/>
  <c r="U239" i="5" s="1"/>
  <c r="S239" i="5"/>
  <c r="R239" i="5"/>
  <c r="T238" i="5"/>
  <c r="U238" i="5" s="1"/>
  <c r="S238" i="5"/>
  <c r="R238" i="5"/>
  <c r="T236" i="5"/>
  <c r="U236" i="5" s="1"/>
  <c r="S236" i="5"/>
  <c r="R236" i="5"/>
  <c r="T235" i="5"/>
  <c r="U235" i="5" s="1"/>
  <c r="S235" i="5"/>
  <c r="R235" i="5"/>
  <c r="T234" i="5"/>
  <c r="U234" i="5" s="1"/>
  <c r="S234" i="5"/>
  <c r="R234" i="5"/>
  <c r="T233" i="5"/>
  <c r="U233" i="5" s="1"/>
  <c r="S233" i="5"/>
  <c r="R233" i="5"/>
  <c r="T232" i="5"/>
  <c r="U232" i="5" s="1"/>
  <c r="S232" i="5"/>
  <c r="R232" i="5"/>
  <c r="T231" i="5"/>
  <c r="U231" i="5" s="1"/>
  <c r="S231" i="5"/>
  <c r="R231" i="5"/>
  <c r="T230" i="5"/>
  <c r="U230" i="5" s="1"/>
  <c r="S230" i="5"/>
  <c r="R230" i="5"/>
  <c r="T228" i="5"/>
  <c r="U228" i="5" s="1"/>
  <c r="S228" i="5"/>
  <c r="R228" i="5"/>
  <c r="T227" i="5"/>
  <c r="U227" i="5" s="1"/>
  <c r="S227" i="5"/>
  <c r="R227" i="5"/>
  <c r="T226" i="5"/>
  <c r="U226" i="5" s="1"/>
  <c r="S226" i="5"/>
  <c r="R226" i="5"/>
  <c r="T225" i="5"/>
  <c r="U225" i="5" s="1"/>
  <c r="S225" i="5"/>
  <c r="R225" i="5"/>
  <c r="T224" i="5"/>
  <c r="U224" i="5" s="1"/>
  <c r="S224" i="5"/>
  <c r="R224" i="5"/>
  <c r="T223" i="5"/>
  <c r="U223" i="5" s="1"/>
  <c r="S223" i="5"/>
  <c r="R223" i="5"/>
  <c r="T222" i="5"/>
  <c r="U222" i="5" s="1"/>
  <c r="S222" i="5"/>
  <c r="R222" i="5"/>
  <c r="T221" i="5"/>
  <c r="U221" i="5" s="1"/>
  <c r="S221" i="5"/>
  <c r="R221" i="5"/>
  <c r="T220" i="5"/>
  <c r="U220" i="5" s="1"/>
  <c r="S220" i="5"/>
  <c r="R220" i="5"/>
  <c r="T219" i="5"/>
  <c r="U219" i="5" s="1"/>
  <c r="S219" i="5"/>
  <c r="R219" i="5"/>
  <c r="T176" i="5"/>
  <c r="U176" i="5" s="1"/>
  <c r="S176" i="5"/>
  <c r="R176" i="5"/>
  <c r="T175" i="5"/>
  <c r="U175" i="5" s="1"/>
  <c r="S175" i="5"/>
  <c r="R175" i="5"/>
  <c r="T174" i="5"/>
  <c r="U174" i="5" s="1"/>
  <c r="S174" i="5"/>
  <c r="R174" i="5"/>
  <c r="T170" i="5"/>
  <c r="U170" i="5" s="1"/>
  <c r="S170" i="5"/>
  <c r="R170" i="5"/>
  <c r="T167" i="5"/>
  <c r="U167" i="5" s="1"/>
  <c r="S167" i="5"/>
  <c r="R167" i="5"/>
  <c r="T138" i="5"/>
  <c r="U138" i="5" s="1"/>
  <c r="S138" i="5"/>
  <c r="R138" i="5"/>
  <c r="T67" i="5"/>
  <c r="U67" i="5" s="1"/>
  <c r="S67" i="5"/>
  <c r="R67" i="5"/>
  <c r="T38" i="5"/>
  <c r="U38" i="5" s="1"/>
  <c r="S38" i="5"/>
  <c r="R38" i="5"/>
  <c r="T36" i="5"/>
  <c r="U36" i="5" s="1"/>
  <c r="S36" i="5"/>
  <c r="R36" i="5"/>
  <c r="T99" i="5"/>
  <c r="U99" i="5" s="1"/>
  <c r="S99" i="5"/>
  <c r="R99" i="5"/>
  <c r="T112" i="5"/>
  <c r="U112" i="5" s="1"/>
  <c r="S112" i="5"/>
  <c r="R112" i="5"/>
  <c r="T84" i="5"/>
  <c r="U84" i="5" s="1"/>
  <c r="S84" i="5"/>
  <c r="R84" i="5"/>
  <c r="T82" i="5"/>
  <c r="U82" i="5" s="1"/>
  <c r="S82" i="5"/>
  <c r="R82" i="5"/>
  <c r="T80" i="5"/>
  <c r="U80" i="5" s="1"/>
  <c r="S80" i="5"/>
  <c r="R80" i="5"/>
  <c r="T79" i="5"/>
  <c r="U79" i="5" s="1"/>
  <c r="S79" i="5"/>
  <c r="R79" i="5"/>
  <c r="T110" i="5"/>
  <c r="U110" i="5" s="1"/>
  <c r="S110" i="5"/>
  <c r="R110" i="5"/>
  <c r="T78" i="5"/>
  <c r="U78" i="5" s="1"/>
  <c r="S78" i="5"/>
  <c r="R78" i="5"/>
  <c r="Q103" i="5"/>
  <c r="T71" i="5"/>
  <c r="S71" i="5"/>
  <c r="S103" i="5" s="1"/>
  <c r="R71" i="5"/>
  <c r="R103" i="5" s="1"/>
  <c r="T155" i="5"/>
  <c r="U155" i="5" s="1"/>
  <c r="S155" i="5"/>
  <c r="R155" i="5"/>
  <c r="T34" i="5"/>
  <c r="U34" i="5" s="1"/>
  <c r="S34" i="5"/>
  <c r="R34" i="5"/>
  <c r="T190" i="5"/>
  <c r="U190" i="5" s="1"/>
  <c r="S190" i="5"/>
  <c r="R190" i="5"/>
  <c r="Q141" i="5"/>
  <c r="T105" i="5"/>
  <c r="S105" i="5"/>
  <c r="S141" i="5" s="1"/>
  <c r="R105" i="5"/>
  <c r="R141" i="5" s="1"/>
  <c r="T33" i="5"/>
  <c r="U33" i="5" s="1"/>
  <c r="S33" i="5"/>
  <c r="R33" i="5"/>
  <c r="T17" i="5"/>
  <c r="U17" i="5" s="1"/>
  <c r="S17" i="5"/>
  <c r="R17" i="5"/>
  <c r="Q278" i="5"/>
  <c r="T165" i="5"/>
  <c r="S165" i="5"/>
  <c r="S278" i="5" s="1"/>
  <c r="R165" i="5"/>
  <c r="R278" i="5" s="1"/>
  <c r="T83" i="5"/>
  <c r="U83" i="5" s="1"/>
  <c r="S83" i="5"/>
  <c r="R83" i="5"/>
  <c r="T152" i="5"/>
  <c r="U152" i="5" s="1"/>
  <c r="S152" i="5"/>
  <c r="R152" i="5"/>
  <c r="T149" i="5"/>
  <c r="U149" i="5" s="1"/>
  <c r="S149" i="5"/>
  <c r="R149" i="5"/>
  <c r="T136" i="5"/>
  <c r="U136" i="5" s="1"/>
  <c r="S136" i="5"/>
  <c r="R136" i="5"/>
  <c r="T116" i="5"/>
  <c r="U116" i="5" s="1"/>
  <c r="S116" i="5"/>
  <c r="R116" i="5"/>
  <c r="T213" i="5"/>
  <c r="U213" i="5" s="1"/>
  <c r="S213" i="5"/>
  <c r="R213" i="5"/>
  <c r="T207" i="5"/>
  <c r="U207" i="5" s="1"/>
  <c r="S207" i="5"/>
  <c r="R207" i="5"/>
  <c r="T205" i="5"/>
  <c r="U205" i="5" s="1"/>
  <c r="S205" i="5"/>
  <c r="R205" i="5"/>
  <c r="T199" i="5"/>
  <c r="U199" i="5" s="1"/>
  <c r="S199" i="5"/>
  <c r="R199" i="5"/>
  <c r="T193" i="5"/>
  <c r="U193" i="5" s="1"/>
  <c r="S193" i="5"/>
  <c r="R193" i="5"/>
  <c r="T192" i="5"/>
  <c r="U192" i="5" s="1"/>
  <c r="S192" i="5"/>
  <c r="R192" i="5"/>
  <c r="T128" i="5"/>
  <c r="U128" i="5" s="1"/>
  <c r="S128" i="5"/>
  <c r="R128" i="5"/>
  <c r="T66" i="5"/>
  <c r="U66" i="5" s="1"/>
  <c r="S66" i="5"/>
  <c r="R66" i="5"/>
  <c r="T63" i="5"/>
  <c r="U63" i="5" s="1"/>
  <c r="S63" i="5"/>
  <c r="R63" i="5"/>
  <c r="T39" i="5"/>
  <c r="U39" i="5" s="1"/>
  <c r="S39" i="5"/>
  <c r="R39" i="5"/>
  <c r="T25" i="5"/>
  <c r="U25" i="5" s="1"/>
  <c r="S25" i="5"/>
  <c r="R25" i="5"/>
  <c r="T267" i="5"/>
  <c r="U267" i="5" s="1"/>
  <c r="S267" i="5"/>
  <c r="R267" i="5"/>
  <c r="T266" i="5"/>
  <c r="U266" i="5" s="1"/>
  <c r="S266" i="5"/>
  <c r="R266" i="5"/>
  <c r="T265" i="5"/>
  <c r="U265" i="5" s="1"/>
  <c r="S265" i="5"/>
  <c r="R265" i="5"/>
  <c r="T264" i="5"/>
  <c r="U264" i="5" s="1"/>
  <c r="S264" i="5"/>
  <c r="R264" i="5"/>
  <c r="T263" i="5"/>
  <c r="U263" i="5" s="1"/>
  <c r="S263" i="5"/>
  <c r="R263" i="5"/>
  <c r="T262" i="5"/>
  <c r="U262" i="5" s="1"/>
  <c r="S262" i="5"/>
  <c r="R262" i="5"/>
  <c r="T261" i="5"/>
  <c r="U261" i="5" s="1"/>
  <c r="S261" i="5"/>
  <c r="R261" i="5"/>
  <c r="T259" i="5"/>
  <c r="U259" i="5" s="1"/>
  <c r="S259" i="5"/>
  <c r="R259" i="5"/>
  <c r="T237" i="5"/>
  <c r="U237" i="5" s="1"/>
  <c r="S237" i="5"/>
  <c r="R237" i="5"/>
  <c r="T229" i="5"/>
  <c r="U229" i="5" s="1"/>
  <c r="S229" i="5"/>
  <c r="R229" i="5"/>
  <c r="T173" i="5"/>
  <c r="U173" i="5" s="1"/>
  <c r="S173" i="5"/>
  <c r="R173" i="5"/>
  <c r="T172" i="5"/>
  <c r="U172" i="5" s="1"/>
  <c r="S172" i="5"/>
  <c r="R172" i="5"/>
  <c r="T171" i="5"/>
  <c r="U171" i="5" s="1"/>
  <c r="S171" i="5"/>
  <c r="R171" i="5"/>
  <c r="T169" i="5"/>
  <c r="U169" i="5" s="1"/>
  <c r="S169" i="5"/>
  <c r="R169" i="5"/>
  <c r="T168" i="5"/>
  <c r="U168" i="5" s="1"/>
  <c r="S168" i="5"/>
  <c r="R168" i="5"/>
  <c r="T26" i="5"/>
  <c r="U26" i="5" s="1"/>
  <c r="S26" i="5"/>
  <c r="R26" i="5"/>
  <c r="T101" i="5"/>
  <c r="U101" i="5" s="1"/>
  <c r="S101" i="5"/>
  <c r="R101" i="5"/>
  <c r="T269" i="5"/>
  <c r="U269" i="5" s="1"/>
  <c r="S269" i="5"/>
  <c r="R269" i="5"/>
  <c r="T247" i="5"/>
  <c r="U247" i="5" s="1"/>
  <c r="S247" i="5"/>
  <c r="R247" i="5"/>
  <c r="T180" i="5"/>
  <c r="U180" i="5" s="1"/>
  <c r="S180" i="5"/>
  <c r="R180" i="5"/>
  <c r="T154" i="5"/>
  <c r="U154" i="5" s="1"/>
  <c r="S154" i="5"/>
  <c r="R154" i="5"/>
  <c r="T131" i="5"/>
  <c r="U131" i="5" s="1"/>
  <c r="S131" i="5"/>
  <c r="R131" i="5"/>
  <c r="T124" i="5"/>
  <c r="U124" i="5" s="1"/>
  <c r="S124" i="5"/>
  <c r="R124" i="5"/>
  <c r="T117" i="5"/>
  <c r="U117" i="5" s="1"/>
  <c r="S117" i="5"/>
  <c r="R117" i="5"/>
  <c r="T48" i="5"/>
  <c r="U48" i="5" s="1"/>
  <c r="S48" i="5"/>
  <c r="R48" i="5"/>
  <c r="T97" i="5"/>
  <c r="U97" i="5" s="1"/>
  <c r="S97" i="5"/>
  <c r="R97" i="5"/>
  <c r="T198" i="5"/>
  <c r="U198" i="5" s="1"/>
  <c r="S198" i="5"/>
  <c r="R198" i="5"/>
  <c r="T145" i="5"/>
  <c r="U145" i="5" s="1"/>
  <c r="S145" i="5"/>
  <c r="R145" i="5"/>
  <c r="T114" i="5"/>
  <c r="U114" i="5" s="1"/>
  <c r="S114" i="5"/>
  <c r="R114" i="5"/>
  <c r="T111" i="5"/>
  <c r="U111" i="5" s="1"/>
  <c r="S111" i="5"/>
  <c r="R111" i="5"/>
  <c r="T96" i="5"/>
  <c r="U96" i="5" s="1"/>
  <c r="S96" i="5"/>
  <c r="R96" i="5"/>
  <c r="T81" i="5"/>
  <c r="U81" i="5" s="1"/>
  <c r="S81" i="5"/>
  <c r="R81" i="5"/>
  <c r="T75" i="5"/>
  <c r="U75" i="5" s="1"/>
  <c r="S75" i="5"/>
  <c r="R75" i="5"/>
  <c r="T276" i="5"/>
  <c r="U276" i="5" s="1"/>
  <c r="S276" i="5"/>
  <c r="R276" i="5"/>
  <c r="T275" i="5"/>
  <c r="U275" i="5" s="1"/>
  <c r="S275" i="5"/>
  <c r="R275" i="5"/>
  <c r="T274" i="5"/>
  <c r="U274" i="5" s="1"/>
  <c r="S274" i="5"/>
  <c r="R274" i="5"/>
  <c r="T273" i="5"/>
  <c r="U273" i="5" s="1"/>
  <c r="S273" i="5"/>
  <c r="R273" i="5"/>
  <c r="T272" i="5"/>
  <c r="U272" i="5" s="1"/>
  <c r="S272" i="5"/>
  <c r="R272" i="5"/>
  <c r="T271" i="5"/>
  <c r="U271" i="5" s="1"/>
  <c r="S271" i="5"/>
  <c r="R271" i="5"/>
  <c r="T258" i="5"/>
  <c r="U258" i="5" s="1"/>
  <c r="S258" i="5"/>
  <c r="R258" i="5"/>
  <c r="T257" i="5"/>
  <c r="U257" i="5" s="1"/>
  <c r="S257" i="5"/>
  <c r="R257" i="5"/>
  <c r="T256" i="5"/>
  <c r="U256" i="5" s="1"/>
  <c r="S256" i="5"/>
  <c r="R256" i="5"/>
  <c r="T255" i="5"/>
  <c r="U255" i="5" s="1"/>
  <c r="S255" i="5"/>
  <c r="R255" i="5"/>
  <c r="T254" i="5"/>
  <c r="U254" i="5" s="1"/>
  <c r="S254" i="5"/>
  <c r="R254" i="5"/>
  <c r="T253" i="5"/>
  <c r="U253" i="5" s="1"/>
  <c r="S253" i="5"/>
  <c r="R253" i="5"/>
  <c r="T246" i="5"/>
  <c r="U246" i="5" s="1"/>
  <c r="S246" i="5"/>
  <c r="R246" i="5"/>
  <c r="T245" i="5"/>
  <c r="U245" i="5" s="1"/>
  <c r="S245" i="5"/>
  <c r="R245" i="5"/>
  <c r="T244" i="5"/>
  <c r="U244" i="5" s="1"/>
  <c r="S244" i="5"/>
  <c r="R244" i="5"/>
  <c r="T243" i="5"/>
  <c r="U243" i="5" s="1"/>
  <c r="S243" i="5"/>
  <c r="R243" i="5"/>
  <c r="T242" i="5"/>
  <c r="U242" i="5" s="1"/>
  <c r="S242" i="5"/>
  <c r="R242" i="5"/>
  <c r="T241" i="5"/>
  <c r="U241" i="5" s="1"/>
  <c r="S241" i="5"/>
  <c r="R241" i="5"/>
  <c r="T240" i="5"/>
  <c r="U240" i="5" s="1"/>
  <c r="S240" i="5"/>
  <c r="R240" i="5"/>
  <c r="T187" i="5"/>
  <c r="U187" i="5" s="1"/>
  <c r="S187" i="5"/>
  <c r="R187" i="5"/>
  <c r="T186" i="5"/>
  <c r="U186" i="5" s="1"/>
  <c r="S186" i="5"/>
  <c r="R186" i="5"/>
  <c r="T185" i="5"/>
  <c r="U185" i="5" s="1"/>
  <c r="S185" i="5"/>
  <c r="R185" i="5"/>
  <c r="T183" i="5"/>
  <c r="U183" i="5" s="1"/>
  <c r="S183" i="5"/>
  <c r="R183" i="5"/>
  <c r="T182" i="5"/>
  <c r="U182" i="5" s="1"/>
  <c r="S182" i="5"/>
  <c r="R182" i="5"/>
  <c r="T156" i="5"/>
  <c r="U156" i="5" s="1"/>
  <c r="S156" i="5"/>
  <c r="R156" i="5"/>
  <c r="T150" i="5"/>
  <c r="U150" i="5" s="1"/>
  <c r="S150" i="5"/>
  <c r="R150" i="5"/>
  <c r="T148" i="5"/>
  <c r="U148" i="5" s="1"/>
  <c r="S148" i="5"/>
  <c r="R148" i="5"/>
  <c r="T133" i="5"/>
  <c r="U133" i="5" s="1"/>
  <c r="S133" i="5"/>
  <c r="R133" i="5"/>
  <c r="T127" i="5"/>
  <c r="U127" i="5" s="1"/>
  <c r="S127" i="5"/>
  <c r="R127" i="5"/>
  <c r="T126" i="5"/>
  <c r="U126" i="5" s="1"/>
  <c r="S126" i="5"/>
  <c r="R126" i="5"/>
  <c r="T109" i="5"/>
  <c r="U109" i="5" s="1"/>
  <c r="S109" i="5"/>
  <c r="R109" i="5"/>
  <c r="T44" i="5"/>
  <c r="U44" i="5" s="1"/>
  <c r="S44" i="5"/>
  <c r="R44" i="5"/>
  <c r="T42" i="5"/>
  <c r="U42" i="5" s="1"/>
  <c r="S42" i="5"/>
  <c r="R42" i="5"/>
  <c r="T45" i="5"/>
  <c r="R45" i="5"/>
  <c r="T43" i="5"/>
  <c r="R43" i="5"/>
  <c r="T86" i="5"/>
  <c r="U86" i="5" s="1"/>
  <c r="S86" i="5"/>
  <c r="R86" i="5"/>
  <c r="T77" i="5"/>
  <c r="U77" i="5" s="1"/>
  <c r="S77" i="5"/>
  <c r="R77" i="5"/>
  <c r="T217" i="5"/>
  <c r="U217" i="5" s="1"/>
  <c r="S217" i="5"/>
  <c r="R217" i="5"/>
  <c r="T166" i="5"/>
  <c r="U166" i="5" s="1"/>
  <c r="S166" i="5"/>
  <c r="R166" i="5"/>
  <c r="T122" i="5"/>
  <c r="U122" i="5" s="1"/>
  <c r="S122" i="5"/>
  <c r="R122" i="5"/>
  <c r="T108" i="5"/>
  <c r="U108" i="5" s="1"/>
  <c r="S108" i="5"/>
  <c r="R108" i="5"/>
  <c r="T20" i="5"/>
  <c r="U20" i="5" s="1"/>
  <c r="S20" i="5"/>
  <c r="R20" i="5"/>
  <c r="T94" i="5"/>
  <c r="U94" i="5" s="1"/>
  <c r="S94" i="5"/>
  <c r="R94" i="5"/>
  <c r="T92" i="5"/>
  <c r="U92" i="5" s="1"/>
  <c r="S92" i="5"/>
  <c r="R92" i="5"/>
  <c r="T87" i="5"/>
  <c r="U87" i="5" s="1"/>
  <c r="S87" i="5"/>
  <c r="R87" i="5"/>
  <c r="T248" i="5"/>
  <c r="U248" i="5" s="1"/>
  <c r="S248" i="5"/>
  <c r="R248" i="5"/>
  <c r="T218" i="5"/>
  <c r="U218" i="5" s="1"/>
  <c r="S218" i="5"/>
  <c r="R218" i="5"/>
  <c r="T203" i="5"/>
  <c r="U203" i="5" s="1"/>
  <c r="S203" i="5"/>
  <c r="R203" i="5"/>
  <c r="T201" i="5"/>
  <c r="U201" i="5" s="1"/>
  <c r="S201" i="5"/>
  <c r="R201" i="5"/>
  <c r="T200" i="5"/>
  <c r="U200" i="5" s="1"/>
  <c r="S200" i="5"/>
  <c r="R200" i="5"/>
  <c r="T194" i="5"/>
  <c r="U194" i="5" s="1"/>
  <c r="S194" i="5"/>
  <c r="R194" i="5"/>
  <c r="T191" i="5"/>
  <c r="U191" i="5" s="1"/>
  <c r="S191" i="5"/>
  <c r="R191" i="5"/>
  <c r="T188" i="5"/>
  <c r="U188" i="5" s="1"/>
  <c r="S188" i="5"/>
  <c r="R188" i="5"/>
  <c r="T153" i="5"/>
  <c r="U153" i="5" s="1"/>
  <c r="S153" i="5"/>
  <c r="R153" i="5"/>
  <c r="T151" i="5"/>
  <c r="U151" i="5" s="1"/>
  <c r="S151" i="5"/>
  <c r="R151" i="5"/>
  <c r="T147" i="5"/>
  <c r="U147" i="5" s="1"/>
  <c r="S147" i="5"/>
  <c r="R147" i="5"/>
  <c r="T139" i="5"/>
  <c r="U139" i="5" s="1"/>
  <c r="S139" i="5"/>
  <c r="R139" i="5"/>
  <c r="T134" i="5"/>
  <c r="U134" i="5" s="1"/>
  <c r="S134" i="5"/>
  <c r="R134" i="5"/>
  <c r="T129" i="5"/>
  <c r="U129" i="5" s="1"/>
  <c r="S129" i="5"/>
  <c r="R129" i="5"/>
  <c r="T123" i="5"/>
  <c r="U123" i="5" s="1"/>
  <c r="S123" i="5"/>
  <c r="R123" i="5"/>
  <c r="T115" i="5"/>
  <c r="U115" i="5" s="1"/>
  <c r="S115" i="5"/>
  <c r="R115" i="5"/>
  <c r="T46" i="5"/>
  <c r="U46" i="5" s="1"/>
  <c r="S46" i="5"/>
  <c r="R46" i="5"/>
  <c r="T40" i="5"/>
  <c r="U40" i="5" s="1"/>
  <c r="S40" i="5"/>
  <c r="R40" i="5"/>
  <c r="T24" i="5"/>
  <c r="U24" i="5" s="1"/>
  <c r="S24" i="5"/>
  <c r="R24" i="5"/>
  <c r="T19" i="5"/>
  <c r="U19" i="5" s="1"/>
  <c r="S19" i="5"/>
  <c r="R19" i="5"/>
  <c r="T18" i="5"/>
  <c r="U18" i="5" s="1"/>
  <c r="S18" i="5"/>
  <c r="R18" i="5"/>
  <c r="T85" i="5"/>
  <c r="U85" i="5" s="1"/>
  <c r="S85" i="5"/>
  <c r="R85" i="5"/>
  <c r="T76" i="5"/>
  <c r="U76" i="5" s="1"/>
  <c r="S76" i="5"/>
  <c r="R76" i="5"/>
  <c r="T72" i="5"/>
  <c r="U72" i="5" s="1"/>
  <c r="S72" i="5"/>
  <c r="R72" i="5"/>
  <c r="T277" i="5"/>
  <c r="U277" i="5" s="1"/>
  <c r="S277" i="5"/>
  <c r="R277" i="5"/>
  <c r="T270" i="5"/>
  <c r="U270" i="5" s="1"/>
  <c r="S270" i="5"/>
  <c r="R270" i="5"/>
  <c r="T268" i="5"/>
  <c r="U268" i="5" s="1"/>
  <c r="S268" i="5"/>
  <c r="R268" i="5"/>
  <c r="T260" i="5"/>
  <c r="U260" i="5" s="1"/>
  <c r="S260" i="5"/>
  <c r="R260" i="5"/>
  <c r="T184" i="5"/>
  <c r="U184" i="5" s="1"/>
  <c r="S184" i="5"/>
  <c r="R184" i="5"/>
  <c r="T179" i="5"/>
  <c r="U179" i="5" s="1"/>
  <c r="S179" i="5"/>
  <c r="R179" i="5"/>
  <c r="T178" i="5"/>
  <c r="U178" i="5" s="1"/>
  <c r="S178" i="5"/>
  <c r="R178" i="5"/>
  <c r="T177" i="5"/>
  <c r="U177" i="5" s="1"/>
  <c r="S177" i="5"/>
  <c r="R177" i="5"/>
  <c r="T121" i="5"/>
  <c r="U121" i="5" s="1"/>
  <c r="S121" i="5"/>
  <c r="R121" i="5"/>
  <c r="T107" i="5"/>
  <c r="U107" i="5" s="1"/>
  <c r="S107" i="5"/>
  <c r="R107" i="5"/>
  <c r="T106" i="5"/>
  <c r="U106" i="5" s="1"/>
  <c r="S106" i="5"/>
  <c r="R106" i="5"/>
  <c r="T91" i="5"/>
  <c r="U91" i="5" s="1"/>
  <c r="S91" i="5"/>
  <c r="R91" i="5"/>
  <c r="T73" i="5"/>
  <c r="U73" i="5" s="1"/>
  <c r="S73" i="5"/>
  <c r="R73" i="5"/>
  <c r="T216" i="5"/>
  <c r="R216" i="5"/>
  <c r="T214" i="5"/>
  <c r="R214" i="5"/>
  <c r="T212" i="5"/>
  <c r="R212" i="5"/>
  <c r="T210" i="5"/>
  <c r="R210" i="5"/>
  <c r="T208" i="5"/>
  <c r="R208" i="5"/>
  <c r="T206" i="5"/>
  <c r="R206" i="5"/>
  <c r="T204" i="5"/>
  <c r="R204" i="5"/>
  <c r="T202" i="5"/>
  <c r="R202" i="5"/>
  <c r="T189" i="5"/>
  <c r="R189" i="5"/>
  <c r="T181" i="5"/>
  <c r="R181" i="5"/>
  <c r="T140" i="5"/>
  <c r="R140" i="5"/>
  <c r="T102" i="5"/>
  <c r="R102" i="5"/>
  <c r="T100" i="5"/>
  <c r="R100" i="5"/>
  <c r="T98" i="5"/>
  <c r="R98" i="5"/>
  <c r="T95" i="5"/>
  <c r="R95" i="5"/>
  <c r="T47" i="5"/>
  <c r="R47" i="5"/>
  <c r="T41" i="5"/>
  <c r="R41" i="5"/>
  <c r="T137" i="5"/>
  <c r="R137" i="5"/>
  <c r="T135" i="5"/>
  <c r="R135" i="5"/>
  <c r="T132" i="5"/>
  <c r="R132" i="5"/>
  <c r="T130" i="5"/>
  <c r="R130" i="5"/>
  <c r="T69" i="5"/>
  <c r="P69" i="5" s="1"/>
  <c r="T278" i="5" l="1"/>
  <c r="P278" i="5" s="1"/>
  <c r="U165" i="5"/>
  <c r="U278" i="5" s="1"/>
  <c r="T141" i="5"/>
  <c r="P141" i="5" s="1"/>
  <c r="U105" i="5"/>
  <c r="U141" i="5" s="1"/>
  <c r="T103" i="5"/>
  <c r="P103" i="5" s="1"/>
  <c r="U71" i="5"/>
  <c r="U103" i="5" s="1"/>
  <c r="T159" i="5"/>
  <c r="P159" i="5" s="1"/>
  <c r="U143" i="5"/>
  <c r="U159" i="5" s="1"/>
  <c r="M58" i="4"/>
  <c r="J48" i="4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6" i="14"/>
  <c r="E6" i="14" s="1"/>
  <c r="L27" i="12"/>
  <c r="D5" i="14"/>
  <c r="E5" i="14" s="1"/>
  <c r="L15" i="10"/>
  <c r="C34" i="2" l="1"/>
  <c r="C33" i="2"/>
  <c r="C32" i="2"/>
  <c r="C31" i="2"/>
  <c r="C30" i="2"/>
  <c r="C29" i="2"/>
  <c r="C28" i="2"/>
  <c r="B35" i="2" s="1"/>
  <c r="C43" i="2"/>
  <c r="E47" i="2" s="1"/>
  <c r="C42" i="2"/>
  <c r="G47" i="2" s="1"/>
  <c r="C41" i="2"/>
  <c r="E34" i="2"/>
  <c r="E33" i="2"/>
  <c r="E32" i="2"/>
  <c r="E31" i="2"/>
  <c r="E30" i="2"/>
  <c r="E29" i="2"/>
  <c r="E28" i="2"/>
  <c r="D35" i="2" s="1"/>
  <c r="E43" i="2"/>
  <c r="E48" i="2" s="1"/>
  <c r="E42" i="2"/>
  <c r="G48" i="2" s="1"/>
  <c r="E41" i="2"/>
  <c r="G34" i="2"/>
  <c r="G33" i="2"/>
  <c r="G32" i="2"/>
  <c r="G31" i="2"/>
  <c r="G30" i="2"/>
  <c r="G29" i="2"/>
  <c r="G28" i="2"/>
  <c r="F35" i="2" s="1"/>
  <c r="G43" i="2"/>
  <c r="E49" i="2" s="1"/>
  <c r="G42" i="2"/>
  <c r="G49" i="2" s="1"/>
  <c r="G41" i="2"/>
  <c r="I34" i="2"/>
  <c r="I33" i="2"/>
  <c r="I32" i="2"/>
  <c r="I31" i="2"/>
  <c r="I30" i="2"/>
  <c r="I29" i="2"/>
  <c r="I28" i="2"/>
  <c r="H35" i="2" s="1"/>
  <c r="I43" i="2"/>
  <c r="E51" i="2" s="1"/>
  <c r="I42" i="2"/>
  <c r="G51" i="2" s="1"/>
  <c r="I41" i="2"/>
  <c r="K34" i="2"/>
  <c r="K33" i="2"/>
  <c r="K32" i="2"/>
  <c r="K31" i="2"/>
  <c r="K30" i="2"/>
  <c r="K29" i="2"/>
  <c r="K28" i="2"/>
  <c r="J35" i="2" s="1"/>
  <c r="K43" i="2"/>
  <c r="E52" i="2" s="1"/>
  <c r="K42" i="2"/>
  <c r="G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F12" i="8"/>
  <c r="M12" i="8" s="1"/>
  <c r="F11" i="8"/>
  <c r="M11" i="8" s="1"/>
  <c r="F10" i="8"/>
  <c r="M10" i="8" s="1"/>
  <c r="F9" i="8"/>
  <c r="M9" i="8" s="1"/>
  <c r="F8" i="8"/>
  <c r="M8" i="8" s="1"/>
  <c r="F7" i="8"/>
  <c r="M7" i="8" s="1"/>
  <c r="F6" i="8"/>
  <c r="M6" i="8" s="1"/>
  <c r="O37" i="2" l="1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C50" i="2"/>
  <c r="B53" i="2"/>
  <c r="H24" i="3"/>
  <c r="J31" i="4"/>
  <c r="I30" i="7"/>
  <c r="H46" i="3"/>
  <c r="J39" i="4"/>
  <c r="I38" i="7"/>
  <c r="J40" i="4"/>
  <c r="I39" i="7"/>
  <c r="J41" i="4"/>
  <c r="I40" i="7"/>
  <c r="J42" i="4"/>
  <c r="I41" i="7"/>
  <c r="J43" i="4"/>
  <c r="I42" i="7"/>
  <c r="J44" i="4"/>
  <c r="I43" i="7"/>
  <c r="J45" i="4"/>
  <c r="I44" i="7"/>
  <c r="L12" i="8"/>
  <c r="N12" i="8"/>
  <c r="Q12" i="8"/>
  <c r="R12" i="8"/>
  <c r="G10" i="9"/>
  <c r="H10" i="9"/>
  <c r="I10" i="9"/>
  <c r="H12" i="8"/>
  <c r="J12" i="8"/>
  <c r="O12" i="8"/>
  <c r="E10" i="9"/>
  <c r="G12" i="8"/>
  <c r="K12" i="8"/>
  <c r="P12" i="8"/>
  <c r="F10" i="9"/>
  <c r="L11" i="8"/>
  <c r="N11" i="8"/>
  <c r="Q11" i="8"/>
  <c r="R11" i="8"/>
  <c r="G9" i="9"/>
  <c r="H9" i="9"/>
  <c r="I9" i="9"/>
  <c r="H11" i="8"/>
  <c r="J11" i="8"/>
  <c r="O11" i="8"/>
  <c r="E9" i="9"/>
  <c r="G11" i="8"/>
  <c r="K11" i="8"/>
  <c r="P11" i="8"/>
  <c r="F9" i="9"/>
  <c r="L10" i="8"/>
  <c r="N10" i="8"/>
  <c r="Q10" i="8"/>
  <c r="R10" i="8"/>
  <c r="G50" i="2"/>
  <c r="F53" i="2"/>
  <c r="J52" i="4"/>
  <c r="I47" i="7"/>
  <c r="L17" i="8"/>
  <c r="N17" i="8"/>
  <c r="Q17" i="8"/>
  <c r="G8" i="9"/>
  <c r="H8" i="9"/>
  <c r="I8" i="9"/>
  <c r="H10" i="8"/>
  <c r="J10" i="8"/>
  <c r="O10" i="8"/>
  <c r="E8" i="9"/>
  <c r="G10" i="8"/>
  <c r="K10" i="8"/>
  <c r="P10" i="8"/>
  <c r="F8" i="9"/>
  <c r="L9" i="8"/>
  <c r="N9" i="8"/>
  <c r="Q9" i="8"/>
  <c r="R9" i="8"/>
  <c r="G7" i="9"/>
  <c r="H7" i="9"/>
  <c r="I7" i="9"/>
  <c r="H9" i="8"/>
  <c r="J9" i="8"/>
  <c r="O9" i="8"/>
  <c r="E7" i="9"/>
  <c r="G9" i="8"/>
  <c r="K9" i="8"/>
  <c r="P9" i="8"/>
  <c r="F7" i="9"/>
  <c r="L8" i="8"/>
  <c r="N8" i="8"/>
  <c r="Q8" i="8"/>
  <c r="R8" i="8"/>
  <c r="G6" i="9"/>
  <c r="H6" i="9"/>
  <c r="I6" i="9"/>
  <c r="H8" i="8"/>
  <c r="J8" i="8"/>
  <c r="O8" i="8"/>
  <c r="E6" i="9"/>
  <c r="G8" i="8"/>
  <c r="K8" i="8"/>
  <c r="P8" i="8"/>
  <c r="F6" i="9"/>
  <c r="L7" i="8"/>
  <c r="N7" i="8"/>
  <c r="Q7" i="8"/>
  <c r="R7" i="8"/>
  <c r="G5" i="9"/>
  <c r="H5" i="9"/>
  <c r="I5" i="9"/>
  <c r="H7" i="8"/>
  <c r="J7" i="8"/>
  <c r="O7" i="8"/>
  <c r="E5" i="9"/>
  <c r="G7" i="8"/>
  <c r="K7" i="8"/>
  <c r="P7" i="8"/>
  <c r="F5" i="9"/>
  <c r="L6" i="8"/>
  <c r="N6" i="8"/>
  <c r="Q6" i="8"/>
  <c r="R6" i="8"/>
  <c r="R13" i="8"/>
  <c r="R17" i="8"/>
  <c r="R18" i="8"/>
  <c r="R21" i="8"/>
  <c r="R23" i="8"/>
  <c r="Q13" i="8"/>
  <c r="Q18" i="8"/>
  <c r="Q21" i="8"/>
  <c r="Q23" i="8"/>
  <c r="G4" i="9"/>
  <c r="H4" i="9"/>
  <c r="I4" i="9"/>
  <c r="I12" i="9"/>
  <c r="H12" i="9"/>
  <c r="G12" i="9"/>
  <c r="D4" i="14"/>
  <c r="E4" i="14"/>
  <c r="D8" i="14"/>
  <c r="E8" i="14"/>
  <c r="H6" i="8"/>
  <c r="J6" i="8"/>
  <c r="O6" i="8"/>
  <c r="O13" i="8"/>
  <c r="O21" i="8"/>
  <c r="E4" i="9"/>
  <c r="E12" i="9"/>
  <c r="C4" i="14"/>
  <c r="C8" i="14"/>
  <c r="G6" i="8"/>
  <c r="K6" i="8"/>
  <c r="P6" i="8"/>
  <c r="P13" i="8"/>
  <c r="P21" i="8"/>
  <c r="F4" i="9"/>
  <c r="F12" i="9"/>
  <c r="B4" i="14"/>
  <c r="B8" i="14"/>
  <c r="L52" i="4"/>
  <c r="L53" i="4"/>
  <c r="P5" i="6"/>
  <c r="S5" i="6"/>
  <c r="S6" i="6"/>
  <c r="E50" i="2"/>
  <c r="D53" i="2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L31" i="4"/>
  <c r="P43" i="5"/>
  <c r="S43" i="5"/>
  <c r="P45" i="5"/>
  <c r="S45" i="5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L39" i="4"/>
  <c r="P41" i="5"/>
  <c r="S41" i="5"/>
  <c r="P47" i="5"/>
  <c r="S47" i="5"/>
  <c r="P95" i="5"/>
  <c r="S95" i="5"/>
  <c r="P98" i="5"/>
  <c r="S98" i="5"/>
  <c r="P100" i="5"/>
  <c r="S100" i="5"/>
  <c r="P102" i="5"/>
  <c r="S102" i="5"/>
  <c r="P140" i="5"/>
  <c r="S140" i="5"/>
  <c r="P181" i="5"/>
  <c r="S181" i="5"/>
  <c r="P189" i="5"/>
  <c r="S189" i="5"/>
  <c r="P202" i="5"/>
  <c r="S202" i="5"/>
  <c r="P204" i="5"/>
  <c r="S204" i="5"/>
  <c r="P206" i="5"/>
  <c r="S206" i="5"/>
  <c r="P208" i="5"/>
  <c r="S208" i="5"/>
  <c r="P210" i="5"/>
  <c r="S210" i="5"/>
  <c r="P212" i="5"/>
  <c r="S212" i="5"/>
  <c r="P214" i="5"/>
  <c r="S214" i="5"/>
  <c r="P216" i="5"/>
  <c r="S216" i="5"/>
  <c r="L40" i="4"/>
  <c r="P130" i="5"/>
  <c r="S130" i="5"/>
  <c r="P132" i="5"/>
  <c r="S132" i="5"/>
  <c r="P135" i="5"/>
  <c r="S135" i="5"/>
  <c r="P137" i="5"/>
  <c r="S137" i="5"/>
  <c r="L41" i="4"/>
  <c r="P5" i="5"/>
  <c r="S5" i="5"/>
  <c r="S69" i="5"/>
  <c r="P6" i="5"/>
  <c r="S6" i="5"/>
  <c r="P7" i="5"/>
  <c r="S7" i="5"/>
  <c r="P8" i="5"/>
  <c r="S8" i="5"/>
  <c r="P9" i="5"/>
  <c r="S9" i="5"/>
  <c r="P10" i="5"/>
  <c r="S10" i="5"/>
  <c r="P11" i="5"/>
  <c r="S11" i="5"/>
  <c r="P12" i="5"/>
  <c r="S12" i="5"/>
  <c r="P13" i="5"/>
  <c r="S13" i="5"/>
  <c r="P14" i="5"/>
  <c r="S14" i="5"/>
  <c r="P15" i="5"/>
  <c r="S15" i="5"/>
  <c r="P16" i="5"/>
  <c r="S16" i="5"/>
  <c r="P21" i="5"/>
  <c r="S21" i="5"/>
  <c r="P22" i="5"/>
  <c r="S22" i="5"/>
  <c r="P23" i="5"/>
  <c r="S23" i="5"/>
  <c r="P27" i="5"/>
  <c r="S27" i="5"/>
  <c r="P28" i="5"/>
  <c r="S28" i="5"/>
  <c r="P29" i="5"/>
  <c r="S29" i="5"/>
  <c r="P30" i="5"/>
  <c r="S30" i="5"/>
  <c r="P31" i="5"/>
  <c r="S31" i="5"/>
  <c r="P32" i="5"/>
  <c r="S32" i="5"/>
  <c r="P37" i="5"/>
  <c r="S37" i="5"/>
  <c r="P49" i="5"/>
  <c r="S49" i="5"/>
  <c r="P50" i="5"/>
  <c r="S50" i="5"/>
  <c r="P51" i="5"/>
  <c r="S51" i="5"/>
  <c r="P52" i="5"/>
  <c r="S52" i="5"/>
  <c r="P53" i="5"/>
  <c r="S53" i="5"/>
  <c r="P54" i="5"/>
  <c r="S54" i="5"/>
  <c r="P55" i="5"/>
  <c r="S55" i="5"/>
  <c r="P56" i="5"/>
  <c r="S56" i="5"/>
  <c r="P57" i="5"/>
  <c r="S57" i="5"/>
  <c r="P58" i="5"/>
  <c r="S58" i="5"/>
  <c r="P59" i="5"/>
  <c r="S59" i="5"/>
  <c r="P60" i="5"/>
  <c r="S60" i="5"/>
  <c r="P61" i="5"/>
  <c r="S61" i="5"/>
  <c r="P62" i="5"/>
  <c r="S62" i="5"/>
  <c r="P64" i="5"/>
  <c r="S64" i="5"/>
  <c r="P65" i="5"/>
  <c r="S65" i="5"/>
  <c r="L42" i="4"/>
  <c r="P158" i="5"/>
  <c r="S158" i="5"/>
  <c r="L43" i="4"/>
  <c r="P161" i="5"/>
  <c r="S161" i="5"/>
  <c r="L44" i="4"/>
  <c r="P163" i="5"/>
  <c r="S163" i="5"/>
  <c r="L45" i="4"/>
  <c r="P68" i="5"/>
  <c r="S68" i="5"/>
  <c r="U161" i="5"/>
  <c r="N43" i="4"/>
  <c r="U158" i="5"/>
  <c r="U68" i="5"/>
  <c r="N45" i="4"/>
  <c r="N42" i="4"/>
  <c r="U163" i="5"/>
  <c r="N44" i="4"/>
  <c r="N31" i="4"/>
  <c r="N39" i="4"/>
  <c r="N40" i="4"/>
  <c r="N41" i="4"/>
  <c r="U65" i="5"/>
  <c r="U64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37" i="5"/>
  <c r="U32" i="5"/>
  <c r="U31" i="5"/>
  <c r="U30" i="5"/>
  <c r="U29" i="5"/>
  <c r="U28" i="5"/>
  <c r="U27" i="5"/>
  <c r="U23" i="5"/>
  <c r="U22" i="5"/>
  <c r="U21" i="5"/>
  <c r="U16" i="5"/>
  <c r="U15" i="5"/>
  <c r="U14" i="5"/>
  <c r="U13" i="5"/>
  <c r="U12" i="5"/>
  <c r="U11" i="5"/>
  <c r="U10" i="5"/>
  <c r="U9" i="5"/>
  <c r="U8" i="5"/>
  <c r="U7" i="5"/>
  <c r="U6" i="5"/>
  <c r="L46" i="4"/>
  <c r="U5" i="6"/>
  <c r="U6" i="6"/>
  <c r="N52" i="4"/>
  <c r="N53" i="4"/>
  <c r="N46" i="4"/>
  <c r="N58" i="4"/>
  <c r="U45" i="5"/>
  <c r="U43" i="5"/>
  <c r="U216" i="5"/>
  <c r="U214" i="5"/>
  <c r="U212" i="5"/>
  <c r="U210" i="5"/>
  <c r="U208" i="5"/>
  <c r="U206" i="5"/>
  <c r="U204" i="5"/>
  <c r="U202" i="5"/>
  <c r="U189" i="5"/>
  <c r="U181" i="5"/>
  <c r="U140" i="5"/>
  <c r="U102" i="5"/>
  <c r="U100" i="5"/>
  <c r="U98" i="5"/>
  <c r="U95" i="5"/>
  <c r="U47" i="5"/>
  <c r="U41" i="5"/>
  <c r="U137" i="5"/>
  <c r="U135" i="5"/>
  <c r="U132" i="5"/>
  <c r="U130" i="5"/>
  <c r="U5" i="5"/>
  <c r="U69" i="5"/>
</calcChain>
</file>

<file path=xl/sharedStrings.xml><?xml version="1.0" encoding="utf-8"?>
<sst xmlns="http://schemas.openxmlformats.org/spreadsheetml/2006/main" count="4056" uniqueCount="777">
  <si>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</si>
  <si>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</si>
  <si>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</si>
  <si>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</si>
  <si>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</si>
  <si>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</si>
  <si>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</si>
  <si>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</si>
  <si>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</si>
  <si>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</si>
  <si>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</si>
  <si>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</si>
  <si>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150J</t>
  </si>
  <si>
    <t>2W</t>
  </si>
  <si>
    <t>60J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</si>
  <si>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</si>
  <si>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</si>
  <si>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</si>
  <si>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</si>
  <si>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</si>
  <si>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</si>
  <si>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</si>
  <si>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</si>
  <si>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</si>
  <si>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</si>
  <si>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</si>
  <si>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</si>
  <si>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</si>
  <si>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</si>
  <si>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</si>
  <si>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</si>
  <si>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</si>
  <si>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</si>
  <si>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</si>
  <si>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</si>
  <si>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</si>
  <si>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</si>
  <si>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</si>
  <si>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</si>
  <si>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</si>
  <si>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</si>
  <si>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</si>
  <si>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</si>
  <si>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</si>
  <si>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</si>
  <si>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</si>
  <si>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</si>
  <si>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</si>
  <si>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</si>
  <si>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</si>
  <si>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</si>
  <si>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</si>
  <si>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</si>
  <si>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</si>
  <si>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</si>
  <si>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</si>
  <si>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</si>
  <si>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</si>
  <si>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</si>
  <si>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</si>
  <si>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</si>
  <si>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</si>
  <si>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</si>
  <si>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</si>
  <si>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</si>
  <si>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</si>
  <si>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</si>
  <si>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</si>
  <si>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</si>
  <si>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</si>
  <si>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</si>
  <si>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</si>
  <si>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</si>
  <si>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</si>
  <si>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</si>
  <si>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</si>
  <si>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TARIEF REGULIER WERK</t>
  </si>
  <si>
    <t>Werkdag</t>
  </si>
  <si>
    <t>Feestdag</t>
  </si>
  <si>
    <t>Weekend</t>
  </si>
  <si>
    <t>Aandeel</t>
  </si>
  <si>
    <t>Tarief</t>
  </si>
  <si>
    <t>Gewogen tarief uitvoering</t>
  </si>
  <si>
    <t>Tarief regulier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</si>
  <si>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</si>
  <si>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</si>
  <si>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</si>
  <si>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</si>
  <si>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</si>
  <si>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</si>
  <si>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</si>
  <si>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</si>
  <si>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</si>
  <si>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AHB</t>
  </si>
  <si>
    <t xml:space="preserve">A    </t>
  </si>
  <si>
    <t>Archief/bergruimte/magazijn- harde basis</t>
  </si>
  <si>
    <t>m²/uur</t>
  </si>
  <si>
    <t>AHV</t>
  </si>
  <si>
    <t>Archief/bergruimte/magazijn - harde vloeren (volledig)</t>
  </si>
  <si>
    <t>BHB</t>
  </si>
  <si>
    <t xml:space="preserve">B    </t>
  </si>
  <si>
    <t>Bureauruimte harde vloeren basis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</si>
  <si>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</si>
  <si>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</si>
  <si>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</si>
  <si>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</si>
  <si>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</si>
  <si>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</si>
  <si>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LHB</t>
  </si>
  <si>
    <t>Leslokalen/studieruimte - hard (basis)</t>
  </si>
  <si>
    <t>LHV</t>
  </si>
  <si>
    <t>Leslokalen/studieruimte - hard (volledig)</t>
  </si>
  <si>
    <t>LZB</t>
  </si>
  <si>
    <t>Leslokalen/studieruimte -  zachte vloeren (basis)</t>
  </si>
  <si>
    <t>LZV</t>
  </si>
  <si>
    <t>Leslokalen/studieruimte -  zachte vloeren (volledig)</t>
  </si>
  <si>
    <t>OHB</t>
  </si>
  <si>
    <t>Vergader-/spreek-/overlegruimte harde vloeren basis</t>
  </si>
  <si>
    <t>OHV</t>
  </si>
  <si>
    <t>Vergader-/spreek-/overlegruimte harde vloeren (volledig)</t>
  </si>
  <si>
    <t>OZB</t>
  </si>
  <si>
    <t>Vergader-/spreek-/overlegruimte zachte vloeren basis</t>
  </si>
  <si>
    <t>OZV</t>
  </si>
  <si>
    <t>Vergader-/spreek-/overlegruimte zachte vloeren basis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</si>
  <si>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</si>
  <si>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</si>
  <si>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</si>
  <si>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</si>
  <si>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</si>
  <si>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KHB</t>
  </si>
  <si>
    <t>Kleedruimte - harde vloeren basis</t>
  </si>
  <si>
    <t>KHV</t>
  </si>
  <si>
    <t>Kleedruimte - harde vloeren (volledig)</t>
  </si>
  <si>
    <t>SHB</t>
  </si>
  <si>
    <t>Sanitaire ruimte basis</t>
  </si>
  <si>
    <t>SHV</t>
  </si>
  <si>
    <t>Sanitaire ruimte (volledig)</t>
  </si>
  <si>
    <t>CHB</t>
  </si>
  <si>
    <t xml:space="preserve">V    </t>
  </si>
  <si>
    <t>Bar harde vloeren basis</t>
  </si>
  <si>
    <t>CHV</t>
  </si>
  <si>
    <t>Bar harde vloeren (volledig)</t>
  </si>
  <si>
    <t>EHB</t>
  </si>
  <si>
    <t>Entree - harde vloeren basis</t>
  </si>
  <si>
    <t>EHV</t>
  </si>
  <si>
    <t>Entree - harde vloeren (volledig)</t>
  </si>
  <si>
    <t>EZB</t>
  </si>
  <si>
    <t>Entree - zachte vloeren basis</t>
  </si>
  <si>
    <t>EZV</t>
  </si>
  <si>
    <t>Entree - zachte vloeren (volledig)</t>
  </si>
  <si>
    <t>IHB</t>
  </si>
  <si>
    <t>Lift - harde vloeren (basis)</t>
  </si>
  <si>
    <t>IHV</t>
  </si>
  <si>
    <t>Lift - harde vloeren (volledig)</t>
  </si>
  <si>
    <t>PHB</t>
  </si>
  <si>
    <t>Pantry/keuken - harde vloeren (basis)</t>
  </si>
  <si>
    <t>PHV</t>
  </si>
  <si>
    <t>Pantry/keuken - harde vloeren (volledig)</t>
  </si>
  <si>
    <t>RHB</t>
  </si>
  <si>
    <t>Personeelsrestaurant/kantine harde vloeren basis</t>
  </si>
  <si>
    <t>RHV</t>
  </si>
  <si>
    <t>Personeelsrestaurant/kantine harde vloeren (volledig)</t>
  </si>
  <si>
    <t>THB</t>
  </si>
  <si>
    <t>Trappenhuis harde vloeren basis</t>
  </si>
  <si>
    <t>THV</t>
  </si>
  <si>
    <t>Trappenhuis harde vloeren (volledig)</t>
  </si>
  <si>
    <t>VHB</t>
  </si>
  <si>
    <t>Verkeersruimte harde vloeren basis</t>
  </si>
  <si>
    <t>VHV</t>
  </si>
  <si>
    <t>Verkeersruimte harde vloeren (volledig)</t>
  </si>
  <si>
    <t>VZB</t>
  </si>
  <si>
    <t>Verkeersruimte zachte vloeren (basis)</t>
  </si>
  <si>
    <t>VZV</t>
  </si>
  <si>
    <t>Verkeersruimte zachte vloeren (volledig)</t>
  </si>
  <si>
    <t>WHB</t>
  </si>
  <si>
    <t>Receptie/ontvangst/wachtruimte harde vloeren basis</t>
  </si>
  <si>
    <t>WHV</t>
  </si>
  <si>
    <t>Receptie/ontvangst/wachtruimte harde vloeren (volledig)</t>
  </si>
  <si>
    <t>XBB</t>
  </si>
  <si>
    <t xml:space="preserve">X    </t>
  </si>
  <si>
    <t>Periodiek beschermde vloeren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</si>
  <si>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</si>
  <si>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</si>
  <si>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</si>
  <si>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</si>
  <si>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</si>
  <si>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</si>
  <si>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</si>
  <si>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</si>
  <si>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</si>
  <si>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</si>
  <si>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</si>
  <si>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BH</t>
  </si>
  <si>
    <t>Kantoorruimte harde vloeren</t>
  </si>
  <si>
    <t>BZ</t>
  </si>
  <si>
    <t>Kantoorruimte zachte vloeren</t>
  </si>
  <si>
    <t>CH</t>
  </si>
  <si>
    <t>Bar harde vloeren</t>
  </si>
  <si>
    <t>DH</t>
  </si>
  <si>
    <t>Douche/wasuimte harde vloeren</t>
  </si>
  <si>
    <t>Douche/wasruimte harde vloeren</t>
  </si>
  <si>
    <t>EH</t>
  </si>
  <si>
    <t>Entree harde vloeren</t>
  </si>
  <si>
    <t>EZ</t>
  </si>
  <si>
    <t>Entree zachte vloeren</t>
  </si>
  <si>
    <t>IH</t>
  </si>
  <si>
    <t>Lift harde vloeren</t>
  </si>
  <si>
    <t>KH</t>
  </si>
  <si>
    <t>Kleedruimte harde vloeren</t>
  </si>
  <si>
    <t>LH</t>
  </si>
  <si>
    <t>Onderwijs-/groepsruimte harde vloeren</t>
  </si>
  <si>
    <t>LZ</t>
  </si>
  <si>
    <t>Onderwijs-/groepsruimte zachte vloeren</t>
  </si>
  <si>
    <t>OH</t>
  </si>
  <si>
    <t>Vergader-/spreek-/overlegruimte harde vloeren</t>
  </si>
  <si>
    <t>OZ</t>
  </si>
  <si>
    <t>Vergader-/spreek-/overlegruimte zachte vloeren</t>
  </si>
  <si>
    <t>PH</t>
  </si>
  <si>
    <t>Pantry/keuken harde vloeren</t>
  </si>
  <si>
    <t>RH</t>
  </si>
  <si>
    <t>Personeelsrestaurant/kantine/ontmoetingingsruimte harde vloeren</t>
  </si>
  <si>
    <t>Personeelsrestaurant/kantine/ontmoetingsruimte harde vloeren</t>
  </si>
  <si>
    <t>SH</t>
  </si>
  <si>
    <t>Sanitaire ruimte/toiletten</t>
  </si>
  <si>
    <t>SHN</t>
  </si>
  <si>
    <t>Sanitaire ruimte/toiletten   tussenbeurt</t>
  </si>
  <si>
    <t>TH</t>
  </si>
  <si>
    <t>Trappenhuis  harde vloeren</t>
  </si>
  <si>
    <t>Trappenhuis harde vloeren</t>
  </si>
  <si>
    <t>VH</t>
  </si>
  <si>
    <t>Verkeersruimte/garderobe harde vloeren</t>
  </si>
  <si>
    <t>VZ</t>
  </si>
  <si>
    <t>Verkeersruimte/garderobe zachte vloeren</t>
  </si>
  <si>
    <t>WH</t>
  </si>
  <si>
    <t>Receptie/wachtruimte harde vloeren</t>
  </si>
  <si>
    <t>XB</t>
  </si>
  <si>
    <t>Periodiek beschermde vloeren</t>
  </si>
  <si>
    <t>Z012</t>
  </si>
  <si>
    <t>Leegstand naloop schoonmaak</t>
  </si>
  <si>
    <t>Z008</t>
  </si>
  <si>
    <t>extra</t>
  </si>
  <si>
    <t>Koffiemachine schoonmaken</t>
  </si>
  <si>
    <t>min./keer</t>
  </si>
  <si>
    <t>Z010</t>
  </si>
  <si>
    <t>Schoonmaken havenkantoor maandag t/m zaterdag</t>
  </si>
  <si>
    <t>Z011</t>
  </si>
  <si>
    <t>Schoonmaken begraafplaats</t>
  </si>
  <si>
    <t>Z013</t>
  </si>
  <si>
    <t>Kranen sanitaire ruimten doorsoelen</t>
  </si>
  <si>
    <t xml:space="preserve">Totaal werkdag                  </t>
  </si>
  <si>
    <t xml:space="preserve">Gemiddeld uurtarief werkdag                  </t>
  </si>
  <si>
    <t xml:space="preserve">WEEKENDDAG               </t>
  </si>
  <si>
    <t>WZ010</t>
  </si>
  <si>
    <t xml:space="preserve">Totaal weekenddag               </t>
  </si>
  <si>
    <t xml:space="preserve">Gemiddeld uurtarief weekenddag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</si>
  <si>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</si>
  <si>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</si>
  <si>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</si>
  <si>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</si>
  <si>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</si>
  <si>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</si>
  <si>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</si>
  <si>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</si>
  <si>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</si>
  <si>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</si>
  <si>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0001 - Stadhuis, Philippus Gastelaarsstraat 2, Doesburg</t>
  </si>
  <si>
    <t>0001</t>
  </si>
  <si>
    <t>-1</t>
  </si>
  <si>
    <t>-1.01</t>
  </si>
  <si>
    <t>Traphal</t>
  </si>
  <si>
    <t>dhgt</t>
  </si>
  <si>
    <t>-1.02</t>
  </si>
  <si>
    <t>Trap kelder-BG</t>
  </si>
  <si>
    <t>hout</t>
  </si>
  <si>
    <t>-1.02a</t>
  </si>
  <si>
    <t>Bordes</t>
  </si>
  <si>
    <t>linoleum</t>
  </si>
  <si>
    <t>-1.03</t>
  </si>
  <si>
    <t>Hal</t>
  </si>
  <si>
    <t>-1.04</t>
  </si>
  <si>
    <t>Lift</t>
  </si>
  <si>
    <t>-1.05</t>
  </si>
  <si>
    <t>Douche</t>
  </si>
  <si>
    <t>-1.09</t>
  </si>
  <si>
    <t>Toilet heren</t>
  </si>
  <si>
    <t>-1.10</t>
  </si>
  <si>
    <t>Toilet dames</t>
  </si>
  <si>
    <t>-1.11</t>
  </si>
  <si>
    <t>Rijwielkelder</t>
  </si>
  <si>
    <t>beton</t>
  </si>
  <si>
    <t>-1.12</t>
  </si>
  <si>
    <t>Hellingbaan</t>
  </si>
  <si>
    <t>-1.13</t>
  </si>
  <si>
    <t>Archief</t>
  </si>
  <si>
    <t>-1.14</t>
  </si>
  <si>
    <t>Tentoonstellingsruimte (met bar)</t>
  </si>
  <si>
    <t>steen (ruw)</t>
  </si>
  <si>
    <t>0</t>
  </si>
  <si>
    <t>0.01</t>
  </si>
  <si>
    <t>Entree</t>
  </si>
  <si>
    <t>tapijt</t>
  </si>
  <si>
    <t>0.02</t>
  </si>
  <si>
    <t>steen</t>
  </si>
  <si>
    <t>0.03</t>
  </si>
  <si>
    <t>Gang</t>
  </si>
  <si>
    <t>0.04</t>
  </si>
  <si>
    <t>Trap</t>
  </si>
  <si>
    <t>0.05</t>
  </si>
  <si>
    <t>0.06</t>
  </si>
  <si>
    <t>Trap BG-1e verdieping</t>
  </si>
  <si>
    <t>0.06a</t>
  </si>
  <si>
    <t>0.07</t>
  </si>
  <si>
    <t>Centrale hal</t>
  </si>
  <si>
    <t>0.08</t>
  </si>
  <si>
    <t>Raadzaal</t>
  </si>
  <si>
    <t>0.08a</t>
  </si>
  <si>
    <t>0.09a</t>
  </si>
  <si>
    <t>Werkplek</t>
  </si>
  <si>
    <t>tapijt/hout</t>
  </si>
  <si>
    <t>0.09b</t>
  </si>
  <si>
    <t>0.09c</t>
  </si>
  <si>
    <t>0.09d</t>
  </si>
  <si>
    <t>Vergaderruimte</t>
  </si>
  <si>
    <t>0.09e</t>
  </si>
  <si>
    <t>Gang bij werkplekken</t>
  </si>
  <si>
    <t>0.09f</t>
  </si>
  <si>
    <t>0.10</t>
  </si>
  <si>
    <t>inloopmat</t>
  </si>
  <si>
    <t>0.10a</t>
  </si>
  <si>
    <t>0.11</t>
  </si>
  <si>
    <t>Kantoor burgemeester</t>
  </si>
  <si>
    <t>0.11a</t>
  </si>
  <si>
    <t>0.12</t>
  </si>
  <si>
    <t>Kantoor bode</t>
  </si>
  <si>
    <t>0.13</t>
  </si>
  <si>
    <t>Kantoor secretaris</t>
  </si>
  <si>
    <t>0.14</t>
  </si>
  <si>
    <t>Burgerzaal</t>
  </si>
  <si>
    <t>0.15</t>
  </si>
  <si>
    <t>0.16</t>
  </si>
  <si>
    <t>Toiletgroep</t>
  </si>
  <si>
    <t>0.17</t>
  </si>
  <si>
    <t>0.18</t>
  </si>
  <si>
    <t>0.19</t>
  </si>
  <si>
    <t>Pantry</t>
  </si>
  <si>
    <t>0.20</t>
  </si>
  <si>
    <t>0.21</t>
  </si>
  <si>
    <t>Kantoor SoZa</t>
  </si>
  <si>
    <t>0.22</t>
  </si>
  <si>
    <t>Spreekkamer</t>
  </si>
  <si>
    <t>0.23</t>
  </si>
  <si>
    <t>Miva toilet</t>
  </si>
  <si>
    <t>0.24</t>
  </si>
  <si>
    <t>0.25</t>
  </si>
  <si>
    <t>0.26</t>
  </si>
  <si>
    <t>Printerruimte</t>
  </si>
  <si>
    <t>0.27</t>
  </si>
  <si>
    <t>0.28</t>
  </si>
  <si>
    <t>0.29</t>
  </si>
  <si>
    <t>Traphal nood</t>
  </si>
  <si>
    <t>0.30</t>
  </si>
  <si>
    <t>Noodtrap BG-1e verdieping</t>
  </si>
  <si>
    <t>0.30a</t>
  </si>
  <si>
    <t>0.31</t>
  </si>
  <si>
    <t>0.32</t>
  </si>
  <si>
    <t>0.33</t>
  </si>
  <si>
    <t>0.34</t>
  </si>
  <si>
    <t>Kantoor Schuldhulp</t>
  </si>
  <si>
    <t>0.35</t>
  </si>
  <si>
    <t>0.36</t>
  </si>
  <si>
    <t>Kantoor BZ</t>
  </si>
  <si>
    <t>Ext</t>
  </si>
  <si>
    <t>Extra</t>
  </si>
  <si>
    <t>Totaal werkdag</t>
  </si>
  <si>
    <t>0002 - Brandweerkazerne, Halve Maanweg 3, Doesburg</t>
  </si>
  <si>
    <t>0002</t>
  </si>
  <si>
    <t>0.02a</t>
  </si>
  <si>
    <t>Wachtruimte</t>
  </si>
  <si>
    <t>Kantoor</t>
  </si>
  <si>
    <t>Entree remise</t>
  </si>
  <si>
    <t>Voorruimte douches dames</t>
  </si>
  <si>
    <t>Douches dames</t>
  </si>
  <si>
    <t>Urinoirs</t>
  </si>
  <si>
    <t>Wasruimte</t>
  </si>
  <si>
    <t>Kleedruimte</t>
  </si>
  <si>
    <t>Douches</t>
  </si>
  <si>
    <t>Algemene ruimte</t>
  </si>
  <si>
    <t>0.19a</t>
  </si>
  <si>
    <t>1</t>
  </si>
  <si>
    <t>1.01</t>
  </si>
  <si>
    <t>Vide</t>
  </si>
  <si>
    <t>1.02</t>
  </si>
  <si>
    <t>1.04</t>
  </si>
  <si>
    <t>1.05</t>
  </si>
  <si>
    <t>1.06</t>
  </si>
  <si>
    <t>Kantine</t>
  </si>
  <si>
    <t>1.06a</t>
  </si>
  <si>
    <t>Bar</t>
  </si>
  <si>
    <t>1.06b</t>
  </si>
  <si>
    <t>Keuken</t>
  </si>
  <si>
    <t>0003 - Jongerencentrum 0313, De Linie 2, Doesburg</t>
  </si>
  <si>
    <t>0003</t>
  </si>
  <si>
    <t>Garderobe</t>
  </si>
  <si>
    <t>Trap naar podium</t>
  </si>
  <si>
    <t>0.05a</t>
  </si>
  <si>
    <t>Ontmoetingsruimte</t>
  </si>
  <si>
    <t>gietvloer</t>
  </si>
  <si>
    <t>0.06b</t>
  </si>
  <si>
    <t>Berging panelenwand</t>
  </si>
  <si>
    <t>0.07a</t>
  </si>
  <si>
    <t>Podium</t>
  </si>
  <si>
    <t>0.09</t>
  </si>
  <si>
    <t>Cursusruimte</t>
  </si>
  <si>
    <t>Berging</t>
  </si>
  <si>
    <t>0.14a</t>
  </si>
  <si>
    <t>Magazijn</t>
  </si>
  <si>
    <t>Toiletgroep heren</t>
  </si>
  <si>
    <t>Toiletgroep dames</t>
  </si>
  <si>
    <t>1.01a</t>
  </si>
  <si>
    <t>1.03</t>
  </si>
  <si>
    <t>Cursus-/vergaderruimte</t>
  </si>
  <si>
    <t>1.07</t>
  </si>
  <si>
    <t>Regieruimte</t>
  </si>
  <si>
    <t>0004 - Stadswerf, Den Helder 2, Doesburg</t>
  </si>
  <si>
    <t>0004</t>
  </si>
  <si>
    <t>pvc</t>
  </si>
  <si>
    <t>Toiletten dames</t>
  </si>
  <si>
    <t>tegels</t>
  </si>
  <si>
    <t>Kleedruimte dames</t>
  </si>
  <si>
    <t>Toiletten heren</t>
  </si>
  <si>
    <t>Repro</t>
  </si>
  <si>
    <t>Kleedruimte heren</t>
  </si>
  <si>
    <t>Weegmeester</t>
  </si>
  <si>
    <t>---------</t>
  </si>
  <si>
    <t>0.25a</t>
  </si>
  <si>
    <t>Toilet</t>
  </si>
  <si>
    <t>Kantoor (losstaand)</t>
  </si>
  <si>
    <t>Extra werkzaamheden</t>
  </si>
  <si>
    <t>0005 - Havenkantoor, Turfhaven, Doesburg</t>
  </si>
  <si>
    <t>0005</t>
  </si>
  <si>
    <t>schoonmaak havenkantoor</t>
  </si>
  <si>
    <t>0006 - Begraafplaats, Doesburg</t>
  </si>
  <si>
    <t>0006</t>
  </si>
  <si>
    <t>schoonmaak</t>
  </si>
  <si>
    <t>0017 - Stadskantoor, Leigraafseweg 8, Doesburg</t>
  </si>
  <si>
    <t>0017</t>
  </si>
  <si>
    <t>A0.01</t>
  </si>
  <si>
    <t>A0.02</t>
  </si>
  <si>
    <t>Trappenhuis</t>
  </si>
  <si>
    <t>A0.03</t>
  </si>
  <si>
    <t>A0.04</t>
  </si>
  <si>
    <t>A0.05</t>
  </si>
  <si>
    <t>A0.06</t>
  </si>
  <si>
    <t>A0.07</t>
  </si>
  <si>
    <t>A0.08</t>
  </si>
  <si>
    <t>A0.09</t>
  </si>
  <si>
    <t>A0.10</t>
  </si>
  <si>
    <t>A0.11</t>
  </si>
  <si>
    <t>A0.12</t>
  </si>
  <si>
    <t>A0.13</t>
  </si>
  <si>
    <t>A0.14</t>
  </si>
  <si>
    <t>A0.15</t>
  </si>
  <si>
    <t>A0.16</t>
  </si>
  <si>
    <t>marmoleum</t>
  </si>
  <si>
    <t>A0.20</t>
  </si>
  <si>
    <t>Toiletten</t>
  </si>
  <si>
    <t>A0.23</t>
  </si>
  <si>
    <t>A0.26</t>
  </si>
  <si>
    <t>B0.02</t>
  </si>
  <si>
    <t>B0.06</t>
  </si>
  <si>
    <t>MIVA</t>
  </si>
  <si>
    <t>B0.07</t>
  </si>
  <si>
    <t>B0.10</t>
  </si>
  <si>
    <t>Enteehal</t>
  </si>
  <si>
    <t>B0.10a</t>
  </si>
  <si>
    <t>B0.10b</t>
  </si>
  <si>
    <t>tarket</t>
  </si>
  <si>
    <t>B0.11</t>
  </si>
  <si>
    <t>B0.12</t>
  </si>
  <si>
    <t>B0.13</t>
  </si>
  <si>
    <t>B0.14</t>
  </si>
  <si>
    <t>Frontoffice</t>
  </si>
  <si>
    <t>B0.15</t>
  </si>
  <si>
    <t>Klantcontactcentrum</t>
  </si>
  <si>
    <t>B0.16</t>
  </si>
  <si>
    <t>B0.20</t>
  </si>
  <si>
    <t>Werkcafe</t>
  </si>
  <si>
    <t>B0.21</t>
  </si>
  <si>
    <t>B0.22</t>
  </si>
  <si>
    <t>Bibliiotheek</t>
  </si>
  <si>
    <t>endgrain woodblock</t>
  </si>
  <si>
    <t>C0.01</t>
  </si>
  <si>
    <t>C0.02</t>
  </si>
  <si>
    <t>Copy/print</t>
  </si>
  <si>
    <t>C0.03</t>
  </si>
  <si>
    <t>C0.04</t>
  </si>
  <si>
    <t>C0.05</t>
  </si>
  <si>
    <t>C0.06</t>
  </si>
  <si>
    <t>C0.07</t>
  </si>
  <si>
    <t>Studiezaal</t>
  </si>
  <si>
    <t>C0.08</t>
  </si>
  <si>
    <t>Quarantaine ruimte</t>
  </si>
  <si>
    <t>01</t>
  </si>
  <si>
    <t>Reproruimte</t>
  </si>
  <si>
    <t>linoluem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</si>
  <si>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</si>
  <si>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</si>
  <si>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</si>
  <si>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</si>
  <si>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</si>
  <si>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</si>
  <si>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</si>
  <si>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</si>
  <si>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</si>
  <si>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</si>
  <si>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</si>
  <si>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</si>
  <si>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</si>
  <si>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</si>
  <si>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</si>
  <si>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Overlegruimte</t>
  </si>
  <si>
    <t>1.23</t>
  </si>
  <si>
    <t>1.24</t>
  </si>
  <si>
    <t>1.27</t>
  </si>
  <si>
    <t>Miva</t>
  </si>
  <si>
    <t>1.28</t>
  </si>
  <si>
    <t>voorruimte toilet</t>
  </si>
  <si>
    <t>1.29</t>
  </si>
  <si>
    <t>1.30</t>
  </si>
  <si>
    <t>1.31</t>
  </si>
  <si>
    <t>1.32</t>
  </si>
  <si>
    <t>1.33</t>
  </si>
  <si>
    <t>1.35</t>
  </si>
  <si>
    <t>1.36</t>
  </si>
  <si>
    <t>Aanland</t>
  </si>
  <si>
    <t>1.37</t>
  </si>
  <si>
    <t>Cockpit</t>
  </si>
  <si>
    <t>1.39</t>
  </si>
  <si>
    <t>1.40</t>
  </si>
  <si>
    <t>1.41</t>
  </si>
  <si>
    <t>1.42</t>
  </si>
  <si>
    <t>1.43</t>
  </si>
  <si>
    <t>toilet</t>
  </si>
  <si>
    <t>1.44</t>
  </si>
  <si>
    <t>1.45</t>
  </si>
  <si>
    <t>1.46</t>
  </si>
  <si>
    <t>1.47</t>
  </si>
  <si>
    <t>1.48</t>
  </si>
  <si>
    <t>1.49</t>
  </si>
  <si>
    <t>02</t>
  </si>
  <si>
    <t>2.02</t>
  </si>
  <si>
    <t>2.03</t>
  </si>
  <si>
    <t>2.04</t>
  </si>
  <si>
    <t>2.05</t>
  </si>
  <si>
    <t>2.06</t>
  </si>
  <si>
    <t>2.07</t>
  </si>
  <si>
    <t>2.08</t>
  </si>
  <si>
    <t>2.09</t>
  </si>
  <si>
    <t>Aanland/lounge</t>
  </si>
  <si>
    <t>2.11</t>
  </si>
  <si>
    <t>2.12</t>
  </si>
  <si>
    <t>2.14</t>
  </si>
  <si>
    <t>2.15</t>
  </si>
  <si>
    <t>2.16</t>
  </si>
  <si>
    <t>2.17</t>
  </si>
  <si>
    <t>2.18</t>
  </si>
  <si>
    <t>2.19</t>
  </si>
  <si>
    <t>2.20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</si>
  <si>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</si>
  <si>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</si>
  <si>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</si>
  <si>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</si>
  <si>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</si>
  <si>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</si>
  <si>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</si>
  <si>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</si>
  <si>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</si>
  <si>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0001</t>
  </si>
  <si>
    <t xml:space="preserve">    0002</t>
  </si>
  <si>
    <t xml:space="preserve">    0003</t>
  </si>
  <si>
    <t xml:space="preserve">    0004</t>
  </si>
  <si>
    <t xml:space="preserve">    0005</t>
  </si>
  <si>
    <t xml:space="preserve">    0006</t>
  </si>
  <si>
    <t xml:space="preserve">    0017</t>
  </si>
  <si>
    <t>werkdag</t>
  </si>
  <si>
    <t>weekenddag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</si>
  <si>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</si>
  <si>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</si>
  <si>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</si>
  <si>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</si>
  <si>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</si>
  <si>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</si>
  <si>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</si>
  <si>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</si>
  <si>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</si>
  <si>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</si>
  <si>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</si>
  <si>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</si>
  <si>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</si>
  <si>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</si>
  <si>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Stadhuis</t>
  </si>
  <si>
    <t>Philippus Gastelaarsstraat 2</t>
  </si>
  <si>
    <t>Doesburg</t>
  </si>
  <si>
    <t>Brandweerkazerne</t>
  </si>
  <si>
    <t>Halve Maanweg 3</t>
  </si>
  <si>
    <t>Jongerencentrum 0313</t>
  </si>
  <si>
    <t>De Linie 2</t>
  </si>
  <si>
    <t>Stadswerf</t>
  </si>
  <si>
    <t>Den Helder 2</t>
  </si>
  <si>
    <t>Havenkantoor</t>
  </si>
  <si>
    <t>Turfhaven</t>
  </si>
  <si>
    <t>Begraafplaats</t>
  </si>
  <si>
    <t>Stadskantoor</t>
  </si>
  <si>
    <t>Leigraafseweg 8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</si>
  <si>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</si>
  <si>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</si>
  <si>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</si>
  <si>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</si>
  <si>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</si>
  <si>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</si>
  <si>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</si>
  <si>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</si>
  <si>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</si>
  <si>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</si>
  <si>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</si>
  <si>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</si>
  <si>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5000</t>
  </si>
  <si>
    <t>Expositieruimte (incl. bar) dhgt/beton/s</t>
  </si>
  <si>
    <t>tijdsnorm in m²/uur</t>
  </si>
  <si>
    <t>9000</t>
  </si>
  <si>
    <t>Medewerker regiewerkzaamheden</t>
  </si>
  <si>
    <t>prijs per uur</t>
  </si>
  <si>
    <t>9010</t>
  </si>
  <si>
    <t>Medewerker specialistische werkzaamheden</t>
  </si>
  <si>
    <t>9020</t>
  </si>
  <si>
    <t>Medewerker glasbewassing</t>
  </si>
  <si>
    <t>9030</t>
  </si>
  <si>
    <t>Medewerker bouwschoonmaak</t>
  </si>
  <si>
    <t>9040</t>
  </si>
  <si>
    <t>Medewerker specialitisch bouwschoonmaak</t>
  </si>
  <si>
    <t>9060</t>
  </si>
  <si>
    <t>Medewerker calamiteiten werkzaamheden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</si>
  <si>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</si>
  <si>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</si>
  <si>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</si>
  <si>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</si>
  <si>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</si>
  <si>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</si>
  <si>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</si>
  <si>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</si>
  <si>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</si>
  <si>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</si>
  <si>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</si>
  <si>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</si>
  <si>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</si>
  <si>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</si>
  <si>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</si>
  <si>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</si>
  <si>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</si>
  <si>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</si>
  <si>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</si>
  <si>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</si>
  <si>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</si>
  <si>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</si>
  <si>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</si>
  <si>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</si>
  <si>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</si>
  <si>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</si>
  <si>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</si>
  <si>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</si>
  <si>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</si>
  <si>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</si>
  <si>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</si>
  <si>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</si>
  <si>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</si>
  <si>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</si>
  <si>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</si>
  <si>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</si>
  <si>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</si>
  <si>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</si>
  <si>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</si>
  <si>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</si>
  <si>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</si>
  <si>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</si>
  <si>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</si>
  <si>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</si>
  <si>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</si>
  <si>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</si>
  <si>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</si>
  <si>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</si>
  <si>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</si>
  <si>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</si>
  <si>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</si>
  <si>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</si>
  <si>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</si>
  <si>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</si>
  <si>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</si>
  <si>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</si>
  <si>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</si>
  <si>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3100A</t>
  </si>
  <si>
    <t>Vloer schrobben/waterzuigen</t>
  </si>
  <si>
    <t>&lt; 500 m²</t>
  </si>
  <si>
    <t>3100B</t>
  </si>
  <si>
    <t>500 &lt; 1000 m²</t>
  </si>
  <si>
    <t>3100C</t>
  </si>
  <si>
    <t>1000 &lt; 2000 m²</t>
  </si>
  <si>
    <t>3100D</t>
  </si>
  <si>
    <t>&gt;= 2000 m²</t>
  </si>
  <si>
    <t>3130A</t>
  </si>
  <si>
    <t>Linoleum sprayen /opwrijven</t>
  </si>
  <si>
    <t>3130B</t>
  </si>
  <si>
    <t>3130C</t>
  </si>
  <si>
    <t>3130D</t>
  </si>
  <si>
    <t>3140A</t>
  </si>
  <si>
    <t>Linoleum vloeren strippen/conserveren</t>
  </si>
  <si>
    <t>3140B</t>
  </si>
  <si>
    <t>3140C</t>
  </si>
  <si>
    <t>3140D</t>
  </si>
  <si>
    <t>3150A</t>
  </si>
  <si>
    <t>Tapijt reinigen sproei/extractie methode</t>
  </si>
  <si>
    <t>3150B</t>
  </si>
  <si>
    <t>500 &lt; 2000 m²</t>
  </si>
  <si>
    <t>3150C</t>
  </si>
  <si>
    <t>3160A</t>
  </si>
  <si>
    <t>Tapijt reinigen droge methode (Host)</t>
  </si>
  <si>
    <t>3160B</t>
  </si>
  <si>
    <t>3160C</t>
  </si>
  <si>
    <t>3160D</t>
  </si>
  <si>
    <t>3170A</t>
  </si>
  <si>
    <t>Tapijt reinigen op koolzuur basis</t>
  </si>
  <si>
    <t>3170B</t>
  </si>
  <si>
    <t>3170C</t>
  </si>
  <si>
    <t>3170D</t>
  </si>
  <si>
    <t>3190A</t>
  </si>
  <si>
    <t>Sanitair vloer reinigen d.m.v. "stomen"</t>
  </si>
  <si>
    <t>3190B</t>
  </si>
  <si>
    <t>3190C</t>
  </si>
  <si>
    <t>3190D</t>
  </si>
  <si>
    <t>Totaal afroep incidenteel excl. BTW</t>
  </si>
  <si>
    <t>8000</t>
  </si>
  <si>
    <t>Gevelglas buitenzijde</t>
  </si>
  <si>
    <t>8001</t>
  </si>
  <si>
    <t>Gevelglas buitenzijde achter lamellen</t>
  </si>
  <si>
    <t>8010</t>
  </si>
  <si>
    <t>Gevelglas binnenzijde</t>
  </si>
  <si>
    <t>8020</t>
  </si>
  <si>
    <t>Separatieglas (m ² is totaal)</t>
  </si>
  <si>
    <t>8060</t>
  </si>
  <si>
    <t>Glas in loodramen (Gevel-buiten)</t>
  </si>
  <si>
    <t>8070</t>
  </si>
  <si>
    <t>Glas in loodramen (Gevel-binnen)</t>
  </si>
  <si>
    <t>8160</t>
  </si>
  <si>
    <t>Entreeluifel en luchtroosters</t>
  </si>
  <si>
    <t>8180</t>
  </si>
  <si>
    <t>Gevelluiken/raamluiken</t>
  </si>
  <si>
    <t>8190</t>
  </si>
  <si>
    <t>Garagedeuren reinigen</t>
  </si>
  <si>
    <t>8201</t>
  </si>
  <si>
    <t>Hoogwerker Stadskantoor Doesburg</t>
  </si>
  <si>
    <t>totaalprijs</t>
  </si>
  <si>
    <t>8210</t>
  </si>
  <si>
    <t>Tuckerpool Stadhuis Doeburg</t>
  </si>
  <si>
    <t>Totaal glas excl. BTW</t>
  </si>
  <si>
    <t>Totaal 0001 - Stadhuis, Philippus Gastelaarsstraat 2, Doesburg</t>
  </si>
  <si>
    <t>Totaal 0002 - Brandweerkazerne, Halve Maanweg 3, Doesburg</t>
  </si>
  <si>
    <t>Totaal 0003 - Jongerencentrum 0313, De Linie 2, Doesburg</t>
  </si>
  <si>
    <t>Totaal 0004 - Stadswerf, Den Helder 2, Doesburg</t>
  </si>
  <si>
    <t>Totaal 0017 - Stadskantoor, Leigraafseweg 8, Doesburg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</si>
  <si>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</si>
  <si>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</si>
  <si>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</si>
  <si>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</si>
  <si>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</si>
  <si>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</si>
  <si>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Afroepwerk (geschatte frequenties)</t>
  </si>
  <si>
    <t>Glas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</si>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</sst>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1" fillId="3" borderId="15" xfId="0" applyNumberFormat="1" applyFont="1" applyFill="1" applyBorder="1"/>
    <xf numFmtId="49" fontId="1" fillId="3" borderId="18" xfId="0" applyNumberFormat="1" applyFont="1" applyFill="1" applyBorder="1"/>
    <xf numFmtId="49" fontId="1" fillId="3" borderId="18" xfId="0" applyNumberFormat="1" applyFont="1" applyFill="1" applyBorder="1" applyAlignment="1">
      <alignment wrapText="1"/>
    </xf>
    <xf numFmtId="49" fontId="0" fillId="3" borderId="18" xfId="0" applyNumberFormat="1" applyFill="1" applyBorder="1" applyAlignment="1">
      <alignment wrapText="1"/>
    </xf>
    <xf numFmtId="49" fontId="0" fillId="3" borderId="18" xfId="0" applyNumberFormat="1" applyFill="1" applyBorder="1"/>
    <xf numFmtId="10" fontId="0" fillId="0" borderId="19" xfId="0" applyNumberFormat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49" fontId="1" fillId="3" borderId="19" xfId="0" applyNumberFormat="1" applyFont="1" applyFill="1" applyBorder="1"/>
    <xf numFmtId="49" fontId="1" fillId="3" borderId="20" xfId="0" applyNumberFormat="1" applyFont="1" applyFill="1" applyBorder="1"/>
    <xf numFmtId="10" fontId="0" fillId="4" borderId="19" xfId="0" applyNumberFormat="1" applyFill="1" applyBorder="1" applyProtection="1">
      <protection locked="0"/>
    </xf>
    <xf numFmtId="49" fontId="1" fillId="3" borderId="21" xfId="0" applyNumberFormat="1" applyFont="1" applyFill="1" applyBorder="1"/>
    <xf numFmtId="10" fontId="0" fillId="4" borderId="22" xfId="0" applyNumberFormat="1" applyFill="1" applyBorder="1" applyProtection="1">
      <protection locked="0"/>
    </xf>
    <xf numFmtId="164" fontId="0" fillId="2" borderId="22" xfId="0" applyNumberFormat="1" applyFill="1" applyBorder="1"/>
    <xf numFmtId="164" fontId="0" fillId="2" borderId="23" xfId="0" applyNumberFormat="1" applyFill="1" applyBorder="1"/>
    <xf numFmtId="10" fontId="0" fillId="2" borderId="13" xfId="0" applyNumberFormat="1" applyFill="1" applyBorder="1"/>
    <xf numFmtId="0" fontId="0" fillId="2" borderId="18" xfId="0" applyFill="1" applyBorder="1" applyAlignment="1">
      <alignment wrapText="1"/>
    </xf>
    <xf numFmtId="10" fontId="0" fillId="2" borderId="19" xfId="0" applyNumberForma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4" xfId="0" applyNumberFormat="1" applyFill="1" applyBorder="1"/>
    <xf numFmtId="49" fontId="0" fillId="2" borderId="9" xfId="0" applyNumberFormat="1" applyFill="1" applyBorder="1"/>
    <xf numFmtId="164" fontId="0" fillId="2" borderId="9" xfId="0" applyNumberFormat="1" applyFill="1" applyBorder="1"/>
    <xf numFmtId="164" fontId="0" fillId="2" borderId="5" xfId="0" applyNumberFormat="1" applyFill="1" applyBorder="1"/>
    <xf numFmtId="49" fontId="0" fillId="2" borderId="27" xfId="0" applyNumberFormat="1" applyFill="1" applyBorder="1"/>
    <xf numFmtId="1" fontId="0" fillId="2" borderId="27" xfId="0" applyNumberFormat="1" applyFill="1" applyBorder="1"/>
    <xf numFmtId="4" fontId="0" fillId="0" borderId="27" xfId="0" applyNumberFormat="1" applyBorder="1" applyProtection="1">
      <protection locked="0"/>
    </xf>
    <xf numFmtId="10" fontId="0" fillId="0" borderId="27" xfId="0" applyNumberFormat="1" applyBorder="1" applyProtection="1">
      <protection locked="0"/>
    </xf>
    <xf numFmtId="164" fontId="0" fillId="2" borderId="27" xfId="0" applyNumberFormat="1" applyFill="1" applyBorder="1"/>
    <xf numFmtId="49" fontId="0" fillId="2" borderId="28" xfId="0" applyNumberFormat="1" applyFill="1" applyBorder="1"/>
    <xf numFmtId="1" fontId="0" fillId="2" borderId="28" xfId="0" applyNumberFormat="1" applyFill="1" applyBorder="1"/>
    <xf numFmtId="4" fontId="0" fillId="0" borderId="28" xfId="0" applyNumberFormat="1" applyBorder="1" applyProtection="1">
      <protection locked="0"/>
    </xf>
    <xf numFmtId="10" fontId="0" fillId="0" borderId="28" xfId="0" applyNumberFormat="1" applyBorder="1" applyProtection="1">
      <protection locked="0"/>
    </xf>
    <xf numFmtId="164" fontId="0" fillId="2" borderId="28" xfId="0" applyNumberFormat="1" applyFill="1" applyBorder="1"/>
    <xf numFmtId="49" fontId="0" fillId="2" borderId="29" xfId="0" applyNumberFormat="1" applyFill="1" applyBorder="1"/>
    <xf numFmtId="1" fontId="0" fillId="2" borderId="29" xfId="0" applyNumberFormat="1" applyFill="1" applyBorder="1"/>
    <xf numFmtId="4" fontId="0" fillId="0" borderId="29" xfId="0" applyNumberFormat="1" applyBorder="1" applyProtection="1">
      <protection locked="0"/>
    </xf>
    <xf numFmtId="10" fontId="0" fillId="0" borderId="29" xfId="0" applyNumberFormat="1" applyBorder="1" applyProtection="1">
      <protection locked="0"/>
    </xf>
    <xf numFmtId="164" fontId="0" fillId="2" borderId="29" xfId="0" applyNumberFormat="1" applyFill="1" applyBorder="1"/>
    <xf numFmtId="4" fontId="0" fillId="2" borderId="9" xfId="0" applyNumberFormat="1" applyFill="1" applyBorder="1"/>
    <xf numFmtId="165" fontId="0" fillId="2" borderId="9" xfId="0" applyNumberFormat="1" applyFill="1" applyBorder="1"/>
    <xf numFmtId="10" fontId="0" fillId="2" borderId="9" xfId="0" applyNumberFormat="1" applyFill="1" applyBorder="1"/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4" fontId="0" fillId="2" borderId="28" xfId="0" applyNumberFormat="1" applyFill="1" applyBorder="1"/>
    <xf numFmtId="165" fontId="0" fillId="2" borderId="28" xfId="0" applyNumberFormat="1" applyFill="1" applyBorder="1"/>
    <xf numFmtId="10" fontId="0" fillId="2" borderId="28" xfId="0" applyNumberFormat="1" applyFill="1" applyBorder="1"/>
    <xf numFmtId="165" fontId="0" fillId="0" borderId="28" xfId="0" applyNumberFormat="1" applyBorder="1" applyProtection="1">
      <protection locked="0"/>
    </xf>
    <xf numFmtId="4" fontId="0" fillId="2" borderId="29" xfId="0" applyNumberFormat="1" applyFill="1" applyBorder="1"/>
    <xf numFmtId="165" fontId="0" fillId="0" borderId="29" xfId="0" applyNumberFormat="1" applyBorder="1" applyProtection="1">
      <protection locked="0"/>
    </xf>
    <xf numFmtId="0" fontId="0" fillId="3" borderId="31" xfId="0" applyFill="1" applyBorder="1"/>
    <xf numFmtId="49" fontId="0" fillId="3" borderId="24" xfId="0" applyNumberFormat="1" applyFill="1" applyBorder="1"/>
    <xf numFmtId="0" fontId="0" fillId="3" borderId="25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30" xfId="0" applyNumberFormat="1" applyFill="1" applyBorder="1"/>
    <xf numFmtId="0" fontId="0" fillId="3" borderId="24" xfId="0" applyFill="1" applyBorder="1"/>
    <xf numFmtId="0" fontId="0" fillId="3" borderId="32" xfId="0" applyFill="1" applyBorder="1"/>
    <xf numFmtId="49" fontId="0" fillId="2" borderId="6" xfId="0" applyNumberFormat="1" applyFill="1" applyBorder="1"/>
    <xf numFmtId="4" fontId="0" fillId="2" borderId="6" xfId="0" applyNumberFormat="1" applyFill="1" applyBorder="1"/>
    <xf numFmtId="165" fontId="0" fillId="0" borderId="6" xfId="0" applyNumberFormat="1" applyBorder="1" applyProtection="1">
      <protection locked="0"/>
    </xf>
    <xf numFmtId="10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49" fontId="0" fillId="3" borderId="33" xfId="0" applyNumberFormat="1" applyFill="1" applyBorder="1" applyAlignment="1">
      <alignment wrapText="1"/>
    </xf>
    <xf numFmtId="49" fontId="0" fillId="3" borderId="30" xfId="0" applyNumberFormat="1" applyFill="1" applyBorder="1" applyAlignment="1">
      <alignment wrapText="1"/>
    </xf>
    <xf numFmtId="0" fontId="0" fillId="3" borderId="34" xfId="0" applyFill="1" applyBorder="1"/>
    <xf numFmtId="49" fontId="0" fillId="2" borderId="9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2" borderId="21" xfId="0" applyNumberFormat="1" applyFill="1" applyBorder="1"/>
    <xf numFmtId="49" fontId="0" fillId="2" borderId="22" xfId="0" applyNumberFormat="1" applyFill="1" applyBorder="1"/>
    <xf numFmtId="49" fontId="0" fillId="2" borderId="22" xfId="0" applyNumberFormat="1" applyFill="1" applyBorder="1" applyAlignment="1">
      <alignment wrapText="1"/>
    </xf>
    <xf numFmtId="4" fontId="0" fillId="2" borderId="22" xfId="0" applyNumberFormat="1" applyFill="1" applyBorder="1"/>
    <xf numFmtId="165" fontId="0" fillId="2" borderId="22" xfId="0" applyNumberFormat="1" applyFill="1" applyBorder="1"/>
    <xf numFmtId="10" fontId="0" fillId="2" borderId="22" xfId="0" applyNumberFormat="1" applyFill="1" applyBorder="1"/>
    <xf numFmtId="49" fontId="0" fillId="3" borderId="35" xfId="0" applyNumberFormat="1" applyFill="1" applyBorder="1"/>
    <xf numFmtId="10" fontId="0" fillId="2" borderId="6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10" fontId="0" fillId="2" borderId="29" xfId="0" applyNumberFormat="1" applyFill="1" applyBorder="1"/>
    <xf numFmtId="0" fontId="0" fillId="3" borderId="6" xfId="0" applyFill="1" applyBorder="1"/>
    <xf numFmtId="49" fontId="0" fillId="4" borderId="27" xfId="0" applyNumberFormat="1" applyFill="1" applyBorder="1" applyProtection="1">
      <protection locked="0"/>
    </xf>
    <xf numFmtId="164" fontId="0" fillId="4" borderId="27" xfId="0" applyNumberFormat="1" applyFill="1" applyBorder="1" applyProtection="1">
      <protection locked="0"/>
    </xf>
    <xf numFmtId="49" fontId="0" fillId="4" borderId="28" xfId="0" applyNumberFormat="1" applyFill="1" applyBorder="1" applyProtection="1">
      <protection locked="0"/>
    </xf>
    <xf numFmtId="164" fontId="0" fillId="4" borderId="28" xfId="0" applyNumberFormat="1" applyFill="1" applyBorder="1" applyProtection="1">
      <protection locked="0"/>
    </xf>
    <xf numFmtId="49" fontId="0" fillId="4" borderId="29" xfId="0" applyNumberFormat="1" applyFill="1" applyBorder="1" applyProtection="1">
      <protection locked="0"/>
    </xf>
    <xf numFmtId="164" fontId="0" fillId="4" borderId="29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4" borderId="27" xfId="0" applyNumberFormat="1" applyFill="1" applyBorder="1"/>
    <xf numFmtId="164" fontId="0" fillId="0" borderId="27" xfId="0" applyNumberFormat="1" applyBorder="1" applyProtection="1">
      <protection locked="0"/>
    </xf>
    <xf numFmtId="164" fontId="0" fillId="3" borderId="27" xfId="0" applyNumberFormat="1" applyFill="1" applyBorder="1" applyProtection="1"/>
    <xf numFmtId="4" fontId="0" fillId="4" borderId="28" xfId="0" applyNumberFormat="1" applyFill="1" applyBorder="1"/>
    <xf numFmtId="164" fontId="0" fillId="0" borderId="28" xfId="0" applyNumberFormat="1" applyBorder="1" applyProtection="1">
      <protection locked="0"/>
    </xf>
    <xf numFmtId="4" fontId="0" fillId="3" borderId="28" xfId="0" applyNumberFormat="1" applyFill="1" applyBorder="1" applyProtection="1"/>
    <xf numFmtId="4" fontId="0" fillId="4" borderId="29" xfId="0" applyNumberFormat="1" applyFill="1" applyBorder="1"/>
    <xf numFmtId="164" fontId="0" fillId="0" borderId="29" xfId="0" applyNumberFormat="1" applyBorder="1" applyProtection="1">
      <protection locked="0"/>
    </xf>
    <xf numFmtId="4" fontId="0" fillId="3" borderId="29" xfId="0" applyNumberFormat="1" applyFill="1" applyBorder="1" applyProtection="1"/>
    <xf numFmtId="164" fontId="0" fillId="3" borderId="26" xfId="0" applyNumberFormat="1" applyFill="1" applyBorder="1"/>
    <xf numFmtId="0" fontId="0" fillId="3" borderId="26" xfId="0" applyFill="1" applyBorder="1"/>
    <xf numFmtId="4" fontId="0" fillId="3" borderId="27" xfId="0" applyNumberFormat="1" applyFill="1" applyBorder="1" applyProtection="1"/>
    <xf numFmtId="0" fontId="0" fillId="3" borderId="24" xfId="0" applyFill="1" applyBorder="1" applyAlignment="1"/>
    <xf numFmtId="164" fontId="0" fillId="2" borderId="27" xfId="0" applyNumberFormat="1" applyFill="1" applyBorder="1" applyProtection="1"/>
    <xf numFmtId="164" fontId="0" fillId="2" borderId="28" xfId="0" applyNumberFormat="1" applyFill="1" applyBorder="1" applyProtection="1"/>
    <xf numFmtId="164" fontId="0" fillId="2" borderId="29" xfId="0" applyNumberFormat="1" applyFill="1" applyBorder="1" applyProtection="1"/>
    <xf numFmtId="49" fontId="0" fillId="3" borderId="24" xfId="0" applyNumberFormat="1" applyFill="1" applyBorder="1" applyAlignment="1"/>
    <xf numFmtId="49" fontId="0" fillId="3" borderId="27" xfId="0" applyNumberFormat="1" applyFill="1" applyBorder="1" applyAlignment="1">
      <alignment wrapText="1"/>
    </xf>
    <xf numFmtId="49" fontId="0" fillId="3" borderId="28" xfId="0" applyNumberFormat="1" applyFill="1" applyBorder="1" applyAlignment="1">
      <alignment wrapText="1"/>
    </xf>
    <xf numFmtId="4" fontId="0" fillId="3" borderId="28" xfId="0" applyNumberFormat="1" applyFill="1" applyBorder="1"/>
    <xf numFmtId="49" fontId="0" fillId="3" borderId="29" xfId="0" applyNumberFormat="1" applyFill="1" applyBorder="1" applyAlignment="1">
      <alignment wrapText="1"/>
    </xf>
    <xf numFmtId="4" fontId="0" fillId="3" borderId="29" xfId="0" applyNumberFormat="1" applyFill="1" applyBorder="1"/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64" fontId="1" fillId="2" borderId="22" xfId="0" applyNumberFormat="1" applyFont="1" applyFill="1" applyBorder="1"/>
    <xf numFmtId="164" fontId="1" fillId="2" borderId="23" xfId="0" applyNumberFormat="1" applyFont="1" applyFill="1" applyBorder="1"/>
    <xf numFmtId="164" fontId="0" fillId="0" borderId="19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49" fontId="1" fillId="4" borderId="19" xfId="0" applyNumberFormat="1" applyFont="1" applyFill="1" applyBorder="1" applyAlignment="1">
      <alignment wrapText="1"/>
    </xf>
    <xf numFmtId="49" fontId="1" fillId="4" borderId="20" xfId="0" applyNumberFormat="1" applyFont="1" applyFill="1" applyBorder="1" applyAlignment="1">
      <alignment wrapText="1"/>
    </xf>
    <xf numFmtId="49" fontId="1" fillId="3" borderId="19" xfId="0" applyNumberFormat="1" applyFont="1" applyFill="1" applyBorder="1"/>
    <xf numFmtId="49" fontId="1" fillId="3" borderId="2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00DC-F4B7-407F-AD12-AF189467524B}">
  <dimension ref="A1:B27"/>
  <sheetViews>
    <sheetView workbookViewId="0"/>
  </sheetViews>
  <sheetFormatPr defaultRowHeight="12.6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0.6</v>
      </c>
    </row>
    <row r="16" spans="1:2" x14ac:dyDescent="0.2">
      <c r="A16" s="2" t="s">
        <v>12</v>
      </c>
      <c r="B16" s="3">
        <f t="shared" si="0"/>
        <v>0.58823529411764708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0.23529411764705882</v>
      </c>
    </row>
    <row r="19" spans="1:2" x14ac:dyDescent="0.2">
      <c r="A19" s="2" t="s">
        <v>15</v>
      </c>
      <c r="B19" s="3">
        <f t="shared" si="0"/>
        <v>0.2</v>
      </c>
    </row>
    <row r="20" spans="1:2" x14ac:dyDescent="0.2">
      <c r="A20" s="2" t="s">
        <v>16</v>
      </c>
      <c r="B20" s="3">
        <f t="shared" si="0"/>
        <v>0.10196078431372549</v>
      </c>
    </row>
    <row r="21" spans="1:2" x14ac:dyDescent="0.2">
      <c r="A21" s="2" t="s">
        <v>17</v>
      </c>
      <c r="B21" s="3">
        <f t="shared" si="0"/>
        <v>4.7058823529411764E-2</v>
      </c>
    </row>
    <row r="22" spans="1:2" x14ac:dyDescent="0.2">
      <c r="A22" s="2" t="s">
        <v>18</v>
      </c>
      <c r="B22" s="3">
        <f t="shared" si="0"/>
        <v>3.9215686274509803E-2</v>
      </c>
    </row>
    <row r="23" spans="1:2" x14ac:dyDescent="0.2">
      <c r="A23" s="2" t="s">
        <v>19</v>
      </c>
      <c r="B23" s="3">
        <f t="shared" si="0"/>
        <v>2.3529411764705882E-2</v>
      </c>
    </row>
    <row r="24" spans="1:2" x14ac:dyDescent="0.2">
      <c r="A24" s="2" t="s">
        <v>20</v>
      </c>
      <c r="B24" s="3">
        <f t="shared" si="0"/>
        <v>1.5686274509803921E-2</v>
      </c>
    </row>
    <row r="25" spans="1:2" x14ac:dyDescent="0.2">
      <c r="A25" s="2" t="s">
        <v>21</v>
      </c>
      <c r="B25" s="3">
        <f t="shared" si="0"/>
        <v>1.1764705882352941E-2</v>
      </c>
    </row>
    <row r="26" spans="1:2" x14ac:dyDescent="0.2">
      <c r="A26" s="2" t="s">
        <v>22</v>
      </c>
      <c r="B26" s="3">
        <f t="shared" si="0"/>
        <v>7.8431372549019607E-3</v>
      </c>
    </row>
    <row r="27" spans="1:2" x14ac:dyDescent="0.2">
      <c r="A27" s="6" t="s">
        <v>23</v>
      </c>
      <c r="B27" s="7">
        <f t="shared" si="0"/>
        <v>3.9215686274509803E-3</v>
      </c>
    </row>
  </sheetData>
  <sheetProtection algorithmName="SHA-512" hashValue="eB3SRV1ztrnYiuASNxY4EPjpfCv5YbTxPqfPMlW01BWxV6URgach/hWYoCqpxUpmyWAiX3jgW0z6ByCKwmSI4w==" saltValue="RKlf0q15SXPHSgYp+Vi8q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5E3D-3374-438B-A8DF-C17647E561DF}">
  <dimension ref="A1:L1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ht="12.75" x14ac:dyDescent="0.2">
      <c r="A1" s="1" t="str">
        <f>CONCATENATE("Bijlage F.7: ",tabeltype," afroep")</f>
        <v>Bijlage F.7: Invultabel afroep</v>
      </c>
    </row>
    <row r="3" spans="1:12" ht="38.25" x14ac:dyDescent="0.2">
      <c r="A3" s="31" t="s">
        <v>619</v>
      </c>
      <c r="B3" s="31" t="s">
        <v>7</v>
      </c>
      <c r="C3" s="31" t="s">
        <v>620</v>
      </c>
      <c r="D3" s="31" t="s">
        <v>87</v>
      </c>
      <c r="E3" s="31" t="s">
        <v>90</v>
      </c>
      <c r="F3" s="31" t="s">
        <v>621</v>
      </c>
      <c r="G3" s="31" t="s">
        <v>622</v>
      </c>
      <c r="H3" s="31" t="s">
        <v>623</v>
      </c>
      <c r="I3" s="31" t="s">
        <v>624</v>
      </c>
      <c r="J3" s="31" t="s">
        <v>625</v>
      </c>
      <c r="K3" s="31" t="s">
        <v>188</v>
      </c>
      <c r="L3" s="31" t="s">
        <v>599</v>
      </c>
    </row>
    <row r="4" spans="1:12" ht="12.75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ht="12.75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2" x14ac:dyDescent="0.2">
      <c r="A6" s="42" t="s">
        <v>626</v>
      </c>
      <c r="B6" s="42" t="s">
        <v>16</v>
      </c>
      <c r="C6" s="43">
        <f t="shared" ref="C6:C12" si="0">IF(ISBLANK(B6),0,IF(ISERROR(VALUE(B6)),VLOOKUP(B6,dagsoorttabel1,2,FALSE)*dagenperjaar1,VALUE(B6)))</f>
        <v>26</v>
      </c>
      <c r="D6" s="42" t="s">
        <v>627</v>
      </c>
      <c r="E6" s="42" t="s">
        <v>628</v>
      </c>
      <c r="F6" s="127">
        <v>130</v>
      </c>
      <c r="G6" s="128"/>
      <c r="H6" s="44"/>
      <c r="I6" s="129"/>
      <c r="J6" s="46">
        <f>IF(ISBLANK(H6),0,F6 / ROUND(H6,4) * ROUND(G6,2))</f>
        <v>0</v>
      </c>
      <c r="K6" s="46">
        <f t="shared" ref="K6:K12" si="1">C6*J6</f>
        <v>0</v>
      </c>
      <c r="L6" s="46">
        <f t="shared" ref="L6:L13" si="2">K6/12</f>
        <v>0</v>
      </c>
    </row>
    <row r="7" spans="1:12" ht="12.75" x14ac:dyDescent="0.2">
      <c r="A7" s="47" t="s">
        <v>629</v>
      </c>
      <c r="B7" s="47" t="s">
        <v>18</v>
      </c>
      <c r="C7" s="48">
        <f t="shared" si="0"/>
        <v>10</v>
      </c>
      <c r="D7" s="47" t="s">
        <v>630</v>
      </c>
      <c r="E7" s="47" t="s">
        <v>631</v>
      </c>
      <c r="F7" s="130">
        <v>20</v>
      </c>
      <c r="G7" s="131"/>
      <c r="H7" s="132"/>
      <c r="I7" s="131"/>
      <c r="J7" s="51">
        <f t="shared" ref="J7:J12" si="3">IF(ISBLANK(F7),0,F7)*ROUND(I7,2)</f>
        <v>0</v>
      </c>
      <c r="K7" s="51">
        <f t="shared" si="1"/>
        <v>0</v>
      </c>
      <c r="L7" s="51">
        <f t="shared" si="2"/>
        <v>0</v>
      </c>
    </row>
    <row r="8" spans="1:12" ht="12.75" x14ac:dyDescent="0.2">
      <c r="A8" s="47" t="s">
        <v>632</v>
      </c>
      <c r="B8" s="47" t="s">
        <v>18</v>
      </c>
      <c r="C8" s="48">
        <f t="shared" si="0"/>
        <v>10</v>
      </c>
      <c r="D8" s="47" t="s">
        <v>633</v>
      </c>
      <c r="E8" s="47" t="s">
        <v>631</v>
      </c>
      <c r="F8" s="130">
        <v>10</v>
      </c>
      <c r="G8" s="131"/>
      <c r="H8" s="132"/>
      <c r="I8" s="131"/>
      <c r="J8" s="51">
        <f t="shared" si="3"/>
        <v>0</v>
      </c>
      <c r="K8" s="51">
        <f t="shared" si="1"/>
        <v>0</v>
      </c>
      <c r="L8" s="51">
        <f t="shared" si="2"/>
        <v>0</v>
      </c>
    </row>
    <row r="9" spans="1:12" ht="12.75" x14ac:dyDescent="0.2">
      <c r="A9" s="47" t="s">
        <v>634</v>
      </c>
      <c r="B9" s="47" t="s">
        <v>18</v>
      </c>
      <c r="C9" s="48">
        <f t="shared" si="0"/>
        <v>10</v>
      </c>
      <c r="D9" s="47" t="s">
        <v>635</v>
      </c>
      <c r="E9" s="47" t="s">
        <v>631</v>
      </c>
      <c r="F9" s="130">
        <v>4</v>
      </c>
      <c r="G9" s="131"/>
      <c r="H9" s="132"/>
      <c r="I9" s="131"/>
      <c r="J9" s="51">
        <f t="shared" si="3"/>
        <v>0</v>
      </c>
      <c r="K9" s="51">
        <f t="shared" si="1"/>
        <v>0</v>
      </c>
      <c r="L9" s="51">
        <f t="shared" si="2"/>
        <v>0</v>
      </c>
    </row>
    <row r="10" spans="1:12" ht="12.75" x14ac:dyDescent="0.2">
      <c r="A10" s="47" t="s">
        <v>636</v>
      </c>
      <c r="B10" s="47" t="s">
        <v>18</v>
      </c>
      <c r="C10" s="48">
        <f t="shared" si="0"/>
        <v>10</v>
      </c>
      <c r="D10" s="47" t="s">
        <v>637</v>
      </c>
      <c r="E10" s="47" t="s">
        <v>631</v>
      </c>
      <c r="F10" s="130">
        <v>40</v>
      </c>
      <c r="G10" s="131"/>
      <c r="H10" s="132"/>
      <c r="I10" s="131"/>
      <c r="J10" s="51">
        <f t="shared" si="3"/>
        <v>0</v>
      </c>
      <c r="K10" s="51">
        <f t="shared" si="1"/>
        <v>0</v>
      </c>
      <c r="L10" s="51">
        <f t="shared" si="2"/>
        <v>0</v>
      </c>
    </row>
    <row r="11" spans="1:12" ht="12.75" x14ac:dyDescent="0.2">
      <c r="A11" s="47" t="s">
        <v>638</v>
      </c>
      <c r="B11" s="47" t="s">
        <v>18</v>
      </c>
      <c r="C11" s="48">
        <f t="shared" si="0"/>
        <v>10</v>
      </c>
      <c r="D11" s="47" t="s">
        <v>639</v>
      </c>
      <c r="E11" s="47" t="s">
        <v>631</v>
      </c>
      <c r="F11" s="130">
        <v>20</v>
      </c>
      <c r="G11" s="131"/>
      <c r="H11" s="132"/>
      <c r="I11" s="131"/>
      <c r="J11" s="51">
        <f t="shared" si="3"/>
        <v>0</v>
      </c>
      <c r="K11" s="51">
        <f t="shared" si="1"/>
        <v>0</v>
      </c>
      <c r="L11" s="51">
        <f t="shared" si="2"/>
        <v>0</v>
      </c>
    </row>
    <row r="12" spans="1:12" ht="12.75" x14ac:dyDescent="0.2">
      <c r="A12" s="52" t="s">
        <v>640</v>
      </c>
      <c r="B12" s="52" t="s">
        <v>18</v>
      </c>
      <c r="C12" s="53">
        <f t="shared" si="0"/>
        <v>10</v>
      </c>
      <c r="D12" s="52" t="s">
        <v>641</v>
      </c>
      <c r="E12" s="52" t="s">
        <v>631</v>
      </c>
      <c r="F12" s="133">
        <v>2</v>
      </c>
      <c r="G12" s="134"/>
      <c r="H12" s="135"/>
      <c r="I12" s="134"/>
      <c r="J12" s="56">
        <f t="shared" si="3"/>
        <v>0</v>
      </c>
      <c r="K12" s="56">
        <f t="shared" si="1"/>
        <v>0</v>
      </c>
      <c r="L12" s="56">
        <f t="shared" si="2"/>
        <v>0</v>
      </c>
    </row>
    <row r="13" spans="1:12" ht="12.75" x14ac:dyDescent="0.2">
      <c r="A13" s="70" t="s">
        <v>249</v>
      </c>
      <c r="B13" s="71"/>
      <c r="C13" s="71"/>
      <c r="D13" s="71"/>
      <c r="E13" s="71"/>
      <c r="F13" s="71"/>
      <c r="G13" s="71"/>
      <c r="H13" s="71"/>
      <c r="I13" s="71"/>
      <c r="J13" s="71"/>
      <c r="K13" s="73">
        <f>SUM(K6:K12)</f>
        <v>0</v>
      </c>
      <c r="L13" s="136">
        <f t="shared" si="2"/>
        <v>0</v>
      </c>
    </row>
    <row r="15" spans="1:12" ht="12.75" x14ac:dyDescent="0.2">
      <c r="A15" s="70" t="s">
        <v>642</v>
      </c>
      <c r="B15" s="71"/>
      <c r="C15" s="71"/>
      <c r="D15" s="71"/>
      <c r="E15" s="71"/>
      <c r="F15" s="71"/>
      <c r="G15" s="71"/>
      <c r="H15" s="71"/>
      <c r="I15" s="71"/>
      <c r="J15" s="71"/>
      <c r="K15" s="73">
        <f>prijsjaarafroep1</f>
        <v>0</v>
      </c>
      <c r="L15" s="136">
        <f>K15/12</f>
        <v>0</v>
      </c>
    </row>
  </sheetData>
  <sheetProtection algorithmName="SHA-512" hashValue="T0fC6TaLfbUl/3pivGsAOAcd6WlMIz8UPKZNb96UbNojiK8c3bpliVbR1w/Rp8j/84Zg5smwetcMLhvlh7qZbg==" saltValue="f64HuK2in5k3tp8bKwr8O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F7402-212F-41FB-A0D7-49E253877126}">
  <dimension ref="A1:E71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ht="12.75" x14ac:dyDescent="0.2">
      <c r="A1" s="1" t="str">
        <f>CONCATENATE("Bijlage F.8: ",tabeltype," afroep incidenteel")</f>
        <v>Bijlage F.8: Invultabel afroep incidenteel</v>
      </c>
    </row>
    <row r="3" spans="1:5" ht="38.25" x14ac:dyDescent="0.2">
      <c r="A3" s="31" t="s">
        <v>619</v>
      </c>
      <c r="B3" s="31" t="s">
        <v>87</v>
      </c>
      <c r="C3" s="31" t="s">
        <v>90</v>
      </c>
      <c r="D3" s="31" t="s">
        <v>643</v>
      </c>
      <c r="E3" s="31" t="s">
        <v>624</v>
      </c>
    </row>
    <row r="4" spans="1:5" ht="12.75" x14ac:dyDescent="0.2">
      <c r="A4" s="32"/>
      <c r="B4" s="33"/>
      <c r="C4" s="33"/>
      <c r="D4" s="33"/>
      <c r="E4" s="34"/>
    </row>
    <row r="5" spans="1:5" ht="12.75" x14ac:dyDescent="0.2">
      <c r="A5" s="35" t="s">
        <v>92</v>
      </c>
      <c r="B5" s="36"/>
      <c r="C5" s="36"/>
      <c r="D5" s="36"/>
      <c r="E5" s="37"/>
    </row>
    <row r="6" spans="1:5" ht="12.75" x14ac:dyDescent="0.2">
      <c r="A6" s="42" t="s">
        <v>644</v>
      </c>
      <c r="B6" s="42" t="s">
        <v>645</v>
      </c>
      <c r="C6" s="42" t="s">
        <v>646</v>
      </c>
      <c r="D6" s="42" t="s">
        <v>647</v>
      </c>
      <c r="E6" s="128"/>
    </row>
    <row r="7" spans="1:5" ht="12.75" x14ac:dyDescent="0.2">
      <c r="A7" s="47" t="s">
        <v>648</v>
      </c>
      <c r="B7" s="47" t="s">
        <v>645</v>
      </c>
      <c r="C7" s="47" t="s">
        <v>646</v>
      </c>
      <c r="D7" s="47" t="s">
        <v>649</v>
      </c>
      <c r="E7" s="131"/>
    </row>
    <row r="8" spans="1:5" ht="12.75" x14ac:dyDescent="0.2">
      <c r="A8" s="47" t="s">
        <v>650</v>
      </c>
      <c r="B8" s="47" t="s">
        <v>645</v>
      </c>
      <c r="C8" s="47" t="s">
        <v>646</v>
      </c>
      <c r="D8" s="47" t="s">
        <v>651</v>
      </c>
      <c r="E8" s="131"/>
    </row>
    <row r="9" spans="1:5" ht="12.75" x14ac:dyDescent="0.2">
      <c r="A9" s="47" t="s">
        <v>652</v>
      </c>
      <c r="B9" s="47" t="s">
        <v>645</v>
      </c>
      <c r="C9" s="47" t="s">
        <v>646</v>
      </c>
      <c r="D9" s="47" t="s">
        <v>653</v>
      </c>
      <c r="E9" s="131"/>
    </row>
    <row r="10" spans="1:5" ht="12.75" x14ac:dyDescent="0.2">
      <c r="A10" s="47" t="s">
        <v>654</v>
      </c>
      <c r="B10" s="47" t="s">
        <v>655</v>
      </c>
      <c r="C10" s="47" t="s">
        <v>646</v>
      </c>
      <c r="D10" s="47" t="s">
        <v>647</v>
      </c>
      <c r="E10" s="131"/>
    </row>
    <row r="11" spans="1:5" ht="12.75" x14ac:dyDescent="0.2">
      <c r="A11" s="47" t="s">
        <v>656</v>
      </c>
      <c r="B11" s="47" t="s">
        <v>655</v>
      </c>
      <c r="C11" s="47" t="s">
        <v>646</v>
      </c>
      <c r="D11" s="47" t="s">
        <v>649</v>
      </c>
      <c r="E11" s="131"/>
    </row>
    <row r="12" spans="1:5" ht="12.75" x14ac:dyDescent="0.2">
      <c r="A12" s="47" t="s">
        <v>657</v>
      </c>
      <c r="B12" s="47" t="s">
        <v>655</v>
      </c>
      <c r="C12" s="47" t="s">
        <v>646</v>
      </c>
      <c r="D12" s="47" t="s">
        <v>651</v>
      </c>
      <c r="E12" s="131"/>
    </row>
    <row r="13" spans="1:5" ht="12.75" x14ac:dyDescent="0.2">
      <c r="A13" s="47" t="s">
        <v>658</v>
      </c>
      <c r="B13" s="47" t="s">
        <v>655</v>
      </c>
      <c r="C13" s="47" t="s">
        <v>646</v>
      </c>
      <c r="D13" s="47" t="s">
        <v>653</v>
      </c>
      <c r="E13" s="131"/>
    </row>
    <row r="14" spans="1:5" ht="12.75" x14ac:dyDescent="0.2">
      <c r="A14" s="47" t="s">
        <v>659</v>
      </c>
      <c r="B14" s="47" t="s">
        <v>660</v>
      </c>
      <c r="C14" s="47" t="s">
        <v>646</v>
      </c>
      <c r="D14" s="47" t="s">
        <v>647</v>
      </c>
      <c r="E14" s="131"/>
    </row>
    <row r="15" spans="1:5" ht="12.75" x14ac:dyDescent="0.2">
      <c r="A15" s="47" t="s">
        <v>661</v>
      </c>
      <c r="B15" s="47" t="s">
        <v>660</v>
      </c>
      <c r="C15" s="47" t="s">
        <v>646</v>
      </c>
      <c r="D15" s="47" t="s">
        <v>649</v>
      </c>
      <c r="E15" s="131"/>
    </row>
    <row r="16" spans="1:5" ht="12.75" x14ac:dyDescent="0.2">
      <c r="A16" s="47" t="s">
        <v>662</v>
      </c>
      <c r="B16" s="47" t="s">
        <v>660</v>
      </c>
      <c r="C16" s="47" t="s">
        <v>646</v>
      </c>
      <c r="D16" s="47" t="s">
        <v>651</v>
      </c>
      <c r="E16" s="131"/>
    </row>
    <row r="17" spans="1:5" ht="12.75" x14ac:dyDescent="0.2">
      <c r="A17" s="47" t="s">
        <v>663</v>
      </c>
      <c r="B17" s="47" t="s">
        <v>660</v>
      </c>
      <c r="C17" s="47" t="s">
        <v>646</v>
      </c>
      <c r="D17" s="47" t="s">
        <v>653</v>
      </c>
      <c r="E17" s="131"/>
    </row>
    <row r="18" spans="1:5" x14ac:dyDescent="0.2">
      <c r="A18" s="47" t="s">
        <v>664</v>
      </c>
      <c r="B18" s="47" t="s">
        <v>665</v>
      </c>
      <c r="C18" s="47" t="s">
        <v>666</v>
      </c>
      <c r="D18" s="47" t="s">
        <v>667</v>
      </c>
      <c r="E18" s="131"/>
    </row>
    <row r="19" spans="1:5" x14ac:dyDescent="0.2">
      <c r="A19" s="47" t="s">
        <v>668</v>
      </c>
      <c r="B19" s="47" t="s">
        <v>665</v>
      </c>
      <c r="C19" s="47" t="s">
        <v>666</v>
      </c>
      <c r="D19" s="47" t="s">
        <v>669</v>
      </c>
      <c r="E19" s="131"/>
    </row>
    <row r="20" spans="1:5" x14ac:dyDescent="0.2">
      <c r="A20" s="47" t="s">
        <v>670</v>
      </c>
      <c r="B20" s="47" t="s">
        <v>665</v>
      </c>
      <c r="C20" s="47" t="s">
        <v>666</v>
      </c>
      <c r="D20" s="47" t="s">
        <v>671</v>
      </c>
      <c r="E20" s="131"/>
    </row>
    <row r="21" spans="1:5" x14ac:dyDescent="0.2">
      <c r="A21" s="47" t="s">
        <v>672</v>
      </c>
      <c r="B21" s="47" t="s">
        <v>665</v>
      </c>
      <c r="C21" s="47" t="s">
        <v>666</v>
      </c>
      <c r="D21" s="47" t="s">
        <v>673</v>
      </c>
      <c r="E21" s="131"/>
    </row>
    <row r="22" spans="1:5" x14ac:dyDescent="0.2">
      <c r="A22" s="47" t="s">
        <v>674</v>
      </c>
      <c r="B22" s="47" t="s">
        <v>675</v>
      </c>
      <c r="C22" s="47" t="s">
        <v>666</v>
      </c>
      <c r="D22" s="47" t="s">
        <v>667</v>
      </c>
      <c r="E22" s="131"/>
    </row>
    <row r="23" spans="1:5" x14ac:dyDescent="0.2">
      <c r="A23" s="47" t="s">
        <v>676</v>
      </c>
      <c r="B23" s="47" t="s">
        <v>675</v>
      </c>
      <c r="C23" s="47" t="s">
        <v>666</v>
      </c>
      <c r="D23" s="47" t="s">
        <v>669</v>
      </c>
      <c r="E23" s="131"/>
    </row>
    <row r="24" spans="1:5" x14ac:dyDescent="0.2">
      <c r="A24" s="47" t="s">
        <v>677</v>
      </c>
      <c r="B24" s="47" t="s">
        <v>675</v>
      </c>
      <c r="C24" s="47" t="s">
        <v>666</v>
      </c>
      <c r="D24" s="47" t="s">
        <v>671</v>
      </c>
      <c r="E24" s="131"/>
    </row>
    <row r="25" spans="1:5" x14ac:dyDescent="0.2">
      <c r="A25" s="47" t="s">
        <v>678</v>
      </c>
      <c r="B25" s="47" t="s">
        <v>675</v>
      </c>
      <c r="C25" s="47" t="s">
        <v>666</v>
      </c>
      <c r="D25" s="47" t="s">
        <v>673</v>
      </c>
      <c r="E25" s="131"/>
    </row>
    <row r="26" spans="1:5" x14ac:dyDescent="0.2">
      <c r="A26" s="47" t="s">
        <v>679</v>
      </c>
      <c r="B26" s="47" t="s">
        <v>680</v>
      </c>
      <c r="C26" s="47" t="s">
        <v>666</v>
      </c>
      <c r="D26" s="47" t="s">
        <v>667</v>
      </c>
      <c r="E26" s="131"/>
    </row>
    <row r="27" spans="1:5" x14ac:dyDescent="0.2">
      <c r="A27" s="47" t="s">
        <v>681</v>
      </c>
      <c r="B27" s="47" t="s">
        <v>680</v>
      </c>
      <c r="C27" s="47" t="s">
        <v>666</v>
      </c>
      <c r="D27" s="47" t="s">
        <v>669</v>
      </c>
      <c r="E27" s="131"/>
    </row>
    <row r="28" spans="1:5" x14ac:dyDescent="0.2">
      <c r="A28" s="47" t="s">
        <v>682</v>
      </c>
      <c r="B28" s="47" t="s">
        <v>680</v>
      </c>
      <c r="C28" s="47" t="s">
        <v>666</v>
      </c>
      <c r="D28" s="47" t="s">
        <v>671</v>
      </c>
      <c r="E28" s="131"/>
    </row>
    <row r="29" spans="1:5" x14ac:dyDescent="0.2">
      <c r="A29" s="47" t="s">
        <v>683</v>
      </c>
      <c r="B29" s="47" t="s">
        <v>680</v>
      </c>
      <c r="C29" s="47" t="s">
        <v>666</v>
      </c>
      <c r="D29" s="47" t="s">
        <v>673</v>
      </c>
      <c r="E29" s="131"/>
    </row>
    <row r="30" spans="1:5" x14ac:dyDescent="0.2">
      <c r="A30" s="47" t="s">
        <v>684</v>
      </c>
      <c r="B30" s="47" t="s">
        <v>685</v>
      </c>
      <c r="C30" s="47" t="s">
        <v>666</v>
      </c>
      <c r="D30" s="47" t="s">
        <v>667</v>
      </c>
      <c r="E30" s="131"/>
    </row>
    <row r="31" spans="1:5" x14ac:dyDescent="0.2">
      <c r="A31" s="47" t="s">
        <v>686</v>
      </c>
      <c r="B31" s="47" t="s">
        <v>685</v>
      </c>
      <c r="C31" s="47" t="s">
        <v>666</v>
      </c>
      <c r="D31" s="47" t="s">
        <v>669</v>
      </c>
      <c r="E31" s="131"/>
    </row>
    <row r="32" spans="1:5" x14ac:dyDescent="0.2">
      <c r="A32" s="47" t="s">
        <v>687</v>
      </c>
      <c r="B32" s="47" t="s">
        <v>685</v>
      </c>
      <c r="C32" s="47" t="s">
        <v>666</v>
      </c>
      <c r="D32" s="47" t="s">
        <v>671</v>
      </c>
      <c r="E32" s="131"/>
    </row>
    <row r="33" spans="1:5" x14ac:dyDescent="0.2">
      <c r="A33" s="47" t="s">
        <v>688</v>
      </c>
      <c r="B33" s="47" t="s">
        <v>685</v>
      </c>
      <c r="C33" s="47" t="s">
        <v>666</v>
      </c>
      <c r="D33" s="47" t="s">
        <v>673</v>
      </c>
      <c r="E33" s="131"/>
    </row>
    <row r="34" spans="1:5" x14ac:dyDescent="0.2">
      <c r="A34" s="47" t="s">
        <v>689</v>
      </c>
      <c r="B34" s="47" t="s">
        <v>690</v>
      </c>
      <c r="C34" s="47" t="s">
        <v>666</v>
      </c>
      <c r="D34" s="47" t="s">
        <v>667</v>
      </c>
      <c r="E34" s="131"/>
    </row>
    <row r="35" spans="1:5" x14ac:dyDescent="0.2">
      <c r="A35" s="47" t="s">
        <v>691</v>
      </c>
      <c r="B35" s="47" t="s">
        <v>690</v>
      </c>
      <c r="C35" s="47" t="s">
        <v>666</v>
      </c>
      <c r="D35" s="47" t="s">
        <v>669</v>
      </c>
      <c r="E35" s="131"/>
    </row>
    <row r="36" spans="1:5" x14ac:dyDescent="0.2">
      <c r="A36" s="47" t="s">
        <v>692</v>
      </c>
      <c r="B36" s="47" t="s">
        <v>690</v>
      </c>
      <c r="C36" s="47" t="s">
        <v>666</v>
      </c>
      <c r="D36" s="47" t="s">
        <v>671</v>
      </c>
      <c r="E36" s="131"/>
    </row>
    <row r="37" spans="1:5" x14ac:dyDescent="0.2">
      <c r="A37" s="47" t="s">
        <v>693</v>
      </c>
      <c r="B37" s="47" t="s">
        <v>690</v>
      </c>
      <c r="C37" s="47" t="s">
        <v>666</v>
      </c>
      <c r="D37" s="47" t="s">
        <v>673</v>
      </c>
      <c r="E37" s="131"/>
    </row>
    <row r="38" spans="1:5" x14ac:dyDescent="0.2">
      <c r="A38" s="47" t="s">
        <v>694</v>
      </c>
      <c r="B38" s="47" t="s">
        <v>695</v>
      </c>
      <c r="C38" s="47" t="s">
        <v>666</v>
      </c>
      <c r="D38" s="47" t="s">
        <v>667</v>
      </c>
      <c r="E38" s="131"/>
    </row>
    <row r="39" spans="1:5" x14ac:dyDescent="0.2">
      <c r="A39" s="47" t="s">
        <v>696</v>
      </c>
      <c r="B39" s="47" t="s">
        <v>695</v>
      </c>
      <c r="C39" s="47" t="s">
        <v>666</v>
      </c>
      <c r="D39" s="47" t="s">
        <v>669</v>
      </c>
      <c r="E39" s="131"/>
    </row>
    <row r="40" spans="1:5" x14ac:dyDescent="0.2">
      <c r="A40" s="47" t="s">
        <v>697</v>
      </c>
      <c r="B40" s="47" t="s">
        <v>695</v>
      </c>
      <c r="C40" s="47" t="s">
        <v>666</v>
      </c>
      <c r="D40" s="47" t="s">
        <v>671</v>
      </c>
      <c r="E40" s="131"/>
    </row>
    <row r="41" spans="1:5" x14ac:dyDescent="0.2">
      <c r="A41" s="47" t="s">
        <v>698</v>
      </c>
      <c r="B41" s="47" t="s">
        <v>695</v>
      </c>
      <c r="C41" s="47" t="s">
        <v>666</v>
      </c>
      <c r="D41" s="47" t="s">
        <v>673</v>
      </c>
      <c r="E41" s="131"/>
    </row>
    <row r="42" spans="1:5" x14ac:dyDescent="0.2">
      <c r="A42" s="47" t="s">
        <v>699</v>
      </c>
      <c r="B42" s="47" t="s">
        <v>700</v>
      </c>
      <c r="C42" s="47" t="s">
        <v>666</v>
      </c>
      <c r="D42" s="47" t="s">
        <v>701</v>
      </c>
      <c r="E42" s="131"/>
    </row>
    <row r="43" spans="1:5" x14ac:dyDescent="0.2">
      <c r="A43" s="47" t="s">
        <v>702</v>
      </c>
      <c r="B43" s="47" t="s">
        <v>700</v>
      </c>
      <c r="C43" s="47" t="s">
        <v>666</v>
      </c>
      <c r="D43" s="47" t="s">
        <v>703</v>
      </c>
      <c r="E43" s="131"/>
    </row>
    <row r="44" spans="1:5" x14ac:dyDescent="0.2">
      <c r="A44" s="47" t="s">
        <v>704</v>
      </c>
      <c r="B44" s="47" t="s">
        <v>700</v>
      </c>
      <c r="C44" s="47" t="s">
        <v>666</v>
      </c>
      <c r="D44" s="47" t="s">
        <v>705</v>
      </c>
      <c r="E44" s="131"/>
    </row>
    <row r="45" spans="1:5" x14ac:dyDescent="0.2">
      <c r="A45" s="47" t="s">
        <v>706</v>
      </c>
      <c r="B45" s="47" t="s">
        <v>700</v>
      </c>
      <c r="C45" s="47" t="s">
        <v>666</v>
      </c>
      <c r="D45" s="47" t="s">
        <v>707</v>
      </c>
      <c r="E45" s="131"/>
    </row>
    <row r="46" spans="1:5" x14ac:dyDescent="0.2">
      <c r="A46" s="47" t="s">
        <v>708</v>
      </c>
      <c r="B46" s="47" t="s">
        <v>709</v>
      </c>
      <c r="C46" s="47" t="s">
        <v>666</v>
      </c>
      <c r="D46" s="47" t="s">
        <v>701</v>
      </c>
      <c r="E46" s="131"/>
    </row>
    <row r="47" spans="1:5" x14ac:dyDescent="0.2">
      <c r="A47" s="47" t="s">
        <v>710</v>
      </c>
      <c r="B47" s="47" t="s">
        <v>709</v>
      </c>
      <c r="C47" s="47" t="s">
        <v>666</v>
      </c>
      <c r="D47" s="47" t="s">
        <v>703</v>
      </c>
      <c r="E47" s="131"/>
    </row>
    <row r="48" spans="1:5" x14ac:dyDescent="0.2">
      <c r="A48" s="47" t="s">
        <v>711</v>
      </c>
      <c r="B48" s="47" t="s">
        <v>709</v>
      </c>
      <c r="C48" s="47" t="s">
        <v>666</v>
      </c>
      <c r="D48" s="47" t="s">
        <v>705</v>
      </c>
      <c r="E48" s="131"/>
    </row>
    <row r="49" spans="1:5" x14ac:dyDescent="0.2">
      <c r="A49" s="47" t="s">
        <v>712</v>
      </c>
      <c r="B49" s="47" t="s">
        <v>709</v>
      </c>
      <c r="C49" s="47" t="s">
        <v>666</v>
      </c>
      <c r="D49" s="47" t="s">
        <v>707</v>
      </c>
      <c r="E49" s="131"/>
    </row>
    <row r="50" spans="1:5" x14ac:dyDescent="0.2">
      <c r="A50" s="47" t="s">
        <v>713</v>
      </c>
      <c r="B50" s="47" t="s">
        <v>714</v>
      </c>
      <c r="C50" s="47" t="s">
        <v>666</v>
      </c>
      <c r="D50" s="47" t="s">
        <v>701</v>
      </c>
      <c r="E50" s="131"/>
    </row>
    <row r="51" spans="1:5" x14ac:dyDescent="0.2">
      <c r="A51" s="47" t="s">
        <v>715</v>
      </c>
      <c r="B51" s="47" t="s">
        <v>714</v>
      </c>
      <c r="C51" s="47" t="s">
        <v>666</v>
      </c>
      <c r="D51" s="47" t="s">
        <v>703</v>
      </c>
      <c r="E51" s="131"/>
    </row>
    <row r="52" spans="1:5" x14ac:dyDescent="0.2">
      <c r="A52" s="47" t="s">
        <v>716</v>
      </c>
      <c r="B52" s="47" t="s">
        <v>714</v>
      </c>
      <c r="C52" s="47" t="s">
        <v>666</v>
      </c>
      <c r="D52" s="47" t="s">
        <v>705</v>
      </c>
      <c r="E52" s="131"/>
    </row>
    <row r="53" spans="1:5" x14ac:dyDescent="0.2">
      <c r="A53" s="47" t="s">
        <v>717</v>
      </c>
      <c r="B53" s="47" t="s">
        <v>714</v>
      </c>
      <c r="C53" s="47" t="s">
        <v>666</v>
      </c>
      <c r="D53" s="47" t="s">
        <v>707</v>
      </c>
      <c r="E53" s="131"/>
    </row>
    <row r="54" spans="1:5" x14ac:dyDescent="0.2">
      <c r="A54" s="47" t="s">
        <v>718</v>
      </c>
      <c r="B54" s="47" t="s">
        <v>719</v>
      </c>
      <c r="C54" s="47" t="s">
        <v>666</v>
      </c>
      <c r="D54" s="47" t="s">
        <v>701</v>
      </c>
      <c r="E54" s="131"/>
    </row>
    <row r="55" spans="1:5" x14ac:dyDescent="0.2">
      <c r="A55" s="47" t="s">
        <v>720</v>
      </c>
      <c r="B55" s="47" t="s">
        <v>719</v>
      </c>
      <c r="C55" s="47" t="s">
        <v>666</v>
      </c>
      <c r="D55" s="47" t="s">
        <v>721</v>
      </c>
      <c r="E55" s="131"/>
    </row>
    <row r="56" spans="1:5" x14ac:dyDescent="0.2">
      <c r="A56" s="47" t="s">
        <v>722</v>
      </c>
      <c r="B56" s="47" t="s">
        <v>719</v>
      </c>
      <c r="C56" s="47" t="s">
        <v>666</v>
      </c>
      <c r="D56" s="47" t="s">
        <v>707</v>
      </c>
      <c r="E56" s="131"/>
    </row>
    <row r="57" spans="1:5" x14ac:dyDescent="0.2">
      <c r="A57" s="47" t="s">
        <v>723</v>
      </c>
      <c r="B57" s="47" t="s">
        <v>724</v>
      </c>
      <c r="C57" s="47" t="s">
        <v>666</v>
      </c>
      <c r="D57" s="47" t="s">
        <v>701</v>
      </c>
      <c r="E57" s="131"/>
    </row>
    <row r="58" spans="1:5" x14ac:dyDescent="0.2">
      <c r="A58" s="47" t="s">
        <v>725</v>
      </c>
      <c r="B58" s="47" t="s">
        <v>724</v>
      </c>
      <c r="C58" s="47" t="s">
        <v>666</v>
      </c>
      <c r="D58" s="47" t="s">
        <v>703</v>
      </c>
      <c r="E58" s="131"/>
    </row>
    <row r="59" spans="1:5" x14ac:dyDescent="0.2">
      <c r="A59" s="47" t="s">
        <v>726</v>
      </c>
      <c r="B59" s="47" t="s">
        <v>724</v>
      </c>
      <c r="C59" s="47" t="s">
        <v>666</v>
      </c>
      <c r="D59" s="47" t="s">
        <v>705</v>
      </c>
      <c r="E59" s="131"/>
    </row>
    <row r="60" spans="1:5" x14ac:dyDescent="0.2">
      <c r="A60" s="47" t="s">
        <v>727</v>
      </c>
      <c r="B60" s="47" t="s">
        <v>724</v>
      </c>
      <c r="C60" s="47" t="s">
        <v>666</v>
      </c>
      <c r="D60" s="47" t="s">
        <v>707</v>
      </c>
      <c r="E60" s="131"/>
    </row>
    <row r="61" spans="1:5" x14ac:dyDescent="0.2">
      <c r="A61" s="47" t="s">
        <v>728</v>
      </c>
      <c r="B61" s="47" t="s">
        <v>729</v>
      </c>
      <c r="C61" s="47" t="s">
        <v>666</v>
      </c>
      <c r="D61" s="47" t="s">
        <v>701</v>
      </c>
      <c r="E61" s="131"/>
    </row>
    <row r="62" spans="1:5" x14ac:dyDescent="0.2">
      <c r="A62" s="47" t="s">
        <v>730</v>
      </c>
      <c r="B62" s="47" t="s">
        <v>729</v>
      </c>
      <c r="C62" s="47" t="s">
        <v>666</v>
      </c>
      <c r="D62" s="47" t="s">
        <v>703</v>
      </c>
      <c r="E62" s="131"/>
    </row>
    <row r="63" spans="1:5" x14ac:dyDescent="0.2">
      <c r="A63" s="47" t="s">
        <v>731</v>
      </c>
      <c r="B63" s="47" t="s">
        <v>729</v>
      </c>
      <c r="C63" s="47" t="s">
        <v>666</v>
      </c>
      <c r="D63" s="47" t="s">
        <v>705</v>
      </c>
      <c r="E63" s="131"/>
    </row>
    <row r="64" spans="1:5" x14ac:dyDescent="0.2">
      <c r="A64" s="47" t="s">
        <v>732</v>
      </c>
      <c r="B64" s="47" t="s">
        <v>729</v>
      </c>
      <c r="C64" s="47" t="s">
        <v>666</v>
      </c>
      <c r="D64" s="47" t="s">
        <v>707</v>
      </c>
      <c r="E64" s="131"/>
    </row>
    <row r="65" spans="1:5" x14ac:dyDescent="0.2">
      <c r="A65" s="47" t="s">
        <v>733</v>
      </c>
      <c r="B65" s="47" t="s">
        <v>734</v>
      </c>
      <c r="C65" s="47" t="s">
        <v>666</v>
      </c>
      <c r="D65" s="47" t="s">
        <v>701</v>
      </c>
      <c r="E65" s="131"/>
    </row>
    <row r="66" spans="1:5" x14ac:dyDescent="0.2">
      <c r="A66" s="47" t="s">
        <v>735</v>
      </c>
      <c r="B66" s="47" t="s">
        <v>734</v>
      </c>
      <c r="C66" s="47" t="s">
        <v>666</v>
      </c>
      <c r="D66" s="47" t="s">
        <v>703</v>
      </c>
      <c r="E66" s="131"/>
    </row>
    <row r="67" spans="1:5" x14ac:dyDescent="0.2">
      <c r="A67" s="47" t="s">
        <v>736</v>
      </c>
      <c r="B67" s="47" t="s">
        <v>734</v>
      </c>
      <c r="C67" s="47" t="s">
        <v>666</v>
      </c>
      <c r="D67" s="47" t="s">
        <v>705</v>
      </c>
      <c r="E67" s="131"/>
    </row>
    <row r="68" spans="1:5" x14ac:dyDescent="0.2">
      <c r="A68" s="52" t="s">
        <v>737</v>
      </c>
      <c r="B68" s="52" t="s">
        <v>734</v>
      </c>
      <c r="C68" s="52" t="s">
        <v>666</v>
      </c>
      <c r="D68" s="52" t="s">
        <v>707</v>
      </c>
      <c r="E68" s="134"/>
    </row>
    <row r="69" spans="1:5" x14ac:dyDescent="0.2">
      <c r="A69" s="70" t="s">
        <v>249</v>
      </c>
      <c r="B69" s="71"/>
      <c r="C69" s="71"/>
      <c r="D69" s="71"/>
      <c r="E69" s="137"/>
    </row>
    <row r="71" spans="1:5" x14ac:dyDescent="0.2">
      <c r="A71" s="70" t="s">
        <v>738</v>
      </c>
      <c r="B71" s="71"/>
      <c r="C71" s="71"/>
      <c r="D71" s="71"/>
      <c r="E71" s="137"/>
    </row>
  </sheetData>
  <sheetProtection algorithmName="SHA-512" hashValue="9//rpmTsdG+HD0fTRUAb5CoU9PDNJUkX7h5nAy8Dbx90lSXJbVtFPX0IpB/8o3ROhwweT2avFmShdiUV163RQQ==" saltValue="xfNXyeInm7t2gU857DOFm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1F36-742A-46BC-A4C5-6DFFCFF4D1DB}">
  <dimension ref="A1:L27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ht="12.75" x14ac:dyDescent="0.2">
      <c r="A1" s="1" t="str">
        <f>CONCATENATE("Bijlage F.9: ",tabeltype," glas")</f>
        <v>Bijlage F.9: Invultabel glas</v>
      </c>
    </row>
    <row r="3" spans="1:12" ht="38.25" x14ac:dyDescent="0.2">
      <c r="A3" s="31" t="s">
        <v>619</v>
      </c>
      <c r="B3" s="31" t="s">
        <v>7</v>
      </c>
      <c r="C3" s="31" t="s">
        <v>620</v>
      </c>
      <c r="D3" s="31" t="s">
        <v>87</v>
      </c>
      <c r="E3" s="31" t="s">
        <v>90</v>
      </c>
      <c r="F3" s="31" t="s">
        <v>621</v>
      </c>
      <c r="G3" s="31" t="s">
        <v>622</v>
      </c>
      <c r="H3" s="31" t="s">
        <v>623</v>
      </c>
      <c r="I3" s="31" t="s">
        <v>624</v>
      </c>
      <c r="J3" s="31" t="s">
        <v>625</v>
      </c>
      <c r="K3" s="31" t="s">
        <v>188</v>
      </c>
      <c r="L3" s="31" t="s">
        <v>599</v>
      </c>
    </row>
    <row r="4" spans="1:12" ht="12.75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ht="12.75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2" x14ac:dyDescent="0.2">
      <c r="A6" s="42" t="s">
        <v>739</v>
      </c>
      <c r="B6" s="42" t="s">
        <v>17</v>
      </c>
      <c r="C6" s="43">
        <f t="shared" ref="C6:C24" si="0">IF(ISBLANK(B6),0,IF(ISERROR(VALUE(B6)),VLOOKUP(B6,dagsoorttabel1,2,FALSE)*dagenperjaar1,VALUE(B6)))</f>
        <v>12</v>
      </c>
      <c r="D6" s="42" t="s">
        <v>740</v>
      </c>
      <c r="E6" s="42" t="s">
        <v>666</v>
      </c>
      <c r="F6" s="127">
        <v>40</v>
      </c>
      <c r="G6" s="128"/>
      <c r="H6" s="138"/>
      <c r="I6" s="128"/>
      <c r="J6" s="46">
        <f t="shared" ref="J6:J22" si="1">IF(ISBLANK(F6),0,F6)*ROUND(I6,2)</f>
        <v>0</v>
      </c>
      <c r="K6" s="46">
        <f t="shared" ref="K6:K24" si="2">C6*J6</f>
        <v>0</v>
      </c>
      <c r="L6" s="46">
        <f t="shared" ref="L6:L25" si="3">K6/12</f>
        <v>0</v>
      </c>
    </row>
    <row r="7" spans="1:12" x14ac:dyDescent="0.2">
      <c r="A7" s="47" t="s">
        <v>739</v>
      </c>
      <c r="B7" s="47" t="s">
        <v>23</v>
      </c>
      <c r="C7" s="48">
        <f t="shared" si="0"/>
        <v>1</v>
      </c>
      <c r="D7" s="47" t="s">
        <v>740</v>
      </c>
      <c r="E7" s="47" t="s">
        <v>666</v>
      </c>
      <c r="F7" s="130">
        <v>89.8</v>
      </c>
      <c r="G7" s="131"/>
      <c r="H7" s="132"/>
      <c r="I7" s="131"/>
      <c r="J7" s="51">
        <f t="shared" si="1"/>
        <v>0</v>
      </c>
      <c r="K7" s="51">
        <f t="shared" si="2"/>
        <v>0</v>
      </c>
      <c r="L7" s="51">
        <f t="shared" si="3"/>
        <v>0</v>
      </c>
    </row>
    <row r="8" spans="1:12" x14ac:dyDescent="0.2">
      <c r="A8" s="47" t="s">
        <v>739</v>
      </c>
      <c r="B8" s="47" t="s">
        <v>22</v>
      </c>
      <c r="C8" s="48">
        <f t="shared" si="0"/>
        <v>2</v>
      </c>
      <c r="D8" s="47" t="s">
        <v>740</v>
      </c>
      <c r="E8" s="47" t="s">
        <v>666</v>
      </c>
      <c r="F8" s="130">
        <v>755.6</v>
      </c>
      <c r="G8" s="131"/>
      <c r="H8" s="132"/>
      <c r="I8" s="131"/>
      <c r="J8" s="51">
        <f t="shared" si="1"/>
        <v>0</v>
      </c>
      <c r="K8" s="51">
        <f t="shared" si="2"/>
        <v>0</v>
      </c>
      <c r="L8" s="51">
        <f t="shared" si="3"/>
        <v>0</v>
      </c>
    </row>
    <row r="9" spans="1:12" x14ac:dyDescent="0.2">
      <c r="A9" s="47" t="s">
        <v>739</v>
      </c>
      <c r="B9" s="47" t="s">
        <v>21</v>
      </c>
      <c r="C9" s="48">
        <f t="shared" si="0"/>
        <v>3</v>
      </c>
      <c r="D9" s="47" t="s">
        <v>740</v>
      </c>
      <c r="E9" s="47" t="s">
        <v>666</v>
      </c>
      <c r="F9" s="130">
        <v>107.89999999999999</v>
      </c>
      <c r="G9" s="131"/>
      <c r="H9" s="132"/>
      <c r="I9" s="131"/>
      <c r="J9" s="51">
        <f t="shared" si="1"/>
        <v>0</v>
      </c>
      <c r="K9" s="51">
        <f t="shared" si="2"/>
        <v>0</v>
      </c>
      <c r="L9" s="51">
        <f t="shared" si="3"/>
        <v>0</v>
      </c>
    </row>
    <row r="10" spans="1:12" x14ac:dyDescent="0.2">
      <c r="A10" s="47" t="s">
        <v>741</v>
      </c>
      <c r="B10" s="47" t="s">
        <v>22</v>
      </c>
      <c r="C10" s="48">
        <f t="shared" si="0"/>
        <v>2</v>
      </c>
      <c r="D10" s="47" t="s">
        <v>742</v>
      </c>
      <c r="E10" s="47" t="s">
        <v>666</v>
      </c>
      <c r="F10" s="130">
        <v>79.900000000000006</v>
      </c>
      <c r="G10" s="131"/>
      <c r="H10" s="132"/>
      <c r="I10" s="131"/>
      <c r="J10" s="51">
        <f t="shared" si="1"/>
        <v>0</v>
      </c>
      <c r="K10" s="51">
        <f t="shared" si="2"/>
        <v>0</v>
      </c>
      <c r="L10" s="51">
        <f t="shared" si="3"/>
        <v>0</v>
      </c>
    </row>
    <row r="11" spans="1:12" x14ac:dyDescent="0.2">
      <c r="A11" s="47" t="s">
        <v>743</v>
      </c>
      <c r="B11" s="47" t="s">
        <v>17</v>
      </c>
      <c r="C11" s="48">
        <f t="shared" si="0"/>
        <v>12</v>
      </c>
      <c r="D11" s="47" t="s">
        <v>744</v>
      </c>
      <c r="E11" s="47" t="s">
        <v>666</v>
      </c>
      <c r="F11" s="130">
        <v>40</v>
      </c>
      <c r="G11" s="131"/>
      <c r="H11" s="132"/>
      <c r="I11" s="131"/>
      <c r="J11" s="51">
        <f t="shared" si="1"/>
        <v>0</v>
      </c>
      <c r="K11" s="51">
        <f t="shared" si="2"/>
        <v>0</v>
      </c>
      <c r="L11" s="51">
        <f t="shared" si="3"/>
        <v>0</v>
      </c>
    </row>
    <row r="12" spans="1:12" x14ac:dyDescent="0.2">
      <c r="A12" s="47" t="s">
        <v>743</v>
      </c>
      <c r="B12" s="47" t="s">
        <v>23</v>
      </c>
      <c r="C12" s="48">
        <f t="shared" si="0"/>
        <v>1</v>
      </c>
      <c r="D12" s="47" t="s">
        <v>744</v>
      </c>
      <c r="E12" s="47" t="s">
        <v>666</v>
      </c>
      <c r="F12" s="130">
        <v>89.8</v>
      </c>
      <c r="G12" s="131"/>
      <c r="H12" s="132"/>
      <c r="I12" s="131"/>
      <c r="J12" s="51">
        <f t="shared" si="1"/>
        <v>0</v>
      </c>
      <c r="K12" s="51">
        <f t="shared" si="2"/>
        <v>0</v>
      </c>
      <c r="L12" s="51">
        <f t="shared" si="3"/>
        <v>0</v>
      </c>
    </row>
    <row r="13" spans="1:12" x14ac:dyDescent="0.2">
      <c r="A13" s="47" t="s">
        <v>743</v>
      </c>
      <c r="B13" s="47" t="s">
        <v>22</v>
      </c>
      <c r="C13" s="48">
        <f t="shared" si="0"/>
        <v>2</v>
      </c>
      <c r="D13" s="47" t="s">
        <v>744</v>
      </c>
      <c r="E13" s="47" t="s">
        <v>666</v>
      </c>
      <c r="F13" s="130">
        <v>835.5</v>
      </c>
      <c r="G13" s="131"/>
      <c r="H13" s="132"/>
      <c r="I13" s="131"/>
      <c r="J13" s="51">
        <f t="shared" si="1"/>
        <v>0</v>
      </c>
      <c r="K13" s="51">
        <f t="shared" si="2"/>
        <v>0</v>
      </c>
      <c r="L13" s="51">
        <f t="shared" si="3"/>
        <v>0</v>
      </c>
    </row>
    <row r="14" spans="1:12" x14ac:dyDescent="0.2">
      <c r="A14" s="47" t="s">
        <v>743</v>
      </c>
      <c r="B14" s="47" t="s">
        <v>21</v>
      </c>
      <c r="C14" s="48">
        <f t="shared" si="0"/>
        <v>3</v>
      </c>
      <c r="D14" s="47" t="s">
        <v>744</v>
      </c>
      <c r="E14" s="47" t="s">
        <v>666</v>
      </c>
      <c r="F14" s="130">
        <v>107.89999999999999</v>
      </c>
      <c r="G14" s="131"/>
      <c r="H14" s="132"/>
      <c r="I14" s="131"/>
      <c r="J14" s="51">
        <f t="shared" si="1"/>
        <v>0</v>
      </c>
      <c r="K14" s="51">
        <f t="shared" si="2"/>
        <v>0</v>
      </c>
      <c r="L14" s="51">
        <f t="shared" si="3"/>
        <v>0</v>
      </c>
    </row>
    <row r="15" spans="1:12" x14ac:dyDescent="0.2">
      <c r="A15" s="47" t="s">
        <v>745</v>
      </c>
      <c r="B15" s="47" t="s">
        <v>23</v>
      </c>
      <c r="C15" s="48">
        <f t="shared" si="0"/>
        <v>1</v>
      </c>
      <c r="D15" s="47" t="s">
        <v>746</v>
      </c>
      <c r="E15" s="47" t="s">
        <v>666</v>
      </c>
      <c r="F15" s="130">
        <v>44.6</v>
      </c>
      <c r="G15" s="131"/>
      <c r="H15" s="132"/>
      <c r="I15" s="131"/>
      <c r="J15" s="51">
        <f t="shared" si="1"/>
        <v>0</v>
      </c>
      <c r="K15" s="51">
        <f t="shared" si="2"/>
        <v>0</v>
      </c>
      <c r="L15" s="51">
        <f t="shared" si="3"/>
        <v>0</v>
      </c>
    </row>
    <row r="16" spans="1:12" x14ac:dyDescent="0.2">
      <c r="A16" s="47" t="s">
        <v>745</v>
      </c>
      <c r="B16" s="47" t="s">
        <v>22</v>
      </c>
      <c r="C16" s="48">
        <f t="shared" si="0"/>
        <v>2</v>
      </c>
      <c r="D16" s="47" t="s">
        <v>746</v>
      </c>
      <c r="E16" s="47" t="s">
        <v>666</v>
      </c>
      <c r="F16" s="130">
        <v>934.2</v>
      </c>
      <c r="G16" s="131"/>
      <c r="H16" s="132"/>
      <c r="I16" s="131"/>
      <c r="J16" s="51">
        <f t="shared" si="1"/>
        <v>0</v>
      </c>
      <c r="K16" s="51">
        <f t="shared" si="2"/>
        <v>0</v>
      </c>
      <c r="L16" s="51">
        <f t="shared" si="3"/>
        <v>0</v>
      </c>
    </row>
    <row r="17" spans="1:12" x14ac:dyDescent="0.2">
      <c r="A17" s="47" t="s">
        <v>745</v>
      </c>
      <c r="B17" s="47" t="s">
        <v>21</v>
      </c>
      <c r="C17" s="48">
        <f t="shared" si="0"/>
        <v>3</v>
      </c>
      <c r="D17" s="47" t="s">
        <v>746</v>
      </c>
      <c r="E17" s="47" t="s">
        <v>666</v>
      </c>
      <c r="F17" s="130">
        <v>117.6</v>
      </c>
      <c r="G17" s="131"/>
      <c r="H17" s="132"/>
      <c r="I17" s="131"/>
      <c r="J17" s="51">
        <f t="shared" si="1"/>
        <v>0</v>
      </c>
      <c r="K17" s="51">
        <f t="shared" si="2"/>
        <v>0</v>
      </c>
      <c r="L17" s="51">
        <f t="shared" si="3"/>
        <v>0</v>
      </c>
    </row>
    <row r="18" spans="1:12" x14ac:dyDescent="0.2">
      <c r="A18" s="47" t="s">
        <v>747</v>
      </c>
      <c r="B18" s="47" t="s">
        <v>22</v>
      </c>
      <c r="C18" s="48">
        <f t="shared" si="0"/>
        <v>2</v>
      </c>
      <c r="D18" s="47" t="s">
        <v>748</v>
      </c>
      <c r="E18" s="47" t="s">
        <v>666</v>
      </c>
      <c r="F18" s="130">
        <v>76</v>
      </c>
      <c r="G18" s="131"/>
      <c r="H18" s="132"/>
      <c r="I18" s="131"/>
      <c r="J18" s="51">
        <f t="shared" si="1"/>
        <v>0</v>
      </c>
      <c r="K18" s="51">
        <f t="shared" si="2"/>
        <v>0</v>
      </c>
      <c r="L18" s="51">
        <f t="shared" si="3"/>
        <v>0</v>
      </c>
    </row>
    <row r="19" spans="1:12" x14ac:dyDescent="0.2">
      <c r="A19" s="47" t="s">
        <v>749</v>
      </c>
      <c r="B19" s="47" t="s">
        <v>22</v>
      </c>
      <c r="C19" s="48">
        <f t="shared" si="0"/>
        <v>2</v>
      </c>
      <c r="D19" s="47" t="s">
        <v>750</v>
      </c>
      <c r="E19" s="47" t="s">
        <v>666</v>
      </c>
      <c r="F19" s="130">
        <v>76</v>
      </c>
      <c r="G19" s="131"/>
      <c r="H19" s="132"/>
      <c r="I19" s="131"/>
      <c r="J19" s="51">
        <f t="shared" si="1"/>
        <v>0</v>
      </c>
      <c r="K19" s="51">
        <f t="shared" si="2"/>
        <v>0</v>
      </c>
      <c r="L19" s="51">
        <f t="shared" si="3"/>
        <v>0</v>
      </c>
    </row>
    <row r="20" spans="1:12" x14ac:dyDescent="0.2">
      <c r="A20" s="47" t="s">
        <v>751</v>
      </c>
      <c r="B20" s="47" t="s">
        <v>22</v>
      </c>
      <c r="C20" s="48">
        <f t="shared" si="0"/>
        <v>2</v>
      </c>
      <c r="D20" s="47" t="s">
        <v>752</v>
      </c>
      <c r="E20" s="47" t="s">
        <v>666</v>
      </c>
      <c r="F20" s="130">
        <v>6</v>
      </c>
      <c r="G20" s="131"/>
      <c r="H20" s="132"/>
      <c r="I20" s="131"/>
      <c r="J20" s="51">
        <f t="shared" si="1"/>
        <v>0</v>
      </c>
      <c r="K20" s="51">
        <f t="shared" si="2"/>
        <v>0</v>
      </c>
      <c r="L20" s="51">
        <f t="shared" si="3"/>
        <v>0</v>
      </c>
    </row>
    <row r="21" spans="1:12" x14ac:dyDescent="0.2">
      <c r="A21" s="47" t="s">
        <v>753</v>
      </c>
      <c r="B21" s="47" t="s">
        <v>22</v>
      </c>
      <c r="C21" s="48">
        <f t="shared" si="0"/>
        <v>2</v>
      </c>
      <c r="D21" s="47" t="s">
        <v>754</v>
      </c>
      <c r="E21" s="47" t="s">
        <v>666</v>
      </c>
      <c r="F21" s="130">
        <v>235</v>
      </c>
      <c r="G21" s="131"/>
      <c r="H21" s="132"/>
      <c r="I21" s="131"/>
      <c r="J21" s="51">
        <f t="shared" si="1"/>
        <v>0</v>
      </c>
      <c r="K21" s="51">
        <f t="shared" si="2"/>
        <v>0</v>
      </c>
      <c r="L21" s="51">
        <f t="shared" si="3"/>
        <v>0</v>
      </c>
    </row>
    <row r="22" spans="1:12" x14ac:dyDescent="0.2">
      <c r="A22" s="47" t="s">
        <v>755</v>
      </c>
      <c r="B22" s="47" t="s">
        <v>23</v>
      </c>
      <c r="C22" s="48">
        <f t="shared" si="0"/>
        <v>1</v>
      </c>
      <c r="D22" s="47" t="s">
        <v>756</v>
      </c>
      <c r="E22" s="47" t="s">
        <v>666</v>
      </c>
      <c r="F22" s="130">
        <v>214.4</v>
      </c>
      <c r="G22" s="131"/>
      <c r="H22" s="132"/>
      <c r="I22" s="131"/>
      <c r="J22" s="51">
        <f t="shared" si="1"/>
        <v>0</v>
      </c>
      <c r="K22" s="51">
        <f t="shared" si="2"/>
        <v>0</v>
      </c>
      <c r="L22" s="51">
        <f t="shared" si="3"/>
        <v>0</v>
      </c>
    </row>
    <row r="23" spans="1:12" x14ac:dyDescent="0.2">
      <c r="A23" s="47" t="s">
        <v>757</v>
      </c>
      <c r="B23" s="47" t="s">
        <v>22</v>
      </c>
      <c r="C23" s="48">
        <f t="shared" si="0"/>
        <v>2</v>
      </c>
      <c r="D23" s="47" t="s">
        <v>758</v>
      </c>
      <c r="E23" s="47" t="s">
        <v>759</v>
      </c>
      <c r="F23" s="130">
        <v>1</v>
      </c>
      <c r="G23" s="131"/>
      <c r="H23" s="132"/>
      <c r="I23" s="131"/>
      <c r="J23" s="51">
        <f>IF(ISBLANK(F23),1,F23)*ROUND(I23,2)</f>
        <v>0</v>
      </c>
      <c r="K23" s="51">
        <f t="shared" si="2"/>
        <v>0</v>
      </c>
      <c r="L23" s="51">
        <f t="shared" si="3"/>
        <v>0</v>
      </c>
    </row>
    <row r="24" spans="1:12" x14ac:dyDescent="0.2">
      <c r="A24" s="52" t="s">
        <v>760</v>
      </c>
      <c r="B24" s="52" t="s">
        <v>22</v>
      </c>
      <c r="C24" s="53">
        <f t="shared" si="0"/>
        <v>2</v>
      </c>
      <c r="D24" s="52" t="s">
        <v>761</v>
      </c>
      <c r="E24" s="52" t="s">
        <v>759</v>
      </c>
      <c r="F24" s="133">
        <v>1</v>
      </c>
      <c r="G24" s="134"/>
      <c r="H24" s="135"/>
      <c r="I24" s="134"/>
      <c r="J24" s="56">
        <f>IF(ISBLANK(F24),1,F24)*ROUND(I24,2)</f>
        <v>0</v>
      </c>
      <c r="K24" s="56">
        <f t="shared" si="2"/>
        <v>0</v>
      </c>
      <c r="L24" s="56">
        <f t="shared" si="3"/>
        <v>0</v>
      </c>
    </row>
    <row r="25" spans="1:12" x14ac:dyDescent="0.2">
      <c r="A25" s="70" t="s">
        <v>249</v>
      </c>
      <c r="B25" s="71"/>
      <c r="C25" s="71"/>
      <c r="D25" s="71"/>
      <c r="E25" s="71"/>
      <c r="F25" s="71"/>
      <c r="G25" s="71"/>
      <c r="H25" s="71"/>
      <c r="I25" s="71"/>
      <c r="J25" s="71"/>
      <c r="K25" s="73">
        <f>SUM(K6:K24)</f>
        <v>0</v>
      </c>
      <c r="L25" s="136">
        <f t="shared" si="3"/>
        <v>0</v>
      </c>
    </row>
    <row r="27" spans="1:12" x14ac:dyDescent="0.2">
      <c r="A27" s="70" t="s">
        <v>762</v>
      </c>
      <c r="B27" s="71"/>
      <c r="C27" s="71"/>
      <c r="D27" s="71"/>
      <c r="E27" s="71"/>
      <c r="F27" s="71"/>
      <c r="G27" s="71"/>
      <c r="H27" s="71"/>
      <c r="I27" s="71"/>
      <c r="J27" s="71"/>
      <c r="K27" s="73">
        <f>prijsjaarglas1</f>
        <v>0</v>
      </c>
      <c r="L27" s="136">
        <f>K27/12</f>
        <v>0</v>
      </c>
    </row>
  </sheetData>
  <sheetProtection algorithmName="SHA-512" hashValue="pFBEKKLBVZll2zAuu2R1RVI+DHLLISR72z+tfrfLGJh9xTavgXNkxwf1NyYPvTTUVtlz+Qtx+yNX1OiEayN8gQ==" saltValue="6T4Uxie3/8hZdP/2l6Z29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3BA8-C786-46B8-83D6-48C3D037CAB4}">
  <dimension ref="A1:M44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ht="12.75" x14ac:dyDescent="0.2">
      <c r="A1" s="1" t="str">
        <f>CONCATENATE("Bijlage F.10: ",tabeltype," glas per locatie")</f>
        <v>Bijlage F.10: Invultabel glas per locatie</v>
      </c>
    </row>
    <row r="3" spans="1:13" ht="38.25" x14ac:dyDescent="0.2">
      <c r="A3" s="31" t="s">
        <v>619</v>
      </c>
      <c r="B3" s="31" t="s">
        <v>7</v>
      </c>
      <c r="C3" s="31" t="s">
        <v>620</v>
      </c>
      <c r="D3" s="31" t="s">
        <v>570</v>
      </c>
      <c r="E3" s="31" t="s">
        <v>87</v>
      </c>
      <c r="F3" s="31" t="s">
        <v>90</v>
      </c>
      <c r="G3" s="31" t="s">
        <v>621</v>
      </c>
      <c r="H3" s="31" t="s">
        <v>622</v>
      </c>
      <c r="I3" s="31" t="s">
        <v>623</v>
      </c>
      <c r="J3" s="31" t="s">
        <v>624</v>
      </c>
      <c r="K3" s="31" t="s">
        <v>625</v>
      </c>
      <c r="L3" s="31" t="s">
        <v>188</v>
      </c>
      <c r="M3" s="31" t="s">
        <v>599</v>
      </c>
    </row>
    <row r="5" spans="1:13" ht="12.75" x14ac:dyDescent="0.2">
      <c r="A5" s="139" t="s">
        <v>265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137"/>
    </row>
    <row r="6" spans="1:13" x14ac:dyDescent="0.2">
      <c r="A6" s="42" t="s">
        <v>739</v>
      </c>
      <c r="B6" s="42" t="s">
        <v>17</v>
      </c>
      <c r="C6" s="43">
        <f t="shared" ref="C6:C15" si="0">IF(ISBLANK(B6),0,IF(ISERROR(VALUE(B6)),VLOOKUP(B6,dagsoorttabel1,2,FALSE)*dagenperjaar1,VALUE(B6)))</f>
        <v>12</v>
      </c>
      <c r="D6" s="42" t="s">
        <v>584</v>
      </c>
      <c r="E6" s="42" t="s">
        <v>740</v>
      </c>
      <c r="F6" s="42" t="s">
        <v>666</v>
      </c>
      <c r="G6" s="127">
        <v>40</v>
      </c>
      <c r="H6" s="140">
        <f>Glas!G6</f>
        <v>0</v>
      </c>
      <c r="I6" s="138"/>
      <c r="J6" s="140">
        <f>Glas!I6</f>
        <v>0</v>
      </c>
      <c r="K6" s="46">
        <f t="shared" ref="K6:K14" si="1">IF(ISBLANK(G6),0,G6)*ROUND(J6,2)</f>
        <v>0</v>
      </c>
      <c r="L6" s="46">
        <f t="shared" ref="L6:L15" si="2">C6*K6</f>
        <v>0</v>
      </c>
      <c r="M6" s="46">
        <f t="shared" ref="M6:M16" si="3">L6/12</f>
        <v>0</v>
      </c>
    </row>
    <row r="7" spans="1:13" x14ac:dyDescent="0.2">
      <c r="A7" s="47" t="s">
        <v>739</v>
      </c>
      <c r="B7" s="47" t="s">
        <v>22</v>
      </c>
      <c r="C7" s="48">
        <f t="shared" si="0"/>
        <v>2</v>
      </c>
      <c r="D7" s="47" t="s">
        <v>584</v>
      </c>
      <c r="E7" s="47" t="s">
        <v>740</v>
      </c>
      <c r="F7" s="47" t="s">
        <v>666</v>
      </c>
      <c r="G7" s="130">
        <v>230</v>
      </c>
      <c r="H7" s="141">
        <f>Glas!G8</f>
        <v>0</v>
      </c>
      <c r="I7" s="132"/>
      <c r="J7" s="141">
        <f>Glas!I8</f>
        <v>0</v>
      </c>
      <c r="K7" s="51">
        <f t="shared" si="1"/>
        <v>0</v>
      </c>
      <c r="L7" s="51">
        <f t="shared" si="2"/>
        <v>0</v>
      </c>
      <c r="M7" s="51">
        <f t="shared" si="3"/>
        <v>0</v>
      </c>
    </row>
    <row r="8" spans="1:13" x14ac:dyDescent="0.2">
      <c r="A8" s="47" t="s">
        <v>743</v>
      </c>
      <c r="B8" s="47" t="s">
        <v>17</v>
      </c>
      <c r="C8" s="48">
        <f t="shared" si="0"/>
        <v>12</v>
      </c>
      <c r="D8" s="47" t="s">
        <v>584</v>
      </c>
      <c r="E8" s="47" t="s">
        <v>744</v>
      </c>
      <c r="F8" s="47" t="s">
        <v>666</v>
      </c>
      <c r="G8" s="130">
        <v>40</v>
      </c>
      <c r="H8" s="141">
        <f>Glas!G11</f>
        <v>0</v>
      </c>
      <c r="I8" s="132"/>
      <c r="J8" s="141">
        <f>Glas!I11</f>
        <v>0</v>
      </c>
      <c r="K8" s="51">
        <f t="shared" si="1"/>
        <v>0</v>
      </c>
      <c r="L8" s="51">
        <f t="shared" si="2"/>
        <v>0</v>
      </c>
      <c r="M8" s="51">
        <f t="shared" si="3"/>
        <v>0</v>
      </c>
    </row>
    <row r="9" spans="1:13" x14ac:dyDescent="0.2">
      <c r="A9" s="47" t="s">
        <v>743</v>
      </c>
      <c r="B9" s="47" t="s">
        <v>22</v>
      </c>
      <c r="C9" s="48">
        <f t="shared" si="0"/>
        <v>2</v>
      </c>
      <c r="D9" s="47" t="s">
        <v>584</v>
      </c>
      <c r="E9" s="47" t="s">
        <v>744</v>
      </c>
      <c r="F9" s="47" t="s">
        <v>666</v>
      </c>
      <c r="G9" s="130">
        <v>230</v>
      </c>
      <c r="H9" s="141">
        <f>Glas!G13</f>
        <v>0</v>
      </c>
      <c r="I9" s="132"/>
      <c r="J9" s="141">
        <f>Glas!I13</f>
        <v>0</v>
      </c>
      <c r="K9" s="51">
        <f t="shared" si="1"/>
        <v>0</v>
      </c>
      <c r="L9" s="51">
        <f t="shared" si="2"/>
        <v>0</v>
      </c>
      <c r="M9" s="51">
        <f t="shared" si="3"/>
        <v>0</v>
      </c>
    </row>
    <row r="10" spans="1:13" x14ac:dyDescent="0.2">
      <c r="A10" s="47" t="s">
        <v>745</v>
      </c>
      <c r="B10" s="47" t="s">
        <v>22</v>
      </c>
      <c r="C10" s="48">
        <f t="shared" si="0"/>
        <v>2</v>
      </c>
      <c r="D10" s="47" t="s">
        <v>584</v>
      </c>
      <c r="E10" s="47" t="s">
        <v>746</v>
      </c>
      <c r="F10" s="47" t="s">
        <v>666</v>
      </c>
      <c r="G10" s="130">
        <v>305</v>
      </c>
      <c r="H10" s="141">
        <f>Glas!G16</f>
        <v>0</v>
      </c>
      <c r="I10" s="132"/>
      <c r="J10" s="141">
        <f>Glas!I16</f>
        <v>0</v>
      </c>
      <c r="K10" s="51">
        <f t="shared" si="1"/>
        <v>0</v>
      </c>
      <c r="L10" s="51">
        <f t="shared" si="2"/>
        <v>0</v>
      </c>
      <c r="M10" s="51">
        <f t="shared" si="3"/>
        <v>0</v>
      </c>
    </row>
    <row r="11" spans="1:13" x14ac:dyDescent="0.2">
      <c r="A11" s="47" t="s">
        <v>747</v>
      </c>
      <c r="B11" s="47" t="s">
        <v>22</v>
      </c>
      <c r="C11" s="48">
        <f t="shared" si="0"/>
        <v>2</v>
      </c>
      <c r="D11" s="47" t="s">
        <v>584</v>
      </c>
      <c r="E11" s="47" t="s">
        <v>748</v>
      </c>
      <c r="F11" s="47" t="s">
        <v>666</v>
      </c>
      <c r="G11" s="130">
        <v>76</v>
      </c>
      <c r="H11" s="141">
        <f>Glas!G18</f>
        <v>0</v>
      </c>
      <c r="I11" s="132"/>
      <c r="J11" s="141">
        <f>Glas!I18</f>
        <v>0</v>
      </c>
      <c r="K11" s="51">
        <f t="shared" si="1"/>
        <v>0</v>
      </c>
      <c r="L11" s="51">
        <f t="shared" si="2"/>
        <v>0</v>
      </c>
      <c r="M11" s="51">
        <f t="shared" si="3"/>
        <v>0</v>
      </c>
    </row>
    <row r="12" spans="1:13" x14ac:dyDescent="0.2">
      <c r="A12" s="47" t="s">
        <v>749</v>
      </c>
      <c r="B12" s="47" t="s">
        <v>22</v>
      </c>
      <c r="C12" s="48">
        <f t="shared" si="0"/>
        <v>2</v>
      </c>
      <c r="D12" s="47" t="s">
        <v>584</v>
      </c>
      <c r="E12" s="47" t="s">
        <v>750</v>
      </c>
      <c r="F12" s="47" t="s">
        <v>666</v>
      </c>
      <c r="G12" s="130">
        <v>76</v>
      </c>
      <c r="H12" s="141">
        <f>Glas!G19</f>
        <v>0</v>
      </c>
      <c r="I12" s="132"/>
      <c r="J12" s="141">
        <f>Glas!I19</f>
        <v>0</v>
      </c>
      <c r="K12" s="51">
        <f t="shared" si="1"/>
        <v>0</v>
      </c>
      <c r="L12" s="51">
        <f t="shared" si="2"/>
        <v>0</v>
      </c>
      <c r="M12" s="51">
        <f t="shared" si="3"/>
        <v>0</v>
      </c>
    </row>
    <row r="13" spans="1:13" x14ac:dyDescent="0.2">
      <c r="A13" s="47" t="s">
        <v>751</v>
      </c>
      <c r="B13" s="47" t="s">
        <v>22</v>
      </c>
      <c r="C13" s="48">
        <f t="shared" si="0"/>
        <v>2</v>
      </c>
      <c r="D13" s="47" t="s">
        <v>584</v>
      </c>
      <c r="E13" s="47" t="s">
        <v>752</v>
      </c>
      <c r="F13" s="47" t="s">
        <v>666</v>
      </c>
      <c r="G13" s="130">
        <v>6</v>
      </c>
      <c r="H13" s="141">
        <f>Glas!G20</f>
        <v>0</v>
      </c>
      <c r="I13" s="132"/>
      <c r="J13" s="141">
        <f>Glas!I20</f>
        <v>0</v>
      </c>
      <c r="K13" s="51">
        <f t="shared" si="1"/>
        <v>0</v>
      </c>
      <c r="L13" s="51">
        <f t="shared" si="2"/>
        <v>0</v>
      </c>
      <c r="M13" s="51">
        <f t="shared" si="3"/>
        <v>0</v>
      </c>
    </row>
    <row r="14" spans="1:13" x14ac:dyDescent="0.2">
      <c r="A14" s="47" t="s">
        <v>753</v>
      </c>
      <c r="B14" s="47" t="s">
        <v>22</v>
      </c>
      <c r="C14" s="48">
        <f t="shared" si="0"/>
        <v>2</v>
      </c>
      <c r="D14" s="47" t="s">
        <v>584</v>
      </c>
      <c r="E14" s="47" t="s">
        <v>754</v>
      </c>
      <c r="F14" s="47" t="s">
        <v>666</v>
      </c>
      <c r="G14" s="130">
        <v>235</v>
      </c>
      <c r="H14" s="141">
        <f>Glas!G21</f>
        <v>0</v>
      </c>
      <c r="I14" s="132"/>
      <c r="J14" s="141">
        <f>Glas!I21</f>
        <v>0</v>
      </c>
      <c r="K14" s="51">
        <f t="shared" si="1"/>
        <v>0</v>
      </c>
      <c r="L14" s="51">
        <f t="shared" si="2"/>
        <v>0</v>
      </c>
      <c r="M14" s="51">
        <f t="shared" si="3"/>
        <v>0</v>
      </c>
    </row>
    <row r="15" spans="1:13" ht="12.75" x14ac:dyDescent="0.2">
      <c r="A15" s="52" t="s">
        <v>760</v>
      </c>
      <c r="B15" s="52" t="s">
        <v>22</v>
      </c>
      <c r="C15" s="53">
        <f t="shared" si="0"/>
        <v>2</v>
      </c>
      <c r="D15" s="52" t="s">
        <v>584</v>
      </c>
      <c r="E15" s="52" t="s">
        <v>761</v>
      </c>
      <c r="F15" s="52" t="s">
        <v>759</v>
      </c>
      <c r="G15" s="133">
        <v>1</v>
      </c>
      <c r="H15" s="142">
        <f>Glas!G24</f>
        <v>0</v>
      </c>
      <c r="I15" s="135"/>
      <c r="J15" s="142">
        <f>Glas!I24</f>
        <v>0</v>
      </c>
      <c r="K15" s="56">
        <f>IF(ISBLANK(G15),1,G15)*ROUND(J15,2)</f>
        <v>0</v>
      </c>
      <c r="L15" s="56">
        <f t="shared" si="2"/>
        <v>0</v>
      </c>
      <c r="M15" s="56">
        <f t="shared" si="3"/>
        <v>0</v>
      </c>
    </row>
    <row r="16" spans="1:13" ht="12.75" x14ac:dyDescent="0.2">
      <c r="A16" s="143" t="s">
        <v>763</v>
      </c>
      <c r="B16" s="71"/>
      <c r="C16" s="71"/>
      <c r="D16" s="71"/>
      <c r="E16" s="71"/>
      <c r="F16" s="71"/>
      <c r="G16" s="71"/>
      <c r="H16" s="71"/>
      <c r="I16" s="71"/>
      <c r="J16" s="71"/>
      <c r="K16" s="73">
        <f>SUM(K6:K15)</f>
        <v>0</v>
      </c>
      <c r="L16" s="73">
        <f>SUM(L6:L15)</f>
        <v>0</v>
      </c>
      <c r="M16" s="136">
        <f t="shared" si="3"/>
        <v>0</v>
      </c>
    </row>
    <row r="18" spans="1:13" ht="12.75" x14ac:dyDescent="0.2">
      <c r="A18" s="139" t="s">
        <v>374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137"/>
    </row>
    <row r="19" spans="1:13" x14ac:dyDescent="0.2">
      <c r="A19" s="42" t="s">
        <v>739</v>
      </c>
      <c r="B19" s="42" t="s">
        <v>21</v>
      </c>
      <c r="C19" s="43">
        <f>IF(ISBLANK(B19),0,IF(ISERROR(VALUE(B19)),VLOOKUP(B19,dagsoorttabel1,2,FALSE)*dagenperjaar1,VALUE(B19)))</f>
        <v>3</v>
      </c>
      <c r="D19" s="42" t="s">
        <v>584</v>
      </c>
      <c r="E19" s="42" t="s">
        <v>740</v>
      </c>
      <c r="F19" s="42" t="s">
        <v>666</v>
      </c>
      <c r="G19" s="127">
        <v>32.799999999999997</v>
      </c>
      <c r="H19" s="140">
        <f>Glas!G9</f>
        <v>0</v>
      </c>
      <c r="I19" s="138"/>
      <c r="J19" s="140">
        <f>Glas!I9</f>
        <v>0</v>
      </c>
      <c r="K19" s="46">
        <f>IF(ISBLANK(G19),0,G19)*ROUND(J19,2)</f>
        <v>0</v>
      </c>
      <c r="L19" s="46">
        <f>C19*K19</f>
        <v>0</v>
      </c>
      <c r="M19" s="46">
        <f>L19/12</f>
        <v>0</v>
      </c>
    </row>
    <row r="20" spans="1:13" x14ac:dyDescent="0.2">
      <c r="A20" s="47" t="s">
        <v>743</v>
      </c>
      <c r="B20" s="47" t="s">
        <v>21</v>
      </c>
      <c r="C20" s="48">
        <f>IF(ISBLANK(B20),0,IF(ISERROR(VALUE(B20)),VLOOKUP(B20,dagsoorttabel1,2,FALSE)*dagenperjaar1,VALUE(B20)))</f>
        <v>3</v>
      </c>
      <c r="D20" s="47" t="s">
        <v>584</v>
      </c>
      <c r="E20" s="47" t="s">
        <v>744</v>
      </c>
      <c r="F20" s="47" t="s">
        <v>666</v>
      </c>
      <c r="G20" s="130">
        <v>32.799999999999997</v>
      </c>
      <c r="H20" s="141">
        <f>Glas!G14</f>
        <v>0</v>
      </c>
      <c r="I20" s="132"/>
      <c r="J20" s="141">
        <f>Glas!I14</f>
        <v>0</v>
      </c>
      <c r="K20" s="51">
        <f>IF(ISBLANK(G20),0,G20)*ROUND(J20,2)</f>
        <v>0</v>
      </c>
      <c r="L20" s="51">
        <f>C20*K20</f>
        <v>0</v>
      </c>
      <c r="M20" s="51">
        <f>L20/12</f>
        <v>0</v>
      </c>
    </row>
    <row r="21" spans="1:13" x14ac:dyDescent="0.2">
      <c r="A21" s="47" t="s">
        <v>745</v>
      </c>
      <c r="B21" s="47" t="s">
        <v>21</v>
      </c>
      <c r="C21" s="48">
        <f>IF(ISBLANK(B21),0,IF(ISERROR(VALUE(B21)),VLOOKUP(B21,dagsoorttabel1,2,FALSE)*dagenperjaar1,VALUE(B21)))</f>
        <v>3</v>
      </c>
      <c r="D21" s="47" t="s">
        <v>584</v>
      </c>
      <c r="E21" s="47" t="s">
        <v>746</v>
      </c>
      <c r="F21" s="47" t="s">
        <v>666</v>
      </c>
      <c r="G21" s="130">
        <v>75.8</v>
      </c>
      <c r="H21" s="141">
        <f>Glas!G17</f>
        <v>0</v>
      </c>
      <c r="I21" s="132"/>
      <c r="J21" s="141">
        <f>Glas!I17</f>
        <v>0</v>
      </c>
      <c r="K21" s="51">
        <f>IF(ISBLANK(G21),0,G21)*ROUND(J21,2)</f>
        <v>0</v>
      </c>
      <c r="L21" s="51">
        <f>C21*K21</f>
        <v>0</v>
      </c>
      <c r="M21" s="51">
        <f>L21/12</f>
        <v>0</v>
      </c>
    </row>
    <row r="22" spans="1:13" x14ac:dyDescent="0.2">
      <c r="A22" s="52" t="s">
        <v>755</v>
      </c>
      <c r="B22" s="52" t="s">
        <v>23</v>
      </c>
      <c r="C22" s="53">
        <f>IF(ISBLANK(B22),0,IF(ISERROR(VALUE(B22)),VLOOKUP(B22,dagsoorttabel1,2,FALSE)*dagenperjaar1,VALUE(B22)))</f>
        <v>1</v>
      </c>
      <c r="D22" s="52" t="s">
        <v>584</v>
      </c>
      <c r="E22" s="52" t="s">
        <v>756</v>
      </c>
      <c r="F22" s="52" t="s">
        <v>666</v>
      </c>
      <c r="G22" s="133">
        <v>166.4</v>
      </c>
      <c r="H22" s="142">
        <f>Glas!G22</f>
        <v>0</v>
      </c>
      <c r="I22" s="135"/>
      <c r="J22" s="142">
        <f>Glas!I22</f>
        <v>0</v>
      </c>
      <c r="K22" s="56">
        <f>IF(ISBLANK(G22),0,G22)*ROUND(J22,2)</f>
        <v>0</v>
      </c>
      <c r="L22" s="56">
        <f>C22*K22</f>
        <v>0</v>
      </c>
      <c r="M22" s="56">
        <f>L22/12</f>
        <v>0</v>
      </c>
    </row>
    <row r="23" spans="1:13" x14ac:dyDescent="0.2">
      <c r="A23" s="143" t="s">
        <v>764</v>
      </c>
      <c r="B23" s="71"/>
      <c r="C23" s="71"/>
      <c r="D23" s="71"/>
      <c r="E23" s="71"/>
      <c r="F23" s="71"/>
      <c r="G23" s="71"/>
      <c r="H23" s="71"/>
      <c r="I23" s="71"/>
      <c r="J23" s="71"/>
      <c r="K23" s="73">
        <f>SUM(K19:K22)</f>
        <v>0</v>
      </c>
      <c r="L23" s="73">
        <f>SUM(L19:L22)</f>
        <v>0</v>
      </c>
      <c r="M23" s="136">
        <f>L23/12</f>
        <v>0</v>
      </c>
    </row>
    <row r="25" spans="1:13" x14ac:dyDescent="0.2">
      <c r="A25" s="139" t="s">
        <v>400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137"/>
    </row>
    <row r="26" spans="1:13" x14ac:dyDescent="0.2">
      <c r="A26" s="42" t="s">
        <v>739</v>
      </c>
      <c r="B26" s="42" t="s">
        <v>21</v>
      </c>
      <c r="C26" s="43">
        <f>IF(ISBLANK(B26),0,IF(ISERROR(VALUE(B26)),VLOOKUP(B26,dagsoorttabel1,2,FALSE)*dagenperjaar1,VALUE(B26)))</f>
        <v>3</v>
      </c>
      <c r="D26" s="42" t="s">
        <v>584</v>
      </c>
      <c r="E26" s="42" t="s">
        <v>740</v>
      </c>
      <c r="F26" s="42" t="s">
        <v>666</v>
      </c>
      <c r="G26" s="127">
        <v>75.099999999999994</v>
      </c>
      <c r="H26" s="140">
        <f>Glas!G9</f>
        <v>0</v>
      </c>
      <c r="I26" s="138"/>
      <c r="J26" s="140">
        <f>Glas!I9</f>
        <v>0</v>
      </c>
      <c r="K26" s="46">
        <f>IF(ISBLANK(G26),0,G26)*ROUND(J26,2)</f>
        <v>0</v>
      </c>
      <c r="L26" s="46">
        <f>C26*K26</f>
        <v>0</v>
      </c>
      <c r="M26" s="46">
        <f>L26/12</f>
        <v>0</v>
      </c>
    </row>
    <row r="27" spans="1:13" x14ac:dyDescent="0.2">
      <c r="A27" s="47" t="s">
        <v>743</v>
      </c>
      <c r="B27" s="47" t="s">
        <v>21</v>
      </c>
      <c r="C27" s="48">
        <f>IF(ISBLANK(B27),0,IF(ISERROR(VALUE(B27)),VLOOKUP(B27,dagsoorttabel1,2,FALSE)*dagenperjaar1,VALUE(B27)))</f>
        <v>3</v>
      </c>
      <c r="D27" s="47" t="s">
        <v>584</v>
      </c>
      <c r="E27" s="47" t="s">
        <v>744</v>
      </c>
      <c r="F27" s="47" t="s">
        <v>666</v>
      </c>
      <c r="G27" s="130">
        <v>75.099999999999994</v>
      </c>
      <c r="H27" s="141">
        <f>Glas!G14</f>
        <v>0</v>
      </c>
      <c r="I27" s="132"/>
      <c r="J27" s="141">
        <f>Glas!I14</f>
        <v>0</v>
      </c>
      <c r="K27" s="51">
        <f>IF(ISBLANK(G27),0,G27)*ROUND(J27,2)</f>
        <v>0</v>
      </c>
      <c r="L27" s="51">
        <f>C27*K27</f>
        <v>0</v>
      </c>
      <c r="M27" s="51">
        <f>L27/12</f>
        <v>0</v>
      </c>
    </row>
    <row r="28" spans="1:13" x14ac:dyDescent="0.2">
      <c r="A28" s="52" t="s">
        <v>745</v>
      </c>
      <c r="B28" s="52" t="s">
        <v>21</v>
      </c>
      <c r="C28" s="53">
        <f>IF(ISBLANK(B28),0,IF(ISERROR(VALUE(B28)),VLOOKUP(B28,dagsoorttabel1,2,FALSE)*dagenperjaar1,VALUE(B28)))</f>
        <v>3</v>
      </c>
      <c r="D28" s="52" t="s">
        <v>584</v>
      </c>
      <c r="E28" s="52" t="s">
        <v>746</v>
      </c>
      <c r="F28" s="52" t="s">
        <v>666</v>
      </c>
      <c r="G28" s="133">
        <v>41.8</v>
      </c>
      <c r="H28" s="142">
        <f>Glas!G17</f>
        <v>0</v>
      </c>
      <c r="I28" s="135"/>
      <c r="J28" s="142">
        <f>Glas!I17</f>
        <v>0</v>
      </c>
      <c r="K28" s="56">
        <f>IF(ISBLANK(G28),0,G28)*ROUND(J28,2)</f>
        <v>0</v>
      </c>
      <c r="L28" s="56">
        <f>C28*K28</f>
        <v>0</v>
      </c>
      <c r="M28" s="56">
        <f>L28/12</f>
        <v>0</v>
      </c>
    </row>
    <row r="29" spans="1:13" x14ac:dyDescent="0.2">
      <c r="A29" s="143" t="s">
        <v>765</v>
      </c>
      <c r="B29" s="71"/>
      <c r="C29" s="71"/>
      <c r="D29" s="71"/>
      <c r="E29" s="71"/>
      <c r="F29" s="71"/>
      <c r="G29" s="71"/>
      <c r="H29" s="71"/>
      <c r="I29" s="71"/>
      <c r="J29" s="71"/>
      <c r="K29" s="73">
        <f>SUM(K26:K28)</f>
        <v>0</v>
      </c>
      <c r="L29" s="73">
        <f>SUM(L26:L28)</f>
        <v>0</v>
      </c>
      <c r="M29" s="136">
        <f>L29/12</f>
        <v>0</v>
      </c>
    </row>
    <row r="31" spans="1:13" x14ac:dyDescent="0.2">
      <c r="A31" s="139" t="s">
        <v>423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137"/>
    </row>
    <row r="32" spans="1:13" x14ac:dyDescent="0.2">
      <c r="A32" s="42" t="s">
        <v>739</v>
      </c>
      <c r="B32" s="42" t="s">
        <v>23</v>
      </c>
      <c r="C32" s="43">
        <f>IF(ISBLANK(B32),0,IF(ISERROR(VALUE(B32)),VLOOKUP(B32,dagsoorttabel1,2,FALSE)*dagenperjaar1,VALUE(B32)))</f>
        <v>1</v>
      </c>
      <c r="D32" s="42" t="s">
        <v>584</v>
      </c>
      <c r="E32" s="42" t="s">
        <v>740</v>
      </c>
      <c r="F32" s="42" t="s">
        <v>666</v>
      </c>
      <c r="G32" s="127">
        <v>89.8</v>
      </c>
      <c r="H32" s="140">
        <f>Glas!G7</f>
        <v>0</v>
      </c>
      <c r="I32" s="138"/>
      <c r="J32" s="140">
        <f>Glas!I7</f>
        <v>0</v>
      </c>
      <c r="K32" s="46">
        <f>IF(ISBLANK(G32),0,G32)*ROUND(J32,2)</f>
        <v>0</v>
      </c>
      <c r="L32" s="46">
        <f>C32*K32</f>
        <v>0</v>
      </c>
      <c r="M32" s="46">
        <f>L32/12</f>
        <v>0</v>
      </c>
    </row>
    <row r="33" spans="1:13" x14ac:dyDescent="0.2">
      <c r="A33" s="47" t="s">
        <v>743</v>
      </c>
      <c r="B33" s="47" t="s">
        <v>23</v>
      </c>
      <c r="C33" s="48">
        <f>IF(ISBLANK(B33),0,IF(ISERROR(VALUE(B33)),VLOOKUP(B33,dagsoorttabel1,2,FALSE)*dagenperjaar1,VALUE(B33)))</f>
        <v>1</v>
      </c>
      <c r="D33" s="47" t="s">
        <v>584</v>
      </c>
      <c r="E33" s="47" t="s">
        <v>744</v>
      </c>
      <c r="F33" s="47" t="s">
        <v>666</v>
      </c>
      <c r="G33" s="130">
        <v>89.8</v>
      </c>
      <c r="H33" s="141">
        <f>Glas!G12</f>
        <v>0</v>
      </c>
      <c r="I33" s="132"/>
      <c r="J33" s="141">
        <f>Glas!I12</f>
        <v>0</v>
      </c>
      <c r="K33" s="51">
        <f>IF(ISBLANK(G33),0,G33)*ROUND(J33,2)</f>
        <v>0</v>
      </c>
      <c r="L33" s="51">
        <f>C33*K33</f>
        <v>0</v>
      </c>
      <c r="M33" s="51">
        <f>L33/12</f>
        <v>0</v>
      </c>
    </row>
    <row r="34" spans="1:13" x14ac:dyDescent="0.2">
      <c r="A34" s="47" t="s">
        <v>745</v>
      </c>
      <c r="B34" s="47" t="s">
        <v>23</v>
      </c>
      <c r="C34" s="48">
        <f>IF(ISBLANK(B34),0,IF(ISERROR(VALUE(B34)),VLOOKUP(B34,dagsoorttabel1,2,FALSE)*dagenperjaar1,VALUE(B34)))</f>
        <v>1</v>
      </c>
      <c r="D34" s="47" t="s">
        <v>584</v>
      </c>
      <c r="E34" s="47" t="s">
        <v>746</v>
      </c>
      <c r="F34" s="47" t="s">
        <v>666</v>
      </c>
      <c r="G34" s="130">
        <v>44.6</v>
      </c>
      <c r="H34" s="141">
        <f>Glas!G15</f>
        <v>0</v>
      </c>
      <c r="I34" s="132"/>
      <c r="J34" s="141">
        <f>Glas!I15</f>
        <v>0</v>
      </c>
      <c r="K34" s="51">
        <f>IF(ISBLANK(G34),0,G34)*ROUND(J34,2)</f>
        <v>0</v>
      </c>
      <c r="L34" s="51">
        <f>C34*K34</f>
        <v>0</v>
      </c>
      <c r="M34" s="51">
        <f>L34/12</f>
        <v>0</v>
      </c>
    </row>
    <row r="35" spans="1:13" x14ac:dyDescent="0.2">
      <c r="A35" s="52" t="s">
        <v>755</v>
      </c>
      <c r="B35" s="52" t="s">
        <v>23</v>
      </c>
      <c r="C35" s="53">
        <f>IF(ISBLANK(B35),0,IF(ISERROR(VALUE(B35)),VLOOKUP(B35,dagsoorttabel1,2,FALSE)*dagenperjaar1,VALUE(B35)))</f>
        <v>1</v>
      </c>
      <c r="D35" s="52" t="s">
        <v>584</v>
      </c>
      <c r="E35" s="52" t="s">
        <v>756</v>
      </c>
      <c r="F35" s="52" t="s">
        <v>666</v>
      </c>
      <c r="G35" s="133">
        <v>48</v>
      </c>
      <c r="H35" s="142">
        <f>Glas!G22</f>
        <v>0</v>
      </c>
      <c r="I35" s="135"/>
      <c r="J35" s="142">
        <f>Glas!I22</f>
        <v>0</v>
      </c>
      <c r="K35" s="56">
        <f>IF(ISBLANK(G35),0,G35)*ROUND(J35,2)</f>
        <v>0</v>
      </c>
      <c r="L35" s="56">
        <f>C35*K35</f>
        <v>0</v>
      </c>
      <c r="M35" s="56">
        <f>L35/12</f>
        <v>0</v>
      </c>
    </row>
    <row r="36" spans="1:13" x14ac:dyDescent="0.2">
      <c r="A36" s="143" t="s">
        <v>766</v>
      </c>
      <c r="B36" s="71"/>
      <c r="C36" s="71"/>
      <c r="D36" s="71"/>
      <c r="E36" s="71"/>
      <c r="F36" s="71"/>
      <c r="G36" s="71"/>
      <c r="H36" s="71"/>
      <c r="I36" s="71"/>
      <c r="J36" s="71"/>
      <c r="K36" s="73">
        <f>SUM(K32:K35)</f>
        <v>0</v>
      </c>
      <c r="L36" s="73">
        <f>SUM(L32:L35)</f>
        <v>0</v>
      </c>
      <c r="M36" s="136">
        <f>L36/12</f>
        <v>0</v>
      </c>
    </row>
    <row r="38" spans="1:13" x14ac:dyDescent="0.2">
      <c r="A38" s="139" t="s">
        <v>444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137"/>
    </row>
    <row r="39" spans="1:13" x14ac:dyDescent="0.2">
      <c r="A39" s="42" t="s">
        <v>739</v>
      </c>
      <c r="B39" s="42" t="s">
        <v>22</v>
      </c>
      <c r="C39" s="43">
        <f>IF(ISBLANK(B39),0,IF(ISERROR(VALUE(B39)),VLOOKUP(B39,dagsoorttabel1,2,FALSE)*dagenperjaar1,VALUE(B39)))</f>
        <v>2</v>
      </c>
      <c r="D39" s="42" t="s">
        <v>584</v>
      </c>
      <c r="E39" s="42" t="s">
        <v>740</v>
      </c>
      <c r="F39" s="42" t="s">
        <v>666</v>
      </c>
      <c r="G39" s="127">
        <v>525.6</v>
      </c>
      <c r="H39" s="140">
        <f>Glas!G8</f>
        <v>0</v>
      </c>
      <c r="I39" s="138"/>
      <c r="J39" s="140">
        <f>Glas!I8</f>
        <v>0</v>
      </c>
      <c r="K39" s="46">
        <f>IF(ISBLANK(G39),0,G39)*ROUND(J39,2)</f>
        <v>0</v>
      </c>
      <c r="L39" s="46">
        <f>C39*K39</f>
        <v>0</v>
      </c>
      <c r="M39" s="46">
        <f t="shared" ref="M39:M44" si="4">L39/12</f>
        <v>0</v>
      </c>
    </row>
    <row r="40" spans="1:13" x14ac:dyDescent="0.2">
      <c r="A40" s="47" t="s">
        <v>741</v>
      </c>
      <c r="B40" s="47" t="s">
        <v>22</v>
      </c>
      <c r="C40" s="48">
        <f>IF(ISBLANK(B40),0,IF(ISERROR(VALUE(B40)),VLOOKUP(B40,dagsoorttabel1,2,FALSE)*dagenperjaar1,VALUE(B40)))</f>
        <v>2</v>
      </c>
      <c r="D40" s="47" t="s">
        <v>584</v>
      </c>
      <c r="E40" s="47" t="s">
        <v>742</v>
      </c>
      <c r="F40" s="47" t="s">
        <v>666</v>
      </c>
      <c r="G40" s="130">
        <v>79.900000000000006</v>
      </c>
      <c r="H40" s="141">
        <f>Glas!G10</f>
        <v>0</v>
      </c>
      <c r="I40" s="132"/>
      <c r="J40" s="141">
        <f>Glas!I10</f>
        <v>0</v>
      </c>
      <c r="K40" s="51">
        <f>IF(ISBLANK(G40),0,G40)*ROUND(J40,2)</f>
        <v>0</v>
      </c>
      <c r="L40" s="51">
        <f>C40*K40</f>
        <v>0</v>
      </c>
      <c r="M40" s="51">
        <f t="shared" si="4"/>
        <v>0</v>
      </c>
    </row>
    <row r="41" spans="1:13" x14ac:dyDescent="0.2">
      <c r="A41" s="47" t="s">
        <v>743</v>
      </c>
      <c r="B41" s="47" t="s">
        <v>22</v>
      </c>
      <c r="C41" s="48">
        <f>IF(ISBLANK(B41),0,IF(ISERROR(VALUE(B41)),VLOOKUP(B41,dagsoorttabel1,2,FALSE)*dagenperjaar1,VALUE(B41)))</f>
        <v>2</v>
      </c>
      <c r="D41" s="47" t="s">
        <v>584</v>
      </c>
      <c r="E41" s="47" t="s">
        <v>744</v>
      </c>
      <c r="F41" s="47" t="s">
        <v>666</v>
      </c>
      <c r="G41" s="130">
        <v>605.5</v>
      </c>
      <c r="H41" s="141">
        <f>Glas!G13</f>
        <v>0</v>
      </c>
      <c r="I41" s="132"/>
      <c r="J41" s="141">
        <f>Glas!I13</f>
        <v>0</v>
      </c>
      <c r="K41" s="51">
        <f>IF(ISBLANK(G41),0,G41)*ROUND(J41,2)</f>
        <v>0</v>
      </c>
      <c r="L41" s="51">
        <f>C41*K41</f>
        <v>0</v>
      </c>
      <c r="M41" s="51">
        <f t="shared" si="4"/>
        <v>0</v>
      </c>
    </row>
    <row r="42" spans="1:13" x14ac:dyDescent="0.2">
      <c r="A42" s="47" t="s">
        <v>745</v>
      </c>
      <c r="B42" s="47" t="s">
        <v>22</v>
      </c>
      <c r="C42" s="48">
        <f>IF(ISBLANK(B42),0,IF(ISERROR(VALUE(B42)),VLOOKUP(B42,dagsoorttabel1,2,FALSE)*dagenperjaar1,VALUE(B42)))</f>
        <v>2</v>
      </c>
      <c r="D42" s="47" t="s">
        <v>584</v>
      </c>
      <c r="E42" s="47" t="s">
        <v>746</v>
      </c>
      <c r="F42" s="47" t="s">
        <v>666</v>
      </c>
      <c r="G42" s="130">
        <v>629.20000000000005</v>
      </c>
      <c r="H42" s="141">
        <f>Glas!G16</f>
        <v>0</v>
      </c>
      <c r="I42" s="132"/>
      <c r="J42" s="141">
        <f>Glas!I16</f>
        <v>0</v>
      </c>
      <c r="K42" s="51">
        <f>IF(ISBLANK(G42),0,G42)*ROUND(J42,2)</f>
        <v>0</v>
      </c>
      <c r="L42" s="51">
        <f>C42*K42</f>
        <v>0</v>
      </c>
      <c r="M42" s="51">
        <f t="shared" si="4"/>
        <v>0</v>
      </c>
    </row>
    <row r="43" spans="1:13" x14ac:dyDescent="0.2">
      <c r="A43" s="52" t="s">
        <v>757</v>
      </c>
      <c r="B43" s="52" t="s">
        <v>22</v>
      </c>
      <c r="C43" s="53">
        <f>IF(ISBLANK(B43),0,IF(ISERROR(VALUE(B43)),VLOOKUP(B43,dagsoorttabel1,2,FALSE)*dagenperjaar1,VALUE(B43)))</f>
        <v>2</v>
      </c>
      <c r="D43" s="52" t="s">
        <v>584</v>
      </c>
      <c r="E43" s="52" t="s">
        <v>758</v>
      </c>
      <c r="F43" s="52" t="s">
        <v>759</v>
      </c>
      <c r="G43" s="133">
        <v>1</v>
      </c>
      <c r="H43" s="142">
        <f>Glas!G23</f>
        <v>0</v>
      </c>
      <c r="I43" s="135"/>
      <c r="J43" s="142">
        <f>Glas!I23</f>
        <v>0</v>
      </c>
      <c r="K43" s="56">
        <f>IF(ISBLANK(G43),1,G43)*ROUND(J43,2)</f>
        <v>0</v>
      </c>
      <c r="L43" s="56">
        <f>C43*K43</f>
        <v>0</v>
      </c>
      <c r="M43" s="56">
        <f t="shared" si="4"/>
        <v>0</v>
      </c>
    </row>
    <row r="44" spans="1:13" x14ac:dyDescent="0.2">
      <c r="A44" s="143" t="s">
        <v>767</v>
      </c>
      <c r="B44" s="71"/>
      <c r="C44" s="71"/>
      <c r="D44" s="71"/>
      <c r="E44" s="71"/>
      <c r="F44" s="71"/>
      <c r="G44" s="71"/>
      <c r="H44" s="71"/>
      <c r="I44" s="71"/>
      <c r="J44" s="71"/>
      <c r="K44" s="73">
        <f>SUM(K39:K43)</f>
        <v>0</v>
      </c>
      <c r="L44" s="73">
        <f>SUM(L39:L43)</f>
        <v>0</v>
      </c>
      <c r="M44" s="136">
        <f t="shared" si="4"/>
        <v>0</v>
      </c>
    </row>
  </sheetData>
  <sheetProtection algorithmName="SHA-512" hashValue="UZeS/J/hM4HtJg3EdhAdCPo8nB9/VynTmZt5+YsjAiawrO94obujTmvs+TlaJoKKBdwt+3lppy/VNOfTWF7V6Q==" saltValue="HXQZdghPzO3jr4JtWlFtD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F8F5-E267-4EDD-A6E9-5EE18C92AA2C}">
  <dimension ref="A1:E8"/>
  <sheetViews>
    <sheetView workbookViewId="0"/>
  </sheetViews>
  <sheetFormatPr defaultRowHeight="12.6" x14ac:dyDescent="0.2"/>
  <cols>
    <col min="1" max="1" width="30.6328125" customWidth="1"/>
    <col min="2" max="5" width="20.6328125" customWidth="1"/>
  </cols>
  <sheetData>
    <row r="1" spans="1:5" ht="12.75" x14ac:dyDescent="0.2">
      <c r="A1" s="1" t="str">
        <f>CONCATENATE("Bijlage F.11: ",tabeltype," totaalblad schoonmaakwerk")</f>
        <v>Bijlage F.11: Invultabel totaalblad schoonmaakwerk</v>
      </c>
    </row>
    <row r="3" spans="1:5" ht="25.5" x14ac:dyDescent="0.2">
      <c r="A3" s="31" t="s">
        <v>768</v>
      </c>
      <c r="B3" s="31" t="s">
        <v>769</v>
      </c>
      <c r="C3" s="31" t="s">
        <v>770</v>
      </c>
      <c r="D3" s="31" t="s">
        <v>771</v>
      </c>
      <c r="E3" s="31" t="s">
        <v>772</v>
      </c>
    </row>
    <row r="4" spans="1:5" ht="12.75" x14ac:dyDescent="0.2">
      <c r="A4" s="144" t="s">
        <v>773</v>
      </c>
      <c r="B4" s="60">
        <f>urenjaartotaaloverzicht</f>
        <v>0</v>
      </c>
      <c r="C4" s="60">
        <f>urenjaartotaaloverzichthf</f>
        <v>0</v>
      </c>
      <c r="D4" s="46">
        <f>prijsjaartotaaloverzicht</f>
        <v>0</v>
      </c>
      <c r="E4" s="46">
        <f>D4*1.21</f>
        <v>0</v>
      </c>
    </row>
    <row r="5" spans="1:5" ht="25.5" x14ac:dyDescent="0.2">
      <c r="A5" s="145" t="s">
        <v>774</v>
      </c>
      <c r="B5" s="146"/>
      <c r="C5" s="146"/>
      <c r="D5" s="51">
        <f>prijsjaarafroep</f>
        <v>0</v>
      </c>
      <c r="E5" s="51">
        <f>D5*1.21</f>
        <v>0</v>
      </c>
    </row>
    <row r="6" spans="1:5" ht="12.75" x14ac:dyDescent="0.2">
      <c r="A6" s="147" t="s">
        <v>775</v>
      </c>
      <c r="B6" s="148"/>
      <c r="C6" s="148"/>
      <c r="D6" s="56">
        <f>prijsjaarglas</f>
        <v>0</v>
      </c>
      <c r="E6" s="56">
        <f>D6*1.21</f>
        <v>0</v>
      </c>
    </row>
    <row r="8" spans="1:5" ht="12.75" x14ac:dyDescent="0.2">
      <c r="A8" s="31" t="s">
        <v>776</v>
      </c>
      <c r="B8" s="72">
        <f>SUM(B4:B6)</f>
        <v>0</v>
      </c>
      <c r="C8" s="72">
        <f>SUM(C4:C6)</f>
        <v>0</v>
      </c>
      <c r="D8" s="73">
        <f>SUM(D4:D6)</f>
        <v>0</v>
      </c>
      <c r="E8" s="73">
        <f>D8*1.21</f>
        <v>0</v>
      </c>
    </row>
  </sheetData>
  <sheetProtection algorithmName="SHA-512" hashValue="7fK0LJeq+r7R5aQv9x7j+Tq3TJ6SV3qkAUnSNCn4skrayW2zx2DslDYv8J4VwuEgykKxoIGMIfTwK/M0fhvEUg==" saltValue="vthEGKnR3hAldbOP0faSS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EB6D-EE89-4C9A-984B-770072130872}">
  <dimension ref="A1:O53"/>
  <sheetViews>
    <sheetView tabSelected="1" topLeftCell="A38" workbookViewId="0">
      <selection activeCell="F47" sqref="F47"/>
    </sheetView>
  </sheetViews>
  <sheetFormatPr defaultRowHeight="12.6" x14ac:dyDescent="0.2"/>
  <cols>
    <col min="1" max="1" width="40.6328125" customWidth="1"/>
    <col min="2" max="2" width="8.08984375" customWidth="1"/>
    <col min="3" max="3" width="10.6328125" customWidth="1"/>
    <col min="4" max="4" width="8.08984375" customWidth="1"/>
    <col min="5" max="5" width="10.6328125" customWidth="1"/>
    <col min="6" max="6" width="8.08984375" customWidth="1"/>
    <col min="7" max="7" width="10.6328125" customWidth="1"/>
    <col min="8" max="8" width="8.08984375" customWidth="1"/>
    <col min="9" max="9" width="10.6328125" customWidth="1"/>
    <col min="10" max="10" width="8.08984375" customWidth="1"/>
    <col min="11" max="11" width="10.6328125" customWidth="1"/>
    <col min="12" max="12" width="8.08984375" customWidth="1"/>
    <col min="13" max="13" width="10.6328125" customWidth="1"/>
    <col min="14" max="14" width="8.08984375" customWidth="1"/>
    <col min="15" max="15" width="10.6328125" customWidth="1"/>
  </cols>
  <sheetData>
    <row r="1" spans="1:15" ht="12.75" x14ac:dyDescent="0.2">
      <c r="A1" s="1" t="s">
        <v>24</v>
      </c>
    </row>
    <row r="3" spans="1:15" ht="12.75" x14ac:dyDescent="0.2">
      <c r="A3" s="10"/>
      <c r="B3" s="151" t="s">
        <v>25</v>
      </c>
      <c r="C3" s="151"/>
      <c r="D3" s="151" t="s">
        <v>25</v>
      </c>
      <c r="E3" s="151"/>
      <c r="F3" s="151" t="s">
        <v>25</v>
      </c>
      <c r="G3" s="151"/>
      <c r="H3" s="151" t="s">
        <v>25</v>
      </c>
      <c r="I3" s="151"/>
      <c r="J3" s="151" t="s">
        <v>25</v>
      </c>
      <c r="K3" s="151"/>
      <c r="L3" s="151" t="s">
        <v>26</v>
      </c>
      <c r="M3" s="151"/>
      <c r="N3" s="151" t="s">
        <v>26</v>
      </c>
      <c r="O3" s="152"/>
    </row>
    <row r="4" spans="1:15" ht="12.75" x14ac:dyDescent="0.2">
      <c r="A4" s="11"/>
      <c r="B4" s="159" t="s">
        <v>27</v>
      </c>
      <c r="C4" s="159"/>
      <c r="D4" s="159" t="s">
        <v>27</v>
      </c>
      <c r="E4" s="159"/>
      <c r="F4" s="159" t="s">
        <v>27</v>
      </c>
      <c r="G4" s="159"/>
      <c r="H4" s="159" t="s">
        <v>28</v>
      </c>
      <c r="I4" s="159"/>
      <c r="J4" s="159" t="s">
        <v>28</v>
      </c>
      <c r="K4" s="159"/>
      <c r="L4" s="159" t="s">
        <v>27</v>
      </c>
      <c r="M4" s="159"/>
      <c r="N4" s="159" t="s">
        <v>28</v>
      </c>
      <c r="O4" s="160"/>
    </row>
    <row r="5" spans="1:15" ht="25.5" customHeight="1" x14ac:dyDescent="0.2">
      <c r="A5" s="12" t="s">
        <v>29</v>
      </c>
      <c r="B5" s="157" t="s">
        <v>30</v>
      </c>
      <c r="C5" s="157"/>
      <c r="D5" s="157" t="s">
        <v>30</v>
      </c>
      <c r="E5" s="157"/>
      <c r="F5" s="157" t="s">
        <v>31</v>
      </c>
      <c r="G5" s="157"/>
      <c r="H5" s="157" t="s">
        <v>32</v>
      </c>
      <c r="I5" s="157"/>
      <c r="J5" s="157" t="s">
        <v>32</v>
      </c>
      <c r="K5" s="157"/>
      <c r="L5" s="157" t="s">
        <v>33</v>
      </c>
      <c r="M5" s="157"/>
      <c r="N5" s="157" t="s">
        <v>34</v>
      </c>
      <c r="O5" s="158"/>
    </row>
    <row r="6" spans="1:15" ht="38.25" customHeight="1" x14ac:dyDescent="0.2">
      <c r="A6" s="13" t="s">
        <v>35</v>
      </c>
      <c r="B6" s="157" t="s">
        <v>36</v>
      </c>
      <c r="C6" s="157"/>
      <c r="D6" s="157" t="s">
        <v>37</v>
      </c>
      <c r="E6" s="157"/>
      <c r="F6" s="157" t="s">
        <v>38</v>
      </c>
      <c r="G6" s="157"/>
      <c r="H6" s="157" t="s">
        <v>38</v>
      </c>
      <c r="I6" s="157"/>
      <c r="J6" s="157" t="s">
        <v>39</v>
      </c>
      <c r="K6" s="157"/>
      <c r="L6" s="157" t="s">
        <v>37</v>
      </c>
      <c r="M6" s="157"/>
      <c r="N6" s="157" t="s">
        <v>37</v>
      </c>
      <c r="O6" s="158"/>
    </row>
    <row r="7" spans="1:15" ht="12.75" x14ac:dyDescent="0.2">
      <c r="A7" s="14" t="s">
        <v>40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6"/>
    </row>
    <row r="8" spans="1:15" ht="12.75" x14ac:dyDescent="0.2">
      <c r="A8" s="14" t="s">
        <v>41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6"/>
    </row>
    <row r="9" spans="1:15" ht="12.75" x14ac:dyDescent="0.2">
      <c r="A9" s="11" t="s">
        <v>42</v>
      </c>
      <c r="B9" s="149">
        <f>SUM(B7:B8)</f>
        <v>0</v>
      </c>
      <c r="C9" s="149"/>
      <c r="D9" s="149">
        <f>SUM(D7:D8)</f>
        <v>0</v>
      </c>
      <c r="E9" s="149"/>
      <c r="F9" s="149">
        <f>SUM(F7:F8)</f>
        <v>0</v>
      </c>
      <c r="G9" s="149"/>
      <c r="H9" s="149">
        <f>SUM(H7:H8)</f>
        <v>0</v>
      </c>
      <c r="I9" s="149"/>
      <c r="J9" s="149">
        <f>SUM(J7:J8)</f>
        <v>0</v>
      </c>
      <c r="K9" s="149"/>
      <c r="L9" s="149">
        <f>SUM(L7:L8)</f>
        <v>0</v>
      </c>
      <c r="M9" s="149"/>
      <c r="N9" s="149">
        <f>SUM(N7:N8)</f>
        <v>0</v>
      </c>
      <c r="O9" s="150"/>
    </row>
    <row r="10" spans="1:15" ht="12.75" x14ac:dyDescent="0.2">
      <c r="A10" s="14" t="s">
        <v>43</v>
      </c>
      <c r="B10" s="15"/>
      <c r="C10" s="16">
        <f>TariefOpbouwBasisloon1*B10</f>
        <v>0</v>
      </c>
      <c r="D10" s="15"/>
      <c r="E10" s="16">
        <f>TariefOpbouwBasisloon2*D10</f>
        <v>0</v>
      </c>
      <c r="F10" s="15"/>
      <c r="G10" s="16">
        <f>TariefOpbouwBasisloon3*F10</f>
        <v>0</v>
      </c>
      <c r="H10" s="15"/>
      <c r="I10" s="16">
        <f>TariefOpbouwBasisloon4*H10</f>
        <v>0</v>
      </c>
      <c r="J10" s="15"/>
      <c r="K10" s="16">
        <f>TariefOpbouwBasisloon5*J10</f>
        <v>0</v>
      </c>
      <c r="L10" s="15"/>
      <c r="M10" s="16">
        <f>TariefOpbouwBasisloon6*L10</f>
        <v>0</v>
      </c>
      <c r="N10" s="15"/>
      <c r="O10" s="17">
        <f>TariefOpbouwBasisloon7*N10</f>
        <v>0</v>
      </c>
    </row>
    <row r="11" spans="1:15" ht="12.75" x14ac:dyDescent="0.2">
      <c r="A11" s="14" t="s">
        <v>44</v>
      </c>
      <c r="B11" s="15"/>
      <c r="C11" s="16">
        <f>TariefOpbouwBasisloon1*B11</f>
        <v>0</v>
      </c>
      <c r="D11" s="15"/>
      <c r="E11" s="16">
        <f>TariefOpbouwBasisloon2*D11</f>
        <v>0</v>
      </c>
      <c r="F11" s="15"/>
      <c r="G11" s="16">
        <f>TariefOpbouwBasisloon3*F11</f>
        <v>0</v>
      </c>
      <c r="H11" s="15"/>
      <c r="I11" s="16">
        <f>TariefOpbouwBasisloon4*H11</f>
        <v>0</v>
      </c>
      <c r="J11" s="15"/>
      <c r="K11" s="16">
        <f>TariefOpbouwBasisloon5*J11</f>
        <v>0</v>
      </c>
      <c r="L11" s="15"/>
      <c r="M11" s="16">
        <f>TariefOpbouwBasisloon6*L11</f>
        <v>0</v>
      </c>
      <c r="N11" s="15"/>
      <c r="O11" s="17">
        <f>TariefOpbouwBasisloon7*N11</f>
        <v>0</v>
      </c>
    </row>
    <row r="12" spans="1:15" ht="12.75" x14ac:dyDescent="0.2">
      <c r="A12" s="11" t="s">
        <v>45</v>
      </c>
      <c r="B12" s="149">
        <f>SUM(TariefOpbouwBasisloon1,C10:C11)</f>
        <v>0</v>
      </c>
      <c r="C12" s="149"/>
      <c r="D12" s="149">
        <f>SUM(TariefOpbouwBasisloon2,E10:E11)</f>
        <v>0</v>
      </c>
      <c r="E12" s="149"/>
      <c r="F12" s="149">
        <f>SUM(TariefOpbouwBasisloon3,G10:G11)</f>
        <v>0</v>
      </c>
      <c r="G12" s="149"/>
      <c r="H12" s="149">
        <f>SUM(TariefOpbouwBasisloon4,I10:I11)</f>
        <v>0</v>
      </c>
      <c r="I12" s="149"/>
      <c r="J12" s="149">
        <f>SUM(TariefOpbouwBasisloon5,K10:K11)</f>
        <v>0</v>
      </c>
      <c r="K12" s="149"/>
      <c r="L12" s="149">
        <f>SUM(TariefOpbouwBasisloon6,M10:M11)</f>
        <v>0</v>
      </c>
      <c r="M12" s="149"/>
      <c r="N12" s="149">
        <f>SUM(TariefOpbouwBasisloon7,O10:O11)</f>
        <v>0</v>
      </c>
      <c r="O12" s="150"/>
    </row>
    <row r="13" spans="1:15" ht="12.75" x14ac:dyDescent="0.2">
      <c r="A13" s="14" t="s">
        <v>46</v>
      </c>
      <c r="B13" s="15"/>
      <c r="C13" s="16">
        <f>TariefOpbouwUurloon1*B13</f>
        <v>0</v>
      </c>
      <c r="D13" s="15"/>
      <c r="E13" s="16">
        <f>TariefOpbouwUurloon2*D13</f>
        <v>0</v>
      </c>
      <c r="F13" s="15"/>
      <c r="G13" s="16">
        <f>TariefOpbouwUurloon3*F13</f>
        <v>0</v>
      </c>
      <c r="H13" s="15"/>
      <c r="I13" s="16">
        <f>TariefOpbouwUurloon4*H13</f>
        <v>0</v>
      </c>
      <c r="J13" s="15"/>
      <c r="K13" s="16">
        <f>TariefOpbouwUurloon5*J13</f>
        <v>0</v>
      </c>
      <c r="L13" s="15"/>
      <c r="M13" s="16">
        <f>TariefOpbouwUurloon6*L13</f>
        <v>0</v>
      </c>
      <c r="N13" s="15"/>
      <c r="O13" s="17">
        <f>TariefOpbouwUurloon7*N13</f>
        <v>0</v>
      </c>
    </row>
    <row r="14" spans="1:15" ht="12.75" x14ac:dyDescent="0.2">
      <c r="A14" s="11" t="s">
        <v>47</v>
      </c>
      <c r="B14" s="149">
        <f>SUM(TariefOpbouwUurloon1,C13:C13)</f>
        <v>0</v>
      </c>
      <c r="C14" s="149"/>
      <c r="D14" s="149">
        <f>SUM(TariefOpbouwUurloon2,E13:E13)</f>
        <v>0</v>
      </c>
      <c r="E14" s="149"/>
      <c r="F14" s="149">
        <f>SUM(TariefOpbouwUurloon3,G13:G13)</f>
        <v>0</v>
      </c>
      <c r="G14" s="149"/>
      <c r="H14" s="149">
        <f>SUM(TariefOpbouwUurloon4,I13:I13)</f>
        <v>0</v>
      </c>
      <c r="I14" s="149"/>
      <c r="J14" s="149">
        <f>SUM(TariefOpbouwUurloon5,K13:K13)</f>
        <v>0</v>
      </c>
      <c r="K14" s="149"/>
      <c r="L14" s="149">
        <f>SUM(TariefOpbouwUurloon6,M13:M13)</f>
        <v>0</v>
      </c>
      <c r="M14" s="149"/>
      <c r="N14" s="149">
        <f>SUM(TariefOpbouwUurloon7,O13:O13)</f>
        <v>0</v>
      </c>
      <c r="O14" s="150"/>
    </row>
    <row r="15" spans="1:15" ht="12.75" x14ac:dyDescent="0.2">
      <c r="A15" s="14" t="s">
        <v>48</v>
      </c>
      <c r="B15" s="15"/>
      <c r="C15" s="16">
        <f>TariefOpbouwUurloonkosten1*B15</f>
        <v>0</v>
      </c>
      <c r="D15" s="15"/>
      <c r="E15" s="16">
        <f>TariefOpbouwUurloonkosten2*D15</f>
        <v>0</v>
      </c>
      <c r="F15" s="15"/>
      <c r="G15" s="16">
        <f>TariefOpbouwUurloonkosten3*F15</f>
        <v>0</v>
      </c>
      <c r="H15" s="15"/>
      <c r="I15" s="16">
        <f>TariefOpbouwUurloonkosten4*H15</f>
        <v>0</v>
      </c>
      <c r="J15" s="15"/>
      <c r="K15" s="16">
        <f>TariefOpbouwUurloonkosten5*J15</f>
        <v>0</v>
      </c>
      <c r="L15" s="15"/>
      <c r="M15" s="16">
        <f>TariefOpbouwUurloonkosten6*L15</f>
        <v>0</v>
      </c>
      <c r="N15" s="15"/>
      <c r="O15" s="17">
        <f>TariefOpbouwUurloonkosten7*N15</f>
        <v>0</v>
      </c>
    </row>
    <row r="16" spans="1:15" ht="12.75" x14ac:dyDescent="0.2">
      <c r="A16" s="14" t="s">
        <v>49</v>
      </c>
      <c r="B16" s="15"/>
      <c r="C16" s="16">
        <f>TariefOpbouwUurloonkosten1*B16</f>
        <v>0</v>
      </c>
      <c r="D16" s="15"/>
      <c r="E16" s="16">
        <f>TariefOpbouwUurloonkosten2*D16</f>
        <v>0</v>
      </c>
      <c r="F16" s="15"/>
      <c r="G16" s="16">
        <f>TariefOpbouwUurloonkosten3*F16</f>
        <v>0</v>
      </c>
      <c r="H16" s="15"/>
      <c r="I16" s="16">
        <f>TariefOpbouwUurloonkosten4*H16</f>
        <v>0</v>
      </c>
      <c r="J16" s="15"/>
      <c r="K16" s="16">
        <f>TariefOpbouwUurloonkosten5*J16</f>
        <v>0</v>
      </c>
      <c r="L16" s="15"/>
      <c r="M16" s="16">
        <f>TariefOpbouwUurloonkosten6*L16</f>
        <v>0</v>
      </c>
      <c r="N16" s="15"/>
      <c r="O16" s="17">
        <f>TariefOpbouwUurloonkosten7*N16</f>
        <v>0</v>
      </c>
    </row>
    <row r="17" spans="1:15" ht="12.75" x14ac:dyDescent="0.2">
      <c r="A17" s="14" t="s">
        <v>50</v>
      </c>
      <c r="B17" s="15"/>
      <c r="C17" s="16">
        <f>TariefOpbouwUurloonkosten1*B17</f>
        <v>0</v>
      </c>
      <c r="D17" s="15"/>
      <c r="E17" s="16">
        <f>TariefOpbouwUurloonkosten2*D17</f>
        <v>0</v>
      </c>
      <c r="F17" s="15"/>
      <c r="G17" s="16">
        <f>TariefOpbouwUurloonkosten3*F17</f>
        <v>0</v>
      </c>
      <c r="H17" s="15"/>
      <c r="I17" s="16">
        <f>TariefOpbouwUurloonkosten4*H17</f>
        <v>0</v>
      </c>
      <c r="J17" s="15"/>
      <c r="K17" s="16">
        <f>TariefOpbouwUurloonkosten5*J17</f>
        <v>0</v>
      </c>
      <c r="L17" s="15"/>
      <c r="M17" s="16">
        <f>TariefOpbouwUurloonkosten6*L17</f>
        <v>0</v>
      </c>
      <c r="N17" s="15"/>
      <c r="O17" s="17">
        <f>TariefOpbouwUurloonkosten7*N17</f>
        <v>0</v>
      </c>
    </row>
    <row r="18" spans="1:15" ht="12.75" x14ac:dyDescent="0.2">
      <c r="A18" s="14" t="s">
        <v>51</v>
      </c>
      <c r="B18" s="15"/>
      <c r="C18" s="16">
        <f>TariefOpbouwUurloonkosten1*B18</f>
        <v>0</v>
      </c>
      <c r="D18" s="15"/>
      <c r="E18" s="16">
        <f>TariefOpbouwUurloonkosten2*D18</f>
        <v>0</v>
      </c>
      <c r="F18" s="15"/>
      <c r="G18" s="16">
        <f>TariefOpbouwUurloonkosten3*F18</f>
        <v>0</v>
      </c>
      <c r="H18" s="15"/>
      <c r="I18" s="16">
        <f>TariefOpbouwUurloonkosten4*H18</f>
        <v>0</v>
      </c>
      <c r="J18" s="15"/>
      <c r="K18" s="16">
        <f>TariefOpbouwUurloonkosten5*J18</f>
        <v>0</v>
      </c>
      <c r="L18" s="15"/>
      <c r="M18" s="16">
        <f>TariefOpbouwUurloonkosten6*L18</f>
        <v>0</v>
      </c>
      <c r="N18" s="15"/>
      <c r="O18" s="17">
        <f>TariefOpbouwUurloonkosten7*N18</f>
        <v>0</v>
      </c>
    </row>
    <row r="19" spans="1:15" x14ac:dyDescent="0.2">
      <c r="A19" s="11" t="s">
        <v>52</v>
      </c>
      <c r="B19" s="149">
        <f>SUM(TariefOpbouwUurloonkosten1,C15:C18)</f>
        <v>0</v>
      </c>
      <c r="C19" s="149"/>
      <c r="D19" s="149">
        <f>SUM(TariefOpbouwUurloonkosten2,E15:E18)</f>
        <v>0</v>
      </c>
      <c r="E19" s="149"/>
      <c r="F19" s="149">
        <f>SUM(TariefOpbouwUurloonkosten3,G15:G18)</f>
        <v>0</v>
      </c>
      <c r="G19" s="149"/>
      <c r="H19" s="149">
        <f>SUM(TariefOpbouwUurloonkosten4,I15:I18)</f>
        <v>0</v>
      </c>
      <c r="I19" s="149"/>
      <c r="J19" s="149">
        <f>SUM(TariefOpbouwUurloonkosten5,K15:K18)</f>
        <v>0</v>
      </c>
      <c r="K19" s="149"/>
      <c r="L19" s="149">
        <f>SUM(TariefOpbouwUurloonkosten6,M15:M18)</f>
        <v>0</v>
      </c>
      <c r="M19" s="149"/>
      <c r="N19" s="149">
        <f>SUM(TariefOpbouwUurloonkosten7,O15:O18)</f>
        <v>0</v>
      </c>
      <c r="O19" s="150"/>
    </row>
    <row r="20" spans="1:15" x14ac:dyDescent="0.2">
      <c r="A20" s="14" t="s">
        <v>53</v>
      </c>
      <c r="B20" s="15"/>
      <c r="C20" s="16">
        <f t="shared" ref="C20:C25" si="0">TariefOpbouwTotaalLoonkosten1*B20</f>
        <v>0</v>
      </c>
      <c r="D20" s="15"/>
      <c r="E20" s="16">
        <f t="shared" ref="E20:E25" si="1">TariefOpbouwTotaalLoonkosten2*D20</f>
        <v>0</v>
      </c>
      <c r="F20" s="15"/>
      <c r="G20" s="16">
        <f t="shared" ref="G20:G25" si="2">TariefOpbouwTotaalLoonkosten3*F20</f>
        <v>0</v>
      </c>
      <c r="H20" s="15"/>
      <c r="I20" s="16">
        <f t="shared" ref="I20:I25" si="3">TariefOpbouwTotaalLoonkosten4*H20</f>
        <v>0</v>
      </c>
      <c r="J20" s="15"/>
      <c r="K20" s="16">
        <f t="shared" ref="K20:K25" si="4">TariefOpbouwTotaalLoonkosten5*J20</f>
        <v>0</v>
      </c>
      <c r="L20" s="15"/>
      <c r="M20" s="16">
        <f t="shared" ref="M20:M25" si="5">TariefOpbouwTotaalLoonkosten6*L20</f>
        <v>0</v>
      </c>
      <c r="N20" s="15"/>
      <c r="O20" s="17">
        <f t="shared" ref="O20:O25" si="6">TariefOpbouwTotaalLoonkosten7*N20</f>
        <v>0</v>
      </c>
    </row>
    <row r="21" spans="1:15" x14ac:dyDescent="0.2">
      <c r="A21" s="14" t="s">
        <v>54</v>
      </c>
      <c r="B21" s="15"/>
      <c r="C21" s="16">
        <f t="shared" si="0"/>
        <v>0</v>
      </c>
      <c r="D21" s="15"/>
      <c r="E21" s="16">
        <f t="shared" si="1"/>
        <v>0</v>
      </c>
      <c r="F21" s="15"/>
      <c r="G21" s="16">
        <f t="shared" si="2"/>
        <v>0</v>
      </c>
      <c r="H21" s="15"/>
      <c r="I21" s="16">
        <f t="shared" si="3"/>
        <v>0</v>
      </c>
      <c r="J21" s="15"/>
      <c r="K21" s="16">
        <f t="shared" si="4"/>
        <v>0</v>
      </c>
      <c r="L21" s="15"/>
      <c r="M21" s="16">
        <f t="shared" si="5"/>
        <v>0</v>
      </c>
      <c r="N21" s="15"/>
      <c r="O21" s="17">
        <f t="shared" si="6"/>
        <v>0</v>
      </c>
    </row>
    <row r="22" spans="1:15" x14ac:dyDescent="0.2">
      <c r="A22" s="14" t="s">
        <v>55</v>
      </c>
      <c r="B22" s="15"/>
      <c r="C22" s="16">
        <f t="shared" si="0"/>
        <v>0</v>
      </c>
      <c r="D22" s="15"/>
      <c r="E22" s="16">
        <f t="shared" si="1"/>
        <v>0</v>
      </c>
      <c r="F22" s="15"/>
      <c r="G22" s="16">
        <f t="shared" si="2"/>
        <v>0</v>
      </c>
      <c r="H22" s="15"/>
      <c r="I22" s="16">
        <f t="shared" si="3"/>
        <v>0</v>
      </c>
      <c r="J22" s="15"/>
      <c r="K22" s="16">
        <f t="shared" si="4"/>
        <v>0</v>
      </c>
      <c r="L22" s="15"/>
      <c r="M22" s="16">
        <f t="shared" si="5"/>
        <v>0</v>
      </c>
      <c r="N22" s="15"/>
      <c r="O22" s="17">
        <f t="shared" si="6"/>
        <v>0</v>
      </c>
    </row>
    <row r="23" spans="1:15" x14ac:dyDescent="0.2">
      <c r="A23" s="14" t="s">
        <v>56</v>
      </c>
      <c r="B23" s="15"/>
      <c r="C23" s="16">
        <f t="shared" si="0"/>
        <v>0</v>
      </c>
      <c r="D23" s="15"/>
      <c r="E23" s="16">
        <f t="shared" si="1"/>
        <v>0</v>
      </c>
      <c r="F23" s="15"/>
      <c r="G23" s="16">
        <f t="shared" si="2"/>
        <v>0</v>
      </c>
      <c r="H23" s="15"/>
      <c r="I23" s="16">
        <f t="shared" si="3"/>
        <v>0</v>
      </c>
      <c r="J23" s="15"/>
      <c r="K23" s="16">
        <f t="shared" si="4"/>
        <v>0</v>
      </c>
      <c r="L23" s="15"/>
      <c r="M23" s="16">
        <f t="shared" si="5"/>
        <v>0</v>
      </c>
      <c r="N23" s="15"/>
      <c r="O23" s="17">
        <f t="shared" si="6"/>
        <v>0</v>
      </c>
    </row>
    <row r="24" spans="1:15" x14ac:dyDescent="0.2">
      <c r="A24" s="14" t="s">
        <v>57</v>
      </c>
      <c r="B24" s="15"/>
      <c r="C24" s="16">
        <f t="shared" si="0"/>
        <v>0</v>
      </c>
      <c r="D24" s="15"/>
      <c r="E24" s="16">
        <f t="shared" si="1"/>
        <v>0</v>
      </c>
      <c r="F24" s="15"/>
      <c r="G24" s="16">
        <f t="shared" si="2"/>
        <v>0</v>
      </c>
      <c r="H24" s="15"/>
      <c r="I24" s="16">
        <f t="shared" si="3"/>
        <v>0</v>
      </c>
      <c r="J24" s="15"/>
      <c r="K24" s="16">
        <f t="shared" si="4"/>
        <v>0</v>
      </c>
      <c r="L24" s="15"/>
      <c r="M24" s="16">
        <f t="shared" si="5"/>
        <v>0</v>
      </c>
      <c r="N24" s="15"/>
      <c r="O24" s="17">
        <f t="shared" si="6"/>
        <v>0</v>
      </c>
    </row>
    <row r="25" spans="1:15" x14ac:dyDescent="0.2">
      <c r="A25" s="14" t="s">
        <v>58</v>
      </c>
      <c r="B25" s="15"/>
      <c r="C25" s="16">
        <f t="shared" si="0"/>
        <v>0</v>
      </c>
      <c r="D25" s="15"/>
      <c r="E25" s="16">
        <f t="shared" si="1"/>
        <v>0</v>
      </c>
      <c r="F25" s="15"/>
      <c r="G25" s="16">
        <f t="shared" si="2"/>
        <v>0</v>
      </c>
      <c r="H25" s="15"/>
      <c r="I25" s="16">
        <f t="shared" si="3"/>
        <v>0</v>
      </c>
      <c r="J25" s="15"/>
      <c r="K25" s="16">
        <f t="shared" si="4"/>
        <v>0</v>
      </c>
      <c r="L25" s="15"/>
      <c r="M25" s="16">
        <f t="shared" si="5"/>
        <v>0</v>
      </c>
      <c r="N25" s="15"/>
      <c r="O25" s="17">
        <f t="shared" si="6"/>
        <v>0</v>
      </c>
    </row>
    <row r="26" spans="1:15" x14ac:dyDescent="0.2">
      <c r="A26" s="11" t="s">
        <v>59</v>
      </c>
      <c r="B26" s="149">
        <f>SUM(TariefOpbouwTotaalLoonkosten1,C20:C25)</f>
        <v>0</v>
      </c>
      <c r="C26" s="149"/>
      <c r="D26" s="149">
        <f>SUM(TariefOpbouwTotaalLoonkosten2,E20:E25)</f>
        <v>0</v>
      </c>
      <c r="E26" s="149"/>
      <c r="F26" s="149">
        <f>SUM(TariefOpbouwTotaalLoonkosten3,G20:G25)</f>
        <v>0</v>
      </c>
      <c r="G26" s="149"/>
      <c r="H26" s="149">
        <f>SUM(TariefOpbouwTotaalLoonkosten4,I20:I25)</f>
        <v>0</v>
      </c>
      <c r="I26" s="149"/>
      <c r="J26" s="149">
        <f>SUM(TariefOpbouwTotaalLoonkosten5,K20:K25)</f>
        <v>0</v>
      </c>
      <c r="K26" s="149"/>
      <c r="L26" s="149">
        <f>SUM(TariefOpbouwTotaalLoonkosten6,M20:M25)</f>
        <v>0</v>
      </c>
      <c r="M26" s="149"/>
      <c r="N26" s="149">
        <f>SUM(TariefOpbouwTotaalLoonkosten7,O20:O25)</f>
        <v>0</v>
      </c>
      <c r="O26" s="150"/>
    </row>
    <row r="27" spans="1:15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0"/>
    </row>
    <row r="28" spans="1:15" x14ac:dyDescent="0.2">
      <c r="A28" s="14" t="s">
        <v>60</v>
      </c>
      <c r="B28" s="15"/>
      <c r="C28" s="16">
        <f t="shared" ref="C28:C34" si="7">TariefOpbouwDirecteKosten1*B28</f>
        <v>0</v>
      </c>
      <c r="D28" s="15"/>
      <c r="E28" s="16">
        <f t="shared" ref="E28:E34" si="8">TariefOpbouwDirecteKosten2*D28</f>
        <v>0</v>
      </c>
      <c r="F28" s="15"/>
      <c r="G28" s="16">
        <f t="shared" ref="G28:G34" si="9">TariefOpbouwDirecteKosten3*F28</f>
        <v>0</v>
      </c>
      <c r="H28" s="15"/>
      <c r="I28" s="16">
        <f t="shared" ref="I28:I34" si="10">TariefOpbouwDirecteKosten4*H28</f>
        <v>0</v>
      </c>
      <c r="J28" s="15"/>
      <c r="K28" s="16">
        <f t="shared" ref="K28:K34" si="11">TariefOpbouwDirecteKosten5*J28</f>
        <v>0</v>
      </c>
      <c r="L28" s="15"/>
      <c r="M28" s="16">
        <f t="shared" ref="M28:M34" si="12">TariefOpbouwDirecteKosten6*L28</f>
        <v>0</v>
      </c>
      <c r="N28" s="15"/>
      <c r="O28" s="17">
        <f t="shared" ref="O28:O34" si="13">TariefOpbouwDirecteKosten7*N28</f>
        <v>0</v>
      </c>
    </row>
    <row r="29" spans="1:15" x14ac:dyDescent="0.2">
      <c r="A29" s="14" t="s">
        <v>61</v>
      </c>
      <c r="B29" s="15"/>
      <c r="C29" s="16">
        <f t="shared" si="7"/>
        <v>0</v>
      </c>
      <c r="D29" s="15"/>
      <c r="E29" s="16">
        <f t="shared" si="8"/>
        <v>0</v>
      </c>
      <c r="F29" s="15"/>
      <c r="G29" s="16">
        <f t="shared" si="9"/>
        <v>0</v>
      </c>
      <c r="H29" s="15"/>
      <c r="I29" s="16">
        <f t="shared" si="10"/>
        <v>0</v>
      </c>
      <c r="J29" s="15"/>
      <c r="K29" s="16">
        <f t="shared" si="11"/>
        <v>0</v>
      </c>
      <c r="L29" s="15"/>
      <c r="M29" s="16">
        <f t="shared" si="12"/>
        <v>0</v>
      </c>
      <c r="N29" s="15"/>
      <c r="O29" s="17">
        <f t="shared" si="13"/>
        <v>0</v>
      </c>
    </row>
    <row r="30" spans="1:15" x14ac:dyDescent="0.2">
      <c r="A30" s="14" t="s">
        <v>62</v>
      </c>
      <c r="B30" s="15"/>
      <c r="C30" s="16">
        <f t="shared" si="7"/>
        <v>0</v>
      </c>
      <c r="D30" s="15"/>
      <c r="E30" s="16">
        <f t="shared" si="8"/>
        <v>0</v>
      </c>
      <c r="F30" s="15"/>
      <c r="G30" s="16">
        <f t="shared" si="9"/>
        <v>0</v>
      </c>
      <c r="H30" s="15"/>
      <c r="I30" s="16">
        <f t="shared" si="10"/>
        <v>0</v>
      </c>
      <c r="J30" s="15"/>
      <c r="K30" s="16">
        <f t="shared" si="11"/>
        <v>0</v>
      </c>
      <c r="L30" s="15"/>
      <c r="M30" s="16">
        <f t="shared" si="12"/>
        <v>0</v>
      </c>
      <c r="N30" s="15"/>
      <c r="O30" s="17">
        <f t="shared" si="13"/>
        <v>0</v>
      </c>
    </row>
    <row r="31" spans="1:15" x14ac:dyDescent="0.2">
      <c r="A31" s="14" t="s">
        <v>63</v>
      </c>
      <c r="B31" s="15"/>
      <c r="C31" s="16">
        <f t="shared" si="7"/>
        <v>0</v>
      </c>
      <c r="D31" s="15"/>
      <c r="E31" s="16">
        <f t="shared" si="8"/>
        <v>0</v>
      </c>
      <c r="F31" s="15"/>
      <c r="G31" s="16">
        <f t="shared" si="9"/>
        <v>0</v>
      </c>
      <c r="H31" s="15"/>
      <c r="I31" s="16">
        <f t="shared" si="10"/>
        <v>0</v>
      </c>
      <c r="J31" s="15"/>
      <c r="K31" s="16">
        <f t="shared" si="11"/>
        <v>0</v>
      </c>
      <c r="L31" s="15"/>
      <c r="M31" s="16">
        <f t="shared" si="12"/>
        <v>0</v>
      </c>
      <c r="N31" s="15"/>
      <c r="O31" s="17">
        <f t="shared" si="13"/>
        <v>0</v>
      </c>
    </row>
    <row r="32" spans="1:15" x14ac:dyDescent="0.2">
      <c r="A32" s="14" t="s">
        <v>64</v>
      </c>
      <c r="B32" s="15"/>
      <c r="C32" s="16">
        <f t="shared" si="7"/>
        <v>0</v>
      </c>
      <c r="D32" s="15"/>
      <c r="E32" s="16">
        <f t="shared" si="8"/>
        <v>0</v>
      </c>
      <c r="F32" s="15"/>
      <c r="G32" s="16">
        <f t="shared" si="9"/>
        <v>0</v>
      </c>
      <c r="H32" s="15"/>
      <c r="I32" s="16">
        <f t="shared" si="10"/>
        <v>0</v>
      </c>
      <c r="J32" s="15"/>
      <c r="K32" s="16">
        <f t="shared" si="11"/>
        <v>0</v>
      </c>
      <c r="L32" s="15"/>
      <c r="M32" s="16">
        <f t="shared" si="12"/>
        <v>0</v>
      </c>
      <c r="N32" s="15"/>
      <c r="O32" s="17">
        <f t="shared" si="13"/>
        <v>0</v>
      </c>
    </row>
    <row r="33" spans="1:15" x14ac:dyDescent="0.2">
      <c r="A33" s="14" t="s">
        <v>65</v>
      </c>
      <c r="B33" s="15"/>
      <c r="C33" s="16">
        <f t="shared" si="7"/>
        <v>0</v>
      </c>
      <c r="D33" s="15"/>
      <c r="E33" s="16">
        <f t="shared" si="8"/>
        <v>0</v>
      </c>
      <c r="F33" s="15"/>
      <c r="G33" s="16">
        <f t="shared" si="9"/>
        <v>0</v>
      </c>
      <c r="H33" s="15"/>
      <c r="I33" s="16">
        <f t="shared" si="10"/>
        <v>0</v>
      </c>
      <c r="J33" s="15"/>
      <c r="K33" s="16">
        <f t="shared" si="11"/>
        <v>0</v>
      </c>
      <c r="L33" s="15"/>
      <c r="M33" s="16">
        <f t="shared" si="12"/>
        <v>0</v>
      </c>
      <c r="N33" s="15"/>
      <c r="O33" s="17">
        <f t="shared" si="13"/>
        <v>0</v>
      </c>
    </row>
    <row r="34" spans="1:15" x14ac:dyDescent="0.2">
      <c r="A34" s="14" t="s">
        <v>66</v>
      </c>
      <c r="B34" s="15"/>
      <c r="C34" s="16">
        <f t="shared" si="7"/>
        <v>0</v>
      </c>
      <c r="D34" s="15"/>
      <c r="E34" s="16">
        <f t="shared" si="8"/>
        <v>0</v>
      </c>
      <c r="F34" s="15"/>
      <c r="G34" s="16">
        <f t="shared" si="9"/>
        <v>0</v>
      </c>
      <c r="H34" s="15"/>
      <c r="I34" s="16">
        <f t="shared" si="10"/>
        <v>0</v>
      </c>
      <c r="J34" s="15"/>
      <c r="K34" s="16">
        <f t="shared" si="11"/>
        <v>0</v>
      </c>
      <c r="L34" s="15"/>
      <c r="M34" s="16">
        <f t="shared" si="12"/>
        <v>0</v>
      </c>
      <c r="N34" s="15"/>
      <c r="O34" s="17">
        <f t="shared" si="13"/>
        <v>0</v>
      </c>
    </row>
    <row r="35" spans="1:15" x14ac:dyDescent="0.2">
      <c r="A35" s="11" t="s">
        <v>67</v>
      </c>
      <c r="B35" s="149">
        <f>SUM(C28:C34)</f>
        <v>0</v>
      </c>
      <c r="C35" s="149"/>
      <c r="D35" s="149">
        <f>SUM(E28:E34)</f>
        <v>0</v>
      </c>
      <c r="E35" s="149"/>
      <c r="F35" s="149">
        <f>SUM(G28:G34)</f>
        <v>0</v>
      </c>
      <c r="G35" s="149"/>
      <c r="H35" s="149">
        <f>SUM(I28:I34)</f>
        <v>0</v>
      </c>
      <c r="I35" s="149"/>
      <c r="J35" s="149">
        <f>SUM(K28:K34)</f>
        <v>0</v>
      </c>
      <c r="K35" s="149"/>
      <c r="L35" s="149">
        <f>SUM(M28:M34)</f>
        <v>0</v>
      </c>
      <c r="M35" s="149"/>
      <c r="N35" s="149">
        <f>SUM(O28:O34)</f>
        <v>0</v>
      </c>
      <c r="O35" s="150"/>
    </row>
    <row r="36" spans="1:15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</row>
    <row r="37" spans="1:15" x14ac:dyDescent="0.2">
      <c r="A37" s="11" t="s">
        <v>68</v>
      </c>
      <c r="B37" s="15"/>
      <c r="C37" s="16">
        <f>(TariefOpbouwDirecteKosten1+TariefOpbouwIndirecteKosten1)*B37</f>
        <v>0</v>
      </c>
      <c r="D37" s="15"/>
      <c r="E37" s="16">
        <f>(TariefOpbouwDirecteKosten2+TariefOpbouwIndirecteKosten2)*D37</f>
        <v>0</v>
      </c>
      <c r="F37" s="15"/>
      <c r="G37" s="16">
        <f>(TariefOpbouwDirecteKosten3+TariefOpbouwIndirecteKosten3)*F37</f>
        <v>0</v>
      </c>
      <c r="H37" s="15"/>
      <c r="I37" s="16">
        <f>(TariefOpbouwDirecteKosten4+TariefOpbouwIndirecteKosten4)*H37</f>
        <v>0</v>
      </c>
      <c r="J37" s="15"/>
      <c r="K37" s="16">
        <f>(TariefOpbouwDirecteKosten5+TariefOpbouwIndirecteKosten5)*J37</f>
        <v>0</v>
      </c>
      <c r="L37" s="15"/>
      <c r="M37" s="16">
        <f>(TariefOpbouwDirecteKosten6+TariefOpbouwIndirecteKosten6)*L37</f>
        <v>0</v>
      </c>
      <c r="N37" s="15"/>
      <c r="O37" s="17">
        <f>(TariefOpbouwDirecteKosten7+TariefOpbouwIndirecteKosten7)*N37</f>
        <v>0</v>
      </c>
    </row>
    <row r="38" spans="1:15" x14ac:dyDescent="0.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</row>
    <row r="39" spans="1:15" x14ac:dyDescent="0.2">
      <c r="A39" s="11" t="s">
        <v>69</v>
      </c>
      <c r="B39" s="149">
        <f>TariefOpbouwDirecteKosten1+TariefOpbouwIndirecteKosten1+TariefOpbouwRisicoWinst1</f>
        <v>0</v>
      </c>
      <c r="C39" s="149"/>
      <c r="D39" s="149">
        <f>TariefOpbouwDirecteKosten2+TariefOpbouwIndirecteKosten2+TariefOpbouwRisicoWinst2</f>
        <v>0</v>
      </c>
      <c r="E39" s="149"/>
      <c r="F39" s="149">
        <f>TariefOpbouwDirecteKosten3+TariefOpbouwIndirecteKosten3+TariefOpbouwRisicoWinst3</f>
        <v>0</v>
      </c>
      <c r="G39" s="149"/>
      <c r="H39" s="149">
        <f>TariefOpbouwDirecteKosten4+TariefOpbouwIndirecteKosten4+TariefOpbouwRisicoWinst4</f>
        <v>0</v>
      </c>
      <c r="I39" s="149"/>
      <c r="J39" s="149">
        <f>TariefOpbouwDirecteKosten5+TariefOpbouwIndirecteKosten5+TariefOpbouwRisicoWinst5</f>
        <v>0</v>
      </c>
      <c r="K39" s="149"/>
      <c r="L39" s="149">
        <f>TariefOpbouwDirecteKosten6+TariefOpbouwIndirecteKosten6+TariefOpbouwRisicoWinst6</f>
        <v>0</v>
      </c>
      <c r="M39" s="149"/>
      <c r="N39" s="149">
        <f>TariefOpbouwDirecteKosten7+TariefOpbouwIndirecteKosten7+TariefOpbouwRisicoWinst7</f>
        <v>0</v>
      </c>
      <c r="O39" s="150"/>
    </row>
    <row r="40" spans="1:15" x14ac:dyDescent="0.2">
      <c r="A40" s="11" t="s">
        <v>70</v>
      </c>
      <c r="B40" s="21" t="s">
        <v>71</v>
      </c>
      <c r="C40" s="21" t="s">
        <v>72</v>
      </c>
      <c r="D40" s="21" t="s">
        <v>71</v>
      </c>
      <c r="E40" s="21" t="s">
        <v>72</v>
      </c>
      <c r="F40" s="21" t="s">
        <v>71</v>
      </c>
      <c r="G40" s="21" t="s">
        <v>72</v>
      </c>
      <c r="H40" s="21" t="s">
        <v>71</v>
      </c>
      <c r="I40" s="21" t="s">
        <v>72</v>
      </c>
      <c r="J40" s="21" t="s">
        <v>71</v>
      </c>
      <c r="K40" s="21" t="s">
        <v>72</v>
      </c>
      <c r="L40" s="21" t="s">
        <v>71</v>
      </c>
      <c r="M40" s="21" t="s">
        <v>72</v>
      </c>
      <c r="N40" s="21" t="s">
        <v>71</v>
      </c>
      <c r="O40" s="22" t="s">
        <v>72</v>
      </c>
    </row>
    <row r="41" spans="1:15" x14ac:dyDescent="0.2">
      <c r="A41" s="11" t="s">
        <v>73</v>
      </c>
      <c r="B41" s="23">
        <v>0.3</v>
      </c>
      <c r="C41" s="16">
        <f>((1+B41)*TariefOpbouwTotaalLoonkosten1+TariefOpbouwDirecteKosten1-TariefOpbouwTotaalLoonkosten1+TariefOpbouwIndirecteKosten1)*(1+TariefOpbouwRisicoWinstPercentage1)</f>
        <v>0</v>
      </c>
      <c r="D41" s="23">
        <v>0.3</v>
      </c>
      <c r="E41" s="16">
        <f>((1+D41)*TariefOpbouwTotaalLoonkosten2+TariefOpbouwDirecteKosten2-TariefOpbouwTotaalLoonkosten2+TariefOpbouwIndirecteKosten2)*(1+TariefOpbouwRisicoWinstPercentage2)</f>
        <v>0</v>
      </c>
      <c r="F41" s="23">
        <v>0.3</v>
      </c>
      <c r="G41" s="16">
        <f>((1+F41)*TariefOpbouwTotaalLoonkosten3+TariefOpbouwDirecteKosten3-TariefOpbouwTotaalLoonkosten3+TariefOpbouwIndirecteKosten3)*(1+TariefOpbouwRisicoWinstPercentage3)</f>
        <v>0</v>
      </c>
      <c r="H41" s="23">
        <v>0.3</v>
      </c>
      <c r="I41" s="16">
        <f>((1+H41)*TariefOpbouwTotaalLoonkosten4+TariefOpbouwDirecteKosten4-TariefOpbouwTotaalLoonkosten4+TariefOpbouwIndirecteKosten4)*(1+TariefOpbouwRisicoWinstPercentage4)</f>
        <v>0</v>
      </c>
      <c r="J41" s="23">
        <v>0.3</v>
      </c>
      <c r="K41" s="16">
        <f>((1+J41)*TariefOpbouwTotaalLoonkosten5+TariefOpbouwDirecteKosten5-TariefOpbouwTotaalLoonkosten5+TariefOpbouwIndirecteKosten5)*(1+TariefOpbouwRisicoWinstPercentage5)</f>
        <v>0</v>
      </c>
      <c r="L41" s="23">
        <v>0.3</v>
      </c>
      <c r="M41" s="16">
        <f>((1+L41)*TariefOpbouwTotaalLoonkosten6+TariefOpbouwDirecteKosten6-TariefOpbouwTotaalLoonkosten6+TariefOpbouwIndirecteKosten6)*(1+TariefOpbouwRisicoWinstPercentage6)</f>
        <v>0</v>
      </c>
      <c r="N41" s="23">
        <v>0.3</v>
      </c>
      <c r="O41" s="17">
        <f>((1+N41)*TariefOpbouwTotaalLoonkosten7+TariefOpbouwDirecteKosten7-TariefOpbouwTotaalLoonkosten7+TariefOpbouwIndirecteKosten7)*(1+TariefOpbouwRisicoWinstPercentage7)</f>
        <v>0</v>
      </c>
    </row>
    <row r="42" spans="1:15" x14ac:dyDescent="0.2">
      <c r="A42" s="11" t="s">
        <v>74</v>
      </c>
      <c r="B42" s="23">
        <v>0.5</v>
      </c>
      <c r="C42" s="16">
        <f>((1+B42)*TariefOpbouwTotaalLoonkosten1+TariefOpbouwDirecteKosten1-TariefOpbouwTotaalLoonkosten1+TariefOpbouwIndirecteKosten1)*(1+TariefOpbouwRisicoWinstPercentage1)</f>
        <v>0</v>
      </c>
      <c r="D42" s="23">
        <v>0.5</v>
      </c>
      <c r="E42" s="16">
        <f>((1+D42)*TariefOpbouwTotaalLoonkosten2+TariefOpbouwDirecteKosten2-TariefOpbouwTotaalLoonkosten2+TariefOpbouwIndirecteKosten2)*(1+TariefOpbouwRisicoWinstPercentage2)</f>
        <v>0</v>
      </c>
      <c r="F42" s="23">
        <v>0.5</v>
      </c>
      <c r="G42" s="16">
        <f>((1+F42)*TariefOpbouwTotaalLoonkosten3+TariefOpbouwDirecteKosten3-TariefOpbouwTotaalLoonkosten3+TariefOpbouwIndirecteKosten3)*(1+TariefOpbouwRisicoWinstPercentage3)</f>
        <v>0</v>
      </c>
      <c r="H42" s="23">
        <v>0.5</v>
      </c>
      <c r="I42" s="16">
        <f>((1+H42)*TariefOpbouwTotaalLoonkosten4+TariefOpbouwDirecteKosten4-TariefOpbouwTotaalLoonkosten4+TariefOpbouwIndirecteKosten4)*(1+TariefOpbouwRisicoWinstPercentage4)</f>
        <v>0</v>
      </c>
      <c r="J42" s="23">
        <v>0.5</v>
      </c>
      <c r="K42" s="16">
        <f>((1+J42)*TariefOpbouwTotaalLoonkosten5+TariefOpbouwDirecteKosten5-TariefOpbouwTotaalLoonkosten5+TariefOpbouwIndirecteKosten5)*(1+TariefOpbouwRisicoWinstPercentage5)</f>
        <v>0</v>
      </c>
      <c r="L42" s="23">
        <v>0.5</v>
      </c>
      <c r="M42" s="16">
        <f>((1+L42)*TariefOpbouwTotaalLoonkosten6+TariefOpbouwDirecteKosten6-TariefOpbouwTotaalLoonkosten6+TariefOpbouwIndirecteKosten6)*(1+TariefOpbouwRisicoWinstPercentage6)</f>
        <v>0</v>
      </c>
      <c r="N42" s="23">
        <v>0.5</v>
      </c>
      <c r="O42" s="17">
        <f>((1+N42)*TariefOpbouwTotaalLoonkosten7+TariefOpbouwDirecteKosten7-TariefOpbouwTotaalLoonkosten7+TariefOpbouwIndirecteKosten7)*(1+TariefOpbouwRisicoWinstPercentage7)</f>
        <v>0</v>
      </c>
    </row>
    <row r="43" spans="1:15" x14ac:dyDescent="0.2">
      <c r="A43" s="24" t="s">
        <v>75</v>
      </c>
      <c r="B43" s="25">
        <v>1.5</v>
      </c>
      <c r="C43" s="26">
        <f>((1+B43)*TariefOpbouwTotaalLoonkosten1+TariefOpbouwDirecteKosten1-TariefOpbouwTotaalLoonkosten1+TariefOpbouwIndirecteKosten1)*(1+TariefOpbouwRisicoWinstPercentage1)</f>
        <v>0</v>
      </c>
      <c r="D43" s="25">
        <v>1.5</v>
      </c>
      <c r="E43" s="26">
        <f>((1+D43)*TariefOpbouwTotaalLoonkosten2+TariefOpbouwDirecteKosten2-TariefOpbouwTotaalLoonkosten2+TariefOpbouwIndirecteKosten2)*(1+TariefOpbouwRisicoWinstPercentage2)</f>
        <v>0</v>
      </c>
      <c r="F43" s="25">
        <v>1.5</v>
      </c>
      <c r="G43" s="26">
        <f>((1+F43)*TariefOpbouwTotaalLoonkosten3+TariefOpbouwDirecteKosten3-TariefOpbouwTotaalLoonkosten3+TariefOpbouwIndirecteKosten3)*(1+TariefOpbouwRisicoWinstPercentage3)</f>
        <v>0</v>
      </c>
      <c r="H43" s="25">
        <v>1.5</v>
      </c>
      <c r="I43" s="26">
        <f>((1+H43)*TariefOpbouwTotaalLoonkosten4+TariefOpbouwDirecteKosten4-TariefOpbouwTotaalLoonkosten4+TariefOpbouwIndirecteKosten4)*(1+TariefOpbouwRisicoWinstPercentage4)</f>
        <v>0</v>
      </c>
      <c r="J43" s="25">
        <v>1.5</v>
      </c>
      <c r="K43" s="26">
        <f>((1+J43)*TariefOpbouwTotaalLoonkosten5+TariefOpbouwDirecteKosten5-TariefOpbouwTotaalLoonkosten5+TariefOpbouwIndirecteKosten5)*(1+TariefOpbouwRisicoWinstPercentage5)</f>
        <v>0</v>
      </c>
      <c r="L43" s="25">
        <v>1.5</v>
      </c>
      <c r="M43" s="26">
        <f>((1+L43)*TariefOpbouwTotaalLoonkosten6+TariefOpbouwDirecteKosten6-TariefOpbouwTotaalLoonkosten6+TariefOpbouwIndirecteKosten6)*(1+TariefOpbouwRisicoWinstPercentage6)</f>
        <v>0</v>
      </c>
      <c r="N43" s="25">
        <v>1.5</v>
      </c>
      <c r="O43" s="27">
        <f>((1+N43)*TariefOpbouwTotaalLoonkosten7+TariefOpbouwDirecteKosten7-TariefOpbouwTotaalLoonkosten7+TariefOpbouwIndirecteKosten7)*(1+TariefOpbouwRisicoWinstPercentage7)</f>
        <v>0</v>
      </c>
    </row>
    <row r="45" spans="1:15" x14ac:dyDescent="0.2">
      <c r="A45" s="10" t="s">
        <v>76</v>
      </c>
      <c r="B45" s="151" t="s">
        <v>77</v>
      </c>
      <c r="C45" s="151"/>
      <c r="D45" s="151" t="s">
        <v>78</v>
      </c>
      <c r="E45" s="151"/>
      <c r="F45" s="151" t="s">
        <v>79</v>
      </c>
      <c r="G45" s="152"/>
    </row>
    <row r="46" spans="1:15" x14ac:dyDescent="0.2">
      <c r="A46" s="18"/>
      <c r="B46" s="21" t="s">
        <v>80</v>
      </c>
      <c r="C46" s="21" t="s">
        <v>81</v>
      </c>
      <c r="D46" s="21" t="s">
        <v>80</v>
      </c>
      <c r="E46" s="21" t="s">
        <v>81</v>
      </c>
      <c r="F46" s="21" t="s">
        <v>80</v>
      </c>
      <c r="G46" s="22" t="s">
        <v>81</v>
      </c>
    </row>
    <row r="47" spans="1:15" x14ac:dyDescent="0.2">
      <c r="A47" s="29" t="str">
        <f>TariefOpbouwNaam1&amp;" "&amp;TariefOpbouwErvaring1</f>
        <v>Vakvolwassene &gt;3 dienstjaren</v>
      </c>
      <c r="B47" s="15"/>
      <c r="C47" s="16">
        <f>TariefOpbouwTarief1</f>
        <v>0</v>
      </c>
      <c r="D47" s="15"/>
      <c r="E47" s="16">
        <f>TariefOpbouwTarief1X</f>
        <v>0</v>
      </c>
      <c r="F47" s="15"/>
      <c r="G47" s="17">
        <f>TariefOpbouwTarief1W</f>
        <v>0</v>
      </c>
    </row>
    <row r="48" spans="1:15" x14ac:dyDescent="0.2">
      <c r="A48" s="29" t="str">
        <f>TariefOpbouwNaam2&amp;" "&amp;TariefOpbouwErvaring2</f>
        <v xml:space="preserve">Vakvolwassene </v>
      </c>
      <c r="B48" s="15"/>
      <c r="C48" s="16">
        <f>TariefOpbouwTarief2</f>
        <v>0</v>
      </c>
      <c r="D48" s="15"/>
      <c r="E48" s="16">
        <f>TariefOpbouwTarief2X</f>
        <v>0</v>
      </c>
      <c r="F48" s="15"/>
      <c r="G48" s="17">
        <f>TariefOpbouwTarief2W</f>
        <v>0</v>
      </c>
    </row>
    <row r="49" spans="1:7" x14ac:dyDescent="0.2">
      <c r="A49" s="29" t="str">
        <f>TariefOpbouwNaam3&amp;" "&amp;TariefOpbouwErvaring3</f>
        <v>Leiding (meewerkend) voorman/vrouw</v>
      </c>
      <c r="B49" s="15"/>
      <c r="C49" s="16">
        <f>TariefOpbouwTarief3</f>
        <v>0</v>
      </c>
      <c r="D49" s="15"/>
      <c r="E49" s="16">
        <f>TariefOpbouwTarief3X</f>
        <v>0</v>
      </c>
      <c r="F49" s="15"/>
      <c r="G49" s="17">
        <f>TariefOpbouwTarief3W</f>
        <v>0</v>
      </c>
    </row>
    <row r="50" spans="1:7" x14ac:dyDescent="0.2">
      <c r="A50" s="11" t="s">
        <v>82</v>
      </c>
      <c r="B50" s="30" t="str">
        <f>IF(SUM(B47:B49)=1,SUM(B47:B49),"ongeldig")</f>
        <v>ongeldig</v>
      </c>
      <c r="C50" s="16">
        <f>SUMPRODUCT(B47:B49,C47:C49)</f>
        <v>0</v>
      </c>
      <c r="D50" s="30" t="str">
        <f>IF(SUM(D47:D49)=1,SUM(D47:D49),"ongeldig")</f>
        <v>ongeldig</v>
      </c>
      <c r="E50" s="16">
        <f>SUMPRODUCT(D47:D49,E47:E49)</f>
        <v>0</v>
      </c>
      <c r="F50" s="30" t="str">
        <f>IF(SUM(F47:F49)=1,SUM(F47:F49),"ongeldig")</f>
        <v>ongeldig</v>
      </c>
      <c r="G50" s="17">
        <f>SUMPRODUCT(F47:F49,G47:G49)</f>
        <v>0</v>
      </c>
    </row>
    <row r="51" spans="1:7" x14ac:dyDescent="0.2">
      <c r="A51" s="29" t="str">
        <f>TariefOpbouwNaam4&amp;" "&amp;TariefOpbouwErvaring4</f>
        <v>Leiding (niet-meewerkend) voorman/vrouw</v>
      </c>
      <c r="B51" s="15"/>
      <c r="C51" s="16">
        <f>TariefOpbouwTarief4</f>
        <v>0</v>
      </c>
      <c r="D51" s="15"/>
      <c r="E51" s="16">
        <f>TariefOpbouwTarief4X</f>
        <v>0</v>
      </c>
      <c r="F51" s="15"/>
      <c r="G51" s="17">
        <f>TariefOpbouwTarief4W</f>
        <v>0</v>
      </c>
    </row>
    <row r="52" spans="1:7" x14ac:dyDescent="0.2">
      <c r="A52" s="29" t="str">
        <f>TariefOpbouwNaam5&amp;" "&amp;TariefOpbouwErvaring5</f>
        <v>Leiding (niet-meewerkend) objectleider</v>
      </c>
      <c r="B52" s="15"/>
      <c r="C52" s="16">
        <f>TariefOpbouwTarief5</f>
        <v>0</v>
      </c>
      <c r="D52" s="15"/>
      <c r="E52" s="16">
        <f>TariefOpbouwTarief5X</f>
        <v>0</v>
      </c>
      <c r="F52" s="15"/>
      <c r="G52" s="17">
        <f>TariefOpbouwTarief5W</f>
        <v>0</v>
      </c>
    </row>
    <row r="53" spans="1:7" x14ac:dyDescent="0.2">
      <c r="A53" s="24" t="s">
        <v>83</v>
      </c>
      <c r="B53" s="153">
        <f>TariefUitvoering1+SUMPRODUCT(B51:B52,C51:C52)</f>
        <v>0</v>
      </c>
      <c r="C53" s="153"/>
      <c r="D53" s="153">
        <f>TariefUitvoering2+SUMPRODUCT(D51:D52,E51:E52)</f>
        <v>0</v>
      </c>
      <c r="E53" s="153"/>
      <c r="F53" s="153">
        <f>TariefUitvoering3+SUMPRODUCT(F51:F52,G51:G52)</f>
        <v>0</v>
      </c>
      <c r="G53" s="154"/>
    </row>
  </sheetData>
  <sheetProtection algorithmName="SHA-512" hashValue="ut8R/XvZfUtqLVoaf+btC1O52HkftnnJXmpfoNIK6GvNpfxevB7nklR+eUSKKfFCedL4uxxU7+/ToI9Ph6ssyw==" saltValue="SxWQmKgN33TOBRINDJQteg==" spinCount="100000" sheet="1" objects="1" scenarios="1" autoFilter="0"/>
  <mergeCells count="97"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N5:O5"/>
    <mergeCell ref="B6:C6"/>
    <mergeCell ref="D6:E6"/>
    <mergeCell ref="F6:G6"/>
    <mergeCell ref="H6:I6"/>
    <mergeCell ref="J6:K6"/>
    <mergeCell ref="L6:M6"/>
    <mergeCell ref="N6:O6"/>
    <mergeCell ref="B5:C5"/>
    <mergeCell ref="D5:E5"/>
    <mergeCell ref="F5:G5"/>
    <mergeCell ref="H5:I5"/>
    <mergeCell ref="J5:K5"/>
    <mergeCell ref="L5:M5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2:C12"/>
    <mergeCell ref="D12:E12"/>
    <mergeCell ref="F12:G12"/>
    <mergeCell ref="H12:I12"/>
    <mergeCell ref="J12:K12"/>
    <mergeCell ref="L12:M12"/>
    <mergeCell ref="N12:O12"/>
    <mergeCell ref="B9:C9"/>
    <mergeCell ref="D9:E9"/>
    <mergeCell ref="F9:G9"/>
    <mergeCell ref="H9:I9"/>
    <mergeCell ref="J9:K9"/>
    <mergeCell ref="L9:M9"/>
    <mergeCell ref="N14:O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N26:O26"/>
    <mergeCell ref="B35:C35"/>
    <mergeCell ref="D35:E35"/>
    <mergeCell ref="F35:G35"/>
    <mergeCell ref="H35:I35"/>
    <mergeCell ref="J35:K35"/>
    <mergeCell ref="L35:M35"/>
    <mergeCell ref="N35:O35"/>
    <mergeCell ref="B26:C26"/>
    <mergeCell ref="D26:E26"/>
    <mergeCell ref="F26:G26"/>
    <mergeCell ref="H26:I26"/>
    <mergeCell ref="J26:K26"/>
    <mergeCell ref="L26:M26"/>
    <mergeCell ref="N39:O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</mergeCells>
  <pageMargins left="0.7" right="0.7" top="0.75" bottom="0.75" header="0.3" footer="0.3"/>
  <pageSetup paperSize="9" scale="65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9346-148C-4365-B10B-9CF5746D2468}">
  <dimension ref="A1:H46"/>
  <sheetViews>
    <sheetView topLeftCell="A39"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ht="12.75" x14ac:dyDescent="0.2">
      <c r="A1" s="1" t="str">
        <f>CONCATENATE("Bijlage F.1: ",tabeltype," categorienormen")</f>
        <v>Bijlage F.1: Invultabel categorienormen</v>
      </c>
    </row>
    <row r="3" spans="1:8" ht="38.25" x14ac:dyDescent="0.2">
      <c r="A3" s="31" t="s">
        <v>84</v>
      </c>
      <c r="B3" s="31" t="s">
        <v>85</v>
      </c>
      <c r="C3" s="31" t="s">
        <v>86</v>
      </c>
      <c r="D3" s="31" t="s">
        <v>87</v>
      </c>
      <c r="E3" s="31" t="s">
        <v>88</v>
      </c>
      <c r="F3" s="31" t="s">
        <v>89</v>
      </c>
      <c r="G3" s="31" t="s">
        <v>90</v>
      </c>
      <c r="H3" s="31" t="s">
        <v>91</v>
      </c>
    </row>
    <row r="4" spans="1:8" ht="12.75" x14ac:dyDescent="0.2">
      <c r="A4" s="32"/>
      <c r="B4" s="33"/>
      <c r="C4" s="33"/>
      <c r="D4" s="33"/>
      <c r="E4" s="33"/>
      <c r="F4" s="33"/>
      <c r="G4" s="33"/>
      <c r="H4" s="34"/>
    </row>
    <row r="5" spans="1:8" ht="12.75" x14ac:dyDescent="0.2">
      <c r="A5" s="35" t="s">
        <v>92</v>
      </c>
      <c r="B5" s="36"/>
      <c r="C5" s="36"/>
      <c r="D5" s="36"/>
      <c r="E5" s="36"/>
      <c r="F5" s="36"/>
      <c r="G5" s="36"/>
      <c r="H5" s="37"/>
    </row>
    <row r="6" spans="1:8" x14ac:dyDescent="0.2">
      <c r="A6" s="42" t="s">
        <v>93</v>
      </c>
      <c r="B6" s="43" t="s">
        <v>94</v>
      </c>
      <c r="C6" s="42">
        <v>1</v>
      </c>
      <c r="D6" s="42" t="s">
        <v>95</v>
      </c>
      <c r="E6" s="44"/>
      <c r="F6" s="45"/>
      <c r="G6" s="42" t="s">
        <v>96</v>
      </c>
      <c r="H6" s="46">
        <f t="shared" ref="H6:H46" si="0">Tariefopbouw1</f>
        <v>0</v>
      </c>
    </row>
    <row r="7" spans="1:8" x14ac:dyDescent="0.2">
      <c r="A7" s="47" t="s">
        <v>97</v>
      </c>
      <c r="B7" s="48" t="s">
        <v>94</v>
      </c>
      <c r="C7" s="47">
        <v>12</v>
      </c>
      <c r="D7" s="47" t="s">
        <v>98</v>
      </c>
      <c r="E7" s="49"/>
      <c r="F7" s="50"/>
      <c r="G7" s="47" t="s">
        <v>96</v>
      </c>
      <c r="H7" s="51">
        <f t="shared" si="0"/>
        <v>0</v>
      </c>
    </row>
    <row r="8" spans="1:8" x14ac:dyDescent="0.2">
      <c r="A8" s="47" t="s">
        <v>99</v>
      </c>
      <c r="B8" s="48" t="s">
        <v>100</v>
      </c>
      <c r="C8" s="47">
        <v>1</v>
      </c>
      <c r="D8" s="47" t="s">
        <v>101</v>
      </c>
      <c r="E8" s="49"/>
      <c r="F8" s="50"/>
      <c r="G8" s="47" t="s">
        <v>96</v>
      </c>
      <c r="H8" s="51">
        <f t="shared" si="0"/>
        <v>0</v>
      </c>
    </row>
    <row r="9" spans="1:8" x14ac:dyDescent="0.2">
      <c r="A9" s="47" t="s">
        <v>102</v>
      </c>
      <c r="B9" s="48" t="s">
        <v>100</v>
      </c>
      <c r="C9" s="47">
        <v>51</v>
      </c>
      <c r="D9" s="47" t="s">
        <v>103</v>
      </c>
      <c r="E9" s="49"/>
      <c r="F9" s="50"/>
      <c r="G9" s="47" t="s">
        <v>96</v>
      </c>
      <c r="H9" s="51">
        <f t="shared" si="0"/>
        <v>0</v>
      </c>
    </row>
    <row r="10" spans="1:8" x14ac:dyDescent="0.2">
      <c r="A10" s="47" t="s">
        <v>104</v>
      </c>
      <c r="B10" s="48" t="s">
        <v>100</v>
      </c>
      <c r="C10" s="47">
        <v>1</v>
      </c>
      <c r="D10" s="47" t="s">
        <v>105</v>
      </c>
      <c r="E10" s="49"/>
      <c r="F10" s="50"/>
      <c r="G10" s="47" t="s">
        <v>96</v>
      </c>
      <c r="H10" s="51">
        <f t="shared" si="0"/>
        <v>0</v>
      </c>
    </row>
    <row r="11" spans="1:8" x14ac:dyDescent="0.2">
      <c r="A11" s="47" t="s">
        <v>106</v>
      </c>
      <c r="B11" s="48" t="s">
        <v>100</v>
      </c>
      <c r="C11" s="47">
        <v>51</v>
      </c>
      <c r="D11" s="47" t="s">
        <v>107</v>
      </c>
      <c r="E11" s="49"/>
      <c r="F11" s="50"/>
      <c r="G11" s="47" t="s">
        <v>96</v>
      </c>
      <c r="H11" s="51">
        <f t="shared" si="0"/>
        <v>0</v>
      </c>
    </row>
    <row r="12" spans="1:8" x14ac:dyDescent="0.2">
      <c r="A12" s="47" t="s">
        <v>108</v>
      </c>
      <c r="B12" s="48" t="s">
        <v>100</v>
      </c>
      <c r="C12" s="47">
        <v>1</v>
      </c>
      <c r="D12" s="47" t="s">
        <v>109</v>
      </c>
      <c r="E12" s="49"/>
      <c r="F12" s="50"/>
      <c r="G12" s="47" t="s">
        <v>96</v>
      </c>
      <c r="H12" s="51">
        <f t="shared" si="0"/>
        <v>0</v>
      </c>
    </row>
    <row r="13" spans="1:8" x14ac:dyDescent="0.2">
      <c r="A13" s="47" t="s">
        <v>110</v>
      </c>
      <c r="B13" s="48" t="s">
        <v>100</v>
      </c>
      <c r="C13" s="47">
        <v>51</v>
      </c>
      <c r="D13" s="47" t="s">
        <v>111</v>
      </c>
      <c r="E13" s="49"/>
      <c r="F13" s="50"/>
      <c r="G13" s="47" t="s">
        <v>96</v>
      </c>
      <c r="H13" s="51">
        <f t="shared" si="0"/>
        <v>0</v>
      </c>
    </row>
    <row r="14" spans="1:8" x14ac:dyDescent="0.2">
      <c r="A14" s="47" t="s">
        <v>112</v>
      </c>
      <c r="B14" s="48" t="s">
        <v>100</v>
      </c>
      <c r="C14" s="47">
        <v>1</v>
      </c>
      <c r="D14" s="47" t="s">
        <v>113</v>
      </c>
      <c r="E14" s="49"/>
      <c r="F14" s="50"/>
      <c r="G14" s="47" t="s">
        <v>96</v>
      </c>
      <c r="H14" s="51">
        <f t="shared" si="0"/>
        <v>0</v>
      </c>
    </row>
    <row r="15" spans="1:8" x14ac:dyDescent="0.2">
      <c r="A15" s="47" t="s">
        <v>114</v>
      </c>
      <c r="B15" s="48" t="s">
        <v>100</v>
      </c>
      <c r="C15" s="47">
        <v>51</v>
      </c>
      <c r="D15" s="47" t="s">
        <v>115</v>
      </c>
      <c r="E15" s="49"/>
      <c r="F15" s="50"/>
      <c r="G15" s="47" t="s">
        <v>96</v>
      </c>
      <c r="H15" s="51">
        <f t="shared" si="0"/>
        <v>0</v>
      </c>
    </row>
    <row r="16" spans="1:8" x14ac:dyDescent="0.2">
      <c r="A16" s="47" t="s">
        <v>116</v>
      </c>
      <c r="B16" s="48" t="s">
        <v>100</v>
      </c>
      <c r="C16" s="47">
        <v>1</v>
      </c>
      <c r="D16" s="47" t="s">
        <v>117</v>
      </c>
      <c r="E16" s="49"/>
      <c r="F16" s="50"/>
      <c r="G16" s="47" t="s">
        <v>96</v>
      </c>
      <c r="H16" s="51">
        <f t="shared" si="0"/>
        <v>0</v>
      </c>
    </row>
    <row r="17" spans="1:8" x14ac:dyDescent="0.2">
      <c r="A17" s="47" t="s">
        <v>118</v>
      </c>
      <c r="B17" s="48" t="s">
        <v>100</v>
      </c>
      <c r="C17" s="47">
        <v>51</v>
      </c>
      <c r="D17" s="47" t="s">
        <v>119</v>
      </c>
      <c r="E17" s="49"/>
      <c r="F17" s="50"/>
      <c r="G17" s="47" t="s">
        <v>96</v>
      </c>
      <c r="H17" s="51">
        <f t="shared" si="0"/>
        <v>0</v>
      </c>
    </row>
    <row r="18" spans="1:8" x14ac:dyDescent="0.2">
      <c r="A18" s="47" t="s">
        <v>120</v>
      </c>
      <c r="B18" s="48" t="s">
        <v>100</v>
      </c>
      <c r="C18" s="47">
        <v>1</v>
      </c>
      <c r="D18" s="47" t="s">
        <v>121</v>
      </c>
      <c r="E18" s="49"/>
      <c r="F18" s="50"/>
      <c r="G18" s="47" t="s">
        <v>96</v>
      </c>
      <c r="H18" s="51">
        <f t="shared" si="0"/>
        <v>0</v>
      </c>
    </row>
    <row r="19" spans="1:8" x14ac:dyDescent="0.2">
      <c r="A19" s="47" t="s">
        <v>122</v>
      </c>
      <c r="B19" s="48" t="s">
        <v>100</v>
      </c>
      <c r="C19" s="47">
        <v>51</v>
      </c>
      <c r="D19" s="47" t="s">
        <v>123</v>
      </c>
      <c r="E19" s="49"/>
      <c r="F19" s="50"/>
      <c r="G19" s="47" t="s">
        <v>96</v>
      </c>
      <c r="H19" s="51">
        <f t="shared" si="0"/>
        <v>0</v>
      </c>
    </row>
    <row r="20" spans="1:8" x14ac:dyDescent="0.2">
      <c r="A20" s="47" t="s">
        <v>124</v>
      </c>
      <c r="B20" s="48" t="s">
        <v>125</v>
      </c>
      <c r="C20" s="47">
        <v>1</v>
      </c>
      <c r="D20" s="47" t="s">
        <v>126</v>
      </c>
      <c r="E20" s="49"/>
      <c r="F20" s="50"/>
      <c r="G20" s="47" t="s">
        <v>96</v>
      </c>
      <c r="H20" s="51">
        <f t="shared" si="0"/>
        <v>0</v>
      </c>
    </row>
    <row r="21" spans="1:8" x14ac:dyDescent="0.2">
      <c r="A21" s="47" t="s">
        <v>127</v>
      </c>
      <c r="B21" s="48" t="s">
        <v>125</v>
      </c>
      <c r="C21" s="47">
        <v>51</v>
      </c>
      <c r="D21" s="47" t="s">
        <v>128</v>
      </c>
      <c r="E21" s="49"/>
      <c r="F21" s="50"/>
      <c r="G21" s="47" t="s">
        <v>96</v>
      </c>
      <c r="H21" s="51">
        <f t="shared" si="0"/>
        <v>0</v>
      </c>
    </row>
    <row r="22" spans="1:8" x14ac:dyDescent="0.2">
      <c r="A22" s="47" t="s">
        <v>129</v>
      </c>
      <c r="B22" s="48" t="s">
        <v>125</v>
      </c>
      <c r="C22" s="47">
        <v>1</v>
      </c>
      <c r="D22" s="47" t="s">
        <v>130</v>
      </c>
      <c r="E22" s="49"/>
      <c r="F22" s="50"/>
      <c r="G22" s="47" t="s">
        <v>96</v>
      </c>
      <c r="H22" s="51">
        <f t="shared" si="0"/>
        <v>0</v>
      </c>
    </row>
    <row r="23" spans="1:8" x14ac:dyDescent="0.2">
      <c r="A23" s="47" t="s">
        <v>131</v>
      </c>
      <c r="B23" s="48" t="s">
        <v>125</v>
      </c>
      <c r="C23" s="47">
        <v>51</v>
      </c>
      <c r="D23" s="47" t="s">
        <v>132</v>
      </c>
      <c r="E23" s="49"/>
      <c r="F23" s="50"/>
      <c r="G23" s="47" t="s">
        <v>96</v>
      </c>
      <c r="H23" s="51">
        <f t="shared" si="0"/>
        <v>0</v>
      </c>
    </row>
    <row r="24" spans="1:8" x14ac:dyDescent="0.2">
      <c r="A24" s="47" t="s">
        <v>133</v>
      </c>
      <c r="B24" s="48" t="s">
        <v>125</v>
      </c>
      <c r="C24" s="47">
        <v>1</v>
      </c>
      <c r="D24" s="47" t="s">
        <v>134</v>
      </c>
      <c r="E24" s="49"/>
      <c r="F24" s="50"/>
      <c r="G24" s="47" t="s">
        <v>96</v>
      </c>
      <c r="H24" s="51">
        <f t="shared" si="0"/>
        <v>0</v>
      </c>
    </row>
    <row r="25" spans="1:8" x14ac:dyDescent="0.2">
      <c r="A25" s="47" t="s">
        <v>135</v>
      </c>
      <c r="B25" s="48" t="s">
        <v>125</v>
      </c>
      <c r="C25" s="47">
        <v>51</v>
      </c>
      <c r="D25" s="47" t="s">
        <v>136</v>
      </c>
      <c r="E25" s="49"/>
      <c r="F25" s="50"/>
      <c r="G25" s="47" t="s">
        <v>96</v>
      </c>
      <c r="H25" s="51">
        <f t="shared" si="0"/>
        <v>0</v>
      </c>
    </row>
    <row r="26" spans="1:8" x14ac:dyDescent="0.2">
      <c r="A26" s="47" t="s">
        <v>137</v>
      </c>
      <c r="B26" s="48" t="s">
        <v>138</v>
      </c>
      <c r="C26" s="47">
        <v>1</v>
      </c>
      <c r="D26" s="47" t="s">
        <v>139</v>
      </c>
      <c r="E26" s="49"/>
      <c r="F26" s="50"/>
      <c r="G26" s="47" t="s">
        <v>96</v>
      </c>
      <c r="H26" s="51">
        <f t="shared" si="0"/>
        <v>0</v>
      </c>
    </row>
    <row r="27" spans="1:8" x14ac:dyDescent="0.2">
      <c r="A27" s="47" t="s">
        <v>140</v>
      </c>
      <c r="B27" s="48" t="s">
        <v>138</v>
      </c>
      <c r="C27" s="47">
        <v>51</v>
      </c>
      <c r="D27" s="47" t="s">
        <v>141</v>
      </c>
      <c r="E27" s="49"/>
      <c r="F27" s="50"/>
      <c r="G27" s="47" t="s">
        <v>96</v>
      </c>
      <c r="H27" s="51">
        <f t="shared" si="0"/>
        <v>0</v>
      </c>
    </row>
    <row r="28" spans="1:8" x14ac:dyDescent="0.2">
      <c r="A28" s="47" t="s">
        <v>142</v>
      </c>
      <c r="B28" s="48" t="s">
        <v>138</v>
      </c>
      <c r="C28" s="47">
        <v>1</v>
      </c>
      <c r="D28" s="47" t="s">
        <v>143</v>
      </c>
      <c r="E28" s="49"/>
      <c r="F28" s="50"/>
      <c r="G28" s="47" t="s">
        <v>96</v>
      </c>
      <c r="H28" s="51">
        <f t="shared" si="0"/>
        <v>0</v>
      </c>
    </row>
    <row r="29" spans="1:8" x14ac:dyDescent="0.2">
      <c r="A29" s="47" t="s">
        <v>144</v>
      </c>
      <c r="B29" s="48" t="s">
        <v>138</v>
      </c>
      <c r="C29" s="47">
        <v>51</v>
      </c>
      <c r="D29" s="47" t="s">
        <v>145</v>
      </c>
      <c r="E29" s="49"/>
      <c r="F29" s="50"/>
      <c r="G29" s="47" t="s">
        <v>96</v>
      </c>
      <c r="H29" s="51">
        <f t="shared" si="0"/>
        <v>0</v>
      </c>
    </row>
    <row r="30" spans="1:8" x14ac:dyDescent="0.2">
      <c r="A30" s="47" t="s">
        <v>146</v>
      </c>
      <c r="B30" s="48" t="s">
        <v>138</v>
      </c>
      <c r="C30" s="47">
        <v>1</v>
      </c>
      <c r="D30" s="47" t="s">
        <v>147</v>
      </c>
      <c r="E30" s="49"/>
      <c r="F30" s="50"/>
      <c r="G30" s="47" t="s">
        <v>96</v>
      </c>
      <c r="H30" s="51">
        <f t="shared" si="0"/>
        <v>0</v>
      </c>
    </row>
    <row r="31" spans="1:8" x14ac:dyDescent="0.2">
      <c r="A31" s="47" t="s">
        <v>148</v>
      </c>
      <c r="B31" s="48" t="s">
        <v>138</v>
      </c>
      <c r="C31" s="47">
        <v>51</v>
      </c>
      <c r="D31" s="47" t="s">
        <v>149</v>
      </c>
      <c r="E31" s="49"/>
      <c r="F31" s="50"/>
      <c r="G31" s="47" t="s">
        <v>96</v>
      </c>
      <c r="H31" s="51">
        <f t="shared" si="0"/>
        <v>0</v>
      </c>
    </row>
    <row r="32" spans="1:8" x14ac:dyDescent="0.2">
      <c r="A32" s="47" t="s">
        <v>150</v>
      </c>
      <c r="B32" s="48" t="s">
        <v>138</v>
      </c>
      <c r="C32" s="47">
        <v>1</v>
      </c>
      <c r="D32" s="47" t="s">
        <v>151</v>
      </c>
      <c r="E32" s="49"/>
      <c r="F32" s="50"/>
      <c r="G32" s="47" t="s">
        <v>96</v>
      </c>
      <c r="H32" s="51">
        <f t="shared" si="0"/>
        <v>0</v>
      </c>
    </row>
    <row r="33" spans="1:8" x14ac:dyDescent="0.2">
      <c r="A33" s="47" t="s">
        <v>152</v>
      </c>
      <c r="B33" s="48" t="s">
        <v>138</v>
      </c>
      <c r="C33" s="47">
        <v>51</v>
      </c>
      <c r="D33" s="47" t="s">
        <v>153</v>
      </c>
      <c r="E33" s="49"/>
      <c r="F33" s="50"/>
      <c r="G33" s="47" t="s">
        <v>96</v>
      </c>
      <c r="H33" s="51">
        <f t="shared" si="0"/>
        <v>0</v>
      </c>
    </row>
    <row r="34" spans="1:8" x14ac:dyDescent="0.2">
      <c r="A34" s="47" t="s">
        <v>154</v>
      </c>
      <c r="B34" s="48" t="s">
        <v>138</v>
      </c>
      <c r="C34" s="47">
        <v>1</v>
      </c>
      <c r="D34" s="47" t="s">
        <v>155</v>
      </c>
      <c r="E34" s="49"/>
      <c r="F34" s="50"/>
      <c r="G34" s="47" t="s">
        <v>96</v>
      </c>
      <c r="H34" s="51">
        <f t="shared" si="0"/>
        <v>0</v>
      </c>
    </row>
    <row r="35" spans="1:8" x14ac:dyDescent="0.2">
      <c r="A35" s="47" t="s">
        <v>156</v>
      </c>
      <c r="B35" s="48" t="s">
        <v>138</v>
      </c>
      <c r="C35" s="47">
        <v>51</v>
      </c>
      <c r="D35" s="47" t="s">
        <v>157</v>
      </c>
      <c r="E35" s="49"/>
      <c r="F35" s="50"/>
      <c r="G35" s="47" t="s">
        <v>96</v>
      </c>
      <c r="H35" s="51">
        <f t="shared" si="0"/>
        <v>0</v>
      </c>
    </row>
    <row r="36" spans="1:8" x14ac:dyDescent="0.2">
      <c r="A36" s="47" t="s">
        <v>158</v>
      </c>
      <c r="B36" s="48" t="s">
        <v>138</v>
      </c>
      <c r="C36" s="47">
        <v>1</v>
      </c>
      <c r="D36" s="47" t="s">
        <v>159</v>
      </c>
      <c r="E36" s="49"/>
      <c r="F36" s="50"/>
      <c r="G36" s="47" t="s">
        <v>96</v>
      </c>
      <c r="H36" s="51">
        <f t="shared" si="0"/>
        <v>0</v>
      </c>
    </row>
    <row r="37" spans="1:8" x14ac:dyDescent="0.2">
      <c r="A37" s="47" t="s">
        <v>160</v>
      </c>
      <c r="B37" s="48" t="s">
        <v>138</v>
      </c>
      <c r="C37" s="47">
        <v>51</v>
      </c>
      <c r="D37" s="47" t="s">
        <v>161</v>
      </c>
      <c r="E37" s="49"/>
      <c r="F37" s="50"/>
      <c r="G37" s="47" t="s">
        <v>96</v>
      </c>
      <c r="H37" s="51">
        <f t="shared" si="0"/>
        <v>0</v>
      </c>
    </row>
    <row r="38" spans="1:8" x14ac:dyDescent="0.2">
      <c r="A38" s="47" t="s">
        <v>162</v>
      </c>
      <c r="B38" s="48" t="s">
        <v>138</v>
      </c>
      <c r="C38" s="47">
        <v>1</v>
      </c>
      <c r="D38" s="47" t="s">
        <v>163</v>
      </c>
      <c r="E38" s="49"/>
      <c r="F38" s="50"/>
      <c r="G38" s="47" t="s">
        <v>96</v>
      </c>
      <c r="H38" s="51">
        <f t="shared" si="0"/>
        <v>0</v>
      </c>
    </row>
    <row r="39" spans="1:8" x14ac:dyDescent="0.2">
      <c r="A39" s="47" t="s">
        <v>164</v>
      </c>
      <c r="B39" s="48" t="s">
        <v>138</v>
      </c>
      <c r="C39" s="47">
        <v>51</v>
      </c>
      <c r="D39" s="47" t="s">
        <v>165</v>
      </c>
      <c r="E39" s="49"/>
      <c r="F39" s="50"/>
      <c r="G39" s="47" t="s">
        <v>96</v>
      </c>
      <c r="H39" s="51">
        <f t="shared" si="0"/>
        <v>0</v>
      </c>
    </row>
    <row r="40" spans="1:8" x14ac:dyDescent="0.2">
      <c r="A40" s="47" t="s">
        <v>166</v>
      </c>
      <c r="B40" s="48" t="s">
        <v>138</v>
      </c>
      <c r="C40" s="47">
        <v>1</v>
      </c>
      <c r="D40" s="47" t="s">
        <v>167</v>
      </c>
      <c r="E40" s="49"/>
      <c r="F40" s="50"/>
      <c r="G40" s="47" t="s">
        <v>96</v>
      </c>
      <c r="H40" s="51">
        <f t="shared" si="0"/>
        <v>0</v>
      </c>
    </row>
    <row r="41" spans="1:8" x14ac:dyDescent="0.2">
      <c r="A41" s="47" t="s">
        <v>168</v>
      </c>
      <c r="B41" s="48" t="s">
        <v>138</v>
      </c>
      <c r="C41" s="47">
        <v>51</v>
      </c>
      <c r="D41" s="47" t="s">
        <v>169</v>
      </c>
      <c r="E41" s="49"/>
      <c r="F41" s="50"/>
      <c r="G41" s="47" t="s">
        <v>96</v>
      </c>
      <c r="H41" s="51">
        <f t="shared" si="0"/>
        <v>0</v>
      </c>
    </row>
    <row r="42" spans="1:8" x14ac:dyDescent="0.2">
      <c r="A42" s="47" t="s">
        <v>170</v>
      </c>
      <c r="B42" s="48" t="s">
        <v>138</v>
      </c>
      <c r="C42" s="47">
        <v>1</v>
      </c>
      <c r="D42" s="47" t="s">
        <v>171</v>
      </c>
      <c r="E42" s="49"/>
      <c r="F42" s="50"/>
      <c r="G42" s="47" t="s">
        <v>96</v>
      </c>
      <c r="H42" s="51">
        <f t="shared" si="0"/>
        <v>0</v>
      </c>
    </row>
    <row r="43" spans="1:8" x14ac:dyDescent="0.2">
      <c r="A43" s="47" t="s">
        <v>172</v>
      </c>
      <c r="B43" s="48" t="s">
        <v>138</v>
      </c>
      <c r="C43" s="47">
        <v>51</v>
      </c>
      <c r="D43" s="47" t="s">
        <v>173</v>
      </c>
      <c r="E43" s="49"/>
      <c r="F43" s="50"/>
      <c r="G43" s="47" t="s">
        <v>96</v>
      </c>
      <c r="H43" s="51">
        <f t="shared" si="0"/>
        <v>0</v>
      </c>
    </row>
    <row r="44" spans="1:8" x14ac:dyDescent="0.2">
      <c r="A44" s="47" t="s">
        <v>174</v>
      </c>
      <c r="B44" s="48" t="s">
        <v>138</v>
      </c>
      <c r="C44" s="47">
        <v>1</v>
      </c>
      <c r="D44" s="47" t="s">
        <v>175</v>
      </c>
      <c r="E44" s="49"/>
      <c r="F44" s="50"/>
      <c r="G44" s="47" t="s">
        <v>96</v>
      </c>
      <c r="H44" s="51">
        <f t="shared" si="0"/>
        <v>0</v>
      </c>
    </row>
    <row r="45" spans="1:8" x14ac:dyDescent="0.2">
      <c r="A45" s="47" t="s">
        <v>176</v>
      </c>
      <c r="B45" s="48" t="s">
        <v>138</v>
      </c>
      <c r="C45" s="47">
        <v>51</v>
      </c>
      <c r="D45" s="47" t="s">
        <v>177</v>
      </c>
      <c r="E45" s="49"/>
      <c r="F45" s="50"/>
      <c r="G45" s="47" t="s">
        <v>96</v>
      </c>
      <c r="H45" s="51">
        <f t="shared" si="0"/>
        <v>0</v>
      </c>
    </row>
    <row r="46" spans="1:8" x14ac:dyDescent="0.2">
      <c r="A46" s="52" t="s">
        <v>178</v>
      </c>
      <c r="B46" s="53" t="s">
        <v>179</v>
      </c>
      <c r="C46" s="52">
        <v>1</v>
      </c>
      <c r="D46" s="52" t="s">
        <v>180</v>
      </c>
      <c r="E46" s="54"/>
      <c r="F46" s="55"/>
      <c r="G46" s="52" t="s">
        <v>96</v>
      </c>
      <c r="H46" s="56">
        <f t="shared" si="0"/>
        <v>0</v>
      </c>
    </row>
  </sheetData>
  <sheetProtection algorithmName="SHA-512" hashValue="LiyXrUDPwZtmuOXD5qe/ZzLDm8piLeiqoB0ZWwoN91REwPICWlnQJNeUCbRILhppZLXe5ns/2iU4Q+uc9irk5A==" saltValue="lr/jCzjpnZ0UnyDuVc9SZ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07E05-C766-4BDE-89EB-5541054ACCAF}">
  <dimension ref="A1:N58"/>
  <sheetViews>
    <sheetView topLeftCell="A48" workbookViewId="0">
      <selection activeCell="J52" sqref="J52"/>
    </sheetView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ht="12.75" x14ac:dyDescent="0.2">
      <c r="A1" s="1" t="str">
        <f>CONCATENATE("Bijlage F.2: ",tabeltype," regulier werk")</f>
        <v>Bijlage F.2: Invultabel regulier werk</v>
      </c>
    </row>
    <row r="3" spans="1:14" ht="38.25" x14ac:dyDescent="0.2">
      <c r="A3" s="31" t="s">
        <v>181</v>
      </c>
      <c r="B3" s="31" t="s">
        <v>7</v>
      </c>
      <c r="C3" s="31" t="s">
        <v>182</v>
      </c>
      <c r="D3" s="31" t="s">
        <v>87</v>
      </c>
      <c r="E3" s="31" t="s">
        <v>183</v>
      </c>
      <c r="F3" s="31" t="s">
        <v>184</v>
      </c>
      <c r="G3" s="31" t="s">
        <v>88</v>
      </c>
      <c r="H3" s="31" t="s">
        <v>89</v>
      </c>
      <c r="I3" s="31" t="s">
        <v>90</v>
      </c>
      <c r="J3" s="31" t="s">
        <v>91</v>
      </c>
      <c r="K3" s="31" t="s">
        <v>185</v>
      </c>
      <c r="L3" s="31" t="s">
        <v>186</v>
      </c>
      <c r="M3" s="31" t="s">
        <v>187</v>
      </c>
      <c r="N3" s="31" t="s">
        <v>188</v>
      </c>
    </row>
    <row r="4" spans="1:14" ht="12.75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12.75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x14ac:dyDescent="0.2">
      <c r="A6" s="42" t="s">
        <v>189</v>
      </c>
      <c r="B6" s="42" t="s">
        <v>17</v>
      </c>
      <c r="C6" s="42" t="s">
        <v>190</v>
      </c>
      <c r="D6" s="42" t="s">
        <v>191</v>
      </c>
      <c r="E6" s="60">
        <v>38</v>
      </c>
      <c r="F6" s="60">
        <f t="shared" ref="F6:F45" si="0">E6*VLOOKUP(B6,dagsoorttabel1,2,FALSE)</f>
        <v>1.7882352941176469</v>
      </c>
      <c r="G6" s="61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62">
        <f>IF(AND(catpn_1_AHB_1&gt;0,catpn_1_AHV_12&gt;0),(catdw_1_AHB_1*((dagenperjaar1*VLOOKUP(B6,dagsoorttabel1,2,FALSE))-catfd_1_AHV_12)/catpn_1_AHB_1+catdw_1_AHV_12*catfd_1_AHV_12/catpn_1_AHV_12)/(((dagenperjaar1*VLOOKUP(B6,dagsoorttabel1,2,FALSE))-catfd_1_AHV_12)/catpn_1_AHB_1+catfd_1_AHV_12/catpn_1_AHV_12),0)</f>
        <v>0</v>
      </c>
      <c r="I6" s="42" t="s">
        <v>96</v>
      </c>
      <c r="J6" s="46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K6" s="60">
        <f t="shared" ref="K6:K41" si="1">IF(OR(ISBLANK(G6),G6=0),0,F6/ROUND(G6,4))</f>
        <v>0</v>
      </c>
      <c r="L6" s="46">
        <f t="shared" ref="L6:L45" si="2">ROUND(J6,2)*K6</f>
        <v>0</v>
      </c>
      <c r="M6" s="60">
        <f t="shared" ref="M6:M45" si="3">K6*dagenperjaar1</f>
        <v>0</v>
      </c>
      <c r="N6" s="46">
        <f t="shared" ref="N6:N45" si="4">M6*ROUND(J6,2)</f>
        <v>0</v>
      </c>
    </row>
    <row r="7" spans="1:14" x14ac:dyDescent="0.2">
      <c r="A7" s="47" t="s">
        <v>192</v>
      </c>
      <c r="B7" s="47" t="s">
        <v>15</v>
      </c>
      <c r="C7" s="47" t="s">
        <v>190</v>
      </c>
      <c r="D7" s="47" t="s">
        <v>193</v>
      </c>
      <c r="E7" s="63">
        <v>9</v>
      </c>
      <c r="F7" s="63">
        <f t="shared" si="0"/>
        <v>1.8</v>
      </c>
      <c r="G7" s="64">
        <f>IF(AND(catpn_1_BHB_1&gt;0,catpn_1_BHV_51&gt;0),(dagenperjaar1*VLOOKUP(B7,dagsoorttabel1,2,FALSE))/(((dagenperjaar1*VLOOKUP(B7,dagsoorttabel1,2,FALSE))-catfd_1_BHV_51)/catpn_1_BHB_1+catfd_1_BHV_51/catpn_1_BHV_51),0)</f>
        <v>0</v>
      </c>
      <c r="H7" s="65">
        <f>IF(AND(catpn_1_BHB_1&gt;0,catpn_1_BHV_51&gt;0),(catdw_1_BHB_1*((dagenperjaar1*VLOOKUP(B7,dagsoorttabel1,2,FALSE))-catfd_1_BHV_51)/catpn_1_BHB_1+catdw_1_BHV_51*catfd_1_BHV_51/catpn_1_BHV_51)/(((dagenperjaar1*VLOOKUP(B7,dagsoorttabel1,2,FALSE))-catfd_1_BHV_51)/catpn_1_BHB_1+catfd_1_BHV_51/catpn_1_BHV_51),0)</f>
        <v>0</v>
      </c>
      <c r="I7" s="47" t="s">
        <v>96</v>
      </c>
      <c r="J7" s="51">
        <f>IF(AND(catpn_1_BHB_1&gt;0,catpn_1_BHV_51&gt;0),(cattf_1_BHB_1*((dagenperjaar1*VLOOKUP(B7,dagsoorttabel1,2,FALSE))-catfd_1_BHV_51)/catpn_1_BHB_1+cattf_1_BHV_51*catfd_1_BHV_51/catpn_1_BHV_51)/(((dagenperjaar1*VLOOKUP(B7,dagsoorttabel1,2,FALSE))-catfd_1_BHV_51)/catpn_1_BHB_1+catfd_1_BHV_51/catpn_1_BHV_51),0)</f>
        <v>0</v>
      </c>
      <c r="K7" s="63">
        <f t="shared" si="1"/>
        <v>0</v>
      </c>
      <c r="L7" s="51">
        <f t="shared" si="2"/>
        <v>0</v>
      </c>
      <c r="M7" s="63">
        <f t="shared" si="3"/>
        <v>0</v>
      </c>
      <c r="N7" s="51">
        <f t="shared" si="4"/>
        <v>0</v>
      </c>
    </row>
    <row r="8" spans="1:14" x14ac:dyDescent="0.2">
      <c r="A8" s="47" t="s">
        <v>192</v>
      </c>
      <c r="B8" s="47" t="s">
        <v>9</v>
      </c>
      <c r="C8" s="47" t="s">
        <v>190</v>
      </c>
      <c r="D8" s="47" t="s">
        <v>193</v>
      </c>
      <c r="E8" s="63">
        <v>233.59</v>
      </c>
      <c r="F8" s="63">
        <f t="shared" si="0"/>
        <v>233.59</v>
      </c>
      <c r="G8" s="64">
        <f>IF(AND(catpn_1_BHB_1&gt;0,catpn_1_BHV_51&gt;0),(dagenperjaar1*VLOOKUP(B8,dagsoorttabel1,2,FALSE))/(((dagenperjaar1*VLOOKUP(B8,dagsoorttabel1,2,FALSE))-catfd_1_BHV_51)/catpn_1_BHB_1+catfd_1_BHV_51/catpn_1_BHV_51),0)</f>
        <v>0</v>
      </c>
      <c r="H8" s="65">
        <f>IF(AND(catpn_1_BHB_1&gt;0,catpn_1_BHV_51&gt;0),(catdw_1_BHB_1*((dagenperjaar1*VLOOKUP(B8,dagsoorttabel1,2,FALSE))-catfd_1_BHV_51)/catpn_1_BHB_1+catdw_1_BHV_51*catfd_1_BHV_51/catpn_1_BHV_51)/(((dagenperjaar1*VLOOKUP(B8,dagsoorttabel1,2,FALSE))-catfd_1_BHV_51)/catpn_1_BHB_1+catfd_1_BHV_51/catpn_1_BHV_51),0)</f>
        <v>0</v>
      </c>
      <c r="I8" s="47" t="s">
        <v>96</v>
      </c>
      <c r="J8" s="51">
        <f>IF(AND(catpn_1_BHB_1&gt;0,catpn_1_BHV_51&gt;0),(cattf_1_BHB_1*((dagenperjaar1*VLOOKUP(B8,dagsoorttabel1,2,FALSE))-catfd_1_BHV_51)/catpn_1_BHB_1+cattf_1_BHV_51*catfd_1_BHV_51/catpn_1_BHV_51)/(((dagenperjaar1*VLOOKUP(B8,dagsoorttabel1,2,FALSE))-catfd_1_BHV_51)/catpn_1_BHB_1+catfd_1_BHV_51/catpn_1_BHV_51),0)</f>
        <v>0</v>
      </c>
      <c r="K8" s="63">
        <f t="shared" si="1"/>
        <v>0</v>
      </c>
      <c r="L8" s="51">
        <f t="shared" si="2"/>
        <v>0</v>
      </c>
      <c r="M8" s="63">
        <f t="shared" si="3"/>
        <v>0</v>
      </c>
      <c r="N8" s="51">
        <f t="shared" si="4"/>
        <v>0</v>
      </c>
    </row>
    <row r="9" spans="1:14" x14ac:dyDescent="0.2">
      <c r="A9" s="47" t="s">
        <v>194</v>
      </c>
      <c r="B9" s="47" t="s">
        <v>15</v>
      </c>
      <c r="C9" s="47" t="s">
        <v>190</v>
      </c>
      <c r="D9" s="47" t="s">
        <v>195</v>
      </c>
      <c r="E9" s="63">
        <v>82.699999999999989</v>
      </c>
      <c r="F9" s="63">
        <f t="shared" si="0"/>
        <v>16.54</v>
      </c>
      <c r="G9" s="64">
        <f>IF(AND(catpn_1_BZB_1&gt;0,catpn_1_BZV_51&gt;0),(dagenperjaar1*VLOOKUP(B9,dagsoorttabel1,2,FALSE))/(((dagenperjaar1*VLOOKUP(B9,dagsoorttabel1,2,FALSE))-catfd_1_BZV_51)/catpn_1_BZB_1+catfd_1_BZV_51/catpn_1_BZV_51),0)</f>
        <v>0</v>
      </c>
      <c r="H9" s="65">
        <f>IF(AND(catpn_1_BZB_1&gt;0,catpn_1_BZV_51&gt;0),(catdw_1_BZB_1*((dagenperjaar1*VLOOKUP(B9,dagsoorttabel1,2,FALSE))-catfd_1_BZV_51)/catpn_1_BZB_1+catdw_1_BZV_51*catfd_1_BZV_51/catpn_1_BZV_51)/(((dagenperjaar1*VLOOKUP(B9,dagsoorttabel1,2,FALSE))-catfd_1_BZV_51)/catpn_1_BZB_1+catfd_1_BZV_51/catpn_1_BZV_51),0)</f>
        <v>0</v>
      </c>
      <c r="I9" s="47" t="s">
        <v>96</v>
      </c>
      <c r="J9" s="51">
        <f>IF(AND(catpn_1_BZB_1&gt;0,catpn_1_BZV_51&gt;0),(cattf_1_BZB_1*((dagenperjaar1*VLOOKUP(B9,dagsoorttabel1,2,FALSE))-catfd_1_BZV_51)/catpn_1_BZB_1+cattf_1_BZV_51*catfd_1_BZV_51/catpn_1_BZV_51)/(((dagenperjaar1*VLOOKUP(B9,dagsoorttabel1,2,FALSE))-catfd_1_BZV_51)/catpn_1_BZB_1+catfd_1_BZV_51/catpn_1_BZV_51),0)</f>
        <v>0</v>
      </c>
      <c r="K9" s="63">
        <f t="shared" si="1"/>
        <v>0</v>
      </c>
      <c r="L9" s="51">
        <f t="shared" si="2"/>
        <v>0</v>
      </c>
      <c r="M9" s="63">
        <f t="shared" si="3"/>
        <v>0</v>
      </c>
      <c r="N9" s="51">
        <f t="shared" si="4"/>
        <v>0</v>
      </c>
    </row>
    <row r="10" spans="1:14" x14ac:dyDescent="0.2">
      <c r="A10" s="47" t="s">
        <v>194</v>
      </c>
      <c r="B10" s="47" t="s">
        <v>9</v>
      </c>
      <c r="C10" s="47" t="s">
        <v>190</v>
      </c>
      <c r="D10" s="47" t="s">
        <v>195</v>
      </c>
      <c r="E10" s="63">
        <v>707</v>
      </c>
      <c r="F10" s="63">
        <f t="shared" si="0"/>
        <v>707</v>
      </c>
      <c r="G10" s="64">
        <f>IF(AND(catpn_1_BZB_1&gt;0,catpn_1_BZV_51&gt;0),(dagenperjaar1*VLOOKUP(B10,dagsoorttabel1,2,FALSE))/(((dagenperjaar1*VLOOKUP(B10,dagsoorttabel1,2,FALSE))-catfd_1_BZV_51)/catpn_1_BZB_1+catfd_1_BZV_51/catpn_1_BZV_51),0)</f>
        <v>0</v>
      </c>
      <c r="H10" s="65">
        <f>IF(AND(catpn_1_BZB_1&gt;0,catpn_1_BZV_51&gt;0),(catdw_1_BZB_1*((dagenperjaar1*VLOOKUP(B10,dagsoorttabel1,2,FALSE))-catfd_1_BZV_51)/catpn_1_BZB_1+catdw_1_BZV_51*catfd_1_BZV_51/catpn_1_BZV_51)/(((dagenperjaar1*VLOOKUP(B10,dagsoorttabel1,2,FALSE))-catfd_1_BZV_51)/catpn_1_BZB_1+catfd_1_BZV_51/catpn_1_BZV_51),0)</f>
        <v>0</v>
      </c>
      <c r="I10" s="47" t="s">
        <v>96</v>
      </c>
      <c r="J10" s="51">
        <f>IF(AND(catpn_1_BZB_1&gt;0,catpn_1_BZV_51&gt;0),(cattf_1_BZB_1*((dagenperjaar1*VLOOKUP(B10,dagsoorttabel1,2,FALSE))-catfd_1_BZV_51)/catpn_1_BZB_1+cattf_1_BZV_51*catfd_1_BZV_51/catpn_1_BZV_51)/(((dagenperjaar1*VLOOKUP(B10,dagsoorttabel1,2,FALSE))-catfd_1_BZV_51)/catpn_1_BZB_1+catfd_1_BZV_51/catpn_1_BZV_51),0)</f>
        <v>0</v>
      </c>
      <c r="K10" s="63">
        <f t="shared" si="1"/>
        <v>0</v>
      </c>
      <c r="L10" s="51">
        <f t="shared" si="2"/>
        <v>0</v>
      </c>
      <c r="M10" s="63">
        <f t="shared" si="3"/>
        <v>0</v>
      </c>
      <c r="N10" s="51">
        <f t="shared" si="4"/>
        <v>0</v>
      </c>
    </row>
    <row r="11" spans="1:14" x14ac:dyDescent="0.2">
      <c r="A11" s="47" t="s">
        <v>196</v>
      </c>
      <c r="B11" s="47" t="s">
        <v>15</v>
      </c>
      <c r="C11" s="47" t="s">
        <v>190</v>
      </c>
      <c r="D11" s="47" t="s">
        <v>197</v>
      </c>
      <c r="E11" s="63">
        <v>11</v>
      </c>
      <c r="F11" s="63">
        <f t="shared" si="0"/>
        <v>2.2000000000000002</v>
      </c>
      <c r="G11" s="64">
        <f>IF(AND(catpn_1_CHB_1&gt;0,catpn_1_CHV_51&gt;0),(dagenperjaar1*VLOOKUP(B11,dagsoorttabel1,2,FALSE))/(((dagenperjaar1*VLOOKUP(B11,dagsoorttabel1,2,FALSE))-catfd_1_CHV_51)/catpn_1_CHB_1+catfd_1_CHV_51/catpn_1_CHV_51),0)</f>
        <v>0</v>
      </c>
      <c r="H11" s="65">
        <f>IF(AND(catpn_1_CHB_1&gt;0,catpn_1_CHV_51&gt;0),(catdw_1_CHB_1*((dagenperjaar1*VLOOKUP(B11,dagsoorttabel1,2,FALSE))-catfd_1_CHV_51)/catpn_1_CHB_1+catdw_1_CHV_51*catfd_1_CHV_51/catpn_1_CHV_51)/(((dagenperjaar1*VLOOKUP(B11,dagsoorttabel1,2,FALSE))-catfd_1_CHV_51)/catpn_1_CHB_1+catfd_1_CHV_51/catpn_1_CHV_51),0)</f>
        <v>0</v>
      </c>
      <c r="I11" s="47" t="s">
        <v>96</v>
      </c>
      <c r="J11" s="51">
        <f>IF(AND(catpn_1_CHB_1&gt;0,catpn_1_CHV_51&gt;0),(cattf_1_CHB_1*((dagenperjaar1*VLOOKUP(B11,dagsoorttabel1,2,FALSE))-catfd_1_CHV_51)/catpn_1_CHB_1+cattf_1_CHV_51*catfd_1_CHV_51/catpn_1_CHV_51)/(((dagenperjaar1*VLOOKUP(B11,dagsoorttabel1,2,FALSE))-catfd_1_CHV_51)/catpn_1_CHB_1+catfd_1_CHV_51/catpn_1_CHV_51),0)</f>
        <v>0</v>
      </c>
      <c r="K11" s="63">
        <f t="shared" si="1"/>
        <v>0</v>
      </c>
      <c r="L11" s="51">
        <f t="shared" si="2"/>
        <v>0</v>
      </c>
      <c r="M11" s="63">
        <f t="shared" si="3"/>
        <v>0</v>
      </c>
      <c r="N11" s="51">
        <f t="shared" si="4"/>
        <v>0</v>
      </c>
    </row>
    <row r="12" spans="1:14" x14ac:dyDescent="0.2">
      <c r="A12" s="47" t="s">
        <v>196</v>
      </c>
      <c r="B12" s="47" t="s">
        <v>9</v>
      </c>
      <c r="C12" s="47" t="s">
        <v>190</v>
      </c>
      <c r="D12" s="47" t="s">
        <v>197</v>
      </c>
      <c r="E12" s="63">
        <v>6.5</v>
      </c>
      <c r="F12" s="63">
        <f t="shared" si="0"/>
        <v>6.5</v>
      </c>
      <c r="G12" s="64">
        <f>IF(AND(catpn_1_CHB_1&gt;0,catpn_1_CHV_51&gt;0),(dagenperjaar1*VLOOKUP(B12,dagsoorttabel1,2,FALSE))/(((dagenperjaar1*VLOOKUP(B12,dagsoorttabel1,2,FALSE))-catfd_1_CHV_51)/catpn_1_CHB_1+catfd_1_CHV_51/catpn_1_CHV_51),0)</f>
        <v>0</v>
      </c>
      <c r="H12" s="65">
        <f>IF(AND(catpn_1_CHB_1&gt;0,catpn_1_CHV_51&gt;0),(catdw_1_CHB_1*((dagenperjaar1*VLOOKUP(B12,dagsoorttabel1,2,FALSE))-catfd_1_CHV_51)/catpn_1_CHB_1+catdw_1_CHV_51*catfd_1_CHV_51/catpn_1_CHV_51)/(((dagenperjaar1*VLOOKUP(B12,dagsoorttabel1,2,FALSE))-catfd_1_CHV_51)/catpn_1_CHB_1+catfd_1_CHV_51/catpn_1_CHV_51),0)</f>
        <v>0</v>
      </c>
      <c r="I12" s="47" t="s">
        <v>96</v>
      </c>
      <c r="J12" s="51">
        <f>IF(AND(catpn_1_CHB_1&gt;0,catpn_1_CHV_51&gt;0),(cattf_1_CHB_1*((dagenperjaar1*VLOOKUP(B12,dagsoorttabel1,2,FALSE))-catfd_1_CHV_51)/catpn_1_CHB_1+cattf_1_CHV_51*catfd_1_CHV_51/catpn_1_CHV_51)/(((dagenperjaar1*VLOOKUP(B12,dagsoorttabel1,2,FALSE))-catfd_1_CHV_51)/catpn_1_CHB_1+catfd_1_CHV_51/catpn_1_CHV_51),0)</f>
        <v>0</v>
      </c>
      <c r="K12" s="63">
        <f t="shared" si="1"/>
        <v>0</v>
      </c>
      <c r="L12" s="51">
        <f t="shared" si="2"/>
        <v>0</v>
      </c>
      <c r="M12" s="63">
        <f t="shared" si="3"/>
        <v>0</v>
      </c>
      <c r="N12" s="51">
        <f t="shared" si="4"/>
        <v>0</v>
      </c>
    </row>
    <row r="13" spans="1:14" x14ac:dyDescent="0.2">
      <c r="A13" s="47" t="s">
        <v>198</v>
      </c>
      <c r="B13" s="47" t="s">
        <v>15</v>
      </c>
      <c r="C13" s="47" t="s">
        <v>190</v>
      </c>
      <c r="D13" s="47" t="s">
        <v>199</v>
      </c>
      <c r="E13" s="63">
        <v>52.8</v>
      </c>
      <c r="F13" s="63">
        <f t="shared" si="0"/>
        <v>10.56</v>
      </c>
      <c r="G13" s="64">
        <f>IF(AND(catpn_1_DHB_1&gt;0,catpn_1_DHV_51&gt;0),(dagenperjaar1*VLOOKUP(B13,dagsoorttabel1,2,FALSE))/(((dagenperjaar1*VLOOKUP(B13,dagsoorttabel1,2,FALSE))-catfd_1_DHV_51)/catpn_1_DHB_1+catfd_1_DHV_51/catpn_1_DHV_51),0)</f>
        <v>0</v>
      </c>
      <c r="H13" s="65">
        <f>IF(AND(catpn_1_DHB_1&gt;0,catpn_1_DHV_51&gt;0),(catdw_1_DHB_1*((dagenperjaar1*VLOOKUP(B13,dagsoorttabel1,2,FALSE))-catfd_1_DHV_51)/catpn_1_DHB_1+catdw_1_DHV_51*catfd_1_DHV_51/catpn_1_DHV_51)/(((dagenperjaar1*VLOOKUP(B13,dagsoorttabel1,2,FALSE))-catfd_1_DHV_51)/catpn_1_DHB_1+catfd_1_DHV_51/catpn_1_DHV_51),0)</f>
        <v>0</v>
      </c>
      <c r="I13" s="47" t="s">
        <v>96</v>
      </c>
      <c r="J13" s="51">
        <f>IF(AND(catpn_1_DHB_1&gt;0,catpn_1_DHV_51&gt;0),(cattf_1_DHB_1*((dagenperjaar1*VLOOKUP(B13,dagsoorttabel1,2,FALSE))-catfd_1_DHV_51)/catpn_1_DHB_1+cattf_1_DHV_51*catfd_1_DHV_51/catpn_1_DHV_51)/(((dagenperjaar1*VLOOKUP(B13,dagsoorttabel1,2,FALSE))-catfd_1_DHV_51)/catpn_1_DHB_1+catfd_1_DHV_51/catpn_1_DHV_51),0)</f>
        <v>0</v>
      </c>
      <c r="K13" s="63">
        <f t="shared" si="1"/>
        <v>0</v>
      </c>
      <c r="L13" s="51">
        <f t="shared" si="2"/>
        <v>0</v>
      </c>
      <c r="M13" s="63">
        <f t="shared" si="3"/>
        <v>0</v>
      </c>
      <c r="N13" s="51">
        <f t="shared" si="4"/>
        <v>0</v>
      </c>
    </row>
    <row r="14" spans="1:14" x14ac:dyDescent="0.2">
      <c r="A14" s="47" t="s">
        <v>198</v>
      </c>
      <c r="B14" s="47" t="s">
        <v>9</v>
      </c>
      <c r="C14" s="47" t="s">
        <v>190</v>
      </c>
      <c r="D14" s="47" t="s">
        <v>200</v>
      </c>
      <c r="E14" s="63">
        <v>1</v>
      </c>
      <c r="F14" s="63">
        <f t="shared" si="0"/>
        <v>1</v>
      </c>
      <c r="G14" s="64">
        <f>IF(AND(catpn_1_DHB_1&gt;0,catpn_1_DHV_51&gt;0),(dagenperjaar1*VLOOKUP(B14,dagsoorttabel1,2,FALSE))/(((dagenperjaar1*VLOOKUP(B14,dagsoorttabel1,2,FALSE))-catfd_1_DHV_51)/catpn_1_DHB_1+catfd_1_DHV_51/catpn_1_DHV_51),0)</f>
        <v>0</v>
      </c>
      <c r="H14" s="65">
        <f>IF(AND(catpn_1_DHB_1&gt;0,catpn_1_DHV_51&gt;0),(catdw_1_DHB_1*((dagenperjaar1*VLOOKUP(B14,dagsoorttabel1,2,FALSE))-catfd_1_DHV_51)/catpn_1_DHB_1+catdw_1_DHV_51*catfd_1_DHV_51/catpn_1_DHV_51)/(((dagenperjaar1*VLOOKUP(B14,dagsoorttabel1,2,FALSE))-catfd_1_DHV_51)/catpn_1_DHB_1+catfd_1_DHV_51/catpn_1_DHV_51),0)</f>
        <v>0</v>
      </c>
      <c r="I14" s="47" t="s">
        <v>96</v>
      </c>
      <c r="J14" s="51">
        <f>IF(AND(catpn_1_DHB_1&gt;0,catpn_1_DHV_51&gt;0),(cattf_1_DHB_1*((dagenperjaar1*VLOOKUP(B14,dagsoorttabel1,2,FALSE))-catfd_1_DHV_51)/catpn_1_DHB_1+cattf_1_DHV_51*catfd_1_DHV_51/catpn_1_DHV_51)/(((dagenperjaar1*VLOOKUP(B14,dagsoorttabel1,2,FALSE))-catfd_1_DHV_51)/catpn_1_DHB_1+catfd_1_DHV_51/catpn_1_DHV_51),0)</f>
        <v>0</v>
      </c>
      <c r="K14" s="63">
        <f t="shared" si="1"/>
        <v>0</v>
      </c>
      <c r="L14" s="51">
        <f t="shared" si="2"/>
        <v>0</v>
      </c>
      <c r="M14" s="63">
        <f t="shared" si="3"/>
        <v>0</v>
      </c>
      <c r="N14" s="51">
        <f t="shared" si="4"/>
        <v>0</v>
      </c>
    </row>
    <row r="15" spans="1:14" x14ac:dyDescent="0.2">
      <c r="A15" s="47" t="s">
        <v>201</v>
      </c>
      <c r="B15" s="47" t="s">
        <v>15</v>
      </c>
      <c r="C15" s="47" t="s">
        <v>190</v>
      </c>
      <c r="D15" s="47" t="s">
        <v>202</v>
      </c>
      <c r="E15" s="63">
        <v>9.5</v>
      </c>
      <c r="F15" s="63">
        <f t="shared" si="0"/>
        <v>1.9000000000000001</v>
      </c>
      <c r="G15" s="64">
        <f>IF(AND(catpn_1_EHB_1&gt;0,catpn_1_EHV_51&gt;0),(dagenperjaar1*VLOOKUP(B15,dagsoorttabel1,2,FALSE))/(((dagenperjaar1*VLOOKUP(B15,dagsoorttabel1,2,FALSE))-catfd_1_EHV_51)/catpn_1_EHB_1+catfd_1_EHV_51/catpn_1_EHV_51),0)</f>
        <v>0</v>
      </c>
      <c r="H15" s="65">
        <f>IF(AND(catpn_1_EHB_1&gt;0,catpn_1_EHV_51&gt;0),(catdw_1_EHB_1*((dagenperjaar1*VLOOKUP(B15,dagsoorttabel1,2,FALSE))-catfd_1_EHV_51)/catpn_1_EHB_1+catdw_1_EHV_51*catfd_1_EHV_51/catpn_1_EHV_51)/(((dagenperjaar1*VLOOKUP(B15,dagsoorttabel1,2,FALSE))-catfd_1_EHV_51)/catpn_1_EHB_1+catfd_1_EHV_51/catpn_1_EHV_51),0)</f>
        <v>0</v>
      </c>
      <c r="I15" s="47" t="s">
        <v>96</v>
      </c>
      <c r="J15" s="51">
        <f>IF(AND(catpn_1_EHB_1&gt;0,catpn_1_EHV_51&gt;0),(cattf_1_EHB_1*((dagenperjaar1*VLOOKUP(B15,dagsoorttabel1,2,FALSE))-catfd_1_EHV_51)/catpn_1_EHB_1+cattf_1_EHV_51*catfd_1_EHV_51/catpn_1_EHV_51)/(((dagenperjaar1*VLOOKUP(B15,dagsoorttabel1,2,FALSE))-catfd_1_EHV_51)/catpn_1_EHB_1+catfd_1_EHV_51/catpn_1_EHV_51),0)</f>
        <v>0</v>
      </c>
      <c r="K15" s="63">
        <f t="shared" si="1"/>
        <v>0</v>
      </c>
      <c r="L15" s="51">
        <f t="shared" si="2"/>
        <v>0</v>
      </c>
      <c r="M15" s="63">
        <f t="shared" si="3"/>
        <v>0</v>
      </c>
      <c r="N15" s="51">
        <f t="shared" si="4"/>
        <v>0</v>
      </c>
    </row>
    <row r="16" spans="1:14" x14ac:dyDescent="0.2">
      <c r="A16" s="47" t="s">
        <v>201</v>
      </c>
      <c r="B16" s="47" t="s">
        <v>9</v>
      </c>
      <c r="C16" s="47" t="s">
        <v>190</v>
      </c>
      <c r="D16" s="47" t="s">
        <v>202</v>
      </c>
      <c r="E16" s="63">
        <v>34.520000000000003</v>
      </c>
      <c r="F16" s="63">
        <f t="shared" si="0"/>
        <v>34.520000000000003</v>
      </c>
      <c r="G16" s="64">
        <f>IF(AND(catpn_1_EHB_1&gt;0,catpn_1_EHV_51&gt;0),(dagenperjaar1*VLOOKUP(B16,dagsoorttabel1,2,FALSE))/(((dagenperjaar1*VLOOKUP(B16,dagsoorttabel1,2,FALSE))-catfd_1_EHV_51)/catpn_1_EHB_1+catfd_1_EHV_51/catpn_1_EHV_51),0)</f>
        <v>0</v>
      </c>
      <c r="H16" s="65">
        <f>IF(AND(catpn_1_EHB_1&gt;0,catpn_1_EHV_51&gt;0),(catdw_1_EHB_1*((dagenperjaar1*VLOOKUP(B16,dagsoorttabel1,2,FALSE))-catfd_1_EHV_51)/catpn_1_EHB_1+catdw_1_EHV_51*catfd_1_EHV_51/catpn_1_EHV_51)/(((dagenperjaar1*VLOOKUP(B16,dagsoorttabel1,2,FALSE))-catfd_1_EHV_51)/catpn_1_EHB_1+catfd_1_EHV_51/catpn_1_EHV_51),0)</f>
        <v>0</v>
      </c>
      <c r="I16" s="47" t="s">
        <v>96</v>
      </c>
      <c r="J16" s="51">
        <f>IF(AND(catpn_1_EHB_1&gt;0,catpn_1_EHV_51&gt;0),(cattf_1_EHB_1*((dagenperjaar1*VLOOKUP(B16,dagsoorttabel1,2,FALSE))-catfd_1_EHV_51)/catpn_1_EHB_1+cattf_1_EHV_51*catfd_1_EHV_51/catpn_1_EHV_51)/(((dagenperjaar1*VLOOKUP(B16,dagsoorttabel1,2,FALSE))-catfd_1_EHV_51)/catpn_1_EHB_1+catfd_1_EHV_51/catpn_1_EHV_51),0)</f>
        <v>0</v>
      </c>
      <c r="K16" s="63">
        <f t="shared" si="1"/>
        <v>0</v>
      </c>
      <c r="L16" s="51">
        <f t="shared" si="2"/>
        <v>0</v>
      </c>
      <c r="M16" s="63">
        <f t="shared" si="3"/>
        <v>0</v>
      </c>
      <c r="N16" s="51">
        <f t="shared" si="4"/>
        <v>0</v>
      </c>
    </row>
    <row r="17" spans="1:14" x14ac:dyDescent="0.2">
      <c r="A17" s="47" t="s">
        <v>203</v>
      </c>
      <c r="B17" s="47" t="s">
        <v>9</v>
      </c>
      <c r="C17" s="47" t="s">
        <v>190</v>
      </c>
      <c r="D17" s="47" t="s">
        <v>204</v>
      </c>
      <c r="E17" s="63">
        <v>23.6</v>
      </c>
      <c r="F17" s="63">
        <f t="shared" si="0"/>
        <v>23.6</v>
      </c>
      <c r="G17" s="64">
        <f>IF(AND(catpn_1_EZB_1&gt;0,catpn_1_EZV_51&gt;0),(dagenperjaar1*VLOOKUP(B17,dagsoorttabel1,2,FALSE))/(((dagenperjaar1*VLOOKUP(B17,dagsoorttabel1,2,FALSE))-catfd_1_EZV_51)/catpn_1_EZB_1+catfd_1_EZV_51/catpn_1_EZV_51),0)</f>
        <v>0</v>
      </c>
      <c r="H17" s="65">
        <f>IF(AND(catpn_1_EZB_1&gt;0,catpn_1_EZV_51&gt;0),(catdw_1_EZB_1*((dagenperjaar1*VLOOKUP(B17,dagsoorttabel1,2,FALSE))-catfd_1_EZV_51)/catpn_1_EZB_1+catdw_1_EZV_51*catfd_1_EZV_51/catpn_1_EZV_51)/(((dagenperjaar1*VLOOKUP(B17,dagsoorttabel1,2,FALSE))-catfd_1_EZV_51)/catpn_1_EZB_1+catfd_1_EZV_51/catpn_1_EZV_51),0)</f>
        <v>0</v>
      </c>
      <c r="I17" s="47" t="s">
        <v>96</v>
      </c>
      <c r="J17" s="51">
        <f>IF(AND(catpn_1_EZB_1&gt;0,catpn_1_EZV_51&gt;0),(cattf_1_EZB_1*((dagenperjaar1*VLOOKUP(B17,dagsoorttabel1,2,FALSE))-catfd_1_EZV_51)/catpn_1_EZB_1+cattf_1_EZV_51*catfd_1_EZV_51/catpn_1_EZV_51)/(((dagenperjaar1*VLOOKUP(B17,dagsoorttabel1,2,FALSE))-catfd_1_EZV_51)/catpn_1_EZB_1+catfd_1_EZV_51/catpn_1_EZV_51),0)</f>
        <v>0</v>
      </c>
      <c r="K17" s="63">
        <f t="shared" si="1"/>
        <v>0</v>
      </c>
      <c r="L17" s="51">
        <f t="shared" si="2"/>
        <v>0</v>
      </c>
      <c r="M17" s="63">
        <f t="shared" si="3"/>
        <v>0</v>
      </c>
      <c r="N17" s="51">
        <f t="shared" si="4"/>
        <v>0</v>
      </c>
    </row>
    <row r="18" spans="1:14" x14ac:dyDescent="0.2">
      <c r="A18" s="47" t="s">
        <v>205</v>
      </c>
      <c r="B18" s="47" t="s">
        <v>9</v>
      </c>
      <c r="C18" s="47" t="s">
        <v>190</v>
      </c>
      <c r="D18" s="47" t="s">
        <v>206</v>
      </c>
      <c r="E18" s="63">
        <v>4</v>
      </c>
      <c r="F18" s="63">
        <f t="shared" si="0"/>
        <v>4</v>
      </c>
      <c r="G18" s="64">
        <f>IF(AND(catpn_1_IHB_1&gt;0,catpn_1_IHV_51&gt;0),(dagenperjaar1*VLOOKUP(B18,dagsoorttabel1,2,FALSE))/(((dagenperjaar1*VLOOKUP(B18,dagsoorttabel1,2,FALSE))-catfd_1_IHV_51)/catpn_1_IHB_1+catfd_1_IHV_51/catpn_1_IHV_51),0)</f>
        <v>0</v>
      </c>
      <c r="H18" s="65">
        <f>IF(AND(catpn_1_IHB_1&gt;0,catpn_1_IHV_51&gt;0),(catdw_1_IHB_1*((dagenperjaar1*VLOOKUP(B18,dagsoorttabel1,2,FALSE))-catfd_1_IHV_51)/catpn_1_IHB_1+catdw_1_IHV_51*catfd_1_IHV_51/catpn_1_IHV_51)/(((dagenperjaar1*VLOOKUP(B18,dagsoorttabel1,2,FALSE))-catfd_1_IHV_51)/catpn_1_IHB_1+catfd_1_IHV_51/catpn_1_IHV_51),0)</f>
        <v>0</v>
      </c>
      <c r="I18" s="47" t="s">
        <v>96</v>
      </c>
      <c r="J18" s="51">
        <f>IF(AND(catpn_1_IHB_1&gt;0,catpn_1_IHV_51&gt;0),(cattf_1_IHB_1*((dagenperjaar1*VLOOKUP(B18,dagsoorttabel1,2,FALSE))-catfd_1_IHV_51)/catpn_1_IHB_1+cattf_1_IHV_51*catfd_1_IHV_51/catpn_1_IHV_51)/(((dagenperjaar1*VLOOKUP(B18,dagsoorttabel1,2,FALSE))-catfd_1_IHV_51)/catpn_1_IHB_1+catfd_1_IHV_51/catpn_1_IHV_51),0)</f>
        <v>0</v>
      </c>
      <c r="K18" s="63">
        <f t="shared" si="1"/>
        <v>0</v>
      </c>
      <c r="L18" s="51">
        <f t="shared" si="2"/>
        <v>0</v>
      </c>
      <c r="M18" s="63">
        <f t="shared" si="3"/>
        <v>0</v>
      </c>
      <c r="N18" s="51">
        <f t="shared" si="4"/>
        <v>0</v>
      </c>
    </row>
    <row r="19" spans="1:14" x14ac:dyDescent="0.2">
      <c r="A19" s="47" t="s">
        <v>207</v>
      </c>
      <c r="B19" s="47" t="s">
        <v>15</v>
      </c>
      <c r="C19" s="47" t="s">
        <v>190</v>
      </c>
      <c r="D19" s="47" t="s">
        <v>208</v>
      </c>
      <c r="E19" s="63">
        <v>23.7</v>
      </c>
      <c r="F19" s="63">
        <f t="shared" si="0"/>
        <v>4.74</v>
      </c>
      <c r="G19" s="64">
        <f>IF(AND(catpn_1_KHB_1&gt;0,catpn_1_KHV_51&gt;0),(dagenperjaar1*VLOOKUP(B19,dagsoorttabel1,2,FALSE))/(((dagenperjaar1*VLOOKUP(B19,dagsoorttabel1,2,FALSE))-catfd_1_KHV_51)/catpn_1_KHB_1+catfd_1_KHV_51/catpn_1_KHV_51),0)</f>
        <v>0</v>
      </c>
      <c r="H19" s="65">
        <f>IF(AND(catpn_1_KHB_1&gt;0,catpn_1_KHV_51&gt;0),(catdw_1_KHB_1*((dagenperjaar1*VLOOKUP(B19,dagsoorttabel1,2,FALSE))-catfd_1_KHV_51)/catpn_1_KHB_1+catdw_1_KHV_51*catfd_1_KHV_51/catpn_1_KHV_51)/(((dagenperjaar1*VLOOKUP(B19,dagsoorttabel1,2,FALSE))-catfd_1_KHV_51)/catpn_1_KHB_1+catfd_1_KHV_51/catpn_1_KHV_51),0)</f>
        <v>0</v>
      </c>
      <c r="I19" s="47" t="s">
        <v>96</v>
      </c>
      <c r="J19" s="51">
        <f>IF(AND(catpn_1_KHB_1&gt;0,catpn_1_KHV_51&gt;0),(cattf_1_KHB_1*((dagenperjaar1*VLOOKUP(B19,dagsoorttabel1,2,FALSE))-catfd_1_KHV_51)/catpn_1_KHB_1+cattf_1_KHV_51*catfd_1_KHV_51/catpn_1_KHV_51)/(((dagenperjaar1*VLOOKUP(B19,dagsoorttabel1,2,FALSE))-catfd_1_KHV_51)/catpn_1_KHB_1+catfd_1_KHV_51/catpn_1_KHV_51),0)</f>
        <v>0</v>
      </c>
      <c r="K19" s="63">
        <f t="shared" si="1"/>
        <v>0</v>
      </c>
      <c r="L19" s="51">
        <f t="shared" si="2"/>
        <v>0</v>
      </c>
      <c r="M19" s="63">
        <f t="shared" si="3"/>
        <v>0</v>
      </c>
      <c r="N19" s="51">
        <f t="shared" si="4"/>
        <v>0</v>
      </c>
    </row>
    <row r="20" spans="1:14" x14ac:dyDescent="0.2">
      <c r="A20" s="47" t="s">
        <v>207</v>
      </c>
      <c r="B20" s="47" t="s">
        <v>9</v>
      </c>
      <c r="C20" s="47" t="s">
        <v>190</v>
      </c>
      <c r="D20" s="47" t="s">
        <v>208</v>
      </c>
      <c r="E20" s="63">
        <v>17.049999999999997</v>
      </c>
      <c r="F20" s="63">
        <f t="shared" si="0"/>
        <v>17.049999999999997</v>
      </c>
      <c r="G20" s="64">
        <f>IF(AND(catpn_1_KHB_1&gt;0,catpn_1_KHV_51&gt;0),(dagenperjaar1*VLOOKUP(B20,dagsoorttabel1,2,FALSE))/(((dagenperjaar1*VLOOKUP(B20,dagsoorttabel1,2,FALSE))-catfd_1_KHV_51)/catpn_1_KHB_1+catfd_1_KHV_51/catpn_1_KHV_51),0)</f>
        <v>0</v>
      </c>
      <c r="H20" s="65">
        <f>IF(AND(catpn_1_KHB_1&gt;0,catpn_1_KHV_51&gt;0),(catdw_1_KHB_1*((dagenperjaar1*VLOOKUP(B20,dagsoorttabel1,2,FALSE))-catfd_1_KHV_51)/catpn_1_KHB_1+catdw_1_KHV_51*catfd_1_KHV_51/catpn_1_KHV_51)/(((dagenperjaar1*VLOOKUP(B20,dagsoorttabel1,2,FALSE))-catfd_1_KHV_51)/catpn_1_KHB_1+catfd_1_KHV_51/catpn_1_KHV_51),0)</f>
        <v>0</v>
      </c>
      <c r="I20" s="47" t="s">
        <v>96</v>
      </c>
      <c r="J20" s="51">
        <f>IF(AND(catpn_1_KHB_1&gt;0,catpn_1_KHV_51&gt;0),(cattf_1_KHB_1*((dagenperjaar1*VLOOKUP(B20,dagsoorttabel1,2,FALSE))-catfd_1_KHV_51)/catpn_1_KHB_1+cattf_1_KHV_51*catfd_1_KHV_51/catpn_1_KHV_51)/(((dagenperjaar1*VLOOKUP(B20,dagsoorttabel1,2,FALSE))-catfd_1_KHV_51)/catpn_1_KHB_1+catfd_1_KHV_51/catpn_1_KHV_51),0)</f>
        <v>0</v>
      </c>
      <c r="K20" s="63">
        <f t="shared" si="1"/>
        <v>0</v>
      </c>
      <c r="L20" s="51">
        <f t="shared" si="2"/>
        <v>0</v>
      </c>
      <c r="M20" s="63">
        <f t="shared" si="3"/>
        <v>0</v>
      </c>
      <c r="N20" s="51">
        <f t="shared" si="4"/>
        <v>0</v>
      </c>
    </row>
    <row r="21" spans="1:14" x14ac:dyDescent="0.2">
      <c r="A21" s="47" t="s">
        <v>209</v>
      </c>
      <c r="B21" s="47" t="s">
        <v>15</v>
      </c>
      <c r="C21" s="47" t="s">
        <v>190</v>
      </c>
      <c r="D21" s="47" t="s">
        <v>210</v>
      </c>
      <c r="E21" s="63">
        <v>56.6</v>
      </c>
      <c r="F21" s="63">
        <f t="shared" si="0"/>
        <v>11.32</v>
      </c>
      <c r="G21" s="64">
        <f>IF(AND(catpn_1_LHB_1&gt;0,catpn_1_LHV_51&gt;0),(dagenperjaar1*VLOOKUP(B21,dagsoorttabel1,2,FALSE))/(((dagenperjaar1*VLOOKUP(B21,dagsoorttabel1,2,FALSE))-catfd_1_LHV_51)/catpn_1_LHB_1+catfd_1_LHV_51/catpn_1_LHV_51),0)</f>
        <v>0</v>
      </c>
      <c r="H21" s="65">
        <f>IF(AND(catpn_1_LHB_1&gt;0,catpn_1_LHV_51&gt;0),(catdw_1_LHB_1*((dagenperjaar1*VLOOKUP(B21,dagsoorttabel1,2,FALSE))-catfd_1_LHV_51)/catpn_1_LHB_1+catdw_1_LHV_51*catfd_1_LHV_51/catpn_1_LHV_51)/(((dagenperjaar1*VLOOKUP(B21,dagsoorttabel1,2,FALSE))-catfd_1_LHV_51)/catpn_1_LHB_1+catfd_1_LHV_51/catpn_1_LHV_51),0)</f>
        <v>0</v>
      </c>
      <c r="I21" s="47" t="s">
        <v>96</v>
      </c>
      <c r="J21" s="51">
        <f>IF(AND(catpn_1_LHB_1&gt;0,catpn_1_LHV_51&gt;0),(cattf_1_LHB_1*((dagenperjaar1*VLOOKUP(B21,dagsoorttabel1,2,FALSE))-catfd_1_LHV_51)/catpn_1_LHB_1+cattf_1_LHV_51*catfd_1_LHV_51/catpn_1_LHV_51)/(((dagenperjaar1*VLOOKUP(B21,dagsoorttabel1,2,FALSE))-catfd_1_LHV_51)/catpn_1_LHB_1+catfd_1_LHV_51/catpn_1_LHV_51),0)</f>
        <v>0</v>
      </c>
      <c r="K21" s="63">
        <f t="shared" si="1"/>
        <v>0</v>
      </c>
      <c r="L21" s="51">
        <f t="shared" si="2"/>
        <v>0</v>
      </c>
      <c r="M21" s="63">
        <f t="shared" si="3"/>
        <v>0</v>
      </c>
      <c r="N21" s="51">
        <f t="shared" si="4"/>
        <v>0</v>
      </c>
    </row>
    <row r="22" spans="1:14" x14ac:dyDescent="0.2">
      <c r="A22" s="47" t="s">
        <v>211</v>
      </c>
      <c r="B22" s="47" t="s">
        <v>9</v>
      </c>
      <c r="C22" s="47" t="s">
        <v>190</v>
      </c>
      <c r="D22" s="47" t="s">
        <v>212</v>
      </c>
      <c r="E22" s="63">
        <v>29.7</v>
      </c>
      <c r="F22" s="63">
        <f t="shared" si="0"/>
        <v>29.7</v>
      </c>
      <c r="G22" s="64">
        <f>IF(AND(catpn_1_LZB_1&gt;0,catpn_1_LZV_51&gt;0),(dagenperjaar1*VLOOKUP(B22,dagsoorttabel1,2,FALSE))/(((dagenperjaar1*VLOOKUP(B22,dagsoorttabel1,2,FALSE))-catfd_1_LZV_51)/catpn_1_LZB_1+catfd_1_LZV_51/catpn_1_LZV_51),0)</f>
        <v>0</v>
      </c>
      <c r="H22" s="65">
        <f>IF(AND(catpn_1_LZB_1&gt;0,catpn_1_LZV_51&gt;0),(catdw_1_LZB_1*((dagenperjaar1*VLOOKUP(B22,dagsoorttabel1,2,FALSE))-catfd_1_LZV_51)/catpn_1_LZB_1+catdw_1_LZV_51*catfd_1_LZV_51/catpn_1_LZV_51)/(((dagenperjaar1*VLOOKUP(B22,dagsoorttabel1,2,FALSE))-catfd_1_LZV_51)/catpn_1_LZB_1+catfd_1_LZV_51/catpn_1_LZV_51),0)</f>
        <v>0</v>
      </c>
      <c r="I22" s="47" t="s">
        <v>96</v>
      </c>
      <c r="J22" s="51">
        <f>IF(AND(catpn_1_LZB_1&gt;0,catpn_1_LZV_51&gt;0),(cattf_1_LZB_1*((dagenperjaar1*VLOOKUP(B22,dagsoorttabel1,2,FALSE))-catfd_1_LZV_51)/catpn_1_LZB_1+cattf_1_LZV_51*catfd_1_LZV_51/catpn_1_LZV_51)/(((dagenperjaar1*VLOOKUP(B22,dagsoorttabel1,2,FALSE))-catfd_1_LZV_51)/catpn_1_LZB_1+catfd_1_LZV_51/catpn_1_LZV_51),0)</f>
        <v>0</v>
      </c>
      <c r="K22" s="63">
        <f t="shared" si="1"/>
        <v>0</v>
      </c>
      <c r="L22" s="51">
        <f t="shared" si="2"/>
        <v>0</v>
      </c>
      <c r="M22" s="63">
        <f t="shared" si="3"/>
        <v>0</v>
      </c>
      <c r="N22" s="51">
        <f t="shared" si="4"/>
        <v>0</v>
      </c>
    </row>
    <row r="23" spans="1:14" x14ac:dyDescent="0.2">
      <c r="A23" s="47" t="s">
        <v>213</v>
      </c>
      <c r="B23" s="47" t="s">
        <v>9</v>
      </c>
      <c r="C23" s="47" t="s">
        <v>190</v>
      </c>
      <c r="D23" s="47" t="s">
        <v>214</v>
      </c>
      <c r="E23" s="63">
        <v>373.1</v>
      </c>
      <c r="F23" s="63">
        <f t="shared" si="0"/>
        <v>373.1</v>
      </c>
      <c r="G23" s="64">
        <f>IF(AND(catpn_1_OHB_1&gt;0,catpn_1_OHV_51&gt;0),(dagenperjaar1*VLOOKUP(B23,dagsoorttabel1,2,FALSE))/(((dagenperjaar1*VLOOKUP(B23,dagsoorttabel1,2,FALSE))-catfd_1_OHV_51)/catpn_1_OHB_1+catfd_1_OHV_51/catpn_1_OHV_51),0)</f>
        <v>0</v>
      </c>
      <c r="H23" s="65">
        <f>IF(AND(catpn_1_OHB_1&gt;0,catpn_1_OHV_51&gt;0),(catdw_1_OHB_1*((dagenperjaar1*VLOOKUP(B23,dagsoorttabel1,2,FALSE))-catfd_1_OHV_51)/catpn_1_OHB_1+catdw_1_OHV_51*catfd_1_OHV_51/catpn_1_OHV_51)/(((dagenperjaar1*VLOOKUP(B23,dagsoorttabel1,2,FALSE))-catfd_1_OHV_51)/catpn_1_OHB_1+catfd_1_OHV_51/catpn_1_OHV_51),0)</f>
        <v>0</v>
      </c>
      <c r="I23" s="47" t="s">
        <v>96</v>
      </c>
      <c r="J23" s="51">
        <f>IF(AND(catpn_1_OHB_1&gt;0,catpn_1_OHV_51&gt;0),(cattf_1_OHB_1*((dagenperjaar1*VLOOKUP(B23,dagsoorttabel1,2,FALSE))-catfd_1_OHV_51)/catpn_1_OHB_1+cattf_1_OHV_51*catfd_1_OHV_51/catpn_1_OHV_51)/(((dagenperjaar1*VLOOKUP(B23,dagsoorttabel1,2,FALSE))-catfd_1_OHV_51)/catpn_1_OHB_1+catfd_1_OHV_51/catpn_1_OHV_51),0)</f>
        <v>0</v>
      </c>
      <c r="K23" s="63">
        <f t="shared" si="1"/>
        <v>0</v>
      </c>
      <c r="L23" s="51">
        <f t="shared" si="2"/>
        <v>0</v>
      </c>
      <c r="M23" s="63">
        <f t="shared" si="3"/>
        <v>0</v>
      </c>
      <c r="N23" s="51">
        <f t="shared" si="4"/>
        <v>0</v>
      </c>
    </row>
    <row r="24" spans="1:14" x14ac:dyDescent="0.2">
      <c r="A24" s="47" t="s">
        <v>215</v>
      </c>
      <c r="B24" s="47" t="s">
        <v>9</v>
      </c>
      <c r="C24" s="47" t="s">
        <v>190</v>
      </c>
      <c r="D24" s="47" t="s">
        <v>216</v>
      </c>
      <c r="E24" s="63">
        <v>341</v>
      </c>
      <c r="F24" s="63">
        <f t="shared" si="0"/>
        <v>341</v>
      </c>
      <c r="G24" s="64">
        <f>IF(AND(catpn_1_OZB_1&gt;0,catpn_1_OZV_51&gt;0),(dagenperjaar1*VLOOKUP(B24,dagsoorttabel1,2,FALSE))/(((dagenperjaar1*VLOOKUP(B24,dagsoorttabel1,2,FALSE))-catfd_1_OZV_51)/catpn_1_OZB_1+catfd_1_OZV_51/catpn_1_OZV_51),0)</f>
        <v>0</v>
      </c>
      <c r="H24" s="65">
        <f>IF(AND(catpn_1_OZB_1&gt;0,catpn_1_OZV_51&gt;0),(catdw_1_OZB_1*((dagenperjaar1*VLOOKUP(B24,dagsoorttabel1,2,FALSE))-catfd_1_OZV_51)/catpn_1_OZB_1+catdw_1_OZV_51*catfd_1_OZV_51/catpn_1_OZV_51)/(((dagenperjaar1*VLOOKUP(B24,dagsoorttabel1,2,FALSE))-catfd_1_OZV_51)/catpn_1_OZB_1+catfd_1_OZV_51/catpn_1_OZV_51),0)</f>
        <v>0</v>
      </c>
      <c r="I24" s="47" t="s">
        <v>96</v>
      </c>
      <c r="J24" s="51">
        <f>IF(AND(catpn_1_OZB_1&gt;0,catpn_1_OZV_51&gt;0),(cattf_1_OZB_1*((dagenperjaar1*VLOOKUP(B24,dagsoorttabel1,2,FALSE))-catfd_1_OZV_51)/catpn_1_OZB_1+cattf_1_OZV_51*catfd_1_OZV_51/catpn_1_OZV_51)/(((dagenperjaar1*VLOOKUP(B24,dagsoorttabel1,2,FALSE))-catfd_1_OZV_51)/catpn_1_OZB_1+catfd_1_OZV_51/catpn_1_OZV_51),0)</f>
        <v>0</v>
      </c>
      <c r="K24" s="63">
        <f t="shared" si="1"/>
        <v>0</v>
      </c>
      <c r="L24" s="51">
        <f t="shared" si="2"/>
        <v>0</v>
      </c>
      <c r="M24" s="63">
        <f t="shared" si="3"/>
        <v>0</v>
      </c>
      <c r="N24" s="51">
        <f t="shared" si="4"/>
        <v>0</v>
      </c>
    </row>
    <row r="25" spans="1:14" x14ac:dyDescent="0.2">
      <c r="A25" s="47" t="s">
        <v>217</v>
      </c>
      <c r="B25" s="47" t="s">
        <v>15</v>
      </c>
      <c r="C25" s="47" t="s">
        <v>190</v>
      </c>
      <c r="D25" s="47" t="s">
        <v>218</v>
      </c>
      <c r="E25" s="63">
        <v>4.5</v>
      </c>
      <c r="F25" s="63">
        <f t="shared" si="0"/>
        <v>0.9</v>
      </c>
      <c r="G25" s="64">
        <f>IF(AND(catpn_1_PHB_1&gt;0,catpn_1_PHV_51&gt;0),(dagenperjaar1*VLOOKUP(B25,dagsoorttabel1,2,FALSE))/(((dagenperjaar1*VLOOKUP(B25,dagsoorttabel1,2,FALSE))-catfd_1_PHV_51)/catpn_1_PHB_1+catfd_1_PHV_51/catpn_1_PHV_51),0)</f>
        <v>0</v>
      </c>
      <c r="H25" s="65">
        <f>IF(AND(catpn_1_PHB_1&gt;0,catpn_1_PHV_51&gt;0),(catdw_1_PHB_1*((dagenperjaar1*VLOOKUP(B25,dagsoorttabel1,2,FALSE))-catfd_1_PHV_51)/catpn_1_PHB_1+catdw_1_PHV_51*catfd_1_PHV_51/catpn_1_PHV_51)/(((dagenperjaar1*VLOOKUP(B25,dagsoorttabel1,2,FALSE))-catfd_1_PHV_51)/catpn_1_PHB_1+catfd_1_PHV_51/catpn_1_PHV_51),0)</f>
        <v>0</v>
      </c>
      <c r="I25" s="47" t="s">
        <v>96</v>
      </c>
      <c r="J25" s="51">
        <f>IF(AND(catpn_1_PHB_1&gt;0,catpn_1_PHV_51&gt;0),(cattf_1_PHB_1*((dagenperjaar1*VLOOKUP(B25,dagsoorttabel1,2,FALSE))-catfd_1_PHV_51)/catpn_1_PHB_1+cattf_1_PHV_51*catfd_1_PHV_51/catpn_1_PHV_51)/(((dagenperjaar1*VLOOKUP(B25,dagsoorttabel1,2,FALSE))-catfd_1_PHV_51)/catpn_1_PHB_1+catfd_1_PHV_51/catpn_1_PHV_51),0)</f>
        <v>0</v>
      </c>
      <c r="K25" s="63">
        <f t="shared" si="1"/>
        <v>0</v>
      </c>
      <c r="L25" s="51">
        <f t="shared" si="2"/>
        <v>0</v>
      </c>
      <c r="M25" s="63">
        <f t="shared" si="3"/>
        <v>0</v>
      </c>
      <c r="N25" s="51">
        <f t="shared" si="4"/>
        <v>0</v>
      </c>
    </row>
    <row r="26" spans="1:14" x14ac:dyDescent="0.2">
      <c r="A26" s="47" t="s">
        <v>217</v>
      </c>
      <c r="B26" s="47" t="s">
        <v>9</v>
      </c>
      <c r="C26" s="47" t="s">
        <v>190</v>
      </c>
      <c r="D26" s="47" t="s">
        <v>218</v>
      </c>
      <c r="E26" s="63">
        <v>99.7</v>
      </c>
      <c r="F26" s="63">
        <f t="shared" si="0"/>
        <v>99.7</v>
      </c>
      <c r="G26" s="64">
        <f>IF(AND(catpn_1_PHB_1&gt;0,catpn_1_PHV_51&gt;0),(dagenperjaar1*VLOOKUP(B26,dagsoorttabel1,2,FALSE))/(((dagenperjaar1*VLOOKUP(B26,dagsoorttabel1,2,FALSE))-catfd_1_PHV_51)/catpn_1_PHB_1+catfd_1_PHV_51/catpn_1_PHV_51),0)</f>
        <v>0</v>
      </c>
      <c r="H26" s="65">
        <f>IF(AND(catpn_1_PHB_1&gt;0,catpn_1_PHV_51&gt;0),(catdw_1_PHB_1*((dagenperjaar1*VLOOKUP(B26,dagsoorttabel1,2,FALSE))-catfd_1_PHV_51)/catpn_1_PHB_1+catdw_1_PHV_51*catfd_1_PHV_51/catpn_1_PHV_51)/(((dagenperjaar1*VLOOKUP(B26,dagsoorttabel1,2,FALSE))-catfd_1_PHV_51)/catpn_1_PHB_1+catfd_1_PHV_51/catpn_1_PHV_51),0)</f>
        <v>0</v>
      </c>
      <c r="I26" s="47" t="s">
        <v>96</v>
      </c>
      <c r="J26" s="51">
        <f>IF(AND(catpn_1_PHB_1&gt;0,catpn_1_PHV_51&gt;0),(cattf_1_PHB_1*((dagenperjaar1*VLOOKUP(B26,dagsoorttabel1,2,FALSE))-catfd_1_PHV_51)/catpn_1_PHB_1+cattf_1_PHV_51*catfd_1_PHV_51/catpn_1_PHV_51)/(((dagenperjaar1*VLOOKUP(B26,dagsoorttabel1,2,FALSE))-catfd_1_PHV_51)/catpn_1_PHB_1+catfd_1_PHV_51/catpn_1_PHV_51),0)</f>
        <v>0</v>
      </c>
      <c r="K26" s="63">
        <f t="shared" si="1"/>
        <v>0</v>
      </c>
      <c r="L26" s="51">
        <f t="shared" si="2"/>
        <v>0</v>
      </c>
      <c r="M26" s="63">
        <f t="shared" si="3"/>
        <v>0</v>
      </c>
      <c r="N26" s="51">
        <f t="shared" si="4"/>
        <v>0</v>
      </c>
    </row>
    <row r="27" spans="1:14" x14ac:dyDescent="0.2">
      <c r="A27" s="47" t="s">
        <v>219</v>
      </c>
      <c r="B27" s="47" t="s">
        <v>15</v>
      </c>
      <c r="C27" s="47" t="s">
        <v>190</v>
      </c>
      <c r="D27" s="47" t="s">
        <v>220</v>
      </c>
      <c r="E27" s="63">
        <v>75.5</v>
      </c>
      <c r="F27" s="63">
        <f t="shared" si="0"/>
        <v>15.100000000000001</v>
      </c>
      <c r="G27" s="64">
        <f>IF(AND(catpn_1_RHB_1&gt;0,catpn_1_RHV_51&gt;0),(dagenperjaar1*VLOOKUP(B27,dagsoorttabel1,2,FALSE))/(((dagenperjaar1*VLOOKUP(B27,dagsoorttabel1,2,FALSE))-catfd_1_RHV_51)/catpn_1_RHB_1+catfd_1_RHV_51/catpn_1_RHV_51),0)</f>
        <v>0</v>
      </c>
      <c r="H27" s="65">
        <f>IF(AND(catpn_1_RHB_1&gt;0,catpn_1_RHV_51&gt;0),(catdw_1_RHB_1*((dagenperjaar1*VLOOKUP(B27,dagsoorttabel1,2,FALSE))-catfd_1_RHV_51)/catpn_1_RHB_1+catdw_1_RHV_51*catfd_1_RHV_51/catpn_1_RHV_51)/(((dagenperjaar1*VLOOKUP(B27,dagsoorttabel1,2,FALSE))-catfd_1_RHV_51)/catpn_1_RHB_1+catfd_1_RHV_51/catpn_1_RHV_51),0)</f>
        <v>0</v>
      </c>
      <c r="I27" s="47" t="s">
        <v>96</v>
      </c>
      <c r="J27" s="51">
        <f>IF(AND(catpn_1_RHB_1&gt;0,catpn_1_RHV_51&gt;0),(cattf_1_RHB_1*((dagenperjaar1*VLOOKUP(B27,dagsoorttabel1,2,FALSE))-catfd_1_RHV_51)/catpn_1_RHB_1+cattf_1_RHV_51*catfd_1_RHV_51/catpn_1_RHV_51)/(((dagenperjaar1*VLOOKUP(B27,dagsoorttabel1,2,FALSE))-catfd_1_RHV_51)/catpn_1_RHB_1+catfd_1_RHV_51/catpn_1_RHV_51),0)</f>
        <v>0</v>
      </c>
      <c r="K27" s="63">
        <f t="shared" si="1"/>
        <v>0</v>
      </c>
      <c r="L27" s="51">
        <f t="shared" si="2"/>
        <v>0</v>
      </c>
      <c r="M27" s="63">
        <f t="shared" si="3"/>
        <v>0</v>
      </c>
      <c r="N27" s="51">
        <f t="shared" si="4"/>
        <v>0</v>
      </c>
    </row>
    <row r="28" spans="1:14" x14ac:dyDescent="0.2">
      <c r="A28" s="47" t="s">
        <v>219</v>
      </c>
      <c r="B28" s="47" t="s">
        <v>9</v>
      </c>
      <c r="C28" s="47" t="s">
        <v>190</v>
      </c>
      <c r="D28" s="47" t="s">
        <v>221</v>
      </c>
      <c r="E28" s="63">
        <v>217.31</v>
      </c>
      <c r="F28" s="63">
        <f t="shared" si="0"/>
        <v>217.31</v>
      </c>
      <c r="G28" s="64">
        <f>IF(AND(catpn_1_RHB_1&gt;0,catpn_1_RHV_51&gt;0),(dagenperjaar1*VLOOKUP(B28,dagsoorttabel1,2,FALSE))/(((dagenperjaar1*VLOOKUP(B28,dagsoorttabel1,2,FALSE))-catfd_1_RHV_51)/catpn_1_RHB_1+catfd_1_RHV_51/catpn_1_RHV_51),0)</f>
        <v>0</v>
      </c>
      <c r="H28" s="65">
        <f>IF(AND(catpn_1_RHB_1&gt;0,catpn_1_RHV_51&gt;0),(catdw_1_RHB_1*((dagenperjaar1*VLOOKUP(B28,dagsoorttabel1,2,FALSE))-catfd_1_RHV_51)/catpn_1_RHB_1+catdw_1_RHV_51*catfd_1_RHV_51/catpn_1_RHV_51)/(((dagenperjaar1*VLOOKUP(B28,dagsoorttabel1,2,FALSE))-catfd_1_RHV_51)/catpn_1_RHB_1+catfd_1_RHV_51/catpn_1_RHV_51),0)</f>
        <v>0</v>
      </c>
      <c r="I28" s="47" t="s">
        <v>96</v>
      </c>
      <c r="J28" s="51">
        <f>IF(AND(catpn_1_RHB_1&gt;0,catpn_1_RHV_51&gt;0),(cattf_1_RHB_1*((dagenperjaar1*VLOOKUP(B28,dagsoorttabel1,2,FALSE))-catfd_1_RHV_51)/catpn_1_RHB_1+cattf_1_RHV_51*catfd_1_RHV_51/catpn_1_RHV_51)/(((dagenperjaar1*VLOOKUP(B28,dagsoorttabel1,2,FALSE))-catfd_1_RHV_51)/catpn_1_RHB_1+catfd_1_RHV_51/catpn_1_RHV_51),0)</f>
        <v>0</v>
      </c>
      <c r="K28" s="63">
        <f t="shared" si="1"/>
        <v>0</v>
      </c>
      <c r="L28" s="51">
        <f t="shared" si="2"/>
        <v>0</v>
      </c>
      <c r="M28" s="63">
        <f t="shared" si="3"/>
        <v>0</v>
      </c>
      <c r="N28" s="51">
        <f t="shared" si="4"/>
        <v>0</v>
      </c>
    </row>
    <row r="29" spans="1:14" x14ac:dyDescent="0.2">
      <c r="A29" s="47" t="s">
        <v>222</v>
      </c>
      <c r="B29" s="47" t="s">
        <v>15</v>
      </c>
      <c r="C29" s="47" t="s">
        <v>190</v>
      </c>
      <c r="D29" s="47" t="s">
        <v>223</v>
      </c>
      <c r="E29" s="63">
        <v>10.3</v>
      </c>
      <c r="F29" s="63">
        <f t="shared" si="0"/>
        <v>2.06</v>
      </c>
      <c r="G29" s="64">
        <f>IF(AND(catpn_1_SHB_1&gt;0,catpn_1_SHV_51&gt;0),(dagenperjaar1*VLOOKUP(B29,dagsoorttabel1,2,FALSE))/(((dagenperjaar1*VLOOKUP(B29,dagsoorttabel1,2,FALSE))-catfd_1_SHV_51)/catpn_1_SHB_1+catfd_1_SHV_51/catpn_1_SHV_51),0)</f>
        <v>0</v>
      </c>
      <c r="H29" s="65">
        <f>IF(AND(catpn_1_SHB_1&gt;0,catpn_1_SHV_51&gt;0),(catdw_1_SHB_1*((dagenperjaar1*VLOOKUP(B29,dagsoorttabel1,2,FALSE))-catfd_1_SHV_51)/catpn_1_SHB_1+catdw_1_SHV_51*catfd_1_SHV_51/catpn_1_SHV_51)/(((dagenperjaar1*VLOOKUP(B29,dagsoorttabel1,2,FALSE))-catfd_1_SHV_51)/catpn_1_SHB_1+catfd_1_SHV_51/catpn_1_SHV_51),0)</f>
        <v>0</v>
      </c>
      <c r="I29" s="47" t="s">
        <v>96</v>
      </c>
      <c r="J29" s="51">
        <f>IF(AND(catpn_1_SHB_1&gt;0,catpn_1_SHV_51&gt;0),(cattf_1_SHB_1*((dagenperjaar1*VLOOKUP(B29,dagsoorttabel1,2,FALSE))-catfd_1_SHV_51)/catpn_1_SHB_1+cattf_1_SHV_51*catfd_1_SHV_51/catpn_1_SHV_51)/(((dagenperjaar1*VLOOKUP(B29,dagsoorttabel1,2,FALSE))-catfd_1_SHV_51)/catpn_1_SHB_1+catfd_1_SHV_51/catpn_1_SHV_51),0)</f>
        <v>0</v>
      </c>
      <c r="K29" s="63">
        <f t="shared" si="1"/>
        <v>0</v>
      </c>
      <c r="L29" s="51">
        <f t="shared" si="2"/>
        <v>0</v>
      </c>
      <c r="M29" s="63">
        <f t="shared" si="3"/>
        <v>0</v>
      </c>
      <c r="N29" s="51">
        <f t="shared" si="4"/>
        <v>0</v>
      </c>
    </row>
    <row r="30" spans="1:14" x14ac:dyDescent="0.2">
      <c r="A30" s="47" t="s">
        <v>222</v>
      </c>
      <c r="B30" s="47" t="s">
        <v>9</v>
      </c>
      <c r="C30" s="47" t="s">
        <v>190</v>
      </c>
      <c r="D30" s="47" t="s">
        <v>223</v>
      </c>
      <c r="E30" s="63">
        <v>128.72</v>
      </c>
      <c r="F30" s="63">
        <f t="shared" si="0"/>
        <v>128.72</v>
      </c>
      <c r="G30" s="64">
        <f>IF(AND(catpn_1_SHB_1&gt;0,catpn_1_SHV_51&gt;0),(dagenperjaar1*VLOOKUP(B30,dagsoorttabel1,2,FALSE))/(((dagenperjaar1*VLOOKUP(B30,dagsoorttabel1,2,FALSE))-catfd_1_SHV_51)/catpn_1_SHB_1+catfd_1_SHV_51/catpn_1_SHV_51),0)</f>
        <v>0</v>
      </c>
      <c r="H30" s="65">
        <f>IF(AND(catpn_1_SHB_1&gt;0,catpn_1_SHV_51&gt;0),(catdw_1_SHB_1*((dagenperjaar1*VLOOKUP(B30,dagsoorttabel1,2,FALSE))-catfd_1_SHV_51)/catpn_1_SHB_1+catdw_1_SHV_51*catfd_1_SHV_51/catpn_1_SHV_51)/(((dagenperjaar1*VLOOKUP(B30,dagsoorttabel1,2,FALSE))-catfd_1_SHV_51)/catpn_1_SHB_1+catfd_1_SHV_51/catpn_1_SHV_51),0)</f>
        <v>0</v>
      </c>
      <c r="I30" s="47" t="s">
        <v>96</v>
      </c>
      <c r="J30" s="51">
        <f>IF(AND(catpn_1_SHB_1&gt;0,catpn_1_SHV_51&gt;0),(cattf_1_SHB_1*((dagenperjaar1*VLOOKUP(B30,dagsoorttabel1,2,FALSE))-catfd_1_SHV_51)/catpn_1_SHB_1+cattf_1_SHV_51*catfd_1_SHV_51/catpn_1_SHV_51)/(((dagenperjaar1*VLOOKUP(B30,dagsoorttabel1,2,FALSE))-catfd_1_SHV_51)/catpn_1_SHB_1+catfd_1_SHV_51/catpn_1_SHV_51),0)</f>
        <v>0</v>
      </c>
      <c r="K30" s="63">
        <f t="shared" si="1"/>
        <v>0</v>
      </c>
      <c r="L30" s="51">
        <f t="shared" si="2"/>
        <v>0</v>
      </c>
      <c r="M30" s="63">
        <f t="shared" si="3"/>
        <v>0</v>
      </c>
      <c r="N30" s="51">
        <f t="shared" si="4"/>
        <v>0</v>
      </c>
    </row>
    <row r="31" spans="1:14" x14ac:dyDescent="0.2">
      <c r="A31" s="47" t="s">
        <v>224</v>
      </c>
      <c r="B31" s="47" t="s">
        <v>10</v>
      </c>
      <c r="C31" s="47" t="s">
        <v>190</v>
      </c>
      <c r="D31" s="47" t="s">
        <v>225</v>
      </c>
      <c r="E31" s="63">
        <v>13.6</v>
      </c>
      <c r="F31" s="63">
        <f t="shared" si="0"/>
        <v>10.88</v>
      </c>
      <c r="G31" s="64">
        <f>catpn_1_SHB_1</f>
        <v>0</v>
      </c>
      <c r="H31" s="65">
        <f>catdw_1_SHB_1</f>
        <v>0</v>
      </c>
      <c r="I31" s="47" t="s">
        <v>96</v>
      </c>
      <c r="J31" s="51">
        <f>cattf_1_SHB_1</f>
        <v>0</v>
      </c>
      <c r="K31" s="63">
        <f t="shared" si="1"/>
        <v>0</v>
      </c>
      <c r="L31" s="51">
        <f t="shared" si="2"/>
        <v>0</v>
      </c>
      <c r="M31" s="63">
        <f t="shared" si="3"/>
        <v>0</v>
      </c>
      <c r="N31" s="51">
        <f t="shared" si="4"/>
        <v>0</v>
      </c>
    </row>
    <row r="32" spans="1:14" x14ac:dyDescent="0.2">
      <c r="A32" s="47" t="s">
        <v>226</v>
      </c>
      <c r="B32" s="47" t="s">
        <v>15</v>
      </c>
      <c r="C32" s="47" t="s">
        <v>190</v>
      </c>
      <c r="D32" s="47" t="s">
        <v>227</v>
      </c>
      <c r="E32" s="63">
        <v>4.4000000000000004</v>
      </c>
      <c r="F32" s="63">
        <f t="shared" si="0"/>
        <v>0.88000000000000012</v>
      </c>
      <c r="G32" s="64">
        <f>IF(AND(catpn_1_THB_1&gt;0,catpn_1_THV_51&gt;0),(dagenperjaar1*VLOOKUP(B32,dagsoorttabel1,2,FALSE))/(((dagenperjaar1*VLOOKUP(B32,dagsoorttabel1,2,FALSE))-catfd_1_THV_51)/catpn_1_THB_1+catfd_1_THV_51/catpn_1_THV_51),0)</f>
        <v>0</v>
      </c>
      <c r="H32" s="65">
        <f>IF(AND(catpn_1_THB_1&gt;0,catpn_1_THV_51&gt;0),(catdw_1_THB_1*((dagenperjaar1*VLOOKUP(B32,dagsoorttabel1,2,FALSE))-catfd_1_THV_51)/catpn_1_THB_1+catdw_1_THV_51*catfd_1_THV_51/catpn_1_THV_51)/(((dagenperjaar1*VLOOKUP(B32,dagsoorttabel1,2,FALSE))-catfd_1_THV_51)/catpn_1_THB_1+catfd_1_THV_51/catpn_1_THV_51),0)</f>
        <v>0</v>
      </c>
      <c r="I32" s="47" t="s">
        <v>96</v>
      </c>
      <c r="J32" s="51">
        <f>IF(AND(catpn_1_THB_1&gt;0,catpn_1_THV_51&gt;0),(cattf_1_THB_1*((dagenperjaar1*VLOOKUP(B32,dagsoorttabel1,2,FALSE))-catfd_1_THV_51)/catpn_1_THB_1+cattf_1_THV_51*catfd_1_THV_51/catpn_1_THV_51)/(((dagenperjaar1*VLOOKUP(B32,dagsoorttabel1,2,FALSE))-catfd_1_THV_51)/catpn_1_THB_1+catfd_1_THV_51/catpn_1_THV_51),0)</f>
        <v>0</v>
      </c>
      <c r="K32" s="63">
        <f t="shared" si="1"/>
        <v>0</v>
      </c>
      <c r="L32" s="51">
        <f t="shared" si="2"/>
        <v>0</v>
      </c>
      <c r="M32" s="63">
        <f t="shared" si="3"/>
        <v>0</v>
      </c>
      <c r="N32" s="51">
        <f t="shared" si="4"/>
        <v>0</v>
      </c>
    </row>
    <row r="33" spans="1:14" x14ac:dyDescent="0.2">
      <c r="A33" s="47" t="s">
        <v>226</v>
      </c>
      <c r="B33" s="47" t="s">
        <v>9</v>
      </c>
      <c r="C33" s="47" t="s">
        <v>190</v>
      </c>
      <c r="D33" s="47" t="s">
        <v>228</v>
      </c>
      <c r="E33" s="63">
        <v>32.5</v>
      </c>
      <c r="F33" s="63">
        <f t="shared" si="0"/>
        <v>32.5</v>
      </c>
      <c r="G33" s="64">
        <f>IF(AND(catpn_1_THB_1&gt;0,catpn_1_THV_51&gt;0),(dagenperjaar1*VLOOKUP(B33,dagsoorttabel1,2,FALSE))/(((dagenperjaar1*VLOOKUP(B33,dagsoorttabel1,2,FALSE))-catfd_1_THV_51)/catpn_1_THB_1+catfd_1_THV_51/catpn_1_THV_51),0)</f>
        <v>0</v>
      </c>
      <c r="H33" s="65">
        <f>IF(AND(catpn_1_THB_1&gt;0,catpn_1_THV_51&gt;0),(catdw_1_THB_1*((dagenperjaar1*VLOOKUP(B33,dagsoorttabel1,2,FALSE))-catfd_1_THV_51)/catpn_1_THB_1+catdw_1_THV_51*catfd_1_THV_51/catpn_1_THV_51)/(((dagenperjaar1*VLOOKUP(B33,dagsoorttabel1,2,FALSE))-catfd_1_THV_51)/catpn_1_THB_1+catfd_1_THV_51/catpn_1_THV_51),0)</f>
        <v>0</v>
      </c>
      <c r="I33" s="47" t="s">
        <v>96</v>
      </c>
      <c r="J33" s="51">
        <f>IF(AND(catpn_1_THB_1&gt;0,catpn_1_THV_51&gt;0),(cattf_1_THB_1*((dagenperjaar1*VLOOKUP(B33,dagsoorttabel1,2,FALSE))-catfd_1_THV_51)/catpn_1_THB_1+cattf_1_THV_51*catfd_1_THV_51/catpn_1_THV_51)/(((dagenperjaar1*VLOOKUP(B33,dagsoorttabel1,2,FALSE))-catfd_1_THV_51)/catpn_1_THB_1+catfd_1_THV_51/catpn_1_THV_51),0)</f>
        <v>0</v>
      </c>
      <c r="K33" s="63">
        <f t="shared" si="1"/>
        <v>0</v>
      </c>
      <c r="L33" s="51">
        <f t="shared" si="2"/>
        <v>0</v>
      </c>
      <c r="M33" s="63">
        <f t="shared" si="3"/>
        <v>0</v>
      </c>
      <c r="N33" s="51">
        <f t="shared" si="4"/>
        <v>0</v>
      </c>
    </row>
    <row r="34" spans="1:14" x14ac:dyDescent="0.2">
      <c r="A34" s="47" t="s">
        <v>229</v>
      </c>
      <c r="B34" s="47" t="s">
        <v>15</v>
      </c>
      <c r="C34" s="47" t="s">
        <v>190</v>
      </c>
      <c r="D34" s="47" t="s">
        <v>230</v>
      </c>
      <c r="E34" s="63">
        <v>12.6</v>
      </c>
      <c r="F34" s="63">
        <f t="shared" si="0"/>
        <v>2.52</v>
      </c>
      <c r="G34" s="64">
        <f>IF(AND(catpn_1_VHB_1&gt;0,catpn_1_VHV_51&gt;0),(dagenperjaar1*VLOOKUP(B34,dagsoorttabel1,2,FALSE))/(((dagenperjaar1*VLOOKUP(B34,dagsoorttabel1,2,FALSE))-catfd_1_VHV_51)/catpn_1_VHB_1+catfd_1_VHV_51/catpn_1_VHV_51),0)</f>
        <v>0</v>
      </c>
      <c r="H34" s="65">
        <f>IF(AND(catpn_1_VHB_1&gt;0,catpn_1_VHV_51&gt;0),(catdw_1_VHB_1*((dagenperjaar1*VLOOKUP(B34,dagsoorttabel1,2,FALSE))-catfd_1_VHV_51)/catpn_1_VHB_1+catdw_1_VHV_51*catfd_1_VHV_51/catpn_1_VHV_51)/(((dagenperjaar1*VLOOKUP(B34,dagsoorttabel1,2,FALSE))-catfd_1_VHV_51)/catpn_1_VHB_1+catfd_1_VHV_51/catpn_1_VHV_51),0)</f>
        <v>0</v>
      </c>
      <c r="I34" s="47" t="s">
        <v>96</v>
      </c>
      <c r="J34" s="51">
        <f>IF(AND(catpn_1_VHB_1&gt;0,catpn_1_VHV_51&gt;0),(cattf_1_VHB_1*((dagenperjaar1*VLOOKUP(B34,dagsoorttabel1,2,FALSE))-catfd_1_VHV_51)/catpn_1_VHB_1+cattf_1_VHV_51*catfd_1_VHV_51/catpn_1_VHV_51)/(((dagenperjaar1*VLOOKUP(B34,dagsoorttabel1,2,FALSE))-catfd_1_VHV_51)/catpn_1_VHB_1+catfd_1_VHV_51/catpn_1_VHV_51),0)</f>
        <v>0</v>
      </c>
      <c r="K34" s="63">
        <f t="shared" si="1"/>
        <v>0</v>
      </c>
      <c r="L34" s="51">
        <f t="shared" si="2"/>
        <v>0</v>
      </c>
      <c r="M34" s="63">
        <f t="shared" si="3"/>
        <v>0</v>
      </c>
      <c r="N34" s="51">
        <f t="shared" si="4"/>
        <v>0</v>
      </c>
    </row>
    <row r="35" spans="1:14" x14ac:dyDescent="0.2">
      <c r="A35" s="47" t="s">
        <v>229</v>
      </c>
      <c r="B35" s="47" t="s">
        <v>9</v>
      </c>
      <c r="C35" s="47" t="s">
        <v>190</v>
      </c>
      <c r="D35" s="47" t="s">
        <v>230</v>
      </c>
      <c r="E35" s="63">
        <v>626.02</v>
      </c>
      <c r="F35" s="63">
        <f t="shared" si="0"/>
        <v>626.02</v>
      </c>
      <c r="G35" s="64">
        <f>IF(AND(catpn_1_VHB_1&gt;0,catpn_1_VHV_51&gt;0),(dagenperjaar1*VLOOKUP(B35,dagsoorttabel1,2,FALSE))/(((dagenperjaar1*VLOOKUP(B35,dagsoorttabel1,2,FALSE))-catfd_1_VHV_51)/catpn_1_VHB_1+catfd_1_VHV_51/catpn_1_VHV_51),0)</f>
        <v>0</v>
      </c>
      <c r="H35" s="65">
        <f>IF(AND(catpn_1_VHB_1&gt;0,catpn_1_VHV_51&gt;0),(catdw_1_VHB_1*((dagenperjaar1*VLOOKUP(B35,dagsoorttabel1,2,FALSE))-catfd_1_VHV_51)/catpn_1_VHB_1+catdw_1_VHV_51*catfd_1_VHV_51/catpn_1_VHV_51)/(((dagenperjaar1*VLOOKUP(B35,dagsoorttabel1,2,FALSE))-catfd_1_VHV_51)/catpn_1_VHB_1+catfd_1_VHV_51/catpn_1_VHV_51),0)</f>
        <v>0</v>
      </c>
      <c r="I35" s="47" t="s">
        <v>96</v>
      </c>
      <c r="J35" s="51">
        <f>IF(AND(catpn_1_VHB_1&gt;0,catpn_1_VHV_51&gt;0),(cattf_1_VHB_1*((dagenperjaar1*VLOOKUP(B35,dagsoorttabel1,2,FALSE))-catfd_1_VHV_51)/catpn_1_VHB_1+cattf_1_VHV_51*catfd_1_VHV_51/catpn_1_VHV_51)/(((dagenperjaar1*VLOOKUP(B35,dagsoorttabel1,2,FALSE))-catfd_1_VHV_51)/catpn_1_VHB_1+catfd_1_VHV_51/catpn_1_VHV_51),0)</f>
        <v>0</v>
      </c>
      <c r="K35" s="63">
        <f t="shared" si="1"/>
        <v>0</v>
      </c>
      <c r="L35" s="51">
        <f t="shared" si="2"/>
        <v>0</v>
      </c>
      <c r="M35" s="63">
        <f t="shared" si="3"/>
        <v>0</v>
      </c>
      <c r="N35" s="51">
        <f t="shared" si="4"/>
        <v>0</v>
      </c>
    </row>
    <row r="36" spans="1:14" x14ac:dyDescent="0.2">
      <c r="A36" s="47" t="s">
        <v>231</v>
      </c>
      <c r="B36" s="47" t="s">
        <v>15</v>
      </c>
      <c r="C36" s="47" t="s">
        <v>190</v>
      </c>
      <c r="D36" s="47" t="s">
        <v>232</v>
      </c>
      <c r="E36" s="63">
        <v>33.700000000000003</v>
      </c>
      <c r="F36" s="63">
        <f t="shared" si="0"/>
        <v>6.7400000000000011</v>
      </c>
      <c r="G36" s="64">
        <f>IF(AND(catpn_1_VZB_1&gt;0,catpn_1_VZV_51&gt;0),(dagenperjaar1*VLOOKUP(B36,dagsoorttabel1,2,FALSE))/(((dagenperjaar1*VLOOKUP(B36,dagsoorttabel1,2,FALSE))-catfd_1_VZV_51)/catpn_1_VZB_1+catfd_1_VZV_51/catpn_1_VZV_51),0)</f>
        <v>0</v>
      </c>
      <c r="H36" s="65">
        <f>IF(AND(catpn_1_VZB_1&gt;0,catpn_1_VZV_51&gt;0),(catdw_1_VZB_1*((dagenperjaar1*VLOOKUP(B36,dagsoorttabel1,2,FALSE))-catfd_1_VZV_51)/catpn_1_VZB_1+catdw_1_VZV_51*catfd_1_VZV_51/catpn_1_VZV_51)/(((dagenperjaar1*VLOOKUP(B36,dagsoorttabel1,2,FALSE))-catfd_1_VZV_51)/catpn_1_VZB_1+catfd_1_VZV_51/catpn_1_VZV_51),0)</f>
        <v>0</v>
      </c>
      <c r="I36" s="47" t="s">
        <v>96</v>
      </c>
      <c r="J36" s="51">
        <f>IF(AND(catpn_1_VZB_1&gt;0,catpn_1_VZV_51&gt;0),(cattf_1_VZB_1*((dagenperjaar1*VLOOKUP(B36,dagsoorttabel1,2,FALSE))-catfd_1_VZV_51)/catpn_1_VZB_1+cattf_1_VZV_51*catfd_1_VZV_51/catpn_1_VZV_51)/(((dagenperjaar1*VLOOKUP(B36,dagsoorttabel1,2,FALSE))-catfd_1_VZV_51)/catpn_1_VZB_1+catfd_1_VZV_51/catpn_1_VZV_51),0)</f>
        <v>0</v>
      </c>
      <c r="K36" s="63">
        <f t="shared" si="1"/>
        <v>0</v>
      </c>
      <c r="L36" s="51">
        <f t="shared" si="2"/>
        <v>0</v>
      </c>
      <c r="M36" s="63">
        <f t="shared" si="3"/>
        <v>0</v>
      </c>
      <c r="N36" s="51">
        <f t="shared" si="4"/>
        <v>0</v>
      </c>
    </row>
    <row r="37" spans="1:14" x14ac:dyDescent="0.2">
      <c r="A37" s="47" t="s">
        <v>231</v>
      </c>
      <c r="B37" s="47" t="s">
        <v>9</v>
      </c>
      <c r="C37" s="47" t="s">
        <v>190</v>
      </c>
      <c r="D37" s="47" t="s">
        <v>232</v>
      </c>
      <c r="E37" s="63">
        <v>347</v>
      </c>
      <c r="F37" s="63">
        <f t="shared" si="0"/>
        <v>347</v>
      </c>
      <c r="G37" s="64">
        <f>IF(AND(catpn_1_VZB_1&gt;0,catpn_1_VZV_51&gt;0),(dagenperjaar1*VLOOKUP(B37,dagsoorttabel1,2,FALSE))/(((dagenperjaar1*VLOOKUP(B37,dagsoorttabel1,2,FALSE))-catfd_1_VZV_51)/catpn_1_VZB_1+catfd_1_VZV_51/catpn_1_VZV_51),0)</f>
        <v>0</v>
      </c>
      <c r="H37" s="65">
        <f>IF(AND(catpn_1_VZB_1&gt;0,catpn_1_VZV_51&gt;0),(catdw_1_VZB_1*((dagenperjaar1*VLOOKUP(B37,dagsoorttabel1,2,FALSE))-catfd_1_VZV_51)/catpn_1_VZB_1+catdw_1_VZV_51*catfd_1_VZV_51/catpn_1_VZV_51)/(((dagenperjaar1*VLOOKUP(B37,dagsoorttabel1,2,FALSE))-catfd_1_VZV_51)/catpn_1_VZB_1+catfd_1_VZV_51/catpn_1_VZV_51),0)</f>
        <v>0</v>
      </c>
      <c r="I37" s="47" t="s">
        <v>96</v>
      </c>
      <c r="J37" s="51">
        <f>IF(AND(catpn_1_VZB_1&gt;0,catpn_1_VZV_51&gt;0),(cattf_1_VZB_1*((dagenperjaar1*VLOOKUP(B37,dagsoorttabel1,2,FALSE))-catfd_1_VZV_51)/catpn_1_VZB_1+cattf_1_VZV_51*catfd_1_VZV_51/catpn_1_VZV_51)/(((dagenperjaar1*VLOOKUP(B37,dagsoorttabel1,2,FALSE))-catfd_1_VZV_51)/catpn_1_VZB_1+catfd_1_VZV_51/catpn_1_VZV_51),0)</f>
        <v>0</v>
      </c>
      <c r="K37" s="63">
        <f t="shared" si="1"/>
        <v>0</v>
      </c>
      <c r="L37" s="51">
        <f t="shared" si="2"/>
        <v>0</v>
      </c>
      <c r="M37" s="63">
        <f t="shared" si="3"/>
        <v>0</v>
      </c>
      <c r="N37" s="51">
        <f t="shared" si="4"/>
        <v>0</v>
      </c>
    </row>
    <row r="38" spans="1:14" x14ac:dyDescent="0.2">
      <c r="A38" s="47" t="s">
        <v>233</v>
      </c>
      <c r="B38" s="47" t="s">
        <v>15</v>
      </c>
      <c r="C38" s="47" t="s">
        <v>190</v>
      </c>
      <c r="D38" s="47" t="s">
        <v>234</v>
      </c>
      <c r="E38" s="63">
        <v>19.7</v>
      </c>
      <c r="F38" s="63">
        <f t="shared" si="0"/>
        <v>3.94</v>
      </c>
      <c r="G38" s="64">
        <f>IF(AND(catpn_1_WHB_1&gt;0,catpn_1_WHV_51&gt;0),(dagenperjaar1*VLOOKUP(B38,dagsoorttabel1,2,FALSE))/(((dagenperjaar1*VLOOKUP(B38,dagsoorttabel1,2,FALSE))-catfd_1_WHV_51)/catpn_1_WHB_1+catfd_1_WHV_51/catpn_1_WHV_51),0)</f>
        <v>0</v>
      </c>
      <c r="H38" s="65">
        <f>IF(AND(catpn_1_WHB_1&gt;0,catpn_1_WHV_51&gt;0),(catdw_1_WHB_1*((dagenperjaar1*VLOOKUP(B38,dagsoorttabel1,2,FALSE))-catfd_1_WHV_51)/catpn_1_WHB_1+catdw_1_WHV_51*catfd_1_WHV_51/catpn_1_WHV_51)/(((dagenperjaar1*VLOOKUP(B38,dagsoorttabel1,2,FALSE))-catfd_1_WHV_51)/catpn_1_WHB_1+catfd_1_WHV_51/catpn_1_WHV_51),0)</f>
        <v>0</v>
      </c>
      <c r="I38" s="47" t="s">
        <v>96</v>
      </c>
      <c r="J38" s="51">
        <f>IF(AND(catpn_1_WHB_1&gt;0,catpn_1_WHV_51&gt;0),(cattf_1_WHB_1*((dagenperjaar1*VLOOKUP(B38,dagsoorttabel1,2,FALSE))-catfd_1_WHV_51)/catpn_1_WHB_1+cattf_1_WHV_51*catfd_1_WHV_51/catpn_1_WHV_51)/(((dagenperjaar1*VLOOKUP(B38,dagsoorttabel1,2,FALSE))-catfd_1_WHV_51)/catpn_1_WHB_1+catfd_1_WHV_51/catpn_1_WHV_51),0)</f>
        <v>0</v>
      </c>
      <c r="K38" s="63">
        <f t="shared" si="1"/>
        <v>0</v>
      </c>
      <c r="L38" s="51">
        <f t="shared" si="2"/>
        <v>0</v>
      </c>
      <c r="M38" s="63">
        <f t="shared" si="3"/>
        <v>0</v>
      </c>
      <c r="N38" s="51">
        <f t="shared" si="4"/>
        <v>0</v>
      </c>
    </row>
    <row r="39" spans="1:14" x14ac:dyDescent="0.2">
      <c r="A39" s="47" t="s">
        <v>235</v>
      </c>
      <c r="B39" s="47" t="s">
        <v>23</v>
      </c>
      <c r="C39" s="47" t="s">
        <v>190</v>
      </c>
      <c r="D39" s="47" t="s">
        <v>236</v>
      </c>
      <c r="E39" s="63">
        <v>465.1</v>
      </c>
      <c r="F39" s="63">
        <f t="shared" si="0"/>
        <v>1.823921568627451</v>
      </c>
      <c r="G39" s="64">
        <f>catpn_1_XBB_1</f>
        <v>0</v>
      </c>
      <c r="H39" s="65">
        <f>catdw_1_XBB_1</f>
        <v>0</v>
      </c>
      <c r="I39" s="47" t="s">
        <v>96</v>
      </c>
      <c r="J39" s="51">
        <f>cattf_1_XBB_1</f>
        <v>0</v>
      </c>
      <c r="K39" s="63">
        <f t="shared" si="1"/>
        <v>0</v>
      </c>
      <c r="L39" s="51">
        <f t="shared" si="2"/>
        <v>0</v>
      </c>
      <c r="M39" s="63">
        <f t="shared" si="3"/>
        <v>0</v>
      </c>
      <c r="N39" s="51">
        <f t="shared" si="4"/>
        <v>0</v>
      </c>
    </row>
    <row r="40" spans="1:14" x14ac:dyDescent="0.2">
      <c r="A40" s="47" t="s">
        <v>235</v>
      </c>
      <c r="B40" s="47" t="s">
        <v>22</v>
      </c>
      <c r="C40" s="47" t="s">
        <v>190</v>
      </c>
      <c r="D40" s="47" t="s">
        <v>236</v>
      </c>
      <c r="E40" s="63">
        <v>81.599999999999994</v>
      </c>
      <c r="F40" s="63">
        <f t="shared" si="0"/>
        <v>0.6399999999999999</v>
      </c>
      <c r="G40" s="64">
        <f>catpn_1_XBB_1</f>
        <v>0</v>
      </c>
      <c r="H40" s="65">
        <f>catdw_1_XBB_1</f>
        <v>0</v>
      </c>
      <c r="I40" s="47" t="s">
        <v>96</v>
      </c>
      <c r="J40" s="51">
        <f>cattf_1_XBB_1</f>
        <v>0</v>
      </c>
      <c r="K40" s="63">
        <f t="shared" si="1"/>
        <v>0</v>
      </c>
      <c r="L40" s="51">
        <f t="shared" si="2"/>
        <v>0</v>
      </c>
      <c r="M40" s="63">
        <f t="shared" si="3"/>
        <v>0</v>
      </c>
      <c r="N40" s="51">
        <f t="shared" si="4"/>
        <v>0</v>
      </c>
    </row>
    <row r="41" spans="1:14" x14ac:dyDescent="0.2">
      <c r="A41" s="47" t="s">
        <v>237</v>
      </c>
      <c r="B41" s="47" t="s">
        <v>17</v>
      </c>
      <c r="C41" s="47" t="s">
        <v>190</v>
      </c>
      <c r="D41" s="47" t="s">
        <v>238</v>
      </c>
      <c r="E41" s="63">
        <v>718.90000000000009</v>
      </c>
      <c r="F41" s="63">
        <f t="shared" si="0"/>
        <v>33.830588235294123</v>
      </c>
      <c r="G41" s="66"/>
      <c r="H41" s="50"/>
      <c r="I41" s="47" t="s">
        <v>96</v>
      </c>
      <c r="J41" s="51">
        <f>Tariefopbouw1</f>
        <v>0</v>
      </c>
      <c r="K41" s="63">
        <f t="shared" si="1"/>
        <v>0</v>
      </c>
      <c r="L41" s="51">
        <f t="shared" si="2"/>
        <v>0</v>
      </c>
      <c r="M41" s="63">
        <f t="shared" si="3"/>
        <v>0</v>
      </c>
      <c r="N41" s="51">
        <f t="shared" si="4"/>
        <v>0</v>
      </c>
    </row>
    <row r="42" spans="1:14" x14ac:dyDescent="0.2">
      <c r="A42" s="47" t="s">
        <v>239</v>
      </c>
      <c r="B42" s="47" t="s">
        <v>15</v>
      </c>
      <c r="C42" s="47" t="s">
        <v>240</v>
      </c>
      <c r="D42" s="47" t="s">
        <v>241</v>
      </c>
      <c r="E42" s="63">
        <v>1</v>
      </c>
      <c r="F42" s="63">
        <f t="shared" si="0"/>
        <v>0.2</v>
      </c>
      <c r="G42" s="66"/>
      <c r="H42" s="50"/>
      <c r="I42" s="47" t="s">
        <v>242</v>
      </c>
      <c r="J42" s="51">
        <f>Tariefopbouw1</f>
        <v>0</v>
      </c>
      <c r="K42" s="63">
        <f>F42*ROUND(G42,4)/60</f>
        <v>0</v>
      </c>
      <c r="L42" s="51">
        <f t="shared" si="2"/>
        <v>0</v>
      </c>
      <c r="M42" s="63">
        <f t="shared" si="3"/>
        <v>0</v>
      </c>
      <c r="N42" s="51">
        <f t="shared" si="4"/>
        <v>0</v>
      </c>
    </row>
    <row r="43" spans="1:14" x14ac:dyDescent="0.2">
      <c r="A43" s="47" t="s">
        <v>243</v>
      </c>
      <c r="B43" s="47" t="s">
        <v>12</v>
      </c>
      <c r="C43" s="47" t="s">
        <v>240</v>
      </c>
      <c r="D43" s="47" t="s">
        <v>244</v>
      </c>
      <c r="E43" s="63">
        <v>1</v>
      </c>
      <c r="F43" s="63">
        <f t="shared" si="0"/>
        <v>0.58823529411764708</v>
      </c>
      <c r="G43" s="66"/>
      <c r="H43" s="50"/>
      <c r="I43" s="47" t="s">
        <v>242</v>
      </c>
      <c r="J43" s="51">
        <f>Tariefopbouw1</f>
        <v>0</v>
      </c>
      <c r="K43" s="63">
        <f>F43*ROUND(G43,4)/60</f>
        <v>0</v>
      </c>
      <c r="L43" s="51">
        <f t="shared" si="2"/>
        <v>0</v>
      </c>
      <c r="M43" s="63">
        <f t="shared" si="3"/>
        <v>0</v>
      </c>
      <c r="N43" s="51">
        <f t="shared" si="4"/>
        <v>0</v>
      </c>
    </row>
    <row r="44" spans="1:14" x14ac:dyDescent="0.2">
      <c r="A44" s="47" t="s">
        <v>245</v>
      </c>
      <c r="B44" s="47" t="s">
        <v>16</v>
      </c>
      <c r="C44" s="47" t="s">
        <v>240</v>
      </c>
      <c r="D44" s="47" t="s">
        <v>246</v>
      </c>
      <c r="E44" s="63">
        <v>1</v>
      </c>
      <c r="F44" s="63">
        <f t="shared" si="0"/>
        <v>0.10196078431372549</v>
      </c>
      <c r="G44" s="66"/>
      <c r="H44" s="50"/>
      <c r="I44" s="47" t="s">
        <v>242</v>
      </c>
      <c r="J44" s="51">
        <f>Tariefopbouw1</f>
        <v>0</v>
      </c>
      <c r="K44" s="63">
        <f>F44*ROUND(G44,4)/60</f>
        <v>0</v>
      </c>
      <c r="L44" s="51">
        <f t="shared" si="2"/>
        <v>0</v>
      </c>
      <c r="M44" s="63">
        <f t="shared" si="3"/>
        <v>0</v>
      </c>
      <c r="N44" s="51">
        <f t="shared" si="4"/>
        <v>0</v>
      </c>
    </row>
    <row r="45" spans="1:14" x14ac:dyDescent="0.2">
      <c r="A45" s="52" t="s">
        <v>247</v>
      </c>
      <c r="B45" s="52" t="s">
        <v>15</v>
      </c>
      <c r="C45" s="52" t="s">
        <v>240</v>
      </c>
      <c r="D45" s="52" t="s">
        <v>248</v>
      </c>
      <c r="E45" s="67">
        <v>1</v>
      </c>
      <c r="F45" s="67">
        <f t="shared" si="0"/>
        <v>0.2</v>
      </c>
      <c r="G45" s="68"/>
      <c r="H45" s="55"/>
      <c r="I45" s="52" t="s">
        <v>242</v>
      </c>
      <c r="J45" s="56">
        <f>Tariefopbouw1</f>
        <v>0</v>
      </c>
      <c r="K45" s="67">
        <f>F45*ROUND(G45,4)/60</f>
        <v>0</v>
      </c>
      <c r="L45" s="56">
        <f t="shared" si="2"/>
        <v>0</v>
      </c>
      <c r="M45" s="67">
        <f t="shared" si="3"/>
        <v>0</v>
      </c>
      <c r="N45" s="56">
        <f t="shared" si="4"/>
        <v>0</v>
      </c>
    </row>
    <row r="46" spans="1:14" x14ac:dyDescent="0.2">
      <c r="A46" s="70" t="s">
        <v>249</v>
      </c>
      <c r="B46" s="71"/>
      <c r="C46" s="71"/>
      <c r="D46" s="71"/>
      <c r="E46" s="71"/>
      <c r="F46" s="71"/>
      <c r="G46" s="71"/>
      <c r="H46" s="71"/>
      <c r="I46" s="71"/>
      <c r="J46" s="71"/>
      <c r="K46" s="72">
        <f>SUM(K6:K45)</f>
        <v>0</v>
      </c>
      <c r="L46" s="73">
        <f>SUM(L6:L45)</f>
        <v>0</v>
      </c>
      <c r="M46" s="72">
        <f>SUM(M6:M45)</f>
        <v>0</v>
      </c>
      <c r="N46" s="74">
        <f>SUM(N6:N45)</f>
        <v>0</v>
      </c>
    </row>
    <row r="47" spans="1:14" x14ac:dyDescent="0.2">
      <c r="A47" s="75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6"/>
    </row>
    <row r="48" spans="1:14" x14ac:dyDescent="0.2">
      <c r="A48" s="70" t="s">
        <v>250</v>
      </c>
      <c r="B48" s="71"/>
      <c r="C48" s="71"/>
      <c r="D48" s="71"/>
      <c r="E48" s="71"/>
      <c r="F48" s="71"/>
      <c r="G48" s="71"/>
      <c r="H48" s="71"/>
      <c r="I48" s="71"/>
      <c r="J48" s="73">
        <f>IF(urenjaar1&gt;0,SUMIF(M6:M45,"&gt;0",N6:N45)/urenjaar1,0)</f>
        <v>0</v>
      </c>
      <c r="K48" s="71"/>
      <c r="L48" s="71"/>
      <c r="M48" s="71"/>
      <c r="N48" s="76"/>
    </row>
    <row r="49" spans="1:14" x14ac:dyDescent="0.2">
      <c r="A49" s="75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6"/>
    </row>
    <row r="50" spans="1:14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4"/>
    </row>
    <row r="51" spans="1:14" x14ac:dyDescent="0.2">
      <c r="A51" s="35" t="s">
        <v>251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7"/>
    </row>
    <row r="52" spans="1:14" x14ac:dyDescent="0.2">
      <c r="A52" s="77" t="s">
        <v>252</v>
      </c>
      <c r="B52" s="77" t="s">
        <v>14</v>
      </c>
      <c r="C52" s="77" t="s">
        <v>240</v>
      </c>
      <c r="D52" s="77" t="s">
        <v>244</v>
      </c>
      <c r="E52" s="78">
        <v>1</v>
      </c>
      <c r="F52" s="78">
        <f>E52*VLOOKUP(B52,dagsoorttabel1,2,FALSE)</f>
        <v>0.23529411764705882</v>
      </c>
      <c r="G52" s="79"/>
      <c r="H52" s="80"/>
      <c r="I52" s="77" t="s">
        <v>242</v>
      </c>
      <c r="J52" s="81">
        <f>Tariefopbouw3</f>
        <v>0</v>
      </c>
      <c r="K52" s="78">
        <f>F52*ROUND(G52,4)/60</f>
        <v>0</v>
      </c>
      <c r="L52" s="81">
        <f>ROUND(J52,2)*K52</f>
        <v>0</v>
      </c>
      <c r="M52" s="78">
        <f>K52*dagenperjaar1</f>
        <v>0</v>
      </c>
      <c r="N52" s="81">
        <f>M52*ROUND(J52,2)</f>
        <v>0</v>
      </c>
    </row>
    <row r="53" spans="1:14" x14ac:dyDescent="0.2">
      <c r="A53" s="70" t="s">
        <v>253</v>
      </c>
      <c r="B53" s="71"/>
      <c r="C53" s="71"/>
      <c r="D53" s="71"/>
      <c r="E53" s="71"/>
      <c r="F53" s="71"/>
      <c r="G53" s="71"/>
      <c r="H53" s="71"/>
      <c r="I53" s="71"/>
      <c r="J53" s="71"/>
      <c r="K53" s="72">
        <f>SUM(K52:K52)</f>
        <v>0</v>
      </c>
      <c r="L53" s="73">
        <f>SUM(L52:L52)</f>
        <v>0</v>
      </c>
      <c r="M53" s="72">
        <f>SUM(M52:M52)</f>
        <v>0</v>
      </c>
      <c r="N53" s="74">
        <f>SUM(N52:N52)</f>
        <v>0</v>
      </c>
    </row>
    <row r="54" spans="1:14" x14ac:dyDescent="0.2">
      <c r="A54" s="75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6"/>
    </row>
    <row r="55" spans="1:14" x14ac:dyDescent="0.2">
      <c r="A55" s="70" t="s">
        <v>254</v>
      </c>
      <c r="B55" s="71"/>
      <c r="C55" s="71"/>
      <c r="D55" s="71"/>
      <c r="E55" s="71"/>
      <c r="F55" s="71"/>
      <c r="G55" s="71"/>
      <c r="H55" s="71"/>
      <c r="I55" s="71"/>
      <c r="J55" s="73">
        <f>IF(urenjaar4&gt;0,SUMIF(M52:M52,"&gt;0",N52:N52)/urenjaar4,0)</f>
        <v>0</v>
      </c>
      <c r="K55" s="71"/>
      <c r="L55" s="71"/>
      <c r="M55" s="71"/>
      <c r="N55" s="76"/>
    </row>
    <row r="56" spans="1:14" x14ac:dyDescent="0.2">
      <c r="A56" s="75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6"/>
    </row>
    <row r="58" spans="1:14" x14ac:dyDescent="0.2">
      <c r="A58" s="70" t="s">
        <v>255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2">
        <f>urenjaar1+urenjaar4</f>
        <v>0</v>
      </c>
      <c r="N58" s="73">
        <f>prijsjaar1+prijsjaar4</f>
        <v>0</v>
      </c>
    </row>
  </sheetData>
  <sheetProtection algorithmName="SHA-512" hashValue="U+yEy2XaPoeRVN5FlrTwl35SNjNeEjkDiGBey8eg/OMYNQwdu9lHnrn7KqtO4lkIMCUyYBKYz0fSRp18Vrx/jw==" saltValue="XD6MrXs3x63oeGsHheNN2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0F69-07D2-48DF-A575-B9AFEB4BBDC2}">
  <dimension ref="A1:U27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10" width="8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ht="12.75" x14ac:dyDescent="0.2">
      <c r="A1" s="1" t="str">
        <f>CONCATENATE("Bijlage F.3: ",tabeltype," ruimten werkdag")</f>
        <v>Bijlage F.3: Invultabel ruimten werkdag</v>
      </c>
    </row>
    <row r="3" spans="1:21" ht="38.25" x14ac:dyDescent="0.2">
      <c r="A3" s="82" t="s">
        <v>256</v>
      </c>
      <c r="B3" s="31" t="s">
        <v>257</v>
      </c>
      <c r="C3" s="31" t="s">
        <v>258</v>
      </c>
      <c r="D3" s="31" t="s">
        <v>259</v>
      </c>
      <c r="E3" s="31" t="s">
        <v>260</v>
      </c>
      <c r="F3" s="31" t="s">
        <v>261</v>
      </c>
      <c r="G3" s="31" t="s">
        <v>181</v>
      </c>
      <c r="H3" s="31" t="s">
        <v>7</v>
      </c>
      <c r="I3" s="31" t="s">
        <v>262</v>
      </c>
      <c r="J3" s="31" t="s">
        <v>263</v>
      </c>
      <c r="K3" s="31" t="s">
        <v>183</v>
      </c>
      <c r="L3" s="31" t="s">
        <v>184</v>
      </c>
      <c r="M3" s="31" t="s">
        <v>88</v>
      </c>
      <c r="N3" s="31" t="s">
        <v>89</v>
      </c>
      <c r="O3" s="31" t="s">
        <v>90</v>
      </c>
      <c r="P3" s="31" t="s">
        <v>91</v>
      </c>
      <c r="Q3" s="31" t="s">
        <v>185</v>
      </c>
      <c r="R3" s="31" t="s">
        <v>264</v>
      </c>
      <c r="S3" s="31" t="s">
        <v>186</v>
      </c>
      <c r="T3" s="31" t="s">
        <v>187</v>
      </c>
      <c r="U3" s="83" t="s">
        <v>188</v>
      </c>
    </row>
    <row r="4" spans="1:21" ht="12.75" x14ac:dyDescent="0.2">
      <c r="A4" s="84" t="s">
        <v>265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69"/>
    </row>
    <row r="5" spans="1:21" x14ac:dyDescent="0.2">
      <c r="A5" s="91" t="s">
        <v>266</v>
      </c>
      <c r="B5" s="92" t="s">
        <v>37</v>
      </c>
      <c r="C5" s="92" t="s">
        <v>267</v>
      </c>
      <c r="D5" s="92" t="s">
        <v>268</v>
      </c>
      <c r="E5" s="93" t="s">
        <v>269</v>
      </c>
      <c r="F5" s="92" t="s">
        <v>270</v>
      </c>
      <c r="G5" s="92" t="s">
        <v>237</v>
      </c>
      <c r="H5" s="92" t="s">
        <v>17</v>
      </c>
      <c r="I5" s="92" t="s">
        <v>190</v>
      </c>
      <c r="J5" s="92"/>
      <c r="K5" s="94">
        <v>4</v>
      </c>
      <c r="L5" s="94">
        <f t="shared" ref="L5:L36" si="0">K5*VLOOKUP(H5,dagsoorttabel1,2,FALSE)</f>
        <v>0.18823529411764706</v>
      </c>
      <c r="M5" s="95">
        <f t="shared" ref="M5:M16" si="1">prodnorm61</f>
        <v>0</v>
      </c>
      <c r="N5" s="96">
        <f t="shared" ref="N5:N16" si="2">dagwerk61</f>
        <v>0</v>
      </c>
      <c r="O5" s="92" t="s">
        <v>96</v>
      </c>
      <c r="P5" s="97">
        <f t="shared" ref="P5:P16" si="3">uurtarief61</f>
        <v>0</v>
      </c>
      <c r="Q5" s="94" t="e">
        <f t="shared" ref="Q5:Q36" si="4">IF(ISBLANK(M5),0,L5/ROUND(M5,4))</f>
        <v>#DIV/0!</v>
      </c>
      <c r="R5" s="94" t="e">
        <f t="shared" ref="R5:R36" si="5">IF(ISBLANK(M5),0,Q5*ROUND(N5,2))</f>
        <v>#DIV/0!</v>
      </c>
      <c r="S5" s="97" t="e">
        <f t="shared" ref="S5:S36" si="6">ROUND(P5,2)*Q5</f>
        <v>#DIV/0!</v>
      </c>
      <c r="T5" s="94" t="e">
        <f t="shared" ref="T5:T36" si="7">Q5*dagenperjaar1</f>
        <v>#DIV/0!</v>
      </c>
      <c r="U5" s="98" t="e">
        <f t="shared" ref="U5:U36" si="8">T5*ROUND(P5,2)</f>
        <v>#DIV/0!</v>
      </c>
    </row>
    <row r="6" spans="1:21" x14ac:dyDescent="0.2">
      <c r="A6" s="99" t="s">
        <v>266</v>
      </c>
      <c r="B6" s="100" t="s">
        <v>37</v>
      </c>
      <c r="C6" s="100" t="s">
        <v>267</v>
      </c>
      <c r="D6" s="100" t="s">
        <v>271</v>
      </c>
      <c r="E6" s="101" t="s">
        <v>272</v>
      </c>
      <c r="F6" s="100" t="s">
        <v>273</v>
      </c>
      <c r="G6" s="100" t="s">
        <v>237</v>
      </c>
      <c r="H6" s="100" t="s">
        <v>17</v>
      </c>
      <c r="I6" s="100" t="s">
        <v>190</v>
      </c>
      <c r="J6" s="100"/>
      <c r="K6" s="102">
        <v>4.3</v>
      </c>
      <c r="L6" s="102">
        <f t="shared" si="0"/>
        <v>0.20235294117647057</v>
      </c>
      <c r="M6" s="103">
        <f t="shared" si="1"/>
        <v>0</v>
      </c>
      <c r="N6" s="30">
        <f t="shared" si="2"/>
        <v>0</v>
      </c>
      <c r="O6" s="100" t="s">
        <v>96</v>
      </c>
      <c r="P6" s="16">
        <f t="shared" si="3"/>
        <v>0</v>
      </c>
      <c r="Q6" s="102" t="e">
        <f t="shared" si="4"/>
        <v>#DIV/0!</v>
      </c>
      <c r="R6" s="102" t="e">
        <f t="shared" si="5"/>
        <v>#DIV/0!</v>
      </c>
      <c r="S6" s="16" t="e">
        <f t="shared" si="6"/>
        <v>#DIV/0!</v>
      </c>
      <c r="T6" s="102" t="e">
        <f t="shared" si="7"/>
        <v>#DIV/0!</v>
      </c>
      <c r="U6" s="17" t="e">
        <f t="shared" si="8"/>
        <v>#DIV/0!</v>
      </c>
    </row>
    <row r="7" spans="1:21" x14ac:dyDescent="0.2">
      <c r="A7" s="99" t="s">
        <v>266</v>
      </c>
      <c r="B7" s="100" t="s">
        <v>37</v>
      </c>
      <c r="C7" s="100" t="s">
        <v>267</v>
      </c>
      <c r="D7" s="100" t="s">
        <v>274</v>
      </c>
      <c r="E7" s="101" t="s">
        <v>275</v>
      </c>
      <c r="F7" s="100" t="s">
        <v>276</v>
      </c>
      <c r="G7" s="100" t="s">
        <v>237</v>
      </c>
      <c r="H7" s="100" t="s">
        <v>17</v>
      </c>
      <c r="I7" s="100" t="s">
        <v>190</v>
      </c>
      <c r="J7" s="100"/>
      <c r="K7" s="102">
        <v>4</v>
      </c>
      <c r="L7" s="102">
        <f t="shared" si="0"/>
        <v>0.18823529411764706</v>
      </c>
      <c r="M7" s="103">
        <f t="shared" si="1"/>
        <v>0</v>
      </c>
      <c r="N7" s="30">
        <f t="shared" si="2"/>
        <v>0</v>
      </c>
      <c r="O7" s="100" t="s">
        <v>96</v>
      </c>
      <c r="P7" s="16">
        <f t="shared" si="3"/>
        <v>0</v>
      </c>
      <c r="Q7" s="102" t="e">
        <f t="shared" si="4"/>
        <v>#DIV/0!</v>
      </c>
      <c r="R7" s="102" t="e">
        <f t="shared" si="5"/>
        <v>#DIV/0!</v>
      </c>
      <c r="S7" s="16" t="e">
        <f t="shared" si="6"/>
        <v>#DIV/0!</v>
      </c>
      <c r="T7" s="102" t="e">
        <f t="shared" si="7"/>
        <v>#DIV/0!</v>
      </c>
      <c r="U7" s="17" t="e">
        <f t="shared" si="8"/>
        <v>#DIV/0!</v>
      </c>
    </row>
    <row r="8" spans="1:21" x14ac:dyDescent="0.2">
      <c r="A8" s="99" t="s">
        <v>266</v>
      </c>
      <c r="B8" s="100" t="s">
        <v>37</v>
      </c>
      <c r="C8" s="100" t="s">
        <v>267</v>
      </c>
      <c r="D8" s="100" t="s">
        <v>277</v>
      </c>
      <c r="E8" s="101" t="s">
        <v>278</v>
      </c>
      <c r="F8" s="100" t="s">
        <v>270</v>
      </c>
      <c r="G8" s="100" t="s">
        <v>237</v>
      </c>
      <c r="H8" s="100" t="s">
        <v>17</v>
      </c>
      <c r="I8" s="100" t="s">
        <v>190</v>
      </c>
      <c r="J8" s="100"/>
      <c r="K8" s="102">
        <v>50.7</v>
      </c>
      <c r="L8" s="102">
        <f t="shared" si="0"/>
        <v>2.3858823529411768</v>
      </c>
      <c r="M8" s="103">
        <f t="shared" si="1"/>
        <v>0</v>
      </c>
      <c r="N8" s="30">
        <f t="shared" si="2"/>
        <v>0</v>
      </c>
      <c r="O8" s="100" t="s">
        <v>96</v>
      </c>
      <c r="P8" s="16">
        <f t="shared" si="3"/>
        <v>0</v>
      </c>
      <c r="Q8" s="102" t="e">
        <f t="shared" si="4"/>
        <v>#DIV/0!</v>
      </c>
      <c r="R8" s="102" t="e">
        <f t="shared" si="5"/>
        <v>#DIV/0!</v>
      </c>
      <c r="S8" s="16" t="e">
        <f t="shared" si="6"/>
        <v>#DIV/0!</v>
      </c>
      <c r="T8" s="102" t="e">
        <f t="shared" si="7"/>
        <v>#DIV/0!</v>
      </c>
      <c r="U8" s="17" t="e">
        <f t="shared" si="8"/>
        <v>#DIV/0!</v>
      </c>
    </row>
    <row r="9" spans="1:21" x14ac:dyDescent="0.2">
      <c r="A9" s="99" t="s">
        <v>266</v>
      </c>
      <c r="B9" s="100" t="s">
        <v>37</v>
      </c>
      <c r="C9" s="100" t="s">
        <v>267</v>
      </c>
      <c r="D9" s="100" t="s">
        <v>279</v>
      </c>
      <c r="E9" s="101" t="s">
        <v>280</v>
      </c>
      <c r="F9" s="100" t="s">
        <v>276</v>
      </c>
      <c r="G9" s="100" t="s">
        <v>237</v>
      </c>
      <c r="H9" s="100" t="s">
        <v>17</v>
      </c>
      <c r="I9" s="100" t="s">
        <v>190</v>
      </c>
      <c r="J9" s="100"/>
      <c r="K9" s="102">
        <v>2.7</v>
      </c>
      <c r="L9" s="102">
        <f t="shared" si="0"/>
        <v>0.12705882352941178</v>
      </c>
      <c r="M9" s="103">
        <f t="shared" si="1"/>
        <v>0</v>
      </c>
      <c r="N9" s="30">
        <f t="shared" si="2"/>
        <v>0</v>
      </c>
      <c r="O9" s="100" t="s">
        <v>96</v>
      </c>
      <c r="P9" s="16">
        <f t="shared" si="3"/>
        <v>0</v>
      </c>
      <c r="Q9" s="102" t="e">
        <f t="shared" si="4"/>
        <v>#DIV/0!</v>
      </c>
      <c r="R9" s="102" t="e">
        <f t="shared" si="5"/>
        <v>#DIV/0!</v>
      </c>
      <c r="S9" s="16" t="e">
        <f t="shared" si="6"/>
        <v>#DIV/0!</v>
      </c>
      <c r="T9" s="102" t="e">
        <f t="shared" si="7"/>
        <v>#DIV/0!</v>
      </c>
      <c r="U9" s="17" t="e">
        <f t="shared" si="8"/>
        <v>#DIV/0!</v>
      </c>
    </row>
    <row r="10" spans="1:21" x14ac:dyDescent="0.2">
      <c r="A10" s="99" t="s">
        <v>266</v>
      </c>
      <c r="B10" s="100" t="s">
        <v>37</v>
      </c>
      <c r="C10" s="100" t="s">
        <v>267</v>
      </c>
      <c r="D10" s="100" t="s">
        <v>281</v>
      </c>
      <c r="E10" s="101" t="s">
        <v>282</v>
      </c>
      <c r="F10" s="100" t="s">
        <v>270</v>
      </c>
      <c r="G10" s="100" t="s">
        <v>237</v>
      </c>
      <c r="H10" s="100" t="s">
        <v>17</v>
      </c>
      <c r="I10" s="100" t="s">
        <v>190</v>
      </c>
      <c r="J10" s="100"/>
      <c r="K10" s="102">
        <v>4</v>
      </c>
      <c r="L10" s="102">
        <f t="shared" si="0"/>
        <v>0.18823529411764706</v>
      </c>
      <c r="M10" s="103">
        <f t="shared" si="1"/>
        <v>0</v>
      </c>
      <c r="N10" s="30">
        <f t="shared" si="2"/>
        <v>0</v>
      </c>
      <c r="O10" s="100" t="s">
        <v>96</v>
      </c>
      <c r="P10" s="16">
        <f t="shared" si="3"/>
        <v>0</v>
      </c>
      <c r="Q10" s="102" t="e">
        <f t="shared" si="4"/>
        <v>#DIV/0!</v>
      </c>
      <c r="R10" s="102" t="e">
        <f t="shared" si="5"/>
        <v>#DIV/0!</v>
      </c>
      <c r="S10" s="16" t="e">
        <f t="shared" si="6"/>
        <v>#DIV/0!</v>
      </c>
      <c r="T10" s="102" t="e">
        <f t="shared" si="7"/>
        <v>#DIV/0!</v>
      </c>
      <c r="U10" s="17" t="e">
        <f t="shared" si="8"/>
        <v>#DIV/0!</v>
      </c>
    </row>
    <row r="11" spans="1:21" x14ac:dyDescent="0.2">
      <c r="A11" s="99" t="s">
        <v>266</v>
      </c>
      <c r="B11" s="100" t="s">
        <v>37</v>
      </c>
      <c r="C11" s="100" t="s">
        <v>267</v>
      </c>
      <c r="D11" s="100" t="s">
        <v>283</v>
      </c>
      <c r="E11" s="101" t="s">
        <v>284</v>
      </c>
      <c r="F11" s="100" t="s">
        <v>270</v>
      </c>
      <c r="G11" s="100" t="s">
        <v>237</v>
      </c>
      <c r="H11" s="100" t="s">
        <v>17</v>
      </c>
      <c r="I11" s="100" t="s">
        <v>190</v>
      </c>
      <c r="J11" s="100"/>
      <c r="K11" s="102">
        <v>6</v>
      </c>
      <c r="L11" s="102">
        <f t="shared" si="0"/>
        <v>0.28235294117647058</v>
      </c>
      <c r="M11" s="103">
        <f t="shared" si="1"/>
        <v>0</v>
      </c>
      <c r="N11" s="30">
        <f t="shared" si="2"/>
        <v>0</v>
      </c>
      <c r="O11" s="100" t="s">
        <v>96</v>
      </c>
      <c r="P11" s="16">
        <f t="shared" si="3"/>
        <v>0</v>
      </c>
      <c r="Q11" s="102" t="e">
        <f t="shared" si="4"/>
        <v>#DIV/0!</v>
      </c>
      <c r="R11" s="102" t="e">
        <f t="shared" si="5"/>
        <v>#DIV/0!</v>
      </c>
      <c r="S11" s="16" t="e">
        <f t="shared" si="6"/>
        <v>#DIV/0!</v>
      </c>
      <c r="T11" s="102" t="e">
        <f t="shared" si="7"/>
        <v>#DIV/0!</v>
      </c>
      <c r="U11" s="17" t="e">
        <f t="shared" si="8"/>
        <v>#DIV/0!</v>
      </c>
    </row>
    <row r="12" spans="1:21" x14ac:dyDescent="0.2">
      <c r="A12" s="99" t="s">
        <v>266</v>
      </c>
      <c r="B12" s="100" t="s">
        <v>37</v>
      </c>
      <c r="C12" s="100" t="s">
        <v>267</v>
      </c>
      <c r="D12" s="100" t="s">
        <v>285</v>
      </c>
      <c r="E12" s="101" t="s">
        <v>286</v>
      </c>
      <c r="F12" s="100" t="s">
        <v>270</v>
      </c>
      <c r="G12" s="100" t="s">
        <v>237</v>
      </c>
      <c r="H12" s="100" t="s">
        <v>17</v>
      </c>
      <c r="I12" s="100" t="s">
        <v>190</v>
      </c>
      <c r="J12" s="100"/>
      <c r="K12" s="102">
        <v>4.2</v>
      </c>
      <c r="L12" s="102">
        <f t="shared" si="0"/>
        <v>0.19764705882352943</v>
      </c>
      <c r="M12" s="103">
        <f t="shared" si="1"/>
        <v>0</v>
      </c>
      <c r="N12" s="30">
        <f t="shared" si="2"/>
        <v>0</v>
      </c>
      <c r="O12" s="100" t="s">
        <v>96</v>
      </c>
      <c r="P12" s="16">
        <f t="shared" si="3"/>
        <v>0</v>
      </c>
      <c r="Q12" s="102" t="e">
        <f t="shared" si="4"/>
        <v>#DIV/0!</v>
      </c>
      <c r="R12" s="102" t="e">
        <f t="shared" si="5"/>
        <v>#DIV/0!</v>
      </c>
      <c r="S12" s="16" t="e">
        <f t="shared" si="6"/>
        <v>#DIV/0!</v>
      </c>
      <c r="T12" s="102" t="e">
        <f t="shared" si="7"/>
        <v>#DIV/0!</v>
      </c>
      <c r="U12" s="17" t="e">
        <f t="shared" si="8"/>
        <v>#DIV/0!</v>
      </c>
    </row>
    <row r="13" spans="1:21" x14ac:dyDescent="0.2">
      <c r="A13" s="99" t="s">
        <v>266</v>
      </c>
      <c r="B13" s="100" t="s">
        <v>37</v>
      </c>
      <c r="C13" s="100" t="s">
        <v>267</v>
      </c>
      <c r="D13" s="100" t="s">
        <v>287</v>
      </c>
      <c r="E13" s="101" t="s">
        <v>288</v>
      </c>
      <c r="F13" s="100" t="s">
        <v>289</v>
      </c>
      <c r="G13" s="100" t="s">
        <v>237</v>
      </c>
      <c r="H13" s="100" t="s">
        <v>17</v>
      </c>
      <c r="I13" s="100" t="s">
        <v>190</v>
      </c>
      <c r="J13" s="100"/>
      <c r="K13" s="102">
        <v>87</v>
      </c>
      <c r="L13" s="102">
        <f t="shared" si="0"/>
        <v>4.0941176470588232</v>
      </c>
      <c r="M13" s="103">
        <f t="shared" si="1"/>
        <v>0</v>
      </c>
      <c r="N13" s="30">
        <f t="shared" si="2"/>
        <v>0</v>
      </c>
      <c r="O13" s="100" t="s">
        <v>96</v>
      </c>
      <c r="P13" s="16">
        <f t="shared" si="3"/>
        <v>0</v>
      </c>
      <c r="Q13" s="102" t="e">
        <f t="shared" si="4"/>
        <v>#DIV/0!</v>
      </c>
      <c r="R13" s="102" t="e">
        <f t="shared" si="5"/>
        <v>#DIV/0!</v>
      </c>
      <c r="S13" s="16" t="e">
        <f t="shared" si="6"/>
        <v>#DIV/0!</v>
      </c>
      <c r="T13" s="102" t="e">
        <f t="shared" si="7"/>
        <v>#DIV/0!</v>
      </c>
      <c r="U13" s="17" t="e">
        <f t="shared" si="8"/>
        <v>#DIV/0!</v>
      </c>
    </row>
    <row r="14" spans="1:21" x14ac:dyDescent="0.2">
      <c r="A14" s="99" t="s">
        <v>266</v>
      </c>
      <c r="B14" s="100" t="s">
        <v>37</v>
      </c>
      <c r="C14" s="100" t="s">
        <v>267</v>
      </c>
      <c r="D14" s="100" t="s">
        <v>290</v>
      </c>
      <c r="E14" s="101" t="s">
        <v>291</v>
      </c>
      <c r="F14" s="100" t="s">
        <v>289</v>
      </c>
      <c r="G14" s="100" t="s">
        <v>237</v>
      </c>
      <c r="H14" s="100" t="s">
        <v>17</v>
      </c>
      <c r="I14" s="100" t="s">
        <v>190</v>
      </c>
      <c r="J14" s="100"/>
      <c r="K14" s="102">
        <v>34</v>
      </c>
      <c r="L14" s="102">
        <f t="shared" si="0"/>
        <v>1.6</v>
      </c>
      <c r="M14" s="103">
        <f t="shared" si="1"/>
        <v>0</v>
      </c>
      <c r="N14" s="30">
        <f t="shared" si="2"/>
        <v>0</v>
      </c>
      <c r="O14" s="100" t="s">
        <v>96</v>
      </c>
      <c r="P14" s="16">
        <f t="shared" si="3"/>
        <v>0</v>
      </c>
      <c r="Q14" s="102" t="e">
        <f t="shared" si="4"/>
        <v>#DIV/0!</v>
      </c>
      <c r="R14" s="102" t="e">
        <f t="shared" si="5"/>
        <v>#DIV/0!</v>
      </c>
      <c r="S14" s="16" t="e">
        <f t="shared" si="6"/>
        <v>#DIV/0!</v>
      </c>
      <c r="T14" s="102" t="e">
        <f t="shared" si="7"/>
        <v>#DIV/0!</v>
      </c>
      <c r="U14" s="17" t="e">
        <f t="shared" si="8"/>
        <v>#DIV/0!</v>
      </c>
    </row>
    <row r="15" spans="1:21" x14ac:dyDescent="0.2">
      <c r="A15" s="99" t="s">
        <v>266</v>
      </c>
      <c r="B15" s="100" t="s">
        <v>37</v>
      </c>
      <c r="C15" s="100" t="s">
        <v>267</v>
      </c>
      <c r="D15" s="100" t="s">
        <v>292</v>
      </c>
      <c r="E15" s="101" t="s">
        <v>293</v>
      </c>
      <c r="F15" s="100" t="s">
        <v>276</v>
      </c>
      <c r="G15" s="100" t="s">
        <v>237</v>
      </c>
      <c r="H15" s="100" t="s">
        <v>17</v>
      </c>
      <c r="I15" s="100" t="s">
        <v>190</v>
      </c>
      <c r="J15" s="100"/>
      <c r="K15" s="102">
        <v>37.1</v>
      </c>
      <c r="L15" s="102">
        <f t="shared" si="0"/>
        <v>1.7458823529411764</v>
      </c>
      <c r="M15" s="103">
        <f t="shared" si="1"/>
        <v>0</v>
      </c>
      <c r="N15" s="30">
        <f t="shared" si="2"/>
        <v>0</v>
      </c>
      <c r="O15" s="100" t="s">
        <v>96</v>
      </c>
      <c r="P15" s="16">
        <f t="shared" si="3"/>
        <v>0</v>
      </c>
      <c r="Q15" s="102" t="e">
        <f t="shared" si="4"/>
        <v>#DIV/0!</v>
      </c>
      <c r="R15" s="102" t="e">
        <f t="shared" si="5"/>
        <v>#DIV/0!</v>
      </c>
      <c r="S15" s="16" t="e">
        <f t="shared" si="6"/>
        <v>#DIV/0!</v>
      </c>
      <c r="T15" s="102" t="e">
        <f t="shared" si="7"/>
        <v>#DIV/0!</v>
      </c>
      <c r="U15" s="17" t="e">
        <f t="shared" si="8"/>
        <v>#DIV/0!</v>
      </c>
    </row>
    <row r="16" spans="1:21" ht="25.2" x14ac:dyDescent="0.2">
      <c r="A16" s="99" t="s">
        <v>266</v>
      </c>
      <c r="B16" s="100" t="s">
        <v>37</v>
      </c>
      <c r="C16" s="100" t="s">
        <v>267</v>
      </c>
      <c r="D16" s="100" t="s">
        <v>294</v>
      </c>
      <c r="E16" s="101" t="s">
        <v>295</v>
      </c>
      <c r="F16" s="100" t="s">
        <v>296</v>
      </c>
      <c r="G16" s="100" t="s">
        <v>237</v>
      </c>
      <c r="H16" s="100" t="s">
        <v>17</v>
      </c>
      <c r="I16" s="100" t="s">
        <v>190</v>
      </c>
      <c r="J16" s="100"/>
      <c r="K16" s="102">
        <v>130</v>
      </c>
      <c r="L16" s="102">
        <f t="shared" si="0"/>
        <v>6.117647058823529</v>
      </c>
      <c r="M16" s="103">
        <f t="shared" si="1"/>
        <v>0</v>
      </c>
      <c r="N16" s="30">
        <f t="shared" si="2"/>
        <v>0</v>
      </c>
      <c r="O16" s="100" t="s">
        <v>96</v>
      </c>
      <c r="P16" s="16">
        <f t="shared" si="3"/>
        <v>0</v>
      </c>
      <c r="Q16" s="102" t="e">
        <f t="shared" si="4"/>
        <v>#DIV/0!</v>
      </c>
      <c r="R16" s="102" t="e">
        <f t="shared" si="5"/>
        <v>#DIV/0!</v>
      </c>
      <c r="S16" s="16" t="e">
        <f t="shared" si="6"/>
        <v>#DIV/0!</v>
      </c>
      <c r="T16" s="102" t="e">
        <f t="shared" si="7"/>
        <v>#DIV/0!</v>
      </c>
      <c r="U16" s="17" t="e">
        <f t="shared" si="8"/>
        <v>#DIV/0!</v>
      </c>
    </row>
    <row r="17" spans="1:21" x14ac:dyDescent="0.2">
      <c r="A17" s="99" t="s">
        <v>266</v>
      </c>
      <c r="B17" s="100" t="s">
        <v>37</v>
      </c>
      <c r="C17" s="100" t="s">
        <v>297</v>
      </c>
      <c r="D17" s="100" t="s">
        <v>298</v>
      </c>
      <c r="E17" s="101" t="s">
        <v>299</v>
      </c>
      <c r="F17" s="100" t="s">
        <v>300</v>
      </c>
      <c r="G17" s="100" t="s">
        <v>203</v>
      </c>
      <c r="H17" s="100" t="s">
        <v>9</v>
      </c>
      <c r="I17" s="100" t="s">
        <v>190</v>
      </c>
      <c r="J17" s="100"/>
      <c r="K17" s="102">
        <v>8.8000000000000007</v>
      </c>
      <c r="L17" s="102">
        <f t="shared" si="0"/>
        <v>8.8000000000000007</v>
      </c>
      <c r="M17" s="103">
        <f>prodnorm37</f>
        <v>0</v>
      </c>
      <c r="N17" s="30">
        <f>dagwerk37</f>
        <v>0</v>
      </c>
      <c r="O17" s="100" t="s">
        <v>96</v>
      </c>
      <c r="P17" s="16">
        <f>uurtarief37</f>
        <v>0</v>
      </c>
      <c r="Q17" s="102" t="e">
        <f t="shared" si="4"/>
        <v>#DIV/0!</v>
      </c>
      <c r="R17" s="102" t="e">
        <f t="shared" si="5"/>
        <v>#DIV/0!</v>
      </c>
      <c r="S17" s="16" t="e">
        <f t="shared" si="6"/>
        <v>#DIV/0!</v>
      </c>
      <c r="T17" s="102" t="e">
        <f t="shared" si="7"/>
        <v>#DIV/0!</v>
      </c>
      <c r="U17" s="17" t="e">
        <f t="shared" si="8"/>
        <v>#DIV/0!</v>
      </c>
    </row>
    <row r="18" spans="1:21" x14ac:dyDescent="0.2">
      <c r="A18" s="99" t="s">
        <v>266</v>
      </c>
      <c r="B18" s="100" t="s">
        <v>37</v>
      </c>
      <c r="C18" s="100" t="s">
        <v>297</v>
      </c>
      <c r="D18" s="100" t="s">
        <v>301</v>
      </c>
      <c r="E18" s="101" t="s">
        <v>278</v>
      </c>
      <c r="F18" s="100" t="s">
        <v>302</v>
      </c>
      <c r="G18" s="100" t="s">
        <v>229</v>
      </c>
      <c r="H18" s="100" t="s">
        <v>9</v>
      </c>
      <c r="I18" s="100" t="s">
        <v>190</v>
      </c>
      <c r="J18" s="100"/>
      <c r="K18" s="102">
        <v>38.6</v>
      </c>
      <c r="L18" s="102">
        <f t="shared" si="0"/>
        <v>38.6</v>
      </c>
      <c r="M18" s="103">
        <f>prodnorm55</f>
        <v>0</v>
      </c>
      <c r="N18" s="30">
        <f>dagwerk55</f>
        <v>0</v>
      </c>
      <c r="O18" s="100" t="s">
        <v>96</v>
      </c>
      <c r="P18" s="16">
        <f>uurtarief55</f>
        <v>0</v>
      </c>
      <c r="Q18" s="102" t="e">
        <f t="shared" si="4"/>
        <v>#DIV/0!</v>
      </c>
      <c r="R18" s="102" t="e">
        <f t="shared" si="5"/>
        <v>#DIV/0!</v>
      </c>
      <c r="S18" s="16" t="e">
        <f t="shared" si="6"/>
        <v>#DIV/0!</v>
      </c>
      <c r="T18" s="102" t="e">
        <f t="shared" si="7"/>
        <v>#DIV/0!</v>
      </c>
      <c r="U18" s="17" t="e">
        <f t="shared" si="8"/>
        <v>#DIV/0!</v>
      </c>
    </row>
    <row r="19" spans="1:21" x14ac:dyDescent="0.2">
      <c r="A19" s="99" t="s">
        <v>266</v>
      </c>
      <c r="B19" s="100" t="s">
        <v>37</v>
      </c>
      <c r="C19" s="100" t="s">
        <v>297</v>
      </c>
      <c r="D19" s="100" t="s">
        <v>303</v>
      </c>
      <c r="E19" s="101" t="s">
        <v>304</v>
      </c>
      <c r="F19" s="100" t="s">
        <v>302</v>
      </c>
      <c r="G19" s="100" t="s">
        <v>229</v>
      </c>
      <c r="H19" s="100" t="s">
        <v>9</v>
      </c>
      <c r="I19" s="100" t="s">
        <v>190</v>
      </c>
      <c r="J19" s="100"/>
      <c r="K19" s="102">
        <v>15.5</v>
      </c>
      <c r="L19" s="102">
        <f t="shared" si="0"/>
        <v>15.5</v>
      </c>
      <c r="M19" s="103">
        <f>prodnorm55</f>
        <v>0</v>
      </c>
      <c r="N19" s="30">
        <f>dagwerk55</f>
        <v>0</v>
      </c>
      <c r="O19" s="100" t="s">
        <v>96</v>
      </c>
      <c r="P19" s="16">
        <f>uurtarief55</f>
        <v>0</v>
      </c>
      <c r="Q19" s="102" t="e">
        <f t="shared" si="4"/>
        <v>#DIV/0!</v>
      </c>
      <c r="R19" s="102" t="e">
        <f t="shared" si="5"/>
        <v>#DIV/0!</v>
      </c>
      <c r="S19" s="16" t="e">
        <f t="shared" si="6"/>
        <v>#DIV/0!</v>
      </c>
      <c r="T19" s="102" t="e">
        <f t="shared" si="7"/>
        <v>#DIV/0!</v>
      </c>
      <c r="U19" s="17" t="e">
        <f t="shared" si="8"/>
        <v>#DIV/0!</v>
      </c>
    </row>
    <row r="20" spans="1:21" x14ac:dyDescent="0.2">
      <c r="A20" s="99" t="s">
        <v>266</v>
      </c>
      <c r="B20" s="100" t="s">
        <v>37</v>
      </c>
      <c r="C20" s="100" t="s">
        <v>297</v>
      </c>
      <c r="D20" s="100" t="s">
        <v>305</v>
      </c>
      <c r="E20" s="101" t="s">
        <v>306</v>
      </c>
      <c r="F20" s="100" t="s">
        <v>302</v>
      </c>
      <c r="G20" s="100" t="s">
        <v>226</v>
      </c>
      <c r="H20" s="100" t="s">
        <v>9</v>
      </c>
      <c r="I20" s="100" t="s">
        <v>190</v>
      </c>
      <c r="J20" s="100"/>
      <c r="K20" s="102">
        <v>3.6</v>
      </c>
      <c r="L20" s="102">
        <f t="shared" si="0"/>
        <v>3.6</v>
      </c>
      <c r="M20" s="103">
        <f>prodnorm53</f>
        <v>0</v>
      </c>
      <c r="N20" s="30">
        <f>dagwerk53</f>
        <v>0</v>
      </c>
      <c r="O20" s="100" t="s">
        <v>96</v>
      </c>
      <c r="P20" s="16">
        <f>uurtarief53</f>
        <v>0</v>
      </c>
      <c r="Q20" s="102" t="e">
        <f t="shared" si="4"/>
        <v>#DIV/0!</v>
      </c>
      <c r="R20" s="102" t="e">
        <f t="shared" si="5"/>
        <v>#DIV/0!</v>
      </c>
      <c r="S20" s="16" t="e">
        <f t="shared" si="6"/>
        <v>#DIV/0!</v>
      </c>
      <c r="T20" s="102" t="e">
        <f t="shared" si="7"/>
        <v>#DIV/0!</v>
      </c>
      <c r="U20" s="17" t="e">
        <f t="shared" si="8"/>
        <v>#DIV/0!</v>
      </c>
    </row>
    <row r="21" spans="1:21" x14ac:dyDescent="0.2">
      <c r="A21" s="99" t="s">
        <v>266</v>
      </c>
      <c r="B21" s="100" t="s">
        <v>37</v>
      </c>
      <c r="C21" s="100" t="s">
        <v>297</v>
      </c>
      <c r="D21" s="100" t="s">
        <v>307</v>
      </c>
      <c r="E21" s="101" t="s">
        <v>269</v>
      </c>
      <c r="F21" s="100" t="s">
        <v>302</v>
      </c>
      <c r="G21" s="100" t="s">
        <v>237</v>
      </c>
      <c r="H21" s="100" t="s">
        <v>17</v>
      </c>
      <c r="I21" s="100" t="s">
        <v>190</v>
      </c>
      <c r="J21" s="100"/>
      <c r="K21" s="102">
        <v>3.3</v>
      </c>
      <c r="L21" s="102">
        <f t="shared" si="0"/>
        <v>0.1552941176470588</v>
      </c>
      <c r="M21" s="103">
        <f>prodnorm61</f>
        <v>0</v>
      </c>
      <c r="N21" s="30">
        <f>dagwerk61</f>
        <v>0</v>
      </c>
      <c r="O21" s="100" t="s">
        <v>96</v>
      </c>
      <c r="P21" s="16">
        <f>uurtarief61</f>
        <v>0</v>
      </c>
      <c r="Q21" s="102" t="e">
        <f t="shared" si="4"/>
        <v>#DIV/0!</v>
      </c>
      <c r="R21" s="102" t="e">
        <f t="shared" si="5"/>
        <v>#DIV/0!</v>
      </c>
      <c r="S21" s="16" t="e">
        <f t="shared" si="6"/>
        <v>#DIV/0!</v>
      </c>
      <c r="T21" s="102" t="e">
        <f t="shared" si="7"/>
        <v>#DIV/0!</v>
      </c>
      <c r="U21" s="17" t="e">
        <f t="shared" si="8"/>
        <v>#DIV/0!</v>
      </c>
    </row>
    <row r="22" spans="1:21" x14ac:dyDescent="0.2">
      <c r="A22" s="99" t="s">
        <v>266</v>
      </c>
      <c r="B22" s="100" t="s">
        <v>37</v>
      </c>
      <c r="C22" s="100" t="s">
        <v>297</v>
      </c>
      <c r="D22" s="100" t="s">
        <v>308</v>
      </c>
      <c r="E22" s="101" t="s">
        <v>309</v>
      </c>
      <c r="F22" s="100" t="s">
        <v>273</v>
      </c>
      <c r="G22" s="100" t="s">
        <v>237</v>
      </c>
      <c r="H22" s="100" t="s">
        <v>17</v>
      </c>
      <c r="I22" s="100" t="s">
        <v>190</v>
      </c>
      <c r="J22" s="100"/>
      <c r="K22" s="102">
        <v>4.3</v>
      </c>
      <c r="L22" s="102">
        <f t="shared" si="0"/>
        <v>0.20235294117647057</v>
      </c>
      <c r="M22" s="103">
        <f>prodnorm61</f>
        <v>0</v>
      </c>
      <c r="N22" s="30">
        <f>dagwerk61</f>
        <v>0</v>
      </c>
      <c r="O22" s="100" t="s">
        <v>96</v>
      </c>
      <c r="P22" s="16">
        <f>uurtarief61</f>
        <v>0</v>
      </c>
      <c r="Q22" s="102" t="e">
        <f t="shared" si="4"/>
        <v>#DIV/0!</v>
      </c>
      <c r="R22" s="102" t="e">
        <f t="shared" si="5"/>
        <v>#DIV/0!</v>
      </c>
      <c r="S22" s="16" t="e">
        <f t="shared" si="6"/>
        <v>#DIV/0!</v>
      </c>
      <c r="T22" s="102" t="e">
        <f t="shared" si="7"/>
        <v>#DIV/0!</v>
      </c>
      <c r="U22" s="17" t="e">
        <f t="shared" si="8"/>
        <v>#DIV/0!</v>
      </c>
    </row>
    <row r="23" spans="1:21" x14ac:dyDescent="0.2">
      <c r="A23" s="99" t="s">
        <v>266</v>
      </c>
      <c r="B23" s="100" t="s">
        <v>37</v>
      </c>
      <c r="C23" s="100" t="s">
        <v>297</v>
      </c>
      <c r="D23" s="100" t="s">
        <v>310</v>
      </c>
      <c r="E23" s="101" t="s">
        <v>275</v>
      </c>
      <c r="F23" s="100" t="s">
        <v>276</v>
      </c>
      <c r="G23" s="100" t="s">
        <v>237</v>
      </c>
      <c r="H23" s="100" t="s">
        <v>17</v>
      </c>
      <c r="I23" s="100" t="s">
        <v>190</v>
      </c>
      <c r="J23" s="100"/>
      <c r="K23" s="102">
        <v>3.8</v>
      </c>
      <c r="L23" s="102">
        <f t="shared" si="0"/>
        <v>0.17882352941176469</v>
      </c>
      <c r="M23" s="103">
        <f>prodnorm61</f>
        <v>0</v>
      </c>
      <c r="N23" s="30">
        <f>dagwerk61</f>
        <v>0</v>
      </c>
      <c r="O23" s="100" t="s">
        <v>96</v>
      </c>
      <c r="P23" s="16">
        <f>uurtarief61</f>
        <v>0</v>
      </c>
      <c r="Q23" s="102" t="e">
        <f t="shared" si="4"/>
        <v>#DIV/0!</v>
      </c>
      <c r="R23" s="102" t="e">
        <f t="shared" si="5"/>
        <v>#DIV/0!</v>
      </c>
      <c r="S23" s="16" t="e">
        <f t="shared" si="6"/>
        <v>#DIV/0!</v>
      </c>
      <c r="T23" s="102" t="e">
        <f t="shared" si="7"/>
        <v>#DIV/0!</v>
      </c>
      <c r="U23" s="17" t="e">
        <f t="shared" si="8"/>
        <v>#DIV/0!</v>
      </c>
    </row>
    <row r="24" spans="1:21" x14ac:dyDescent="0.2">
      <c r="A24" s="99" t="s">
        <v>266</v>
      </c>
      <c r="B24" s="100" t="s">
        <v>37</v>
      </c>
      <c r="C24" s="100" t="s">
        <v>297</v>
      </c>
      <c r="D24" s="100" t="s">
        <v>311</v>
      </c>
      <c r="E24" s="101" t="s">
        <v>312</v>
      </c>
      <c r="F24" s="100" t="s">
        <v>302</v>
      </c>
      <c r="G24" s="100" t="s">
        <v>229</v>
      </c>
      <c r="H24" s="100" t="s">
        <v>9</v>
      </c>
      <c r="I24" s="100" t="s">
        <v>190</v>
      </c>
      <c r="J24" s="100"/>
      <c r="K24" s="102">
        <v>38.5</v>
      </c>
      <c r="L24" s="102">
        <f t="shared" si="0"/>
        <v>38.5</v>
      </c>
      <c r="M24" s="103">
        <f>prodnorm55</f>
        <v>0</v>
      </c>
      <c r="N24" s="30">
        <f>dagwerk55</f>
        <v>0</v>
      </c>
      <c r="O24" s="100" t="s">
        <v>96</v>
      </c>
      <c r="P24" s="16">
        <f>uurtarief55</f>
        <v>0</v>
      </c>
      <c r="Q24" s="102" t="e">
        <f t="shared" si="4"/>
        <v>#DIV/0!</v>
      </c>
      <c r="R24" s="102" t="e">
        <f t="shared" si="5"/>
        <v>#DIV/0!</v>
      </c>
      <c r="S24" s="16" t="e">
        <f t="shared" si="6"/>
        <v>#DIV/0!</v>
      </c>
      <c r="T24" s="102" t="e">
        <f t="shared" si="7"/>
        <v>#DIV/0!</v>
      </c>
      <c r="U24" s="17" t="e">
        <f t="shared" si="8"/>
        <v>#DIV/0!</v>
      </c>
    </row>
    <row r="25" spans="1:21" x14ac:dyDescent="0.2">
      <c r="A25" s="99" t="s">
        <v>266</v>
      </c>
      <c r="B25" s="100" t="s">
        <v>37</v>
      </c>
      <c r="C25" s="100" t="s">
        <v>297</v>
      </c>
      <c r="D25" s="100" t="s">
        <v>313</v>
      </c>
      <c r="E25" s="101" t="s">
        <v>314</v>
      </c>
      <c r="F25" s="100" t="s">
        <v>273</v>
      </c>
      <c r="G25" s="100" t="s">
        <v>213</v>
      </c>
      <c r="H25" s="100" t="s">
        <v>9</v>
      </c>
      <c r="I25" s="100" t="s">
        <v>190</v>
      </c>
      <c r="J25" s="100"/>
      <c r="K25" s="102">
        <v>68.5</v>
      </c>
      <c r="L25" s="102">
        <f t="shared" si="0"/>
        <v>68.5</v>
      </c>
      <c r="M25" s="103">
        <f>prodnorm43</f>
        <v>0</v>
      </c>
      <c r="N25" s="30">
        <f>dagwerk43</f>
        <v>0</v>
      </c>
      <c r="O25" s="100" t="s">
        <v>96</v>
      </c>
      <c r="P25" s="16">
        <f>uurtarief43</f>
        <v>0</v>
      </c>
      <c r="Q25" s="102" t="e">
        <f t="shared" si="4"/>
        <v>#DIV/0!</v>
      </c>
      <c r="R25" s="102" t="e">
        <f t="shared" si="5"/>
        <v>#DIV/0!</v>
      </c>
      <c r="S25" s="16" t="e">
        <f t="shared" si="6"/>
        <v>#DIV/0!</v>
      </c>
      <c r="T25" s="102" t="e">
        <f t="shared" si="7"/>
        <v>#DIV/0!</v>
      </c>
      <c r="U25" s="17" t="e">
        <f t="shared" si="8"/>
        <v>#DIV/0!</v>
      </c>
    </row>
    <row r="26" spans="1:21" x14ac:dyDescent="0.2">
      <c r="A26" s="99" t="s">
        <v>266</v>
      </c>
      <c r="B26" s="100" t="s">
        <v>37</v>
      </c>
      <c r="C26" s="100" t="s">
        <v>297</v>
      </c>
      <c r="D26" s="100" t="s">
        <v>315</v>
      </c>
      <c r="E26" s="101" t="s">
        <v>314</v>
      </c>
      <c r="F26" s="100" t="s">
        <v>300</v>
      </c>
      <c r="G26" s="100" t="s">
        <v>215</v>
      </c>
      <c r="H26" s="100" t="s">
        <v>9</v>
      </c>
      <c r="I26" s="100" t="s">
        <v>190</v>
      </c>
      <c r="J26" s="100"/>
      <c r="K26" s="102">
        <v>12</v>
      </c>
      <c r="L26" s="102">
        <f t="shared" si="0"/>
        <v>12</v>
      </c>
      <c r="M26" s="103">
        <f>prodnorm44</f>
        <v>0</v>
      </c>
      <c r="N26" s="30">
        <f>dagwerk44</f>
        <v>0</v>
      </c>
      <c r="O26" s="100" t="s">
        <v>96</v>
      </c>
      <c r="P26" s="16">
        <f>uurtarief44</f>
        <v>0</v>
      </c>
      <c r="Q26" s="102" t="e">
        <f t="shared" si="4"/>
        <v>#DIV/0!</v>
      </c>
      <c r="R26" s="102" t="e">
        <f t="shared" si="5"/>
        <v>#DIV/0!</v>
      </c>
      <c r="S26" s="16" t="e">
        <f t="shared" si="6"/>
        <v>#DIV/0!</v>
      </c>
      <c r="T26" s="102" t="e">
        <f t="shared" si="7"/>
        <v>#DIV/0!</v>
      </c>
      <c r="U26" s="17" t="e">
        <f t="shared" si="8"/>
        <v>#DIV/0!</v>
      </c>
    </row>
    <row r="27" spans="1:21" x14ac:dyDescent="0.2">
      <c r="A27" s="99" t="s">
        <v>266</v>
      </c>
      <c r="B27" s="100" t="s">
        <v>37</v>
      </c>
      <c r="C27" s="100" t="s">
        <v>297</v>
      </c>
      <c r="D27" s="100" t="s">
        <v>316</v>
      </c>
      <c r="E27" s="101" t="s">
        <v>317</v>
      </c>
      <c r="F27" s="100" t="s">
        <v>318</v>
      </c>
      <c r="G27" s="100" t="s">
        <v>237</v>
      </c>
      <c r="H27" s="100" t="s">
        <v>17</v>
      </c>
      <c r="I27" s="100" t="s">
        <v>190</v>
      </c>
      <c r="J27" s="100"/>
      <c r="K27" s="102">
        <v>9</v>
      </c>
      <c r="L27" s="102">
        <f t="shared" si="0"/>
        <v>0.42352941176470588</v>
      </c>
      <c r="M27" s="103">
        <f t="shared" ref="M27:M32" si="9">prodnorm61</f>
        <v>0</v>
      </c>
      <c r="N27" s="30">
        <f t="shared" ref="N27:N32" si="10">dagwerk61</f>
        <v>0</v>
      </c>
      <c r="O27" s="100" t="s">
        <v>96</v>
      </c>
      <c r="P27" s="16">
        <f t="shared" ref="P27:P32" si="11">uurtarief61</f>
        <v>0</v>
      </c>
      <c r="Q27" s="102" t="e">
        <f t="shared" si="4"/>
        <v>#DIV/0!</v>
      </c>
      <c r="R27" s="102" t="e">
        <f t="shared" si="5"/>
        <v>#DIV/0!</v>
      </c>
      <c r="S27" s="16" t="e">
        <f t="shared" si="6"/>
        <v>#DIV/0!</v>
      </c>
      <c r="T27" s="102" t="e">
        <f t="shared" si="7"/>
        <v>#DIV/0!</v>
      </c>
      <c r="U27" s="17" t="e">
        <f t="shared" si="8"/>
        <v>#DIV/0!</v>
      </c>
    </row>
    <row r="28" spans="1:21" x14ac:dyDescent="0.2">
      <c r="A28" s="99" t="s">
        <v>266</v>
      </c>
      <c r="B28" s="100" t="s">
        <v>37</v>
      </c>
      <c r="C28" s="100" t="s">
        <v>297</v>
      </c>
      <c r="D28" s="100" t="s">
        <v>319</v>
      </c>
      <c r="E28" s="101" t="s">
        <v>317</v>
      </c>
      <c r="F28" s="100" t="s">
        <v>318</v>
      </c>
      <c r="G28" s="100" t="s">
        <v>237</v>
      </c>
      <c r="H28" s="100" t="s">
        <v>17</v>
      </c>
      <c r="I28" s="100" t="s">
        <v>190</v>
      </c>
      <c r="J28" s="100"/>
      <c r="K28" s="102">
        <v>9</v>
      </c>
      <c r="L28" s="102">
        <f t="shared" si="0"/>
        <v>0.42352941176470588</v>
      </c>
      <c r="M28" s="103">
        <f t="shared" si="9"/>
        <v>0</v>
      </c>
      <c r="N28" s="30">
        <f t="shared" si="10"/>
        <v>0</v>
      </c>
      <c r="O28" s="100" t="s">
        <v>96</v>
      </c>
      <c r="P28" s="16">
        <f t="shared" si="11"/>
        <v>0</v>
      </c>
      <c r="Q28" s="102" t="e">
        <f t="shared" si="4"/>
        <v>#DIV/0!</v>
      </c>
      <c r="R28" s="102" t="e">
        <f t="shared" si="5"/>
        <v>#DIV/0!</v>
      </c>
      <c r="S28" s="16" t="e">
        <f t="shared" si="6"/>
        <v>#DIV/0!</v>
      </c>
      <c r="T28" s="102" t="e">
        <f t="shared" si="7"/>
        <v>#DIV/0!</v>
      </c>
      <c r="U28" s="17" t="e">
        <f t="shared" si="8"/>
        <v>#DIV/0!</v>
      </c>
    </row>
    <row r="29" spans="1:21" x14ac:dyDescent="0.2">
      <c r="A29" s="99" t="s">
        <v>266</v>
      </c>
      <c r="B29" s="100" t="s">
        <v>37</v>
      </c>
      <c r="C29" s="100" t="s">
        <v>297</v>
      </c>
      <c r="D29" s="100" t="s">
        <v>320</v>
      </c>
      <c r="E29" s="101" t="s">
        <v>317</v>
      </c>
      <c r="F29" s="100" t="s">
        <v>318</v>
      </c>
      <c r="G29" s="100" t="s">
        <v>237</v>
      </c>
      <c r="H29" s="100" t="s">
        <v>17</v>
      </c>
      <c r="I29" s="100" t="s">
        <v>190</v>
      </c>
      <c r="J29" s="100"/>
      <c r="K29" s="102">
        <v>9</v>
      </c>
      <c r="L29" s="102">
        <f t="shared" si="0"/>
        <v>0.42352941176470588</v>
      </c>
      <c r="M29" s="103">
        <f t="shared" si="9"/>
        <v>0</v>
      </c>
      <c r="N29" s="30">
        <f t="shared" si="10"/>
        <v>0</v>
      </c>
      <c r="O29" s="100" t="s">
        <v>96</v>
      </c>
      <c r="P29" s="16">
        <f t="shared" si="11"/>
        <v>0</v>
      </c>
      <c r="Q29" s="102" t="e">
        <f t="shared" si="4"/>
        <v>#DIV/0!</v>
      </c>
      <c r="R29" s="102" t="e">
        <f t="shared" si="5"/>
        <v>#DIV/0!</v>
      </c>
      <c r="S29" s="16" t="e">
        <f t="shared" si="6"/>
        <v>#DIV/0!</v>
      </c>
      <c r="T29" s="102" t="e">
        <f t="shared" si="7"/>
        <v>#DIV/0!</v>
      </c>
      <c r="U29" s="17" t="e">
        <f t="shared" si="8"/>
        <v>#DIV/0!</v>
      </c>
    </row>
    <row r="30" spans="1:21" x14ac:dyDescent="0.2">
      <c r="A30" s="99" t="s">
        <v>266</v>
      </c>
      <c r="B30" s="100" t="s">
        <v>37</v>
      </c>
      <c r="C30" s="100" t="s">
        <v>297</v>
      </c>
      <c r="D30" s="100" t="s">
        <v>321</v>
      </c>
      <c r="E30" s="101" t="s">
        <v>322</v>
      </c>
      <c r="F30" s="100" t="s">
        <v>318</v>
      </c>
      <c r="G30" s="100" t="s">
        <v>237</v>
      </c>
      <c r="H30" s="100" t="s">
        <v>17</v>
      </c>
      <c r="I30" s="100" t="s">
        <v>190</v>
      </c>
      <c r="J30" s="100"/>
      <c r="K30" s="102">
        <v>12</v>
      </c>
      <c r="L30" s="102">
        <f t="shared" si="0"/>
        <v>0.56470588235294117</v>
      </c>
      <c r="M30" s="103">
        <f t="shared" si="9"/>
        <v>0</v>
      </c>
      <c r="N30" s="30">
        <f t="shared" si="10"/>
        <v>0</v>
      </c>
      <c r="O30" s="100" t="s">
        <v>96</v>
      </c>
      <c r="P30" s="16">
        <f t="shared" si="11"/>
        <v>0</v>
      </c>
      <c r="Q30" s="102" t="e">
        <f t="shared" si="4"/>
        <v>#DIV/0!</v>
      </c>
      <c r="R30" s="102" t="e">
        <f t="shared" si="5"/>
        <v>#DIV/0!</v>
      </c>
      <c r="S30" s="16" t="e">
        <f t="shared" si="6"/>
        <v>#DIV/0!</v>
      </c>
      <c r="T30" s="102" t="e">
        <f t="shared" si="7"/>
        <v>#DIV/0!</v>
      </c>
      <c r="U30" s="17" t="e">
        <f t="shared" si="8"/>
        <v>#DIV/0!</v>
      </c>
    </row>
    <row r="31" spans="1:21" x14ac:dyDescent="0.2">
      <c r="A31" s="99" t="s">
        <v>266</v>
      </c>
      <c r="B31" s="100" t="s">
        <v>37</v>
      </c>
      <c r="C31" s="100" t="s">
        <v>297</v>
      </c>
      <c r="D31" s="100" t="s">
        <v>323</v>
      </c>
      <c r="E31" s="101" t="s">
        <v>324</v>
      </c>
      <c r="F31" s="100" t="s">
        <v>300</v>
      </c>
      <c r="G31" s="100" t="s">
        <v>237</v>
      </c>
      <c r="H31" s="100" t="s">
        <v>17</v>
      </c>
      <c r="I31" s="100" t="s">
        <v>190</v>
      </c>
      <c r="J31" s="100"/>
      <c r="K31" s="102">
        <v>8</v>
      </c>
      <c r="L31" s="102">
        <f t="shared" si="0"/>
        <v>0.37647058823529411</v>
      </c>
      <c r="M31" s="103">
        <f t="shared" si="9"/>
        <v>0</v>
      </c>
      <c r="N31" s="30">
        <f t="shared" si="10"/>
        <v>0</v>
      </c>
      <c r="O31" s="100" t="s">
        <v>96</v>
      </c>
      <c r="P31" s="16">
        <f t="shared" si="11"/>
        <v>0</v>
      </c>
      <c r="Q31" s="102" t="e">
        <f t="shared" si="4"/>
        <v>#DIV/0!</v>
      </c>
      <c r="R31" s="102" t="e">
        <f t="shared" si="5"/>
        <v>#DIV/0!</v>
      </c>
      <c r="S31" s="16" t="e">
        <f t="shared" si="6"/>
        <v>#DIV/0!</v>
      </c>
      <c r="T31" s="102" t="e">
        <f t="shared" si="7"/>
        <v>#DIV/0!</v>
      </c>
      <c r="U31" s="17" t="e">
        <f t="shared" si="8"/>
        <v>#DIV/0!</v>
      </c>
    </row>
    <row r="32" spans="1:21" x14ac:dyDescent="0.2">
      <c r="A32" s="99" t="s">
        <v>266</v>
      </c>
      <c r="B32" s="100" t="s">
        <v>37</v>
      </c>
      <c r="C32" s="100" t="s">
        <v>297</v>
      </c>
      <c r="D32" s="100" t="s">
        <v>325</v>
      </c>
      <c r="E32" s="101" t="s">
        <v>324</v>
      </c>
      <c r="F32" s="100" t="s">
        <v>273</v>
      </c>
      <c r="G32" s="100" t="s">
        <v>237</v>
      </c>
      <c r="H32" s="100" t="s">
        <v>17</v>
      </c>
      <c r="I32" s="100" t="s">
        <v>190</v>
      </c>
      <c r="J32" s="100"/>
      <c r="K32" s="102">
        <v>3</v>
      </c>
      <c r="L32" s="102">
        <f t="shared" si="0"/>
        <v>0.14117647058823529</v>
      </c>
      <c r="M32" s="103">
        <f t="shared" si="9"/>
        <v>0</v>
      </c>
      <c r="N32" s="30">
        <f t="shared" si="10"/>
        <v>0</v>
      </c>
      <c r="O32" s="100" t="s">
        <v>96</v>
      </c>
      <c r="P32" s="16">
        <f t="shared" si="11"/>
        <v>0</v>
      </c>
      <c r="Q32" s="102" t="e">
        <f t="shared" si="4"/>
        <v>#DIV/0!</v>
      </c>
      <c r="R32" s="102" t="e">
        <f t="shared" si="5"/>
        <v>#DIV/0!</v>
      </c>
      <c r="S32" s="16" t="e">
        <f t="shared" si="6"/>
        <v>#DIV/0!</v>
      </c>
      <c r="T32" s="102" t="e">
        <f t="shared" si="7"/>
        <v>#DIV/0!</v>
      </c>
      <c r="U32" s="17" t="e">
        <f t="shared" si="8"/>
        <v>#DIV/0!</v>
      </c>
    </row>
    <row r="33" spans="1:21" x14ac:dyDescent="0.2">
      <c r="A33" s="99" t="s">
        <v>266</v>
      </c>
      <c r="B33" s="100" t="s">
        <v>37</v>
      </c>
      <c r="C33" s="100" t="s">
        <v>297</v>
      </c>
      <c r="D33" s="100" t="s">
        <v>326</v>
      </c>
      <c r="E33" s="101" t="s">
        <v>299</v>
      </c>
      <c r="F33" s="100" t="s">
        <v>327</v>
      </c>
      <c r="G33" s="100" t="s">
        <v>203</v>
      </c>
      <c r="H33" s="100" t="s">
        <v>9</v>
      </c>
      <c r="I33" s="100" t="s">
        <v>190</v>
      </c>
      <c r="J33" s="100"/>
      <c r="K33" s="102">
        <v>4</v>
      </c>
      <c r="L33" s="102">
        <f t="shared" si="0"/>
        <v>4</v>
      </c>
      <c r="M33" s="103">
        <f>prodnorm37</f>
        <v>0</v>
      </c>
      <c r="N33" s="30">
        <f>dagwerk37</f>
        <v>0</v>
      </c>
      <c r="O33" s="100" t="s">
        <v>96</v>
      </c>
      <c r="P33" s="16">
        <f>uurtarief37</f>
        <v>0</v>
      </c>
      <c r="Q33" s="102" t="e">
        <f t="shared" si="4"/>
        <v>#DIV/0!</v>
      </c>
      <c r="R33" s="102" t="e">
        <f t="shared" si="5"/>
        <v>#DIV/0!</v>
      </c>
      <c r="S33" s="16" t="e">
        <f t="shared" si="6"/>
        <v>#DIV/0!</v>
      </c>
      <c r="T33" s="102" t="e">
        <f t="shared" si="7"/>
        <v>#DIV/0!</v>
      </c>
      <c r="U33" s="17" t="e">
        <f t="shared" si="8"/>
        <v>#DIV/0!</v>
      </c>
    </row>
    <row r="34" spans="1:21" x14ac:dyDescent="0.2">
      <c r="A34" s="99" t="s">
        <v>266</v>
      </c>
      <c r="B34" s="100" t="s">
        <v>37</v>
      </c>
      <c r="C34" s="100" t="s">
        <v>297</v>
      </c>
      <c r="D34" s="100" t="s">
        <v>328</v>
      </c>
      <c r="E34" s="101" t="s">
        <v>299</v>
      </c>
      <c r="F34" s="100" t="s">
        <v>302</v>
      </c>
      <c r="G34" s="100" t="s">
        <v>201</v>
      </c>
      <c r="H34" s="100" t="s">
        <v>9</v>
      </c>
      <c r="I34" s="100" t="s">
        <v>190</v>
      </c>
      <c r="J34" s="100"/>
      <c r="K34" s="102">
        <v>30.3</v>
      </c>
      <c r="L34" s="102">
        <f t="shared" si="0"/>
        <v>30.3</v>
      </c>
      <c r="M34" s="103">
        <f>prodnorm36</f>
        <v>0</v>
      </c>
      <c r="N34" s="30">
        <f>dagwerk36</f>
        <v>0</v>
      </c>
      <c r="O34" s="100" t="s">
        <v>96</v>
      </c>
      <c r="P34" s="16">
        <f>uurtarief36</f>
        <v>0</v>
      </c>
      <c r="Q34" s="102" t="e">
        <f t="shared" si="4"/>
        <v>#DIV/0!</v>
      </c>
      <c r="R34" s="102" t="e">
        <f t="shared" si="5"/>
        <v>#DIV/0!</v>
      </c>
      <c r="S34" s="16" t="e">
        <f t="shared" si="6"/>
        <v>#DIV/0!</v>
      </c>
      <c r="T34" s="102" t="e">
        <f t="shared" si="7"/>
        <v>#DIV/0!</v>
      </c>
      <c r="U34" s="17" t="e">
        <f t="shared" si="8"/>
        <v>#DIV/0!</v>
      </c>
    </row>
    <row r="35" spans="1:21" x14ac:dyDescent="0.2">
      <c r="A35" s="99" t="s">
        <v>266</v>
      </c>
      <c r="B35" s="100" t="s">
        <v>37</v>
      </c>
      <c r="C35" s="100" t="s">
        <v>297</v>
      </c>
      <c r="D35" s="100" t="s">
        <v>329</v>
      </c>
      <c r="E35" s="101" t="s">
        <v>330</v>
      </c>
      <c r="F35" s="100" t="s">
        <v>273</v>
      </c>
      <c r="G35" s="100" t="s">
        <v>192</v>
      </c>
      <c r="H35" s="100" t="s">
        <v>9</v>
      </c>
      <c r="I35" s="100" t="s">
        <v>190</v>
      </c>
      <c r="J35" s="100"/>
      <c r="K35" s="102">
        <v>21.7</v>
      </c>
      <c r="L35" s="102">
        <f t="shared" si="0"/>
        <v>21.7</v>
      </c>
      <c r="M35" s="103">
        <f>prodnorm28</f>
        <v>0</v>
      </c>
      <c r="N35" s="30">
        <f>dagwerk28</f>
        <v>0</v>
      </c>
      <c r="O35" s="100" t="s">
        <v>96</v>
      </c>
      <c r="P35" s="16">
        <f>uurtarief28</f>
        <v>0</v>
      </c>
      <c r="Q35" s="102" t="e">
        <f t="shared" si="4"/>
        <v>#DIV/0!</v>
      </c>
      <c r="R35" s="102" t="e">
        <f t="shared" si="5"/>
        <v>#DIV/0!</v>
      </c>
      <c r="S35" s="16" t="e">
        <f t="shared" si="6"/>
        <v>#DIV/0!</v>
      </c>
      <c r="T35" s="102" t="e">
        <f t="shared" si="7"/>
        <v>#DIV/0!</v>
      </c>
      <c r="U35" s="17" t="e">
        <f t="shared" si="8"/>
        <v>#DIV/0!</v>
      </c>
    </row>
    <row r="36" spans="1:21" x14ac:dyDescent="0.2">
      <c r="A36" s="99" t="s">
        <v>266</v>
      </c>
      <c r="B36" s="100" t="s">
        <v>37</v>
      </c>
      <c r="C36" s="100" t="s">
        <v>297</v>
      </c>
      <c r="D36" s="100" t="s">
        <v>331</v>
      </c>
      <c r="E36" s="101" t="s">
        <v>330</v>
      </c>
      <c r="F36" s="100" t="s">
        <v>300</v>
      </c>
      <c r="G36" s="100" t="s">
        <v>194</v>
      </c>
      <c r="H36" s="100" t="s">
        <v>9</v>
      </c>
      <c r="I36" s="100" t="s">
        <v>190</v>
      </c>
      <c r="J36" s="100"/>
      <c r="K36" s="102">
        <v>10.5</v>
      </c>
      <c r="L36" s="102">
        <f t="shared" si="0"/>
        <v>10.5</v>
      </c>
      <c r="M36" s="103">
        <f>prodnorm30</f>
        <v>0</v>
      </c>
      <c r="N36" s="30">
        <f>dagwerk30</f>
        <v>0</v>
      </c>
      <c r="O36" s="100" t="s">
        <v>96</v>
      </c>
      <c r="P36" s="16">
        <f>uurtarief30</f>
        <v>0</v>
      </c>
      <c r="Q36" s="102" t="e">
        <f t="shared" si="4"/>
        <v>#DIV/0!</v>
      </c>
      <c r="R36" s="102" t="e">
        <f t="shared" si="5"/>
        <v>#DIV/0!</v>
      </c>
      <c r="S36" s="16" t="e">
        <f t="shared" si="6"/>
        <v>#DIV/0!</v>
      </c>
      <c r="T36" s="102" t="e">
        <f t="shared" si="7"/>
        <v>#DIV/0!</v>
      </c>
      <c r="U36" s="17" t="e">
        <f t="shared" si="8"/>
        <v>#DIV/0!</v>
      </c>
    </row>
    <row r="37" spans="1:21" x14ac:dyDescent="0.2">
      <c r="A37" s="99" t="s">
        <v>266</v>
      </c>
      <c r="B37" s="100" t="s">
        <v>37</v>
      </c>
      <c r="C37" s="100" t="s">
        <v>297</v>
      </c>
      <c r="D37" s="100" t="s">
        <v>332</v>
      </c>
      <c r="E37" s="101" t="s">
        <v>333</v>
      </c>
      <c r="F37" s="100" t="s">
        <v>300</v>
      </c>
      <c r="G37" s="100" t="s">
        <v>237</v>
      </c>
      <c r="H37" s="100" t="s">
        <v>17</v>
      </c>
      <c r="I37" s="100" t="s">
        <v>190</v>
      </c>
      <c r="J37" s="100"/>
      <c r="K37" s="102">
        <v>33.200000000000003</v>
      </c>
      <c r="L37" s="102">
        <f t="shared" ref="L37:L68" si="12">K37*VLOOKUP(H37,dagsoorttabel1,2,FALSE)</f>
        <v>1.5623529411764707</v>
      </c>
      <c r="M37" s="103">
        <f>prodnorm61</f>
        <v>0</v>
      </c>
      <c r="N37" s="30">
        <f>dagwerk61</f>
        <v>0</v>
      </c>
      <c r="O37" s="100" t="s">
        <v>96</v>
      </c>
      <c r="P37" s="16">
        <f>uurtarief61</f>
        <v>0</v>
      </c>
      <c r="Q37" s="102" t="e">
        <f t="shared" ref="Q37:Q67" si="13">IF(ISBLANK(M37),0,L37/ROUND(M37,4))</f>
        <v>#DIV/0!</v>
      </c>
      <c r="R37" s="102" t="e">
        <f t="shared" ref="R37:R68" si="14">IF(ISBLANK(M37),0,Q37*ROUND(N37,2))</f>
        <v>#DIV/0!</v>
      </c>
      <c r="S37" s="16" t="e">
        <f t="shared" ref="S37:S68" si="15">ROUND(P37,2)*Q37</f>
        <v>#DIV/0!</v>
      </c>
      <c r="T37" s="102" t="e">
        <f t="shared" ref="T37:T68" si="16">Q37*dagenperjaar1</f>
        <v>#DIV/0!</v>
      </c>
      <c r="U37" s="17" t="e">
        <f t="shared" ref="U37:U68" si="17">T37*ROUND(P37,2)</f>
        <v>#DIV/0!</v>
      </c>
    </row>
    <row r="38" spans="1:21" x14ac:dyDescent="0.2">
      <c r="A38" s="99" t="s">
        <v>266</v>
      </c>
      <c r="B38" s="100" t="s">
        <v>37</v>
      </c>
      <c r="C38" s="100" t="s">
        <v>297</v>
      </c>
      <c r="D38" s="100" t="s">
        <v>334</v>
      </c>
      <c r="E38" s="101" t="s">
        <v>335</v>
      </c>
      <c r="F38" s="100" t="s">
        <v>300</v>
      </c>
      <c r="G38" s="100" t="s">
        <v>194</v>
      </c>
      <c r="H38" s="100" t="s">
        <v>9</v>
      </c>
      <c r="I38" s="100" t="s">
        <v>190</v>
      </c>
      <c r="J38" s="100"/>
      <c r="K38" s="102">
        <v>29.5</v>
      </c>
      <c r="L38" s="102">
        <f t="shared" si="12"/>
        <v>29.5</v>
      </c>
      <c r="M38" s="103">
        <f>prodnorm30</f>
        <v>0</v>
      </c>
      <c r="N38" s="30">
        <f>dagwerk30</f>
        <v>0</v>
      </c>
      <c r="O38" s="100" t="s">
        <v>96</v>
      </c>
      <c r="P38" s="16">
        <f>uurtarief30</f>
        <v>0</v>
      </c>
      <c r="Q38" s="102" t="e">
        <f t="shared" si="13"/>
        <v>#DIV/0!</v>
      </c>
      <c r="R38" s="102" t="e">
        <f t="shared" si="14"/>
        <v>#DIV/0!</v>
      </c>
      <c r="S38" s="16" t="e">
        <f t="shared" si="15"/>
        <v>#DIV/0!</v>
      </c>
      <c r="T38" s="102" t="e">
        <f t="shared" si="16"/>
        <v>#DIV/0!</v>
      </c>
      <c r="U38" s="17" t="e">
        <f t="shared" si="17"/>
        <v>#DIV/0!</v>
      </c>
    </row>
    <row r="39" spans="1:21" x14ac:dyDescent="0.2">
      <c r="A39" s="99" t="s">
        <v>266</v>
      </c>
      <c r="B39" s="100" t="s">
        <v>37</v>
      </c>
      <c r="C39" s="100" t="s">
        <v>297</v>
      </c>
      <c r="D39" s="100" t="s">
        <v>336</v>
      </c>
      <c r="E39" s="101" t="s">
        <v>337</v>
      </c>
      <c r="F39" s="100" t="s">
        <v>273</v>
      </c>
      <c r="G39" s="100" t="s">
        <v>213</v>
      </c>
      <c r="H39" s="100" t="s">
        <v>9</v>
      </c>
      <c r="I39" s="100" t="s">
        <v>190</v>
      </c>
      <c r="J39" s="100"/>
      <c r="K39" s="102">
        <v>86</v>
      </c>
      <c r="L39" s="102">
        <f t="shared" si="12"/>
        <v>86</v>
      </c>
      <c r="M39" s="103">
        <f>prodnorm43</f>
        <v>0</v>
      </c>
      <c r="N39" s="30">
        <f>dagwerk43</f>
        <v>0</v>
      </c>
      <c r="O39" s="100" t="s">
        <v>96</v>
      </c>
      <c r="P39" s="16">
        <f>uurtarief43</f>
        <v>0</v>
      </c>
      <c r="Q39" s="102" t="e">
        <f t="shared" si="13"/>
        <v>#DIV/0!</v>
      </c>
      <c r="R39" s="102" t="e">
        <f t="shared" si="14"/>
        <v>#DIV/0!</v>
      </c>
      <c r="S39" s="16" t="e">
        <f t="shared" si="15"/>
        <v>#DIV/0!</v>
      </c>
      <c r="T39" s="102" t="e">
        <f t="shared" si="16"/>
        <v>#DIV/0!</v>
      </c>
      <c r="U39" s="17" t="e">
        <f t="shared" si="17"/>
        <v>#DIV/0!</v>
      </c>
    </row>
    <row r="40" spans="1:21" x14ac:dyDescent="0.2">
      <c r="A40" s="99" t="s">
        <v>266</v>
      </c>
      <c r="B40" s="100" t="s">
        <v>37</v>
      </c>
      <c r="C40" s="100" t="s">
        <v>297</v>
      </c>
      <c r="D40" s="100" t="s">
        <v>338</v>
      </c>
      <c r="E40" s="101" t="s">
        <v>304</v>
      </c>
      <c r="F40" s="100" t="s">
        <v>276</v>
      </c>
      <c r="G40" s="100" t="s">
        <v>229</v>
      </c>
      <c r="H40" s="100" t="s">
        <v>9</v>
      </c>
      <c r="I40" s="100" t="s">
        <v>190</v>
      </c>
      <c r="J40" s="100"/>
      <c r="K40" s="102">
        <v>4.5</v>
      </c>
      <c r="L40" s="102">
        <f t="shared" si="12"/>
        <v>4.5</v>
      </c>
      <c r="M40" s="103">
        <f>prodnorm55</f>
        <v>0</v>
      </c>
      <c r="N40" s="30">
        <f>dagwerk55</f>
        <v>0</v>
      </c>
      <c r="O40" s="100" t="s">
        <v>96</v>
      </c>
      <c r="P40" s="16">
        <f>uurtarief55</f>
        <v>0</v>
      </c>
      <c r="Q40" s="102" t="e">
        <f t="shared" si="13"/>
        <v>#DIV/0!</v>
      </c>
      <c r="R40" s="102" t="e">
        <f t="shared" si="14"/>
        <v>#DIV/0!</v>
      </c>
      <c r="S40" s="16" t="e">
        <f t="shared" si="15"/>
        <v>#DIV/0!</v>
      </c>
      <c r="T40" s="102" t="e">
        <f t="shared" si="16"/>
        <v>#DIV/0!</v>
      </c>
      <c r="U40" s="17" t="e">
        <f t="shared" si="17"/>
        <v>#DIV/0!</v>
      </c>
    </row>
    <row r="41" spans="1:21" x14ac:dyDescent="0.2">
      <c r="A41" s="99" t="s">
        <v>266</v>
      </c>
      <c r="B41" s="100" t="s">
        <v>37</v>
      </c>
      <c r="C41" s="100" t="s">
        <v>297</v>
      </c>
      <c r="D41" s="100" t="s">
        <v>338</v>
      </c>
      <c r="E41" s="101" t="s">
        <v>304</v>
      </c>
      <c r="F41" s="100" t="s">
        <v>276</v>
      </c>
      <c r="G41" s="100" t="s">
        <v>235</v>
      </c>
      <c r="H41" s="100" t="s">
        <v>23</v>
      </c>
      <c r="I41" s="100" t="s">
        <v>190</v>
      </c>
      <c r="J41" s="100"/>
      <c r="K41" s="102">
        <v>4.5</v>
      </c>
      <c r="L41" s="102">
        <f t="shared" si="12"/>
        <v>1.7647058823529412E-2</v>
      </c>
      <c r="M41" s="103">
        <f>prodnorm59</f>
        <v>0</v>
      </c>
      <c r="N41" s="30">
        <f>dagwerk59</f>
        <v>0</v>
      </c>
      <c r="O41" s="100" t="s">
        <v>96</v>
      </c>
      <c r="P41" s="16">
        <f>uurtarief59</f>
        <v>0</v>
      </c>
      <c r="Q41" s="102" t="e">
        <f t="shared" si="13"/>
        <v>#DIV/0!</v>
      </c>
      <c r="R41" s="102" t="e">
        <f t="shared" si="14"/>
        <v>#DIV/0!</v>
      </c>
      <c r="S41" s="16" t="e">
        <f t="shared" si="15"/>
        <v>#DIV/0!</v>
      </c>
      <c r="T41" s="102" t="e">
        <f t="shared" si="16"/>
        <v>#DIV/0!</v>
      </c>
      <c r="U41" s="17" t="e">
        <f t="shared" si="17"/>
        <v>#DIV/0!</v>
      </c>
    </row>
    <row r="42" spans="1:21" x14ac:dyDescent="0.2">
      <c r="A42" s="99" t="s">
        <v>266</v>
      </c>
      <c r="B42" s="100" t="s">
        <v>37</v>
      </c>
      <c r="C42" s="100" t="s">
        <v>297</v>
      </c>
      <c r="D42" s="100" t="s">
        <v>339</v>
      </c>
      <c r="E42" s="101" t="s">
        <v>340</v>
      </c>
      <c r="F42" s="100" t="s">
        <v>270</v>
      </c>
      <c r="G42" s="100" t="s">
        <v>222</v>
      </c>
      <c r="H42" s="100" t="s">
        <v>9</v>
      </c>
      <c r="I42" s="100" t="s">
        <v>190</v>
      </c>
      <c r="J42" s="100"/>
      <c r="K42" s="102">
        <v>6.8</v>
      </c>
      <c r="L42" s="102">
        <f t="shared" si="12"/>
        <v>6.8</v>
      </c>
      <c r="M42" s="103">
        <f>prodnorm50</f>
        <v>0</v>
      </c>
      <c r="N42" s="30">
        <f>dagwerk50</f>
        <v>0</v>
      </c>
      <c r="O42" s="100" t="s">
        <v>96</v>
      </c>
      <c r="P42" s="16">
        <f>uurtarief50</f>
        <v>0</v>
      </c>
      <c r="Q42" s="102" t="e">
        <f t="shared" si="13"/>
        <v>#DIV/0!</v>
      </c>
      <c r="R42" s="102" t="e">
        <f t="shared" si="14"/>
        <v>#DIV/0!</v>
      </c>
      <c r="S42" s="16" t="e">
        <f t="shared" si="15"/>
        <v>#DIV/0!</v>
      </c>
      <c r="T42" s="102" t="e">
        <f t="shared" si="16"/>
        <v>#DIV/0!</v>
      </c>
      <c r="U42" s="17" t="e">
        <f t="shared" si="17"/>
        <v>#DIV/0!</v>
      </c>
    </row>
    <row r="43" spans="1:21" x14ac:dyDescent="0.2">
      <c r="A43" s="99" t="s">
        <v>266</v>
      </c>
      <c r="B43" s="100" t="s">
        <v>37</v>
      </c>
      <c r="C43" s="100" t="s">
        <v>297</v>
      </c>
      <c r="D43" s="100" t="s">
        <v>339</v>
      </c>
      <c r="E43" s="101" t="s">
        <v>340</v>
      </c>
      <c r="F43" s="100" t="s">
        <v>270</v>
      </c>
      <c r="G43" s="100" t="s">
        <v>224</v>
      </c>
      <c r="H43" s="100" t="s">
        <v>10</v>
      </c>
      <c r="I43" s="100" t="s">
        <v>190</v>
      </c>
      <c r="J43" s="100"/>
      <c r="K43" s="102">
        <v>6.8</v>
      </c>
      <c r="L43" s="102">
        <f t="shared" si="12"/>
        <v>5.44</v>
      </c>
      <c r="M43" s="103">
        <f>prodnorm51</f>
        <v>0</v>
      </c>
      <c r="N43" s="30">
        <f>dagwerk51</f>
        <v>0</v>
      </c>
      <c r="O43" s="100" t="s">
        <v>96</v>
      </c>
      <c r="P43" s="16">
        <f>uurtarief51</f>
        <v>0</v>
      </c>
      <c r="Q43" s="102" t="e">
        <f t="shared" si="13"/>
        <v>#DIV/0!</v>
      </c>
      <c r="R43" s="102" t="e">
        <f t="shared" si="14"/>
        <v>#DIV/0!</v>
      </c>
      <c r="S43" s="16" t="e">
        <f t="shared" si="15"/>
        <v>#DIV/0!</v>
      </c>
      <c r="T43" s="102" t="e">
        <f t="shared" si="16"/>
        <v>#DIV/0!</v>
      </c>
      <c r="U43" s="17" t="e">
        <f t="shared" si="17"/>
        <v>#DIV/0!</v>
      </c>
    </row>
    <row r="44" spans="1:21" x14ac:dyDescent="0.2">
      <c r="A44" s="99" t="s">
        <v>266</v>
      </c>
      <c r="B44" s="100" t="s">
        <v>37</v>
      </c>
      <c r="C44" s="100" t="s">
        <v>297</v>
      </c>
      <c r="D44" s="100" t="s">
        <v>341</v>
      </c>
      <c r="E44" s="101" t="s">
        <v>340</v>
      </c>
      <c r="F44" s="100" t="s">
        <v>270</v>
      </c>
      <c r="G44" s="100" t="s">
        <v>222</v>
      </c>
      <c r="H44" s="100" t="s">
        <v>9</v>
      </c>
      <c r="I44" s="100" t="s">
        <v>190</v>
      </c>
      <c r="J44" s="100"/>
      <c r="K44" s="102">
        <v>6.8</v>
      </c>
      <c r="L44" s="102">
        <f t="shared" si="12"/>
        <v>6.8</v>
      </c>
      <c r="M44" s="103">
        <f>prodnorm50</f>
        <v>0</v>
      </c>
      <c r="N44" s="30">
        <f>dagwerk50</f>
        <v>0</v>
      </c>
      <c r="O44" s="100" t="s">
        <v>96</v>
      </c>
      <c r="P44" s="16">
        <f>uurtarief50</f>
        <v>0</v>
      </c>
      <c r="Q44" s="102" t="e">
        <f t="shared" si="13"/>
        <v>#DIV/0!</v>
      </c>
      <c r="R44" s="102" t="e">
        <f t="shared" si="14"/>
        <v>#DIV/0!</v>
      </c>
      <c r="S44" s="16" t="e">
        <f t="shared" si="15"/>
        <v>#DIV/0!</v>
      </c>
      <c r="T44" s="102" t="e">
        <f t="shared" si="16"/>
        <v>#DIV/0!</v>
      </c>
      <c r="U44" s="17" t="e">
        <f t="shared" si="17"/>
        <v>#DIV/0!</v>
      </c>
    </row>
    <row r="45" spans="1:21" x14ac:dyDescent="0.2">
      <c r="A45" s="99" t="s">
        <v>266</v>
      </c>
      <c r="B45" s="100" t="s">
        <v>37</v>
      </c>
      <c r="C45" s="100" t="s">
        <v>297</v>
      </c>
      <c r="D45" s="100" t="s">
        <v>341</v>
      </c>
      <c r="E45" s="101" t="s">
        <v>340</v>
      </c>
      <c r="F45" s="100" t="s">
        <v>270</v>
      </c>
      <c r="G45" s="100" t="s">
        <v>224</v>
      </c>
      <c r="H45" s="100" t="s">
        <v>10</v>
      </c>
      <c r="I45" s="100" t="s">
        <v>190</v>
      </c>
      <c r="J45" s="100"/>
      <c r="K45" s="102">
        <v>6.8</v>
      </c>
      <c r="L45" s="102">
        <f t="shared" si="12"/>
        <v>5.44</v>
      </c>
      <c r="M45" s="103">
        <f>prodnorm51</f>
        <v>0</v>
      </c>
      <c r="N45" s="30">
        <f>dagwerk51</f>
        <v>0</v>
      </c>
      <c r="O45" s="100" t="s">
        <v>96</v>
      </c>
      <c r="P45" s="16">
        <f>uurtarief51</f>
        <v>0</v>
      </c>
      <c r="Q45" s="102" t="e">
        <f t="shared" si="13"/>
        <v>#DIV/0!</v>
      </c>
      <c r="R45" s="102" t="e">
        <f t="shared" si="14"/>
        <v>#DIV/0!</v>
      </c>
      <c r="S45" s="16" t="e">
        <f t="shared" si="15"/>
        <v>#DIV/0!</v>
      </c>
      <c r="T45" s="102" t="e">
        <f t="shared" si="16"/>
        <v>#DIV/0!</v>
      </c>
      <c r="U45" s="17" t="e">
        <f t="shared" si="17"/>
        <v>#DIV/0!</v>
      </c>
    </row>
    <row r="46" spans="1:21" x14ac:dyDescent="0.2">
      <c r="A46" s="99" t="s">
        <v>266</v>
      </c>
      <c r="B46" s="100" t="s">
        <v>37</v>
      </c>
      <c r="C46" s="100" t="s">
        <v>297</v>
      </c>
      <c r="D46" s="100" t="s">
        <v>342</v>
      </c>
      <c r="E46" s="101" t="s">
        <v>304</v>
      </c>
      <c r="F46" s="100" t="s">
        <v>276</v>
      </c>
      <c r="G46" s="100" t="s">
        <v>229</v>
      </c>
      <c r="H46" s="100" t="s">
        <v>9</v>
      </c>
      <c r="I46" s="100" t="s">
        <v>190</v>
      </c>
      <c r="J46" s="100"/>
      <c r="K46" s="102">
        <v>16.2</v>
      </c>
      <c r="L46" s="102">
        <f t="shared" si="12"/>
        <v>16.2</v>
      </c>
      <c r="M46" s="103">
        <f>prodnorm55</f>
        <v>0</v>
      </c>
      <c r="N46" s="30">
        <f>dagwerk55</f>
        <v>0</v>
      </c>
      <c r="O46" s="100" t="s">
        <v>96</v>
      </c>
      <c r="P46" s="16">
        <f>uurtarief55</f>
        <v>0</v>
      </c>
      <c r="Q46" s="102" t="e">
        <f t="shared" si="13"/>
        <v>#DIV/0!</v>
      </c>
      <c r="R46" s="102" t="e">
        <f t="shared" si="14"/>
        <v>#DIV/0!</v>
      </c>
      <c r="S46" s="16" t="e">
        <f t="shared" si="15"/>
        <v>#DIV/0!</v>
      </c>
      <c r="T46" s="102" t="e">
        <f t="shared" si="16"/>
        <v>#DIV/0!</v>
      </c>
      <c r="U46" s="17" t="e">
        <f t="shared" si="17"/>
        <v>#DIV/0!</v>
      </c>
    </row>
    <row r="47" spans="1:21" x14ac:dyDescent="0.2">
      <c r="A47" s="99" t="s">
        <v>266</v>
      </c>
      <c r="B47" s="100" t="s">
        <v>37</v>
      </c>
      <c r="C47" s="100" t="s">
        <v>297</v>
      </c>
      <c r="D47" s="100" t="s">
        <v>342</v>
      </c>
      <c r="E47" s="101" t="s">
        <v>304</v>
      </c>
      <c r="F47" s="100" t="s">
        <v>276</v>
      </c>
      <c r="G47" s="100" t="s">
        <v>235</v>
      </c>
      <c r="H47" s="100" t="s">
        <v>23</v>
      </c>
      <c r="I47" s="100" t="s">
        <v>190</v>
      </c>
      <c r="J47" s="100"/>
      <c r="K47" s="102">
        <v>16.2</v>
      </c>
      <c r="L47" s="102">
        <f t="shared" si="12"/>
        <v>6.3529411764705876E-2</v>
      </c>
      <c r="M47" s="103">
        <f>prodnorm59</f>
        <v>0</v>
      </c>
      <c r="N47" s="30">
        <f>dagwerk59</f>
        <v>0</v>
      </c>
      <c r="O47" s="100" t="s">
        <v>96</v>
      </c>
      <c r="P47" s="16">
        <f>uurtarief59</f>
        <v>0</v>
      </c>
      <c r="Q47" s="102" t="e">
        <f t="shared" si="13"/>
        <v>#DIV/0!</v>
      </c>
      <c r="R47" s="102" t="e">
        <f t="shared" si="14"/>
        <v>#DIV/0!</v>
      </c>
      <c r="S47" s="16" t="e">
        <f t="shared" si="15"/>
        <v>#DIV/0!</v>
      </c>
      <c r="T47" s="102" t="e">
        <f t="shared" si="16"/>
        <v>#DIV/0!</v>
      </c>
      <c r="U47" s="17" t="e">
        <f t="shared" si="17"/>
        <v>#DIV/0!</v>
      </c>
    </row>
    <row r="48" spans="1:21" x14ac:dyDescent="0.2">
      <c r="A48" s="99" t="s">
        <v>266</v>
      </c>
      <c r="B48" s="100" t="s">
        <v>37</v>
      </c>
      <c r="C48" s="100" t="s">
        <v>297</v>
      </c>
      <c r="D48" s="100" t="s">
        <v>343</v>
      </c>
      <c r="E48" s="101" t="s">
        <v>344</v>
      </c>
      <c r="F48" s="100" t="s">
        <v>270</v>
      </c>
      <c r="G48" s="100" t="s">
        <v>217</v>
      </c>
      <c r="H48" s="100" t="s">
        <v>9</v>
      </c>
      <c r="I48" s="100" t="s">
        <v>190</v>
      </c>
      <c r="J48" s="100"/>
      <c r="K48" s="102">
        <v>7.4</v>
      </c>
      <c r="L48" s="102">
        <f t="shared" si="12"/>
        <v>7.4</v>
      </c>
      <c r="M48" s="103">
        <f>prodnorm46</f>
        <v>0</v>
      </c>
      <c r="N48" s="30">
        <f>dagwerk46</f>
        <v>0</v>
      </c>
      <c r="O48" s="100" t="s">
        <v>96</v>
      </c>
      <c r="P48" s="16">
        <f>uurtarief46</f>
        <v>0</v>
      </c>
      <c r="Q48" s="102" t="e">
        <f t="shared" si="13"/>
        <v>#DIV/0!</v>
      </c>
      <c r="R48" s="102" t="e">
        <f t="shared" si="14"/>
        <v>#DIV/0!</v>
      </c>
      <c r="S48" s="16" t="e">
        <f t="shared" si="15"/>
        <v>#DIV/0!</v>
      </c>
      <c r="T48" s="102" t="e">
        <f t="shared" si="16"/>
        <v>#DIV/0!</v>
      </c>
      <c r="U48" s="17" t="e">
        <f t="shared" si="17"/>
        <v>#DIV/0!</v>
      </c>
    </row>
    <row r="49" spans="1:21" x14ac:dyDescent="0.2">
      <c r="A49" s="99" t="s">
        <v>266</v>
      </c>
      <c r="B49" s="100" t="s">
        <v>37</v>
      </c>
      <c r="C49" s="100" t="s">
        <v>297</v>
      </c>
      <c r="D49" s="100" t="s">
        <v>345</v>
      </c>
      <c r="E49" s="101" t="s">
        <v>304</v>
      </c>
      <c r="F49" s="100" t="s">
        <v>276</v>
      </c>
      <c r="G49" s="100" t="s">
        <v>237</v>
      </c>
      <c r="H49" s="100" t="s">
        <v>17</v>
      </c>
      <c r="I49" s="100" t="s">
        <v>190</v>
      </c>
      <c r="J49" s="100"/>
      <c r="K49" s="102">
        <v>5.3</v>
      </c>
      <c r="L49" s="102">
        <f t="shared" si="12"/>
        <v>0.24941176470588233</v>
      </c>
      <c r="M49" s="103">
        <f t="shared" ref="M49:M62" si="18">prodnorm61</f>
        <v>0</v>
      </c>
      <c r="N49" s="30">
        <f t="shared" ref="N49:N62" si="19">dagwerk61</f>
        <v>0</v>
      </c>
      <c r="O49" s="100" t="s">
        <v>96</v>
      </c>
      <c r="P49" s="16">
        <f t="shared" ref="P49:P62" si="20">uurtarief61</f>
        <v>0</v>
      </c>
      <c r="Q49" s="102" t="e">
        <f t="shared" si="13"/>
        <v>#DIV/0!</v>
      </c>
      <c r="R49" s="102" t="e">
        <f t="shared" si="14"/>
        <v>#DIV/0!</v>
      </c>
      <c r="S49" s="16" t="e">
        <f t="shared" si="15"/>
        <v>#DIV/0!</v>
      </c>
      <c r="T49" s="102" t="e">
        <f t="shared" si="16"/>
        <v>#DIV/0!</v>
      </c>
      <c r="U49" s="17" t="e">
        <f t="shared" si="17"/>
        <v>#DIV/0!</v>
      </c>
    </row>
    <row r="50" spans="1:21" x14ac:dyDescent="0.2">
      <c r="A50" s="99" t="s">
        <v>266</v>
      </c>
      <c r="B50" s="100" t="s">
        <v>37</v>
      </c>
      <c r="C50" s="100" t="s">
        <v>297</v>
      </c>
      <c r="D50" s="100" t="s">
        <v>346</v>
      </c>
      <c r="E50" s="101" t="s">
        <v>347</v>
      </c>
      <c r="F50" s="100" t="s">
        <v>300</v>
      </c>
      <c r="G50" s="100" t="s">
        <v>237</v>
      </c>
      <c r="H50" s="100" t="s">
        <v>17</v>
      </c>
      <c r="I50" s="100" t="s">
        <v>190</v>
      </c>
      <c r="J50" s="100"/>
      <c r="K50" s="102">
        <v>16</v>
      </c>
      <c r="L50" s="102">
        <f t="shared" si="12"/>
        <v>0.75294117647058822</v>
      </c>
      <c r="M50" s="103">
        <f t="shared" si="18"/>
        <v>0</v>
      </c>
      <c r="N50" s="30">
        <f t="shared" si="19"/>
        <v>0</v>
      </c>
      <c r="O50" s="100" t="s">
        <v>96</v>
      </c>
      <c r="P50" s="16">
        <f t="shared" si="20"/>
        <v>0</v>
      </c>
      <c r="Q50" s="102" t="e">
        <f t="shared" si="13"/>
        <v>#DIV/0!</v>
      </c>
      <c r="R50" s="102" t="e">
        <f t="shared" si="14"/>
        <v>#DIV/0!</v>
      </c>
      <c r="S50" s="16" t="e">
        <f t="shared" si="15"/>
        <v>#DIV/0!</v>
      </c>
      <c r="T50" s="102" t="e">
        <f t="shared" si="16"/>
        <v>#DIV/0!</v>
      </c>
      <c r="U50" s="17" t="e">
        <f t="shared" si="17"/>
        <v>#DIV/0!</v>
      </c>
    </row>
    <row r="51" spans="1:21" x14ac:dyDescent="0.2">
      <c r="A51" s="99" t="s">
        <v>266</v>
      </c>
      <c r="B51" s="100" t="s">
        <v>37</v>
      </c>
      <c r="C51" s="100" t="s">
        <v>297</v>
      </c>
      <c r="D51" s="100" t="s">
        <v>348</v>
      </c>
      <c r="E51" s="101" t="s">
        <v>349</v>
      </c>
      <c r="F51" s="100" t="s">
        <v>300</v>
      </c>
      <c r="G51" s="100" t="s">
        <v>237</v>
      </c>
      <c r="H51" s="100" t="s">
        <v>17</v>
      </c>
      <c r="I51" s="100" t="s">
        <v>190</v>
      </c>
      <c r="J51" s="100"/>
      <c r="K51" s="102">
        <v>10.1</v>
      </c>
      <c r="L51" s="102">
        <f t="shared" si="12"/>
        <v>0.47529411764705881</v>
      </c>
      <c r="M51" s="103">
        <f t="shared" si="18"/>
        <v>0</v>
      </c>
      <c r="N51" s="30">
        <f t="shared" si="19"/>
        <v>0</v>
      </c>
      <c r="O51" s="100" t="s">
        <v>96</v>
      </c>
      <c r="P51" s="16">
        <f t="shared" si="20"/>
        <v>0</v>
      </c>
      <c r="Q51" s="102" t="e">
        <f t="shared" si="13"/>
        <v>#DIV/0!</v>
      </c>
      <c r="R51" s="102" t="e">
        <f t="shared" si="14"/>
        <v>#DIV/0!</v>
      </c>
      <c r="S51" s="16" t="e">
        <f t="shared" si="15"/>
        <v>#DIV/0!</v>
      </c>
      <c r="T51" s="102" t="e">
        <f t="shared" si="16"/>
        <v>#DIV/0!</v>
      </c>
      <c r="U51" s="17" t="e">
        <f t="shared" si="17"/>
        <v>#DIV/0!</v>
      </c>
    </row>
    <row r="52" spans="1:21" x14ac:dyDescent="0.2">
      <c r="A52" s="99" t="s">
        <v>266</v>
      </c>
      <c r="B52" s="100" t="s">
        <v>37</v>
      </c>
      <c r="C52" s="100" t="s">
        <v>297</v>
      </c>
      <c r="D52" s="100" t="s">
        <v>350</v>
      </c>
      <c r="E52" s="101" t="s">
        <v>351</v>
      </c>
      <c r="F52" s="100" t="s">
        <v>270</v>
      </c>
      <c r="G52" s="100" t="s">
        <v>237</v>
      </c>
      <c r="H52" s="100" t="s">
        <v>17</v>
      </c>
      <c r="I52" s="100" t="s">
        <v>190</v>
      </c>
      <c r="J52" s="100"/>
      <c r="K52" s="102">
        <v>5</v>
      </c>
      <c r="L52" s="102">
        <f t="shared" si="12"/>
        <v>0.23529411764705882</v>
      </c>
      <c r="M52" s="103">
        <f t="shared" si="18"/>
        <v>0</v>
      </c>
      <c r="N52" s="30">
        <f t="shared" si="19"/>
        <v>0</v>
      </c>
      <c r="O52" s="100" t="s">
        <v>96</v>
      </c>
      <c r="P52" s="16">
        <f t="shared" si="20"/>
        <v>0</v>
      </c>
      <c r="Q52" s="102" t="e">
        <f t="shared" si="13"/>
        <v>#DIV/0!</v>
      </c>
      <c r="R52" s="102" t="e">
        <f t="shared" si="14"/>
        <v>#DIV/0!</v>
      </c>
      <c r="S52" s="16" t="e">
        <f t="shared" si="15"/>
        <v>#DIV/0!</v>
      </c>
      <c r="T52" s="102" t="e">
        <f t="shared" si="16"/>
        <v>#DIV/0!</v>
      </c>
      <c r="U52" s="17" t="e">
        <f t="shared" si="17"/>
        <v>#DIV/0!</v>
      </c>
    </row>
    <row r="53" spans="1:21" x14ac:dyDescent="0.2">
      <c r="A53" s="99" t="s">
        <v>266</v>
      </c>
      <c r="B53" s="100" t="s">
        <v>37</v>
      </c>
      <c r="C53" s="100" t="s">
        <v>297</v>
      </c>
      <c r="D53" s="100" t="s">
        <v>352</v>
      </c>
      <c r="E53" s="101" t="s">
        <v>347</v>
      </c>
      <c r="F53" s="100" t="s">
        <v>300</v>
      </c>
      <c r="G53" s="100" t="s">
        <v>237</v>
      </c>
      <c r="H53" s="100" t="s">
        <v>17</v>
      </c>
      <c r="I53" s="100" t="s">
        <v>190</v>
      </c>
      <c r="J53" s="100"/>
      <c r="K53" s="102">
        <v>54</v>
      </c>
      <c r="L53" s="102">
        <f t="shared" si="12"/>
        <v>2.5411764705882351</v>
      </c>
      <c r="M53" s="103">
        <f t="shared" si="18"/>
        <v>0</v>
      </c>
      <c r="N53" s="30">
        <f t="shared" si="19"/>
        <v>0</v>
      </c>
      <c r="O53" s="100" t="s">
        <v>96</v>
      </c>
      <c r="P53" s="16">
        <f t="shared" si="20"/>
        <v>0</v>
      </c>
      <c r="Q53" s="102" t="e">
        <f t="shared" si="13"/>
        <v>#DIV/0!</v>
      </c>
      <c r="R53" s="102" t="e">
        <f t="shared" si="14"/>
        <v>#DIV/0!</v>
      </c>
      <c r="S53" s="16" t="e">
        <f t="shared" si="15"/>
        <v>#DIV/0!</v>
      </c>
      <c r="T53" s="102" t="e">
        <f t="shared" si="16"/>
        <v>#DIV/0!</v>
      </c>
      <c r="U53" s="17" t="e">
        <f t="shared" si="17"/>
        <v>#DIV/0!</v>
      </c>
    </row>
    <row r="54" spans="1:21" x14ac:dyDescent="0.2">
      <c r="A54" s="99" t="s">
        <v>266</v>
      </c>
      <c r="B54" s="100" t="s">
        <v>37</v>
      </c>
      <c r="C54" s="100" t="s">
        <v>297</v>
      </c>
      <c r="D54" s="100" t="s">
        <v>353</v>
      </c>
      <c r="E54" s="101" t="s">
        <v>347</v>
      </c>
      <c r="F54" s="100" t="s">
        <v>300</v>
      </c>
      <c r="G54" s="100" t="s">
        <v>237</v>
      </c>
      <c r="H54" s="100" t="s">
        <v>17</v>
      </c>
      <c r="I54" s="100" t="s">
        <v>190</v>
      </c>
      <c r="J54" s="100"/>
      <c r="K54" s="102">
        <v>36.299999999999997</v>
      </c>
      <c r="L54" s="102">
        <f t="shared" si="12"/>
        <v>1.7082352941176469</v>
      </c>
      <c r="M54" s="103">
        <f t="shared" si="18"/>
        <v>0</v>
      </c>
      <c r="N54" s="30">
        <f t="shared" si="19"/>
        <v>0</v>
      </c>
      <c r="O54" s="100" t="s">
        <v>96</v>
      </c>
      <c r="P54" s="16">
        <f t="shared" si="20"/>
        <v>0</v>
      </c>
      <c r="Q54" s="102" t="e">
        <f t="shared" si="13"/>
        <v>#DIV/0!</v>
      </c>
      <c r="R54" s="102" t="e">
        <f t="shared" si="14"/>
        <v>#DIV/0!</v>
      </c>
      <c r="S54" s="16" t="e">
        <f t="shared" si="15"/>
        <v>#DIV/0!</v>
      </c>
      <c r="T54" s="102" t="e">
        <f t="shared" si="16"/>
        <v>#DIV/0!</v>
      </c>
      <c r="U54" s="17" t="e">
        <f t="shared" si="17"/>
        <v>#DIV/0!</v>
      </c>
    </row>
    <row r="55" spans="1:21" x14ac:dyDescent="0.2">
      <c r="A55" s="99" t="s">
        <v>266</v>
      </c>
      <c r="B55" s="100" t="s">
        <v>37</v>
      </c>
      <c r="C55" s="100" t="s">
        <v>297</v>
      </c>
      <c r="D55" s="100" t="s">
        <v>354</v>
      </c>
      <c r="E55" s="101" t="s">
        <v>355</v>
      </c>
      <c r="F55" s="100" t="s">
        <v>300</v>
      </c>
      <c r="G55" s="100" t="s">
        <v>237</v>
      </c>
      <c r="H55" s="100" t="s">
        <v>17</v>
      </c>
      <c r="I55" s="100" t="s">
        <v>190</v>
      </c>
      <c r="J55" s="100"/>
      <c r="K55" s="102">
        <v>7.1</v>
      </c>
      <c r="L55" s="102">
        <f t="shared" si="12"/>
        <v>0.33411764705882352</v>
      </c>
      <c r="M55" s="103">
        <f t="shared" si="18"/>
        <v>0</v>
      </c>
      <c r="N55" s="30">
        <f t="shared" si="19"/>
        <v>0</v>
      </c>
      <c r="O55" s="100" t="s">
        <v>96</v>
      </c>
      <c r="P55" s="16">
        <f t="shared" si="20"/>
        <v>0</v>
      </c>
      <c r="Q55" s="102" t="e">
        <f t="shared" si="13"/>
        <v>#DIV/0!</v>
      </c>
      <c r="R55" s="102" t="e">
        <f t="shared" si="14"/>
        <v>#DIV/0!</v>
      </c>
      <c r="S55" s="16" t="e">
        <f t="shared" si="15"/>
        <v>#DIV/0!</v>
      </c>
      <c r="T55" s="102" t="e">
        <f t="shared" si="16"/>
        <v>#DIV/0!</v>
      </c>
      <c r="U55" s="17" t="e">
        <f t="shared" si="17"/>
        <v>#DIV/0!</v>
      </c>
    </row>
    <row r="56" spans="1:21" x14ac:dyDescent="0.2">
      <c r="A56" s="99" t="s">
        <v>266</v>
      </c>
      <c r="B56" s="100" t="s">
        <v>37</v>
      </c>
      <c r="C56" s="100" t="s">
        <v>297</v>
      </c>
      <c r="D56" s="100" t="s">
        <v>356</v>
      </c>
      <c r="E56" s="101" t="s">
        <v>347</v>
      </c>
      <c r="F56" s="100" t="s">
        <v>300</v>
      </c>
      <c r="G56" s="100" t="s">
        <v>237</v>
      </c>
      <c r="H56" s="100" t="s">
        <v>17</v>
      </c>
      <c r="I56" s="100" t="s">
        <v>190</v>
      </c>
      <c r="J56" s="100"/>
      <c r="K56" s="102">
        <v>39.799999999999997</v>
      </c>
      <c r="L56" s="102">
        <f t="shared" si="12"/>
        <v>1.8729411764705881</v>
      </c>
      <c r="M56" s="103">
        <f t="shared" si="18"/>
        <v>0</v>
      </c>
      <c r="N56" s="30">
        <f t="shared" si="19"/>
        <v>0</v>
      </c>
      <c r="O56" s="100" t="s">
        <v>96</v>
      </c>
      <c r="P56" s="16">
        <f t="shared" si="20"/>
        <v>0</v>
      </c>
      <c r="Q56" s="102" t="e">
        <f t="shared" si="13"/>
        <v>#DIV/0!</v>
      </c>
      <c r="R56" s="102" t="e">
        <f t="shared" si="14"/>
        <v>#DIV/0!</v>
      </c>
      <c r="S56" s="16" t="e">
        <f t="shared" si="15"/>
        <v>#DIV/0!</v>
      </c>
      <c r="T56" s="102" t="e">
        <f t="shared" si="16"/>
        <v>#DIV/0!</v>
      </c>
      <c r="U56" s="17" t="e">
        <f t="shared" si="17"/>
        <v>#DIV/0!</v>
      </c>
    </row>
    <row r="57" spans="1:21" x14ac:dyDescent="0.2">
      <c r="A57" s="99" t="s">
        <v>266</v>
      </c>
      <c r="B57" s="100" t="s">
        <v>37</v>
      </c>
      <c r="C57" s="100" t="s">
        <v>297</v>
      </c>
      <c r="D57" s="100" t="s">
        <v>357</v>
      </c>
      <c r="E57" s="101" t="s">
        <v>347</v>
      </c>
      <c r="F57" s="100" t="s">
        <v>300</v>
      </c>
      <c r="G57" s="100" t="s">
        <v>237</v>
      </c>
      <c r="H57" s="100" t="s">
        <v>17</v>
      </c>
      <c r="I57" s="100" t="s">
        <v>190</v>
      </c>
      <c r="J57" s="100"/>
      <c r="K57" s="102">
        <v>30</v>
      </c>
      <c r="L57" s="102">
        <f t="shared" si="12"/>
        <v>1.4117647058823528</v>
      </c>
      <c r="M57" s="103">
        <f t="shared" si="18"/>
        <v>0</v>
      </c>
      <c r="N57" s="30">
        <f t="shared" si="19"/>
        <v>0</v>
      </c>
      <c r="O57" s="100" t="s">
        <v>96</v>
      </c>
      <c r="P57" s="16">
        <f t="shared" si="20"/>
        <v>0</v>
      </c>
      <c r="Q57" s="102" t="e">
        <f t="shared" si="13"/>
        <v>#DIV/0!</v>
      </c>
      <c r="R57" s="102" t="e">
        <f t="shared" si="14"/>
        <v>#DIV/0!</v>
      </c>
      <c r="S57" s="16" t="e">
        <f t="shared" si="15"/>
        <v>#DIV/0!</v>
      </c>
      <c r="T57" s="102" t="e">
        <f t="shared" si="16"/>
        <v>#DIV/0!</v>
      </c>
      <c r="U57" s="17" t="e">
        <f t="shared" si="17"/>
        <v>#DIV/0!</v>
      </c>
    </row>
    <row r="58" spans="1:21" x14ac:dyDescent="0.2">
      <c r="A58" s="99" t="s">
        <v>266</v>
      </c>
      <c r="B58" s="100" t="s">
        <v>37</v>
      </c>
      <c r="C58" s="100" t="s">
        <v>297</v>
      </c>
      <c r="D58" s="100" t="s">
        <v>358</v>
      </c>
      <c r="E58" s="101" t="s">
        <v>359</v>
      </c>
      <c r="F58" s="100" t="s">
        <v>276</v>
      </c>
      <c r="G58" s="100" t="s">
        <v>237</v>
      </c>
      <c r="H58" s="100" t="s">
        <v>17</v>
      </c>
      <c r="I58" s="100" t="s">
        <v>190</v>
      </c>
      <c r="J58" s="100"/>
      <c r="K58" s="102">
        <v>2.2999999999999998</v>
      </c>
      <c r="L58" s="102">
        <f t="shared" si="12"/>
        <v>0.10823529411764705</v>
      </c>
      <c r="M58" s="103">
        <f t="shared" si="18"/>
        <v>0</v>
      </c>
      <c r="N58" s="30">
        <f t="shared" si="19"/>
        <v>0</v>
      </c>
      <c r="O58" s="100" t="s">
        <v>96</v>
      </c>
      <c r="P58" s="16">
        <f t="shared" si="20"/>
        <v>0</v>
      </c>
      <c r="Q58" s="102" t="e">
        <f t="shared" si="13"/>
        <v>#DIV/0!</v>
      </c>
      <c r="R58" s="102" t="e">
        <f t="shared" si="14"/>
        <v>#DIV/0!</v>
      </c>
      <c r="S58" s="16" t="e">
        <f t="shared" si="15"/>
        <v>#DIV/0!</v>
      </c>
      <c r="T58" s="102" t="e">
        <f t="shared" si="16"/>
        <v>#DIV/0!</v>
      </c>
      <c r="U58" s="17" t="e">
        <f t="shared" si="17"/>
        <v>#DIV/0!</v>
      </c>
    </row>
    <row r="59" spans="1:21" x14ac:dyDescent="0.2">
      <c r="A59" s="99" t="s">
        <v>266</v>
      </c>
      <c r="B59" s="100" t="s">
        <v>37</v>
      </c>
      <c r="C59" s="100" t="s">
        <v>297</v>
      </c>
      <c r="D59" s="100" t="s">
        <v>360</v>
      </c>
      <c r="E59" s="101" t="s">
        <v>361</v>
      </c>
      <c r="F59" s="100" t="s">
        <v>289</v>
      </c>
      <c r="G59" s="100" t="s">
        <v>237</v>
      </c>
      <c r="H59" s="100" t="s">
        <v>17</v>
      </c>
      <c r="I59" s="100" t="s">
        <v>190</v>
      </c>
      <c r="J59" s="100"/>
      <c r="K59" s="102">
        <v>3.2</v>
      </c>
      <c r="L59" s="102">
        <f t="shared" si="12"/>
        <v>0.15058823529411766</v>
      </c>
      <c r="M59" s="103">
        <f t="shared" si="18"/>
        <v>0</v>
      </c>
      <c r="N59" s="30">
        <f t="shared" si="19"/>
        <v>0</v>
      </c>
      <c r="O59" s="100" t="s">
        <v>96</v>
      </c>
      <c r="P59" s="16">
        <f t="shared" si="20"/>
        <v>0</v>
      </c>
      <c r="Q59" s="102" t="e">
        <f t="shared" si="13"/>
        <v>#DIV/0!</v>
      </c>
      <c r="R59" s="102" t="e">
        <f t="shared" si="14"/>
        <v>#DIV/0!</v>
      </c>
      <c r="S59" s="16" t="e">
        <f t="shared" si="15"/>
        <v>#DIV/0!</v>
      </c>
      <c r="T59" s="102" t="e">
        <f t="shared" si="16"/>
        <v>#DIV/0!</v>
      </c>
      <c r="U59" s="17" t="e">
        <f t="shared" si="17"/>
        <v>#DIV/0!</v>
      </c>
    </row>
    <row r="60" spans="1:21" x14ac:dyDescent="0.2">
      <c r="A60" s="99" t="s">
        <v>266</v>
      </c>
      <c r="B60" s="100" t="s">
        <v>37</v>
      </c>
      <c r="C60" s="100" t="s">
        <v>297</v>
      </c>
      <c r="D60" s="100" t="s">
        <v>362</v>
      </c>
      <c r="E60" s="101" t="s">
        <v>275</v>
      </c>
      <c r="F60" s="100" t="s">
        <v>289</v>
      </c>
      <c r="G60" s="100" t="s">
        <v>237</v>
      </c>
      <c r="H60" s="100" t="s">
        <v>17</v>
      </c>
      <c r="I60" s="100" t="s">
        <v>190</v>
      </c>
      <c r="J60" s="100"/>
      <c r="K60" s="102">
        <v>2.2999999999999998</v>
      </c>
      <c r="L60" s="102">
        <f t="shared" si="12"/>
        <v>0.10823529411764705</v>
      </c>
      <c r="M60" s="103">
        <f t="shared" si="18"/>
        <v>0</v>
      </c>
      <c r="N60" s="30">
        <f t="shared" si="19"/>
        <v>0</v>
      </c>
      <c r="O60" s="100" t="s">
        <v>96</v>
      </c>
      <c r="P60" s="16">
        <f t="shared" si="20"/>
        <v>0</v>
      </c>
      <c r="Q60" s="102" t="e">
        <f t="shared" si="13"/>
        <v>#DIV/0!</v>
      </c>
      <c r="R60" s="102" t="e">
        <f t="shared" si="14"/>
        <v>#DIV/0!</v>
      </c>
      <c r="S60" s="16" t="e">
        <f t="shared" si="15"/>
        <v>#DIV/0!</v>
      </c>
      <c r="T60" s="102" t="e">
        <f t="shared" si="16"/>
        <v>#DIV/0!</v>
      </c>
      <c r="U60" s="17" t="e">
        <f t="shared" si="17"/>
        <v>#DIV/0!</v>
      </c>
    </row>
    <row r="61" spans="1:21" x14ac:dyDescent="0.2">
      <c r="A61" s="99" t="s">
        <v>266</v>
      </c>
      <c r="B61" s="100" t="s">
        <v>37</v>
      </c>
      <c r="C61" s="100" t="s">
        <v>297</v>
      </c>
      <c r="D61" s="100" t="s">
        <v>363</v>
      </c>
      <c r="E61" s="101" t="s">
        <v>347</v>
      </c>
      <c r="F61" s="100" t="s">
        <v>300</v>
      </c>
      <c r="G61" s="100" t="s">
        <v>237</v>
      </c>
      <c r="H61" s="100" t="s">
        <v>17</v>
      </c>
      <c r="I61" s="100" t="s">
        <v>190</v>
      </c>
      <c r="J61" s="100"/>
      <c r="K61" s="102">
        <v>22</v>
      </c>
      <c r="L61" s="102">
        <f t="shared" si="12"/>
        <v>1.0352941176470587</v>
      </c>
      <c r="M61" s="103">
        <f t="shared" si="18"/>
        <v>0</v>
      </c>
      <c r="N61" s="30">
        <f t="shared" si="19"/>
        <v>0</v>
      </c>
      <c r="O61" s="100" t="s">
        <v>96</v>
      </c>
      <c r="P61" s="16">
        <f t="shared" si="20"/>
        <v>0</v>
      </c>
      <c r="Q61" s="102" t="e">
        <f t="shared" si="13"/>
        <v>#DIV/0!</v>
      </c>
      <c r="R61" s="102" t="e">
        <f t="shared" si="14"/>
        <v>#DIV/0!</v>
      </c>
      <c r="S61" s="16" t="e">
        <f t="shared" si="15"/>
        <v>#DIV/0!</v>
      </c>
      <c r="T61" s="102" t="e">
        <f t="shared" si="16"/>
        <v>#DIV/0!</v>
      </c>
      <c r="U61" s="17" t="e">
        <f t="shared" si="17"/>
        <v>#DIV/0!</v>
      </c>
    </row>
    <row r="62" spans="1:21" x14ac:dyDescent="0.2">
      <c r="A62" s="99" t="s">
        <v>266</v>
      </c>
      <c r="B62" s="100" t="s">
        <v>37</v>
      </c>
      <c r="C62" s="100" t="s">
        <v>297</v>
      </c>
      <c r="D62" s="100" t="s">
        <v>363</v>
      </c>
      <c r="E62" s="101" t="s">
        <v>349</v>
      </c>
      <c r="F62" s="100" t="s">
        <v>300</v>
      </c>
      <c r="G62" s="100" t="s">
        <v>237</v>
      </c>
      <c r="H62" s="100" t="s">
        <v>17</v>
      </c>
      <c r="I62" s="100" t="s">
        <v>190</v>
      </c>
      <c r="J62" s="100"/>
      <c r="K62" s="102">
        <v>8</v>
      </c>
      <c r="L62" s="102">
        <f t="shared" si="12"/>
        <v>0.37647058823529411</v>
      </c>
      <c r="M62" s="103">
        <f t="shared" si="18"/>
        <v>0</v>
      </c>
      <c r="N62" s="30">
        <f t="shared" si="19"/>
        <v>0</v>
      </c>
      <c r="O62" s="100" t="s">
        <v>96</v>
      </c>
      <c r="P62" s="16">
        <f t="shared" si="20"/>
        <v>0</v>
      </c>
      <c r="Q62" s="102" t="e">
        <f t="shared" si="13"/>
        <v>#DIV/0!</v>
      </c>
      <c r="R62" s="102" t="e">
        <f t="shared" si="14"/>
        <v>#DIV/0!</v>
      </c>
      <c r="S62" s="16" t="e">
        <f t="shared" si="15"/>
        <v>#DIV/0!</v>
      </c>
      <c r="T62" s="102" t="e">
        <f t="shared" si="16"/>
        <v>#DIV/0!</v>
      </c>
      <c r="U62" s="17" t="e">
        <f t="shared" si="17"/>
        <v>#DIV/0!</v>
      </c>
    </row>
    <row r="63" spans="1:21" x14ac:dyDescent="0.2">
      <c r="A63" s="99" t="s">
        <v>266</v>
      </c>
      <c r="B63" s="100" t="s">
        <v>37</v>
      </c>
      <c r="C63" s="100" t="s">
        <v>297</v>
      </c>
      <c r="D63" s="100" t="s">
        <v>364</v>
      </c>
      <c r="E63" s="101" t="s">
        <v>349</v>
      </c>
      <c r="F63" s="100" t="s">
        <v>300</v>
      </c>
      <c r="G63" s="100" t="s">
        <v>213</v>
      </c>
      <c r="H63" s="100" t="s">
        <v>9</v>
      </c>
      <c r="I63" s="100" t="s">
        <v>190</v>
      </c>
      <c r="J63" s="100"/>
      <c r="K63" s="102">
        <v>9</v>
      </c>
      <c r="L63" s="102">
        <f t="shared" si="12"/>
        <v>9</v>
      </c>
      <c r="M63" s="103">
        <f>prodnorm43</f>
        <v>0</v>
      </c>
      <c r="N63" s="30">
        <f>dagwerk43</f>
        <v>0</v>
      </c>
      <c r="O63" s="100" t="s">
        <v>96</v>
      </c>
      <c r="P63" s="16">
        <f>uurtarief43</f>
        <v>0</v>
      </c>
      <c r="Q63" s="102" t="e">
        <f t="shared" si="13"/>
        <v>#DIV/0!</v>
      </c>
      <c r="R63" s="102" t="e">
        <f t="shared" si="14"/>
        <v>#DIV/0!</v>
      </c>
      <c r="S63" s="16" t="e">
        <f t="shared" si="15"/>
        <v>#DIV/0!</v>
      </c>
      <c r="T63" s="102" t="e">
        <f t="shared" si="16"/>
        <v>#DIV/0!</v>
      </c>
      <c r="U63" s="17" t="e">
        <f t="shared" si="17"/>
        <v>#DIV/0!</v>
      </c>
    </row>
    <row r="64" spans="1:21" x14ac:dyDescent="0.2">
      <c r="A64" s="99" t="s">
        <v>266</v>
      </c>
      <c r="B64" s="100" t="s">
        <v>37</v>
      </c>
      <c r="C64" s="100" t="s">
        <v>297</v>
      </c>
      <c r="D64" s="100" t="s">
        <v>365</v>
      </c>
      <c r="E64" s="101" t="s">
        <v>304</v>
      </c>
      <c r="F64" s="100" t="s">
        <v>276</v>
      </c>
      <c r="G64" s="100" t="s">
        <v>237</v>
      </c>
      <c r="H64" s="100" t="s">
        <v>17</v>
      </c>
      <c r="I64" s="100" t="s">
        <v>190</v>
      </c>
      <c r="J64" s="100"/>
      <c r="K64" s="102">
        <v>2.1</v>
      </c>
      <c r="L64" s="102">
        <f t="shared" si="12"/>
        <v>9.8823529411764713E-2</v>
      </c>
      <c r="M64" s="103">
        <f>prodnorm61</f>
        <v>0</v>
      </c>
      <c r="N64" s="30">
        <f>dagwerk61</f>
        <v>0</v>
      </c>
      <c r="O64" s="100" t="s">
        <v>96</v>
      </c>
      <c r="P64" s="16">
        <f>uurtarief61</f>
        <v>0</v>
      </c>
      <c r="Q64" s="102" t="e">
        <f t="shared" si="13"/>
        <v>#DIV/0!</v>
      </c>
      <c r="R64" s="102" t="e">
        <f t="shared" si="14"/>
        <v>#DIV/0!</v>
      </c>
      <c r="S64" s="16" t="e">
        <f t="shared" si="15"/>
        <v>#DIV/0!</v>
      </c>
      <c r="T64" s="102" t="e">
        <f t="shared" si="16"/>
        <v>#DIV/0!</v>
      </c>
      <c r="U64" s="17" t="e">
        <f t="shared" si="17"/>
        <v>#DIV/0!</v>
      </c>
    </row>
    <row r="65" spans="1:21" x14ac:dyDescent="0.2">
      <c r="A65" s="99" t="s">
        <v>266</v>
      </c>
      <c r="B65" s="100" t="s">
        <v>37</v>
      </c>
      <c r="C65" s="100" t="s">
        <v>297</v>
      </c>
      <c r="D65" s="100" t="s">
        <v>366</v>
      </c>
      <c r="E65" s="101" t="s">
        <v>367</v>
      </c>
      <c r="F65" s="100" t="s">
        <v>300</v>
      </c>
      <c r="G65" s="100" t="s">
        <v>237</v>
      </c>
      <c r="H65" s="100" t="s">
        <v>17</v>
      </c>
      <c r="I65" s="100" t="s">
        <v>190</v>
      </c>
      <c r="J65" s="100"/>
      <c r="K65" s="102">
        <v>12.8</v>
      </c>
      <c r="L65" s="102">
        <f t="shared" si="12"/>
        <v>0.60235294117647065</v>
      </c>
      <c r="M65" s="103">
        <f>prodnorm61</f>
        <v>0</v>
      </c>
      <c r="N65" s="30">
        <f>dagwerk61</f>
        <v>0</v>
      </c>
      <c r="O65" s="100" t="s">
        <v>96</v>
      </c>
      <c r="P65" s="16">
        <f>uurtarief61</f>
        <v>0</v>
      </c>
      <c r="Q65" s="102" t="e">
        <f t="shared" si="13"/>
        <v>#DIV/0!</v>
      </c>
      <c r="R65" s="102" t="e">
        <f t="shared" si="14"/>
        <v>#DIV/0!</v>
      </c>
      <c r="S65" s="16" t="e">
        <f t="shared" si="15"/>
        <v>#DIV/0!</v>
      </c>
      <c r="T65" s="102" t="e">
        <f t="shared" si="16"/>
        <v>#DIV/0!</v>
      </c>
      <c r="U65" s="17" t="e">
        <f t="shared" si="17"/>
        <v>#DIV/0!</v>
      </c>
    </row>
    <row r="66" spans="1:21" x14ac:dyDescent="0.2">
      <c r="A66" s="99" t="s">
        <v>266</v>
      </c>
      <c r="B66" s="100" t="s">
        <v>37</v>
      </c>
      <c r="C66" s="100" t="s">
        <v>297</v>
      </c>
      <c r="D66" s="100" t="s">
        <v>368</v>
      </c>
      <c r="E66" s="101" t="s">
        <v>349</v>
      </c>
      <c r="F66" s="100" t="s">
        <v>300</v>
      </c>
      <c r="G66" s="100" t="s">
        <v>213</v>
      </c>
      <c r="H66" s="100" t="s">
        <v>9</v>
      </c>
      <c r="I66" s="100" t="s">
        <v>190</v>
      </c>
      <c r="J66" s="100"/>
      <c r="K66" s="102">
        <v>9.1</v>
      </c>
      <c r="L66" s="102">
        <f t="shared" si="12"/>
        <v>9.1</v>
      </c>
      <c r="M66" s="103">
        <f>prodnorm43</f>
        <v>0</v>
      </c>
      <c r="N66" s="30">
        <f>dagwerk43</f>
        <v>0</v>
      </c>
      <c r="O66" s="100" t="s">
        <v>96</v>
      </c>
      <c r="P66" s="16">
        <f>uurtarief43</f>
        <v>0</v>
      </c>
      <c r="Q66" s="102" t="e">
        <f t="shared" si="13"/>
        <v>#DIV/0!</v>
      </c>
      <c r="R66" s="102" t="e">
        <f t="shared" si="14"/>
        <v>#DIV/0!</v>
      </c>
      <c r="S66" s="16" t="e">
        <f t="shared" si="15"/>
        <v>#DIV/0!</v>
      </c>
      <c r="T66" s="102" t="e">
        <f t="shared" si="16"/>
        <v>#DIV/0!</v>
      </c>
      <c r="U66" s="17" t="e">
        <f t="shared" si="17"/>
        <v>#DIV/0!</v>
      </c>
    </row>
    <row r="67" spans="1:21" x14ac:dyDescent="0.2">
      <c r="A67" s="99" t="s">
        <v>266</v>
      </c>
      <c r="B67" s="100" t="s">
        <v>37</v>
      </c>
      <c r="C67" s="100" t="s">
        <v>297</v>
      </c>
      <c r="D67" s="100" t="s">
        <v>369</v>
      </c>
      <c r="E67" s="101" t="s">
        <v>370</v>
      </c>
      <c r="F67" s="100" t="s">
        <v>300</v>
      </c>
      <c r="G67" s="100" t="s">
        <v>194</v>
      </c>
      <c r="H67" s="100" t="s">
        <v>9</v>
      </c>
      <c r="I67" s="100" t="s">
        <v>190</v>
      </c>
      <c r="J67" s="100"/>
      <c r="K67" s="102">
        <v>53</v>
      </c>
      <c r="L67" s="102">
        <f t="shared" si="12"/>
        <v>53</v>
      </c>
      <c r="M67" s="103">
        <f>prodnorm30</f>
        <v>0</v>
      </c>
      <c r="N67" s="30">
        <f>dagwerk30</f>
        <v>0</v>
      </c>
      <c r="O67" s="100" t="s">
        <v>96</v>
      </c>
      <c r="P67" s="16">
        <f>uurtarief30</f>
        <v>0</v>
      </c>
      <c r="Q67" s="102" t="e">
        <f t="shared" si="13"/>
        <v>#DIV/0!</v>
      </c>
      <c r="R67" s="102" t="e">
        <f t="shared" si="14"/>
        <v>#DIV/0!</v>
      </c>
      <c r="S67" s="16" t="e">
        <f t="shared" si="15"/>
        <v>#DIV/0!</v>
      </c>
      <c r="T67" s="102" t="e">
        <f t="shared" si="16"/>
        <v>#DIV/0!</v>
      </c>
      <c r="U67" s="17" t="e">
        <f t="shared" si="17"/>
        <v>#DIV/0!</v>
      </c>
    </row>
    <row r="68" spans="1:21" x14ac:dyDescent="0.2">
      <c r="A68" s="104" t="s">
        <v>266</v>
      </c>
      <c r="B68" s="105" t="s">
        <v>37</v>
      </c>
      <c r="C68" s="105" t="s">
        <v>371</v>
      </c>
      <c r="D68" s="105" t="s">
        <v>37</v>
      </c>
      <c r="E68" s="106" t="s">
        <v>372</v>
      </c>
      <c r="F68" s="105" t="s">
        <v>37</v>
      </c>
      <c r="G68" s="105" t="s">
        <v>247</v>
      </c>
      <c r="H68" s="105" t="s">
        <v>15</v>
      </c>
      <c r="I68" s="105" t="s">
        <v>240</v>
      </c>
      <c r="J68" s="105"/>
      <c r="K68" s="107">
        <v>1</v>
      </c>
      <c r="L68" s="107">
        <f t="shared" si="12"/>
        <v>0.2</v>
      </c>
      <c r="M68" s="108">
        <f>prodnorm25</f>
        <v>0</v>
      </c>
      <c r="N68" s="109">
        <f>dagwerk25</f>
        <v>0</v>
      </c>
      <c r="O68" s="105" t="s">
        <v>242</v>
      </c>
      <c r="P68" s="26">
        <f>uurtarief25</f>
        <v>0</v>
      </c>
      <c r="Q68" s="107">
        <f>L68*ROUND(M68,4)/60</f>
        <v>0</v>
      </c>
      <c r="R68" s="107">
        <f t="shared" si="14"/>
        <v>0</v>
      </c>
      <c r="S68" s="26">
        <f t="shared" si="15"/>
        <v>0</v>
      </c>
      <c r="T68" s="107">
        <f t="shared" si="16"/>
        <v>0</v>
      </c>
      <c r="U68" s="27">
        <f t="shared" si="17"/>
        <v>0</v>
      </c>
    </row>
    <row r="69" spans="1:21" x14ac:dyDescent="0.2">
      <c r="A69" s="110" t="s">
        <v>373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3" t="e">
        <f>IF(_xlfn.SINGLE(object1_urenjaar1)&gt;0,_xlfn.SINGLE(object1_prijsjaar1)/_xlfn.SINGLE(object1_urenjaar1),0)</f>
        <v>#DIV/0!</v>
      </c>
      <c r="Q69" s="72" t="e">
        <f>SUM(Q5:Q68)</f>
        <v>#DIV/0!</v>
      </c>
      <c r="R69" s="72" t="e">
        <f>SUM(R5:R68)</f>
        <v>#DIV/0!</v>
      </c>
      <c r="S69" s="73" t="e">
        <f>SUM(S5:S68)</f>
        <v>#DIV/0!</v>
      </c>
      <c r="T69" s="72" t="e">
        <f>SUM(T5:T68)</f>
        <v>#DIV/0!</v>
      </c>
      <c r="U69" s="74" t="e">
        <f>SUM(U5:U68)</f>
        <v>#DIV/0!</v>
      </c>
    </row>
    <row r="70" spans="1:21" x14ac:dyDescent="0.2">
      <c r="A70" s="84" t="s">
        <v>374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69"/>
    </row>
    <row r="71" spans="1:21" x14ac:dyDescent="0.2">
      <c r="A71" s="91" t="s">
        <v>375</v>
      </c>
      <c r="B71" s="92" t="s">
        <v>37</v>
      </c>
      <c r="C71" s="92" t="s">
        <v>297</v>
      </c>
      <c r="D71" s="92" t="s">
        <v>298</v>
      </c>
      <c r="E71" s="93" t="s">
        <v>299</v>
      </c>
      <c r="F71" s="92" t="s">
        <v>300</v>
      </c>
      <c r="G71" s="92" t="s">
        <v>201</v>
      </c>
      <c r="H71" s="92" t="s">
        <v>15</v>
      </c>
      <c r="I71" s="92" t="s">
        <v>190</v>
      </c>
      <c r="J71" s="92"/>
      <c r="K71" s="94">
        <v>6.5</v>
      </c>
      <c r="L71" s="94">
        <f t="shared" ref="L71:L102" si="21">K71*VLOOKUP(H71,dagsoorttabel1,2,FALSE)</f>
        <v>1.3</v>
      </c>
      <c r="M71" s="95">
        <f>prodnorm35</f>
        <v>0</v>
      </c>
      <c r="N71" s="96">
        <f>dagwerk35</f>
        <v>0</v>
      </c>
      <c r="O71" s="92" t="s">
        <v>96</v>
      </c>
      <c r="P71" s="97">
        <f>uurtarief35</f>
        <v>0</v>
      </c>
      <c r="Q71" s="94" t="e">
        <f t="shared" ref="Q71:Q102" si="22">IF(ISBLANK(M71),0,L71/ROUND(M71,4))</f>
        <v>#DIV/0!</v>
      </c>
      <c r="R71" s="94" t="e">
        <f t="shared" ref="R71:R102" si="23">IF(ISBLANK(M71),0,Q71*ROUND(N71,2))</f>
        <v>#DIV/0!</v>
      </c>
      <c r="S71" s="97" t="e">
        <f t="shared" ref="S71:S102" si="24">ROUND(P71,2)*Q71</f>
        <v>#DIV/0!</v>
      </c>
      <c r="T71" s="94" t="e">
        <f t="shared" ref="T71:T102" si="25">Q71*dagenperjaar1</f>
        <v>#DIV/0!</v>
      </c>
      <c r="U71" s="98" t="e">
        <f t="shared" ref="U71:U102" si="26">T71*ROUND(P71,2)</f>
        <v>#DIV/0!</v>
      </c>
    </row>
    <row r="72" spans="1:21" x14ac:dyDescent="0.2">
      <c r="A72" s="99" t="s">
        <v>375</v>
      </c>
      <c r="B72" s="100" t="s">
        <v>37</v>
      </c>
      <c r="C72" s="100" t="s">
        <v>297</v>
      </c>
      <c r="D72" s="100" t="s">
        <v>301</v>
      </c>
      <c r="E72" s="101" t="s">
        <v>278</v>
      </c>
      <c r="F72" s="100" t="s">
        <v>300</v>
      </c>
      <c r="G72" s="100" t="s">
        <v>231</v>
      </c>
      <c r="H72" s="100" t="s">
        <v>15</v>
      </c>
      <c r="I72" s="100" t="s">
        <v>190</v>
      </c>
      <c r="J72" s="100"/>
      <c r="K72" s="102">
        <v>20.7</v>
      </c>
      <c r="L72" s="102">
        <f t="shared" si="21"/>
        <v>4.1399999999999997</v>
      </c>
      <c r="M72" s="103">
        <f>prodnorm56</f>
        <v>0</v>
      </c>
      <c r="N72" s="30">
        <f>dagwerk56</f>
        <v>0</v>
      </c>
      <c r="O72" s="100" t="s">
        <v>96</v>
      </c>
      <c r="P72" s="16">
        <f>uurtarief56</f>
        <v>0</v>
      </c>
      <c r="Q72" s="102" t="e">
        <f t="shared" si="22"/>
        <v>#DIV/0!</v>
      </c>
      <c r="R72" s="102" t="e">
        <f t="shared" si="23"/>
        <v>#DIV/0!</v>
      </c>
      <c r="S72" s="16" t="e">
        <f t="shared" si="24"/>
        <v>#DIV/0!</v>
      </c>
      <c r="T72" s="102" t="e">
        <f t="shared" si="25"/>
        <v>#DIV/0!</v>
      </c>
      <c r="U72" s="17" t="e">
        <f t="shared" si="26"/>
        <v>#DIV/0!</v>
      </c>
    </row>
    <row r="73" spans="1:21" x14ac:dyDescent="0.2">
      <c r="A73" s="99" t="s">
        <v>375</v>
      </c>
      <c r="B73" s="100" t="s">
        <v>37</v>
      </c>
      <c r="C73" s="100" t="s">
        <v>297</v>
      </c>
      <c r="D73" s="100" t="s">
        <v>376</v>
      </c>
      <c r="E73" s="101" t="s">
        <v>377</v>
      </c>
      <c r="F73" s="100" t="s">
        <v>300</v>
      </c>
      <c r="G73" s="100" t="s">
        <v>233</v>
      </c>
      <c r="H73" s="100" t="s">
        <v>15</v>
      </c>
      <c r="I73" s="100" t="s">
        <v>190</v>
      </c>
      <c r="J73" s="100"/>
      <c r="K73" s="102">
        <v>12</v>
      </c>
      <c r="L73" s="102">
        <f t="shared" si="21"/>
        <v>2.4000000000000004</v>
      </c>
      <c r="M73" s="103">
        <f>prodnorm58</f>
        <v>0</v>
      </c>
      <c r="N73" s="30">
        <f>dagwerk58</f>
        <v>0</v>
      </c>
      <c r="O73" s="100" t="s">
        <v>96</v>
      </c>
      <c r="P73" s="16">
        <f>uurtarief58</f>
        <v>0</v>
      </c>
      <c r="Q73" s="102" t="e">
        <f t="shared" si="22"/>
        <v>#DIV/0!</v>
      </c>
      <c r="R73" s="102" t="e">
        <f t="shared" si="23"/>
        <v>#DIV/0!</v>
      </c>
      <c r="S73" s="16" t="e">
        <f t="shared" si="24"/>
        <v>#DIV/0!</v>
      </c>
      <c r="T73" s="102" t="e">
        <f t="shared" si="25"/>
        <v>#DIV/0!</v>
      </c>
      <c r="U73" s="17" t="e">
        <f t="shared" si="26"/>
        <v>#DIV/0!</v>
      </c>
    </row>
    <row r="74" spans="1:21" x14ac:dyDescent="0.2">
      <c r="A74" s="99" t="s">
        <v>375</v>
      </c>
      <c r="B74" s="100" t="s">
        <v>37</v>
      </c>
      <c r="C74" s="100" t="s">
        <v>297</v>
      </c>
      <c r="D74" s="100" t="s">
        <v>303</v>
      </c>
      <c r="E74" s="101" t="s">
        <v>378</v>
      </c>
      <c r="F74" s="100" t="s">
        <v>300</v>
      </c>
      <c r="G74" s="100" t="s">
        <v>194</v>
      </c>
      <c r="H74" s="100" t="s">
        <v>15</v>
      </c>
      <c r="I74" s="100" t="s">
        <v>190</v>
      </c>
      <c r="J74" s="100"/>
      <c r="K74" s="102">
        <v>21.7</v>
      </c>
      <c r="L74" s="102">
        <f t="shared" si="21"/>
        <v>4.34</v>
      </c>
      <c r="M74" s="103">
        <f>prodnorm29</f>
        <v>0</v>
      </c>
      <c r="N74" s="30">
        <f>dagwerk29</f>
        <v>0</v>
      </c>
      <c r="O74" s="100" t="s">
        <v>96</v>
      </c>
      <c r="P74" s="16">
        <f>uurtarief29</f>
        <v>0</v>
      </c>
      <c r="Q74" s="102" t="e">
        <f t="shared" si="22"/>
        <v>#DIV/0!</v>
      </c>
      <c r="R74" s="102" t="e">
        <f t="shared" si="23"/>
        <v>#DIV/0!</v>
      </c>
      <c r="S74" s="16" t="e">
        <f t="shared" si="24"/>
        <v>#DIV/0!</v>
      </c>
      <c r="T74" s="102" t="e">
        <f t="shared" si="25"/>
        <v>#DIV/0!</v>
      </c>
      <c r="U74" s="17" t="e">
        <f t="shared" si="26"/>
        <v>#DIV/0!</v>
      </c>
    </row>
    <row r="75" spans="1:21" x14ac:dyDescent="0.2">
      <c r="A75" s="99" t="s">
        <v>375</v>
      </c>
      <c r="B75" s="100" t="s">
        <v>37</v>
      </c>
      <c r="C75" s="100" t="s">
        <v>297</v>
      </c>
      <c r="D75" s="100" t="s">
        <v>307</v>
      </c>
      <c r="E75" s="101" t="s">
        <v>340</v>
      </c>
      <c r="F75" s="100" t="s">
        <v>270</v>
      </c>
      <c r="G75" s="100" t="s">
        <v>222</v>
      </c>
      <c r="H75" s="100" t="s">
        <v>15</v>
      </c>
      <c r="I75" s="100" t="s">
        <v>190</v>
      </c>
      <c r="J75" s="100"/>
      <c r="K75" s="102">
        <v>4.3</v>
      </c>
      <c r="L75" s="102">
        <f t="shared" si="21"/>
        <v>0.86</v>
      </c>
      <c r="M75" s="103">
        <f>prodnorm49</f>
        <v>0</v>
      </c>
      <c r="N75" s="30">
        <f>dagwerk49</f>
        <v>0</v>
      </c>
      <c r="O75" s="100" t="s">
        <v>96</v>
      </c>
      <c r="P75" s="16">
        <f>uurtarief49</f>
        <v>0</v>
      </c>
      <c r="Q75" s="102" t="e">
        <f t="shared" si="22"/>
        <v>#DIV/0!</v>
      </c>
      <c r="R75" s="102" t="e">
        <f t="shared" si="23"/>
        <v>#DIV/0!</v>
      </c>
      <c r="S75" s="16" t="e">
        <f t="shared" si="24"/>
        <v>#DIV/0!</v>
      </c>
      <c r="T75" s="102" t="e">
        <f t="shared" si="25"/>
        <v>#DIV/0!</v>
      </c>
      <c r="U75" s="17" t="e">
        <f t="shared" si="26"/>
        <v>#DIV/0!</v>
      </c>
    </row>
    <row r="76" spans="1:21" x14ac:dyDescent="0.2">
      <c r="A76" s="99" t="s">
        <v>375</v>
      </c>
      <c r="B76" s="100" t="s">
        <v>37</v>
      </c>
      <c r="C76" s="100" t="s">
        <v>297</v>
      </c>
      <c r="D76" s="100" t="s">
        <v>308</v>
      </c>
      <c r="E76" s="101" t="s">
        <v>278</v>
      </c>
      <c r="F76" s="100" t="s">
        <v>300</v>
      </c>
      <c r="G76" s="100" t="s">
        <v>231</v>
      </c>
      <c r="H76" s="100" t="s">
        <v>15</v>
      </c>
      <c r="I76" s="100" t="s">
        <v>190</v>
      </c>
      <c r="J76" s="100"/>
      <c r="K76" s="102">
        <v>2</v>
      </c>
      <c r="L76" s="102">
        <f t="shared" si="21"/>
        <v>0.4</v>
      </c>
      <c r="M76" s="103">
        <f>prodnorm56</f>
        <v>0</v>
      </c>
      <c r="N76" s="30">
        <f>dagwerk56</f>
        <v>0</v>
      </c>
      <c r="O76" s="100" t="s">
        <v>96</v>
      </c>
      <c r="P76" s="16">
        <f>uurtarief56</f>
        <v>0</v>
      </c>
      <c r="Q76" s="102" t="e">
        <f t="shared" si="22"/>
        <v>#DIV/0!</v>
      </c>
      <c r="R76" s="102" t="e">
        <f t="shared" si="23"/>
        <v>#DIV/0!</v>
      </c>
      <c r="S76" s="16" t="e">
        <f t="shared" si="24"/>
        <v>#DIV/0!</v>
      </c>
      <c r="T76" s="102" t="e">
        <f t="shared" si="25"/>
        <v>#DIV/0!</v>
      </c>
      <c r="U76" s="17" t="e">
        <f t="shared" si="26"/>
        <v>#DIV/0!</v>
      </c>
    </row>
    <row r="77" spans="1:21" x14ac:dyDescent="0.2">
      <c r="A77" s="99" t="s">
        <v>375</v>
      </c>
      <c r="B77" s="100" t="s">
        <v>37</v>
      </c>
      <c r="C77" s="100" t="s">
        <v>297</v>
      </c>
      <c r="D77" s="100" t="s">
        <v>311</v>
      </c>
      <c r="E77" s="101" t="s">
        <v>306</v>
      </c>
      <c r="F77" s="100" t="s">
        <v>302</v>
      </c>
      <c r="G77" s="100" t="s">
        <v>226</v>
      </c>
      <c r="H77" s="100" t="s">
        <v>15</v>
      </c>
      <c r="I77" s="100" t="s">
        <v>190</v>
      </c>
      <c r="J77" s="100"/>
      <c r="K77" s="102">
        <v>1.7</v>
      </c>
      <c r="L77" s="102">
        <f t="shared" si="21"/>
        <v>0.34</v>
      </c>
      <c r="M77" s="103">
        <f>prodnorm52</f>
        <v>0</v>
      </c>
      <c r="N77" s="30">
        <f>dagwerk52</f>
        <v>0</v>
      </c>
      <c r="O77" s="100" t="s">
        <v>96</v>
      </c>
      <c r="P77" s="16">
        <f>uurtarief52</f>
        <v>0</v>
      </c>
      <c r="Q77" s="102" t="e">
        <f t="shared" si="22"/>
        <v>#DIV/0!</v>
      </c>
      <c r="R77" s="102" t="e">
        <f t="shared" si="23"/>
        <v>#DIV/0!</v>
      </c>
      <c r="S77" s="16" t="e">
        <f t="shared" si="24"/>
        <v>#DIV/0!</v>
      </c>
      <c r="T77" s="102" t="e">
        <f t="shared" si="25"/>
        <v>#DIV/0!</v>
      </c>
      <c r="U77" s="17" t="e">
        <f t="shared" si="26"/>
        <v>#DIV/0!</v>
      </c>
    </row>
    <row r="78" spans="1:21" x14ac:dyDescent="0.2">
      <c r="A78" s="99" t="s">
        <v>375</v>
      </c>
      <c r="B78" s="100" t="s">
        <v>37</v>
      </c>
      <c r="C78" s="100" t="s">
        <v>297</v>
      </c>
      <c r="D78" s="100" t="s">
        <v>313</v>
      </c>
      <c r="E78" s="101" t="s">
        <v>379</v>
      </c>
      <c r="F78" s="100" t="s">
        <v>327</v>
      </c>
      <c r="G78" s="100" t="s">
        <v>201</v>
      </c>
      <c r="H78" s="100" t="s">
        <v>15</v>
      </c>
      <c r="I78" s="100" t="s">
        <v>190</v>
      </c>
      <c r="J78" s="100"/>
      <c r="K78" s="102">
        <v>3</v>
      </c>
      <c r="L78" s="102">
        <f t="shared" si="21"/>
        <v>0.60000000000000009</v>
      </c>
      <c r="M78" s="103">
        <f>prodnorm35</f>
        <v>0</v>
      </c>
      <c r="N78" s="30">
        <f>dagwerk35</f>
        <v>0</v>
      </c>
      <c r="O78" s="100" t="s">
        <v>96</v>
      </c>
      <c r="P78" s="16">
        <f>uurtarief35</f>
        <v>0</v>
      </c>
      <c r="Q78" s="102" t="e">
        <f t="shared" si="22"/>
        <v>#DIV/0!</v>
      </c>
      <c r="R78" s="102" t="e">
        <f t="shared" si="23"/>
        <v>#DIV/0!</v>
      </c>
      <c r="S78" s="16" t="e">
        <f t="shared" si="24"/>
        <v>#DIV/0!</v>
      </c>
      <c r="T78" s="102" t="e">
        <f t="shared" si="25"/>
        <v>#DIV/0!</v>
      </c>
      <c r="U78" s="17" t="e">
        <f t="shared" si="26"/>
        <v>#DIV/0!</v>
      </c>
    </row>
    <row r="79" spans="1:21" x14ac:dyDescent="0.2">
      <c r="A79" s="99" t="s">
        <v>375</v>
      </c>
      <c r="B79" s="100" t="s">
        <v>37</v>
      </c>
      <c r="C79" s="100" t="s">
        <v>297</v>
      </c>
      <c r="D79" s="100" t="s">
        <v>316</v>
      </c>
      <c r="E79" s="101" t="s">
        <v>380</v>
      </c>
      <c r="F79" s="100" t="s">
        <v>270</v>
      </c>
      <c r="G79" s="100" t="s">
        <v>198</v>
      </c>
      <c r="H79" s="100" t="s">
        <v>15</v>
      </c>
      <c r="I79" s="100" t="s">
        <v>190</v>
      </c>
      <c r="J79" s="100"/>
      <c r="K79" s="102">
        <v>3</v>
      </c>
      <c r="L79" s="102">
        <f t="shared" si="21"/>
        <v>0.60000000000000009</v>
      </c>
      <c r="M79" s="103">
        <f>prodnorm33</f>
        <v>0</v>
      </c>
      <c r="N79" s="30">
        <f>dagwerk33</f>
        <v>0</v>
      </c>
      <c r="O79" s="100" t="s">
        <v>96</v>
      </c>
      <c r="P79" s="16">
        <f>uurtarief33</f>
        <v>0</v>
      </c>
      <c r="Q79" s="102" t="e">
        <f t="shared" si="22"/>
        <v>#DIV/0!</v>
      </c>
      <c r="R79" s="102" t="e">
        <f t="shared" si="23"/>
        <v>#DIV/0!</v>
      </c>
      <c r="S79" s="16" t="e">
        <f t="shared" si="24"/>
        <v>#DIV/0!</v>
      </c>
      <c r="T79" s="102" t="e">
        <f t="shared" si="25"/>
        <v>#DIV/0!</v>
      </c>
      <c r="U79" s="17" t="e">
        <f t="shared" si="26"/>
        <v>#DIV/0!</v>
      </c>
    </row>
    <row r="80" spans="1:21" x14ac:dyDescent="0.2">
      <c r="A80" s="99" t="s">
        <v>375</v>
      </c>
      <c r="B80" s="100" t="s">
        <v>37</v>
      </c>
      <c r="C80" s="100" t="s">
        <v>297</v>
      </c>
      <c r="D80" s="100" t="s">
        <v>319</v>
      </c>
      <c r="E80" s="101" t="s">
        <v>381</v>
      </c>
      <c r="F80" s="100" t="s">
        <v>270</v>
      </c>
      <c r="G80" s="100" t="s">
        <v>198</v>
      </c>
      <c r="H80" s="100" t="s">
        <v>15</v>
      </c>
      <c r="I80" s="100" t="s">
        <v>190</v>
      </c>
      <c r="J80" s="100"/>
      <c r="K80" s="102">
        <v>3</v>
      </c>
      <c r="L80" s="102">
        <f t="shared" si="21"/>
        <v>0.60000000000000009</v>
      </c>
      <c r="M80" s="103">
        <f>prodnorm33</f>
        <v>0</v>
      </c>
      <c r="N80" s="30">
        <f>dagwerk33</f>
        <v>0</v>
      </c>
      <c r="O80" s="100" t="s">
        <v>96</v>
      </c>
      <c r="P80" s="16">
        <f>uurtarief33</f>
        <v>0</v>
      </c>
      <c r="Q80" s="102" t="e">
        <f t="shared" si="22"/>
        <v>#DIV/0!</v>
      </c>
      <c r="R80" s="102" t="e">
        <f t="shared" si="23"/>
        <v>#DIV/0!</v>
      </c>
      <c r="S80" s="16" t="e">
        <f t="shared" si="24"/>
        <v>#DIV/0!</v>
      </c>
      <c r="T80" s="102" t="e">
        <f t="shared" si="25"/>
        <v>#DIV/0!</v>
      </c>
      <c r="U80" s="17" t="e">
        <f t="shared" si="26"/>
        <v>#DIV/0!</v>
      </c>
    </row>
    <row r="81" spans="1:21" x14ac:dyDescent="0.2">
      <c r="A81" s="99" t="s">
        <v>375</v>
      </c>
      <c r="B81" s="100" t="s">
        <v>37</v>
      </c>
      <c r="C81" s="100" t="s">
        <v>297</v>
      </c>
      <c r="D81" s="100" t="s">
        <v>329</v>
      </c>
      <c r="E81" s="101" t="s">
        <v>382</v>
      </c>
      <c r="F81" s="100" t="s">
        <v>270</v>
      </c>
      <c r="G81" s="100" t="s">
        <v>222</v>
      </c>
      <c r="H81" s="100" t="s">
        <v>15</v>
      </c>
      <c r="I81" s="100" t="s">
        <v>190</v>
      </c>
      <c r="J81" s="100"/>
      <c r="K81" s="102">
        <v>3</v>
      </c>
      <c r="L81" s="102">
        <f t="shared" si="21"/>
        <v>0.60000000000000009</v>
      </c>
      <c r="M81" s="103">
        <f>prodnorm49</f>
        <v>0</v>
      </c>
      <c r="N81" s="30">
        <f>dagwerk49</f>
        <v>0</v>
      </c>
      <c r="O81" s="100" t="s">
        <v>96</v>
      </c>
      <c r="P81" s="16">
        <f>uurtarief49</f>
        <v>0</v>
      </c>
      <c r="Q81" s="102" t="e">
        <f t="shared" si="22"/>
        <v>#DIV/0!</v>
      </c>
      <c r="R81" s="102" t="e">
        <f t="shared" si="23"/>
        <v>#DIV/0!</v>
      </c>
      <c r="S81" s="16" t="e">
        <f t="shared" si="24"/>
        <v>#DIV/0!</v>
      </c>
      <c r="T81" s="102" t="e">
        <f t="shared" si="25"/>
        <v>#DIV/0!</v>
      </c>
      <c r="U81" s="17" t="e">
        <f t="shared" si="26"/>
        <v>#DIV/0!</v>
      </c>
    </row>
    <row r="82" spans="1:21" x14ac:dyDescent="0.2">
      <c r="A82" s="99" t="s">
        <v>375</v>
      </c>
      <c r="B82" s="100" t="s">
        <v>37</v>
      </c>
      <c r="C82" s="100" t="s">
        <v>297</v>
      </c>
      <c r="D82" s="100" t="s">
        <v>332</v>
      </c>
      <c r="E82" s="101" t="s">
        <v>383</v>
      </c>
      <c r="F82" s="100" t="s">
        <v>289</v>
      </c>
      <c r="G82" s="100" t="s">
        <v>198</v>
      </c>
      <c r="H82" s="100" t="s">
        <v>15</v>
      </c>
      <c r="I82" s="100" t="s">
        <v>190</v>
      </c>
      <c r="J82" s="100"/>
      <c r="K82" s="102">
        <v>34.299999999999997</v>
      </c>
      <c r="L82" s="102">
        <f t="shared" si="21"/>
        <v>6.8599999999999994</v>
      </c>
      <c r="M82" s="103">
        <f>prodnorm33</f>
        <v>0</v>
      </c>
      <c r="N82" s="30">
        <f>dagwerk33</f>
        <v>0</v>
      </c>
      <c r="O82" s="100" t="s">
        <v>96</v>
      </c>
      <c r="P82" s="16">
        <f>uurtarief33</f>
        <v>0</v>
      </c>
      <c r="Q82" s="102" t="e">
        <f t="shared" si="22"/>
        <v>#DIV/0!</v>
      </c>
      <c r="R82" s="102" t="e">
        <f t="shared" si="23"/>
        <v>#DIV/0!</v>
      </c>
      <c r="S82" s="16" t="e">
        <f t="shared" si="24"/>
        <v>#DIV/0!</v>
      </c>
      <c r="T82" s="102" t="e">
        <f t="shared" si="25"/>
        <v>#DIV/0!</v>
      </c>
      <c r="U82" s="17" t="e">
        <f t="shared" si="26"/>
        <v>#DIV/0!</v>
      </c>
    </row>
    <row r="83" spans="1:21" x14ac:dyDescent="0.2">
      <c r="A83" s="99" t="s">
        <v>375</v>
      </c>
      <c r="B83" s="100" t="s">
        <v>37</v>
      </c>
      <c r="C83" s="100" t="s">
        <v>297</v>
      </c>
      <c r="D83" s="100" t="s">
        <v>334</v>
      </c>
      <c r="E83" s="101" t="s">
        <v>384</v>
      </c>
      <c r="F83" s="100" t="s">
        <v>289</v>
      </c>
      <c r="G83" s="100" t="s">
        <v>207</v>
      </c>
      <c r="H83" s="100" t="s">
        <v>15</v>
      </c>
      <c r="I83" s="100" t="s">
        <v>190</v>
      </c>
      <c r="J83" s="100"/>
      <c r="K83" s="102">
        <v>23.7</v>
      </c>
      <c r="L83" s="102">
        <f t="shared" si="21"/>
        <v>4.74</v>
      </c>
      <c r="M83" s="103">
        <f>prodnorm39</f>
        <v>0</v>
      </c>
      <c r="N83" s="30">
        <f>dagwerk39</f>
        <v>0</v>
      </c>
      <c r="O83" s="100" t="s">
        <v>96</v>
      </c>
      <c r="P83" s="16">
        <f>uurtarief39</f>
        <v>0</v>
      </c>
      <c r="Q83" s="102" t="e">
        <f t="shared" si="22"/>
        <v>#DIV/0!</v>
      </c>
      <c r="R83" s="102" t="e">
        <f t="shared" si="23"/>
        <v>#DIV/0!</v>
      </c>
      <c r="S83" s="16" t="e">
        <f t="shared" si="24"/>
        <v>#DIV/0!</v>
      </c>
      <c r="T83" s="102" t="e">
        <f t="shared" si="25"/>
        <v>#DIV/0!</v>
      </c>
      <c r="U83" s="17" t="e">
        <f t="shared" si="26"/>
        <v>#DIV/0!</v>
      </c>
    </row>
    <row r="84" spans="1:21" x14ac:dyDescent="0.2">
      <c r="A84" s="99" t="s">
        <v>375</v>
      </c>
      <c r="B84" s="100" t="s">
        <v>37</v>
      </c>
      <c r="C84" s="100" t="s">
        <v>297</v>
      </c>
      <c r="D84" s="100" t="s">
        <v>336</v>
      </c>
      <c r="E84" s="101" t="s">
        <v>385</v>
      </c>
      <c r="F84" s="100" t="s">
        <v>270</v>
      </c>
      <c r="G84" s="100" t="s">
        <v>198</v>
      </c>
      <c r="H84" s="100" t="s">
        <v>15</v>
      </c>
      <c r="I84" s="100" t="s">
        <v>190</v>
      </c>
      <c r="J84" s="100"/>
      <c r="K84" s="102">
        <v>12.5</v>
      </c>
      <c r="L84" s="102">
        <f t="shared" si="21"/>
        <v>2.5</v>
      </c>
      <c r="M84" s="103">
        <f>prodnorm33</f>
        <v>0</v>
      </c>
      <c r="N84" s="30">
        <f>dagwerk33</f>
        <v>0</v>
      </c>
      <c r="O84" s="100" t="s">
        <v>96</v>
      </c>
      <c r="P84" s="16">
        <f>uurtarief33</f>
        <v>0</v>
      </c>
      <c r="Q84" s="102" t="e">
        <f t="shared" si="22"/>
        <v>#DIV/0!</v>
      </c>
      <c r="R84" s="102" t="e">
        <f t="shared" si="23"/>
        <v>#DIV/0!</v>
      </c>
      <c r="S84" s="16" t="e">
        <f t="shared" si="24"/>
        <v>#DIV/0!</v>
      </c>
      <c r="T84" s="102" t="e">
        <f t="shared" si="25"/>
        <v>#DIV/0!</v>
      </c>
      <c r="U84" s="17" t="e">
        <f t="shared" si="26"/>
        <v>#DIV/0!</v>
      </c>
    </row>
    <row r="85" spans="1:21" x14ac:dyDescent="0.2">
      <c r="A85" s="99" t="s">
        <v>375</v>
      </c>
      <c r="B85" s="100" t="s">
        <v>37</v>
      </c>
      <c r="C85" s="100" t="s">
        <v>297</v>
      </c>
      <c r="D85" s="100" t="s">
        <v>342</v>
      </c>
      <c r="E85" s="101" t="s">
        <v>386</v>
      </c>
      <c r="F85" s="100" t="s">
        <v>300</v>
      </c>
      <c r="G85" s="100" t="s">
        <v>231</v>
      </c>
      <c r="H85" s="100" t="s">
        <v>15</v>
      </c>
      <c r="I85" s="100" t="s">
        <v>190</v>
      </c>
      <c r="J85" s="100"/>
      <c r="K85" s="102">
        <v>11</v>
      </c>
      <c r="L85" s="102">
        <f t="shared" si="21"/>
        <v>2.2000000000000002</v>
      </c>
      <c r="M85" s="103">
        <f>prodnorm56</f>
        <v>0</v>
      </c>
      <c r="N85" s="30">
        <f>dagwerk56</f>
        <v>0</v>
      </c>
      <c r="O85" s="100" t="s">
        <v>96</v>
      </c>
      <c r="P85" s="16">
        <f>uurtarief56</f>
        <v>0</v>
      </c>
      <c r="Q85" s="102" t="e">
        <f t="shared" si="22"/>
        <v>#DIV/0!</v>
      </c>
      <c r="R85" s="102" t="e">
        <f t="shared" si="23"/>
        <v>#DIV/0!</v>
      </c>
      <c r="S85" s="16" t="e">
        <f t="shared" si="24"/>
        <v>#DIV/0!</v>
      </c>
      <c r="T85" s="102" t="e">
        <f t="shared" si="25"/>
        <v>#DIV/0!</v>
      </c>
      <c r="U85" s="17" t="e">
        <f t="shared" si="26"/>
        <v>#DIV/0!</v>
      </c>
    </row>
    <row r="86" spans="1:21" x14ac:dyDescent="0.2">
      <c r="A86" s="99" t="s">
        <v>375</v>
      </c>
      <c r="B86" s="100" t="s">
        <v>37</v>
      </c>
      <c r="C86" s="100" t="s">
        <v>297</v>
      </c>
      <c r="D86" s="100" t="s">
        <v>343</v>
      </c>
      <c r="E86" s="101" t="s">
        <v>309</v>
      </c>
      <c r="F86" s="100" t="s">
        <v>273</v>
      </c>
      <c r="G86" s="100" t="s">
        <v>226</v>
      </c>
      <c r="H86" s="100" t="s">
        <v>15</v>
      </c>
      <c r="I86" s="100" t="s">
        <v>190</v>
      </c>
      <c r="J86" s="100"/>
      <c r="K86" s="102">
        <v>2.7</v>
      </c>
      <c r="L86" s="102">
        <f t="shared" si="21"/>
        <v>0.54</v>
      </c>
      <c r="M86" s="103">
        <f>prodnorm52</f>
        <v>0</v>
      </c>
      <c r="N86" s="30">
        <f>dagwerk52</f>
        <v>0</v>
      </c>
      <c r="O86" s="100" t="s">
        <v>96</v>
      </c>
      <c r="P86" s="16">
        <f>uurtarief52</f>
        <v>0</v>
      </c>
      <c r="Q86" s="102" t="e">
        <f t="shared" si="22"/>
        <v>#DIV/0!</v>
      </c>
      <c r="R86" s="102" t="e">
        <f t="shared" si="23"/>
        <v>#DIV/0!</v>
      </c>
      <c r="S86" s="16" t="e">
        <f t="shared" si="24"/>
        <v>#DIV/0!</v>
      </c>
      <c r="T86" s="102" t="e">
        <f t="shared" si="25"/>
        <v>#DIV/0!</v>
      </c>
      <c r="U86" s="17" t="e">
        <f t="shared" si="26"/>
        <v>#DIV/0!</v>
      </c>
    </row>
    <row r="87" spans="1:21" x14ac:dyDescent="0.2">
      <c r="A87" s="99" t="s">
        <v>375</v>
      </c>
      <c r="B87" s="100" t="s">
        <v>37</v>
      </c>
      <c r="C87" s="100" t="s">
        <v>297</v>
      </c>
      <c r="D87" s="100" t="s">
        <v>387</v>
      </c>
      <c r="E87" s="101" t="s">
        <v>275</v>
      </c>
      <c r="F87" s="100" t="s">
        <v>273</v>
      </c>
      <c r="G87" s="100" t="s">
        <v>229</v>
      </c>
      <c r="H87" s="100" t="s">
        <v>15</v>
      </c>
      <c r="I87" s="100" t="s">
        <v>190</v>
      </c>
      <c r="J87" s="100"/>
      <c r="K87" s="102">
        <v>2</v>
      </c>
      <c r="L87" s="102">
        <f t="shared" si="21"/>
        <v>0.4</v>
      </c>
      <c r="M87" s="103">
        <f>prodnorm54</f>
        <v>0</v>
      </c>
      <c r="N87" s="30">
        <f>dagwerk54</f>
        <v>0</v>
      </c>
      <c r="O87" s="100" t="s">
        <v>96</v>
      </c>
      <c r="P87" s="16">
        <f>uurtarief54</f>
        <v>0</v>
      </c>
      <c r="Q87" s="102" t="e">
        <f t="shared" si="22"/>
        <v>#DIV/0!</v>
      </c>
      <c r="R87" s="102" t="e">
        <f t="shared" si="23"/>
        <v>#DIV/0!</v>
      </c>
      <c r="S87" s="16" t="e">
        <f t="shared" si="24"/>
        <v>#DIV/0!</v>
      </c>
      <c r="T87" s="102" t="e">
        <f t="shared" si="25"/>
        <v>#DIV/0!</v>
      </c>
      <c r="U87" s="17" t="e">
        <f t="shared" si="26"/>
        <v>#DIV/0!</v>
      </c>
    </row>
    <row r="88" spans="1:21" x14ac:dyDescent="0.2">
      <c r="A88" s="99" t="s">
        <v>375</v>
      </c>
      <c r="B88" s="100" t="s">
        <v>37</v>
      </c>
      <c r="C88" s="100" t="s">
        <v>297</v>
      </c>
      <c r="D88" s="100" t="s">
        <v>345</v>
      </c>
      <c r="E88" s="101" t="s">
        <v>378</v>
      </c>
      <c r="F88" s="100" t="s">
        <v>300</v>
      </c>
      <c r="G88" s="100" t="s">
        <v>194</v>
      </c>
      <c r="H88" s="100" t="s">
        <v>15</v>
      </c>
      <c r="I88" s="100" t="s">
        <v>190</v>
      </c>
      <c r="J88" s="100"/>
      <c r="K88" s="102">
        <v>19.100000000000001</v>
      </c>
      <c r="L88" s="102">
        <f t="shared" si="21"/>
        <v>3.8200000000000003</v>
      </c>
      <c r="M88" s="103">
        <f>prodnorm29</f>
        <v>0</v>
      </c>
      <c r="N88" s="30">
        <f>dagwerk29</f>
        <v>0</v>
      </c>
      <c r="O88" s="100" t="s">
        <v>96</v>
      </c>
      <c r="P88" s="16">
        <f>uurtarief29</f>
        <v>0</v>
      </c>
      <c r="Q88" s="102" t="e">
        <f t="shared" si="22"/>
        <v>#DIV/0!</v>
      </c>
      <c r="R88" s="102" t="e">
        <f t="shared" si="23"/>
        <v>#DIV/0!</v>
      </c>
      <c r="S88" s="16" t="e">
        <f t="shared" si="24"/>
        <v>#DIV/0!</v>
      </c>
      <c r="T88" s="102" t="e">
        <f t="shared" si="25"/>
        <v>#DIV/0!</v>
      </c>
      <c r="U88" s="17" t="e">
        <f t="shared" si="26"/>
        <v>#DIV/0!</v>
      </c>
    </row>
    <row r="89" spans="1:21" x14ac:dyDescent="0.2">
      <c r="A89" s="99" t="s">
        <v>375</v>
      </c>
      <c r="B89" s="100" t="s">
        <v>37</v>
      </c>
      <c r="C89" s="100" t="s">
        <v>297</v>
      </c>
      <c r="D89" s="100" t="s">
        <v>346</v>
      </c>
      <c r="E89" s="101" t="s">
        <v>378</v>
      </c>
      <c r="F89" s="100" t="s">
        <v>300</v>
      </c>
      <c r="G89" s="100" t="s">
        <v>194</v>
      </c>
      <c r="H89" s="100" t="s">
        <v>15</v>
      </c>
      <c r="I89" s="100" t="s">
        <v>190</v>
      </c>
      <c r="J89" s="100"/>
      <c r="K89" s="102">
        <v>11.4</v>
      </c>
      <c r="L89" s="102">
        <f t="shared" si="21"/>
        <v>2.2800000000000002</v>
      </c>
      <c r="M89" s="103">
        <f>prodnorm29</f>
        <v>0</v>
      </c>
      <c r="N89" s="30">
        <f>dagwerk29</f>
        <v>0</v>
      </c>
      <c r="O89" s="100" t="s">
        <v>96</v>
      </c>
      <c r="P89" s="16">
        <f>uurtarief29</f>
        <v>0</v>
      </c>
      <c r="Q89" s="102" t="e">
        <f t="shared" si="22"/>
        <v>#DIV/0!</v>
      </c>
      <c r="R89" s="102" t="e">
        <f t="shared" si="23"/>
        <v>#DIV/0!</v>
      </c>
      <c r="S89" s="16" t="e">
        <f t="shared" si="24"/>
        <v>#DIV/0!</v>
      </c>
      <c r="T89" s="102" t="e">
        <f t="shared" si="25"/>
        <v>#DIV/0!</v>
      </c>
      <c r="U89" s="17" t="e">
        <f t="shared" si="26"/>
        <v>#DIV/0!</v>
      </c>
    </row>
    <row r="90" spans="1:21" x14ac:dyDescent="0.2">
      <c r="A90" s="99" t="s">
        <v>375</v>
      </c>
      <c r="B90" s="100" t="s">
        <v>37</v>
      </c>
      <c r="C90" s="100" t="s">
        <v>297</v>
      </c>
      <c r="D90" s="100" t="s">
        <v>348</v>
      </c>
      <c r="E90" s="101" t="s">
        <v>378</v>
      </c>
      <c r="F90" s="100" t="s">
        <v>300</v>
      </c>
      <c r="G90" s="100" t="s">
        <v>194</v>
      </c>
      <c r="H90" s="100" t="s">
        <v>15</v>
      </c>
      <c r="I90" s="100" t="s">
        <v>190</v>
      </c>
      <c r="J90" s="100"/>
      <c r="K90" s="102">
        <v>6.9</v>
      </c>
      <c r="L90" s="102">
        <f t="shared" si="21"/>
        <v>1.3800000000000001</v>
      </c>
      <c r="M90" s="103">
        <f>prodnorm29</f>
        <v>0</v>
      </c>
      <c r="N90" s="30">
        <f>dagwerk29</f>
        <v>0</v>
      </c>
      <c r="O90" s="100" t="s">
        <v>96</v>
      </c>
      <c r="P90" s="16">
        <f>uurtarief29</f>
        <v>0</v>
      </c>
      <c r="Q90" s="102" t="e">
        <f t="shared" si="22"/>
        <v>#DIV/0!</v>
      </c>
      <c r="R90" s="102" t="e">
        <f t="shared" si="23"/>
        <v>#DIV/0!</v>
      </c>
      <c r="S90" s="16" t="e">
        <f t="shared" si="24"/>
        <v>#DIV/0!</v>
      </c>
      <c r="T90" s="102" t="e">
        <f t="shared" si="25"/>
        <v>#DIV/0!</v>
      </c>
      <c r="U90" s="17" t="e">
        <f t="shared" si="26"/>
        <v>#DIV/0!</v>
      </c>
    </row>
    <row r="91" spans="1:21" x14ac:dyDescent="0.2">
      <c r="A91" s="99" t="s">
        <v>375</v>
      </c>
      <c r="B91" s="100" t="s">
        <v>37</v>
      </c>
      <c r="C91" s="100" t="s">
        <v>297</v>
      </c>
      <c r="D91" s="100" t="s">
        <v>350</v>
      </c>
      <c r="E91" s="101" t="s">
        <v>377</v>
      </c>
      <c r="F91" s="100" t="s">
        <v>300</v>
      </c>
      <c r="G91" s="100" t="s">
        <v>233</v>
      </c>
      <c r="H91" s="100" t="s">
        <v>15</v>
      </c>
      <c r="I91" s="100" t="s">
        <v>190</v>
      </c>
      <c r="J91" s="100"/>
      <c r="K91" s="102">
        <v>7.7</v>
      </c>
      <c r="L91" s="102">
        <f t="shared" si="21"/>
        <v>1.54</v>
      </c>
      <c r="M91" s="103">
        <f>prodnorm58</f>
        <v>0</v>
      </c>
      <c r="N91" s="30">
        <f>dagwerk58</f>
        <v>0</v>
      </c>
      <c r="O91" s="100" t="s">
        <v>96</v>
      </c>
      <c r="P91" s="16">
        <f>uurtarief58</f>
        <v>0</v>
      </c>
      <c r="Q91" s="102" t="e">
        <f t="shared" si="22"/>
        <v>#DIV/0!</v>
      </c>
      <c r="R91" s="102" t="e">
        <f t="shared" si="23"/>
        <v>#DIV/0!</v>
      </c>
      <c r="S91" s="16" t="e">
        <f t="shared" si="24"/>
        <v>#DIV/0!</v>
      </c>
      <c r="T91" s="102" t="e">
        <f t="shared" si="25"/>
        <v>#DIV/0!</v>
      </c>
      <c r="U91" s="17" t="e">
        <f t="shared" si="26"/>
        <v>#DIV/0!</v>
      </c>
    </row>
    <row r="92" spans="1:21" x14ac:dyDescent="0.2">
      <c r="A92" s="99" t="s">
        <v>375</v>
      </c>
      <c r="B92" s="100" t="s">
        <v>37</v>
      </c>
      <c r="C92" s="100" t="s">
        <v>388</v>
      </c>
      <c r="D92" s="100" t="s">
        <v>389</v>
      </c>
      <c r="E92" s="101" t="s">
        <v>390</v>
      </c>
      <c r="F92" s="100" t="s">
        <v>273</v>
      </c>
      <c r="G92" s="100" t="s">
        <v>229</v>
      </c>
      <c r="H92" s="100" t="s">
        <v>15</v>
      </c>
      <c r="I92" s="100" t="s">
        <v>190</v>
      </c>
      <c r="J92" s="100"/>
      <c r="K92" s="102">
        <v>3</v>
      </c>
      <c r="L92" s="102">
        <f t="shared" si="21"/>
        <v>0.60000000000000009</v>
      </c>
      <c r="M92" s="103">
        <f>prodnorm54</f>
        <v>0</v>
      </c>
      <c r="N92" s="30">
        <f>dagwerk54</f>
        <v>0</v>
      </c>
      <c r="O92" s="100" t="s">
        <v>96</v>
      </c>
      <c r="P92" s="16">
        <f>uurtarief54</f>
        <v>0</v>
      </c>
      <c r="Q92" s="102" t="e">
        <f t="shared" si="22"/>
        <v>#DIV/0!</v>
      </c>
      <c r="R92" s="102" t="e">
        <f t="shared" si="23"/>
        <v>#DIV/0!</v>
      </c>
      <c r="S92" s="16" t="e">
        <f t="shared" si="24"/>
        <v>#DIV/0!</v>
      </c>
      <c r="T92" s="102" t="e">
        <f t="shared" si="25"/>
        <v>#DIV/0!</v>
      </c>
      <c r="U92" s="17" t="e">
        <f t="shared" si="26"/>
        <v>#DIV/0!</v>
      </c>
    </row>
    <row r="93" spans="1:21" x14ac:dyDescent="0.2">
      <c r="A93" s="99" t="s">
        <v>375</v>
      </c>
      <c r="B93" s="100" t="s">
        <v>37</v>
      </c>
      <c r="C93" s="100" t="s">
        <v>388</v>
      </c>
      <c r="D93" s="100" t="s">
        <v>391</v>
      </c>
      <c r="E93" s="101" t="s">
        <v>378</v>
      </c>
      <c r="F93" s="100" t="s">
        <v>300</v>
      </c>
      <c r="G93" s="100" t="s">
        <v>194</v>
      </c>
      <c r="H93" s="100" t="s">
        <v>15</v>
      </c>
      <c r="I93" s="100" t="s">
        <v>190</v>
      </c>
      <c r="J93" s="100"/>
      <c r="K93" s="102">
        <v>23.6</v>
      </c>
      <c r="L93" s="102">
        <f t="shared" si="21"/>
        <v>4.7200000000000006</v>
      </c>
      <c r="M93" s="103">
        <f>prodnorm29</f>
        <v>0</v>
      </c>
      <c r="N93" s="30">
        <f>dagwerk29</f>
        <v>0</v>
      </c>
      <c r="O93" s="100" t="s">
        <v>96</v>
      </c>
      <c r="P93" s="16">
        <f>uurtarief29</f>
        <v>0</v>
      </c>
      <c r="Q93" s="102" t="e">
        <f t="shared" si="22"/>
        <v>#DIV/0!</v>
      </c>
      <c r="R93" s="102" t="e">
        <f t="shared" si="23"/>
        <v>#DIV/0!</v>
      </c>
      <c r="S93" s="16" t="e">
        <f t="shared" si="24"/>
        <v>#DIV/0!</v>
      </c>
      <c r="T93" s="102" t="e">
        <f t="shared" si="25"/>
        <v>#DIV/0!</v>
      </c>
      <c r="U93" s="17" t="e">
        <f t="shared" si="26"/>
        <v>#DIV/0!</v>
      </c>
    </row>
    <row r="94" spans="1:21" x14ac:dyDescent="0.2">
      <c r="A94" s="99" t="s">
        <v>375</v>
      </c>
      <c r="B94" s="100" t="s">
        <v>37</v>
      </c>
      <c r="C94" s="100" t="s">
        <v>388</v>
      </c>
      <c r="D94" s="100" t="s">
        <v>392</v>
      </c>
      <c r="E94" s="101" t="s">
        <v>304</v>
      </c>
      <c r="F94" s="100" t="s">
        <v>276</v>
      </c>
      <c r="G94" s="100" t="s">
        <v>229</v>
      </c>
      <c r="H94" s="100" t="s">
        <v>15</v>
      </c>
      <c r="I94" s="100" t="s">
        <v>190</v>
      </c>
      <c r="J94" s="100"/>
      <c r="K94" s="102">
        <v>7.6</v>
      </c>
      <c r="L94" s="102">
        <f t="shared" si="21"/>
        <v>1.52</v>
      </c>
      <c r="M94" s="103">
        <f>prodnorm54</f>
        <v>0</v>
      </c>
      <c r="N94" s="30">
        <f>dagwerk54</f>
        <v>0</v>
      </c>
      <c r="O94" s="100" t="s">
        <v>96</v>
      </c>
      <c r="P94" s="16">
        <f>uurtarief54</f>
        <v>0</v>
      </c>
      <c r="Q94" s="102" t="e">
        <f t="shared" si="22"/>
        <v>#DIV/0!</v>
      </c>
      <c r="R94" s="102" t="e">
        <f t="shared" si="23"/>
        <v>#DIV/0!</v>
      </c>
      <c r="S94" s="16" t="e">
        <f t="shared" si="24"/>
        <v>#DIV/0!</v>
      </c>
      <c r="T94" s="102" t="e">
        <f t="shared" si="25"/>
        <v>#DIV/0!</v>
      </c>
      <c r="U94" s="17" t="e">
        <f t="shared" si="26"/>
        <v>#DIV/0!</v>
      </c>
    </row>
    <row r="95" spans="1:21" x14ac:dyDescent="0.2">
      <c r="A95" s="99" t="s">
        <v>375</v>
      </c>
      <c r="B95" s="100" t="s">
        <v>37</v>
      </c>
      <c r="C95" s="100" t="s">
        <v>388</v>
      </c>
      <c r="D95" s="100" t="s">
        <v>392</v>
      </c>
      <c r="E95" s="101" t="s">
        <v>304</v>
      </c>
      <c r="F95" s="100" t="s">
        <v>276</v>
      </c>
      <c r="G95" s="100" t="s">
        <v>235</v>
      </c>
      <c r="H95" s="100" t="s">
        <v>23</v>
      </c>
      <c r="I95" s="100" t="s">
        <v>190</v>
      </c>
      <c r="J95" s="100"/>
      <c r="K95" s="102">
        <v>7.6</v>
      </c>
      <c r="L95" s="102">
        <f t="shared" si="21"/>
        <v>2.9803921568627448E-2</v>
      </c>
      <c r="M95" s="103">
        <f>prodnorm59</f>
        <v>0</v>
      </c>
      <c r="N95" s="30">
        <f>dagwerk59</f>
        <v>0</v>
      </c>
      <c r="O95" s="100" t="s">
        <v>96</v>
      </c>
      <c r="P95" s="16">
        <f>uurtarief59</f>
        <v>0</v>
      </c>
      <c r="Q95" s="102" t="e">
        <f t="shared" si="22"/>
        <v>#DIV/0!</v>
      </c>
      <c r="R95" s="102" t="e">
        <f t="shared" si="23"/>
        <v>#DIV/0!</v>
      </c>
      <c r="S95" s="16" t="e">
        <f t="shared" si="24"/>
        <v>#DIV/0!</v>
      </c>
      <c r="T95" s="102" t="e">
        <f t="shared" si="25"/>
        <v>#DIV/0!</v>
      </c>
      <c r="U95" s="17" t="e">
        <f t="shared" si="26"/>
        <v>#DIV/0!</v>
      </c>
    </row>
    <row r="96" spans="1:21" x14ac:dyDescent="0.2">
      <c r="A96" s="99" t="s">
        <v>375</v>
      </c>
      <c r="B96" s="100" t="s">
        <v>37</v>
      </c>
      <c r="C96" s="100" t="s">
        <v>388</v>
      </c>
      <c r="D96" s="100" t="s">
        <v>393</v>
      </c>
      <c r="E96" s="101" t="s">
        <v>340</v>
      </c>
      <c r="F96" s="100" t="s">
        <v>270</v>
      </c>
      <c r="G96" s="100" t="s">
        <v>222</v>
      </c>
      <c r="H96" s="100" t="s">
        <v>15</v>
      </c>
      <c r="I96" s="100" t="s">
        <v>190</v>
      </c>
      <c r="J96" s="100"/>
      <c r="K96" s="102">
        <v>3</v>
      </c>
      <c r="L96" s="102">
        <f t="shared" si="21"/>
        <v>0.60000000000000009</v>
      </c>
      <c r="M96" s="103">
        <f>prodnorm49</f>
        <v>0</v>
      </c>
      <c r="N96" s="30">
        <f>dagwerk49</f>
        <v>0</v>
      </c>
      <c r="O96" s="100" t="s">
        <v>96</v>
      </c>
      <c r="P96" s="16">
        <f>uurtarief49</f>
        <v>0</v>
      </c>
      <c r="Q96" s="102" t="e">
        <f t="shared" si="22"/>
        <v>#DIV/0!</v>
      </c>
      <c r="R96" s="102" t="e">
        <f t="shared" si="23"/>
        <v>#DIV/0!</v>
      </c>
      <c r="S96" s="16" t="e">
        <f t="shared" si="24"/>
        <v>#DIV/0!</v>
      </c>
      <c r="T96" s="102" t="e">
        <f t="shared" si="25"/>
        <v>#DIV/0!</v>
      </c>
      <c r="U96" s="17" t="e">
        <f t="shared" si="26"/>
        <v>#DIV/0!</v>
      </c>
    </row>
    <row r="97" spans="1:21" x14ac:dyDescent="0.2">
      <c r="A97" s="99" t="s">
        <v>375</v>
      </c>
      <c r="B97" s="100" t="s">
        <v>37</v>
      </c>
      <c r="C97" s="100" t="s">
        <v>388</v>
      </c>
      <c r="D97" s="100" t="s">
        <v>394</v>
      </c>
      <c r="E97" s="101" t="s">
        <v>395</v>
      </c>
      <c r="F97" s="100" t="s">
        <v>276</v>
      </c>
      <c r="G97" s="100" t="s">
        <v>219</v>
      </c>
      <c r="H97" s="100" t="s">
        <v>15</v>
      </c>
      <c r="I97" s="100" t="s">
        <v>190</v>
      </c>
      <c r="J97" s="100"/>
      <c r="K97" s="102">
        <v>75.5</v>
      </c>
      <c r="L97" s="102">
        <f t="shared" si="21"/>
        <v>15.100000000000001</v>
      </c>
      <c r="M97" s="103">
        <f>prodnorm47</f>
        <v>0</v>
      </c>
      <c r="N97" s="30">
        <f>dagwerk47</f>
        <v>0</v>
      </c>
      <c r="O97" s="100" t="s">
        <v>96</v>
      </c>
      <c r="P97" s="16">
        <f>uurtarief47</f>
        <v>0</v>
      </c>
      <c r="Q97" s="102" t="e">
        <f t="shared" si="22"/>
        <v>#DIV/0!</v>
      </c>
      <c r="R97" s="102" t="e">
        <f t="shared" si="23"/>
        <v>#DIV/0!</v>
      </c>
      <c r="S97" s="16" t="e">
        <f t="shared" si="24"/>
        <v>#DIV/0!</v>
      </c>
      <c r="T97" s="102" t="e">
        <f t="shared" si="25"/>
        <v>#DIV/0!</v>
      </c>
      <c r="U97" s="17" t="e">
        <f t="shared" si="26"/>
        <v>#DIV/0!</v>
      </c>
    </row>
    <row r="98" spans="1:21" x14ac:dyDescent="0.2">
      <c r="A98" s="99" t="s">
        <v>375</v>
      </c>
      <c r="B98" s="100" t="s">
        <v>37</v>
      </c>
      <c r="C98" s="100" t="s">
        <v>388</v>
      </c>
      <c r="D98" s="100" t="s">
        <v>394</v>
      </c>
      <c r="E98" s="101" t="s">
        <v>395</v>
      </c>
      <c r="F98" s="100" t="s">
        <v>276</v>
      </c>
      <c r="G98" s="100" t="s">
        <v>235</v>
      </c>
      <c r="H98" s="100" t="s">
        <v>23</v>
      </c>
      <c r="I98" s="100" t="s">
        <v>190</v>
      </c>
      <c r="J98" s="100"/>
      <c r="K98" s="102">
        <v>75.5</v>
      </c>
      <c r="L98" s="102">
        <f t="shared" si="21"/>
        <v>0.29607843137254902</v>
      </c>
      <c r="M98" s="103">
        <f>prodnorm59</f>
        <v>0</v>
      </c>
      <c r="N98" s="30">
        <f>dagwerk59</f>
        <v>0</v>
      </c>
      <c r="O98" s="100" t="s">
        <v>96</v>
      </c>
      <c r="P98" s="16">
        <f>uurtarief59</f>
        <v>0</v>
      </c>
      <c r="Q98" s="102" t="e">
        <f t="shared" si="22"/>
        <v>#DIV/0!</v>
      </c>
      <c r="R98" s="102" t="e">
        <f t="shared" si="23"/>
        <v>#DIV/0!</v>
      </c>
      <c r="S98" s="16" t="e">
        <f t="shared" si="24"/>
        <v>#DIV/0!</v>
      </c>
      <c r="T98" s="102" t="e">
        <f t="shared" si="25"/>
        <v>#DIV/0!</v>
      </c>
      <c r="U98" s="17" t="e">
        <f t="shared" si="26"/>
        <v>#DIV/0!</v>
      </c>
    </row>
    <row r="99" spans="1:21" x14ac:dyDescent="0.2">
      <c r="A99" s="99" t="s">
        <v>375</v>
      </c>
      <c r="B99" s="100" t="s">
        <v>37</v>
      </c>
      <c r="C99" s="100" t="s">
        <v>388</v>
      </c>
      <c r="D99" s="100" t="s">
        <v>396</v>
      </c>
      <c r="E99" s="101" t="s">
        <v>397</v>
      </c>
      <c r="F99" s="100" t="s">
        <v>276</v>
      </c>
      <c r="G99" s="100" t="s">
        <v>196</v>
      </c>
      <c r="H99" s="100" t="s">
        <v>15</v>
      </c>
      <c r="I99" s="100" t="s">
        <v>190</v>
      </c>
      <c r="J99" s="100"/>
      <c r="K99" s="102">
        <v>11</v>
      </c>
      <c r="L99" s="102">
        <f t="shared" si="21"/>
        <v>2.2000000000000002</v>
      </c>
      <c r="M99" s="103">
        <f>prodnorm31</f>
        <v>0</v>
      </c>
      <c r="N99" s="30">
        <f>dagwerk31</f>
        <v>0</v>
      </c>
      <c r="O99" s="100" t="s">
        <v>96</v>
      </c>
      <c r="P99" s="16">
        <f>uurtarief31</f>
        <v>0</v>
      </c>
      <c r="Q99" s="102" t="e">
        <f t="shared" si="22"/>
        <v>#DIV/0!</v>
      </c>
      <c r="R99" s="102" t="e">
        <f t="shared" si="23"/>
        <v>#DIV/0!</v>
      </c>
      <c r="S99" s="16" t="e">
        <f t="shared" si="24"/>
        <v>#DIV/0!</v>
      </c>
      <c r="T99" s="102" t="e">
        <f t="shared" si="25"/>
        <v>#DIV/0!</v>
      </c>
      <c r="U99" s="17" t="e">
        <f t="shared" si="26"/>
        <v>#DIV/0!</v>
      </c>
    </row>
    <row r="100" spans="1:21" x14ac:dyDescent="0.2">
      <c r="A100" s="99" t="s">
        <v>375</v>
      </c>
      <c r="B100" s="100" t="s">
        <v>37</v>
      </c>
      <c r="C100" s="100" t="s">
        <v>388</v>
      </c>
      <c r="D100" s="100" t="s">
        <v>396</v>
      </c>
      <c r="E100" s="101" t="s">
        <v>397</v>
      </c>
      <c r="F100" s="100" t="s">
        <v>276</v>
      </c>
      <c r="G100" s="100" t="s">
        <v>235</v>
      </c>
      <c r="H100" s="100" t="s">
        <v>23</v>
      </c>
      <c r="I100" s="100" t="s">
        <v>190</v>
      </c>
      <c r="J100" s="100"/>
      <c r="K100" s="102">
        <v>11</v>
      </c>
      <c r="L100" s="102">
        <f t="shared" si="21"/>
        <v>4.3137254901960784E-2</v>
      </c>
      <c r="M100" s="103">
        <f>prodnorm59</f>
        <v>0</v>
      </c>
      <c r="N100" s="30">
        <f>dagwerk59</f>
        <v>0</v>
      </c>
      <c r="O100" s="100" t="s">
        <v>96</v>
      </c>
      <c r="P100" s="16">
        <f>uurtarief59</f>
        <v>0</v>
      </c>
      <c r="Q100" s="102" t="e">
        <f t="shared" si="22"/>
        <v>#DIV/0!</v>
      </c>
      <c r="R100" s="102" t="e">
        <f t="shared" si="23"/>
        <v>#DIV/0!</v>
      </c>
      <c r="S100" s="16" t="e">
        <f t="shared" si="24"/>
        <v>#DIV/0!</v>
      </c>
      <c r="T100" s="102" t="e">
        <f t="shared" si="25"/>
        <v>#DIV/0!</v>
      </c>
      <c r="U100" s="17" t="e">
        <f t="shared" si="26"/>
        <v>#DIV/0!</v>
      </c>
    </row>
    <row r="101" spans="1:21" x14ac:dyDescent="0.2">
      <c r="A101" s="99" t="s">
        <v>375</v>
      </c>
      <c r="B101" s="100" t="s">
        <v>37</v>
      </c>
      <c r="C101" s="100" t="s">
        <v>388</v>
      </c>
      <c r="D101" s="100" t="s">
        <v>398</v>
      </c>
      <c r="E101" s="101" t="s">
        <v>399</v>
      </c>
      <c r="F101" s="100" t="s">
        <v>276</v>
      </c>
      <c r="G101" s="100" t="s">
        <v>217</v>
      </c>
      <c r="H101" s="100" t="s">
        <v>15</v>
      </c>
      <c r="I101" s="100" t="s">
        <v>190</v>
      </c>
      <c r="J101" s="100"/>
      <c r="K101" s="102">
        <v>4.5</v>
      </c>
      <c r="L101" s="102">
        <f t="shared" si="21"/>
        <v>0.9</v>
      </c>
      <c r="M101" s="103">
        <f>prodnorm45</f>
        <v>0</v>
      </c>
      <c r="N101" s="30">
        <f>dagwerk45</f>
        <v>0</v>
      </c>
      <c r="O101" s="100" t="s">
        <v>96</v>
      </c>
      <c r="P101" s="16">
        <f>uurtarief45</f>
        <v>0</v>
      </c>
      <c r="Q101" s="102" t="e">
        <f t="shared" si="22"/>
        <v>#DIV/0!</v>
      </c>
      <c r="R101" s="102" t="e">
        <f t="shared" si="23"/>
        <v>#DIV/0!</v>
      </c>
      <c r="S101" s="16" t="e">
        <f t="shared" si="24"/>
        <v>#DIV/0!</v>
      </c>
      <c r="T101" s="102" t="e">
        <f t="shared" si="25"/>
        <v>#DIV/0!</v>
      </c>
      <c r="U101" s="17" t="e">
        <f t="shared" si="26"/>
        <v>#DIV/0!</v>
      </c>
    </row>
    <row r="102" spans="1:21" x14ac:dyDescent="0.2">
      <c r="A102" s="104" t="s">
        <v>375</v>
      </c>
      <c r="B102" s="105" t="s">
        <v>37</v>
      </c>
      <c r="C102" s="105" t="s">
        <v>388</v>
      </c>
      <c r="D102" s="105" t="s">
        <v>398</v>
      </c>
      <c r="E102" s="106" t="s">
        <v>399</v>
      </c>
      <c r="F102" s="105" t="s">
        <v>276</v>
      </c>
      <c r="G102" s="105" t="s">
        <v>235</v>
      </c>
      <c r="H102" s="105" t="s">
        <v>23</v>
      </c>
      <c r="I102" s="105" t="s">
        <v>190</v>
      </c>
      <c r="J102" s="105"/>
      <c r="K102" s="107">
        <v>4.5</v>
      </c>
      <c r="L102" s="107">
        <f t="shared" si="21"/>
        <v>1.7647058823529412E-2</v>
      </c>
      <c r="M102" s="108">
        <f>prodnorm59</f>
        <v>0</v>
      </c>
      <c r="N102" s="109">
        <f>dagwerk59</f>
        <v>0</v>
      </c>
      <c r="O102" s="105" t="s">
        <v>96</v>
      </c>
      <c r="P102" s="26">
        <f>uurtarief59</f>
        <v>0</v>
      </c>
      <c r="Q102" s="107" t="e">
        <f t="shared" si="22"/>
        <v>#DIV/0!</v>
      </c>
      <c r="R102" s="107" t="e">
        <f t="shared" si="23"/>
        <v>#DIV/0!</v>
      </c>
      <c r="S102" s="26" t="e">
        <f t="shared" si="24"/>
        <v>#DIV/0!</v>
      </c>
      <c r="T102" s="107" t="e">
        <f t="shared" si="25"/>
        <v>#DIV/0!</v>
      </c>
      <c r="U102" s="27" t="e">
        <f t="shared" si="26"/>
        <v>#DIV/0!</v>
      </c>
    </row>
    <row r="103" spans="1:21" x14ac:dyDescent="0.2">
      <c r="A103" s="110" t="s">
        <v>373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3" t="e">
        <f>IF(_xlfn.SINGLE(object2_urenjaar1)&gt;0,_xlfn.SINGLE(object2_prijsjaar1)/_xlfn.SINGLE(object2_urenjaar1),0)</f>
        <v>#DIV/0!</v>
      </c>
      <c r="Q103" s="72" t="e">
        <f>SUM(Q71:Q102)</f>
        <v>#DIV/0!</v>
      </c>
      <c r="R103" s="72" t="e">
        <f>SUM(R71:R102)</f>
        <v>#DIV/0!</v>
      </c>
      <c r="S103" s="73" t="e">
        <f>SUM(S71:S102)</f>
        <v>#DIV/0!</v>
      </c>
      <c r="T103" s="72" t="e">
        <f>SUM(T71:T102)</f>
        <v>#DIV/0!</v>
      </c>
      <c r="U103" s="74" t="e">
        <f>SUM(U71:U102)</f>
        <v>#DIV/0!</v>
      </c>
    </row>
    <row r="104" spans="1:21" x14ac:dyDescent="0.2">
      <c r="A104" s="84" t="s">
        <v>400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69"/>
    </row>
    <row r="105" spans="1:21" x14ac:dyDescent="0.2">
      <c r="A105" s="91" t="s">
        <v>401</v>
      </c>
      <c r="B105" s="92" t="s">
        <v>37</v>
      </c>
      <c r="C105" s="92" t="s">
        <v>297</v>
      </c>
      <c r="D105" s="92" t="s">
        <v>298</v>
      </c>
      <c r="E105" s="93" t="s">
        <v>299</v>
      </c>
      <c r="F105" s="92" t="s">
        <v>300</v>
      </c>
      <c r="G105" s="92" t="s">
        <v>203</v>
      </c>
      <c r="H105" s="92" t="s">
        <v>9</v>
      </c>
      <c r="I105" s="92" t="s">
        <v>190</v>
      </c>
      <c r="J105" s="92"/>
      <c r="K105" s="94">
        <v>4.8</v>
      </c>
      <c r="L105" s="94">
        <f t="shared" ref="L105:L140" si="27">K105*VLOOKUP(H105,dagsoorttabel1,2,FALSE)</f>
        <v>4.8</v>
      </c>
      <c r="M105" s="95">
        <f>prodnorm37</f>
        <v>0</v>
      </c>
      <c r="N105" s="96">
        <f>dagwerk37</f>
        <v>0</v>
      </c>
      <c r="O105" s="92" t="s">
        <v>96</v>
      </c>
      <c r="P105" s="97">
        <f>uurtarief37</f>
        <v>0</v>
      </c>
      <c r="Q105" s="94" t="e">
        <f t="shared" ref="Q105:Q140" si="28">IF(ISBLANK(M105),0,L105/ROUND(M105,4))</f>
        <v>#DIV/0!</v>
      </c>
      <c r="R105" s="94" t="e">
        <f t="shared" ref="R105:R140" si="29">IF(ISBLANK(M105),0,Q105*ROUND(N105,2))</f>
        <v>#DIV/0!</v>
      </c>
      <c r="S105" s="97" t="e">
        <f t="shared" ref="S105:S140" si="30">ROUND(P105,2)*Q105</f>
        <v>#DIV/0!</v>
      </c>
      <c r="T105" s="94" t="e">
        <f t="shared" ref="T105:T140" si="31">Q105*dagenperjaar1</f>
        <v>#DIV/0!</v>
      </c>
      <c r="U105" s="98" t="e">
        <f t="shared" ref="U105:U140" si="32">T105*ROUND(P105,2)</f>
        <v>#DIV/0!</v>
      </c>
    </row>
    <row r="106" spans="1:21" x14ac:dyDescent="0.2">
      <c r="A106" s="99" t="s">
        <v>401</v>
      </c>
      <c r="B106" s="100" t="s">
        <v>37</v>
      </c>
      <c r="C106" s="100" t="s">
        <v>297</v>
      </c>
      <c r="D106" s="100" t="s">
        <v>301</v>
      </c>
      <c r="E106" s="101" t="s">
        <v>402</v>
      </c>
      <c r="F106" s="100" t="s">
        <v>300</v>
      </c>
      <c r="G106" s="100" t="s">
        <v>231</v>
      </c>
      <c r="H106" s="100" t="s">
        <v>9</v>
      </c>
      <c r="I106" s="100" t="s">
        <v>190</v>
      </c>
      <c r="J106" s="100"/>
      <c r="K106" s="102">
        <v>10.1</v>
      </c>
      <c r="L106" s="102">
        <f t="shared" si="27"/>
        <v>10.1</v>
      </c>
      <c r="M106" s="103">
        <f>prodnorm57</f>
        <v>0</v>
      </c>
      <c r="N106" s="30">
        <f>dagwerk57</f>
        <v>0</v>
      </c>
      <c r="O106" s="100" t="s">
        <v>96</v>
      </c>
      <c r="P106" s="16">
        <f>uurtarief57</f>
        <v>0</v>
      </c>
      <c r="Q106" s="102" t="e">
        <f t="shared" si="28"/>
        <v>#DIV/0!</v>
      </c>
      <c r="R106" s="102" t="e">
        <f t="shared" si="29"/>
        <v>#DIV/0!</v>
      </c>
      <c r="S106" s="16" t="e">
        <f t="shared" si="30"/>
        <v>#DIV/0!</v>
      </c>
      <c r="T106" s="102" t="e">
        <f t="shared" si="31"/>
        <v>#DIV/0!</v>
      </c>
      <c r="U106" s="17" t="e">
        <f t="shared" si="32"/>
        <v>#DIV/0!</v>
      </c>
    </row>
    <row r="107" spans="1:21" x14ac:dyDescent="0.2">
      <c r="A107" s="99" t="s">
        <v>401</v>
      </c>
      <c r="B107" s="100" t="s">
        <v>37</v>
      </c>
      <c r="C107" s="100" t="s">
        <v>297</v>
      </c>
      <c r="D107" s="100" t="s">
        <v>303</v>
      </c>
      <c r="E107" s="101" t="s">
        <v>304</v>
      </c>
      <c r="F107" s="100" t="s">
        <v>300</v>
      </c>
      <c r="G107" s="100" t="s">
        <v>231</v>
      </c>
      <c r="H107" s="100" t="s">
        <v>9</v>
      </c>
      <c r="I107" s="100" t="s">
        <v>190</v>
      </c>
      <c r="J107" s="100"/>
      <c r="K107" s="102">
        <v>10.5</v>
      </c>
      <c r="L107" s="102">
        <f t="shared" si="27"/>
        <v>10.5</v>
      </c>
      <c r="M107" s="103">
        <f>prodnorm57</f>
        <v>0</v>
      </c>
      <c r="N107" s="30">
        <f>dagwerk57</f>
        <v>0</v>
      </c>
      <c r="O107" s="100" t="s">
        <v>96</v>
      </c>
      <c r="P107" s="16">
        <f>uurtarief57</f>
        <v>0</v>
      </c>
      <c r="Q107" s="102" t="e">
        <f t="shared" si="28"/>
        <v>#DIV/0!</v>
      </c>
      <c r="R107" s="102" t="e">
        <f t="shared" si="29"/>
        <v>#DIV/0!</v>
      </c>
      <c r="S107" s="16" t="e">
        <f t="shared" si="30"/>
        <v>#DIV/0!</v>
      </c>
      <c r="T107" s="102" t="e">
        <f t="shared" si="31"/>
        <v>#DIV/0!</v>
      </c>
      <c r="U107" s="17" t="e">
        <f t="shared" si="32"/>
        <v>#DIV/0!</v>
      </c>
    </row>
    <row r="108" spans="1:21" x14ac:dyDescent="0.2">
      <c r="A108" s="99" t="s">
        <v>401</v>
      </c>
      <c r="B108" s="100" t="s">
        <v>37</v>
      </c>
      <c r="C108" s="100" t="s">
        <v>297</v>
      </c>
      <c r="D108" s="100" t="s">
        <v>305</v>
      </c>
      <c r="E108" s="101" t="s">
        <v>403</v>
      </c>
      <c r="F108" s="100" t="s">
        <v>273</v>
      </c>
      <c r="G108" s="100" t="s">
        <v>226</v>
      </c>
      <c r="H108" s="100" t="s">
        <v>9</v>
      </c>
      <c r="I108" s="100" t="s">
        <v>190</v>
      </c>
      <c r="J108" s="100"/>
      <c r="K108" s="102">
        <v>1.8</v>
      </c>
      <c r="L108" s="102">
        <f t="shared" si="27"/>
        <v>1.8</v>
      </c>
      <c r="M108" s="103">
        <f>prodnorm53</f>
        <v>0</v>
      </c>
      <c r="N108" s="30">
        <f>dagwerk53</f>
        <v>0</v>
      </c>
      <c r="O108" s="100" t="s">
        <v>96</v>
      </c>
      <c r="P108" s="16">
        <f>uurtarief53</f>
        <v>0</v>
      </c>
      <c r="Q108" s="102" t="e">
        <f t="shared" si="28"/>
        <v>#DIV/0!</v>
      </c>
      <c r="R108" s="102" t="e">
        <f t="shared" si="29"/>
        <v>#DIV/0!</v>
      </c>
      <c r="S108" s="16" t="e">
        <f t="shared" si="30"/>
        <v>#DIV/0!</v>
      </c>
      <c r="T108" s="102" t="e">
        <f t="shared" si="31"/>
        <v>#DIV/0!</v>
      </c>
      <c r="U108" s="17" t="e">
        <f t="shared" si="32"/>
        <v>#DIV/0!</v>
      </c>
    </row>
    <row r="109" spans="1:21" x14ac:dyDescent="0.2">
      <c r="A109" s="99" t="s">
        <v>401</v>
      </c>
      <c r="B109" s="100" t="s">
        <v>37</v>
      </c>
      <c r="C109" s="100" t="s">
        <v>297</v>
      </c>
      <c r="D109" s="100" t="s">
        <v>307</v>
      </c>
      <c r="E109" s="101" t="s">
        <v>351</v>
      </c>
      <c r="F109" s="100" t="s">
        <v>270</v>
      </c>
      <c r="G109" s="100" t="s">
        <v>222</v>
      </c>
      <c r="H109" s="100" t="s">
        <v>9</v>
      </c>
      <c r="I109" s="100" t="s">
        <v>190</v>
      </c>
      <c r="J109" s="100"/>
      <c r="K109" s="102">
        <v>4.4000000000000004</v>
      </c>
      <c r="L109" s="102">
        <f t="shared" si="27"/>
        <v>4.4000000000000004</v>
      </c>
      <c r="M109" s="103">
        <f>prodnorm50</f>
        <v>0</v>
      </c>
      <c r="N109" s="30">
        <f>dagwerk50</f>
        <v>0</v>
      </c>
      <c r="O109" s="100" t="s">
        <v>96</v>
      </c>
      <c r="P109" s="16">
        <f>uurtarief50</f>
        <v>0</v>
      </c>
      <c r="Q109" s="102" t="e">
        <f t="shared" si="28"/>
        <v>#DIV/0!</v>
      </c>
      <c r="R109" s="102" t="e">
        <f t="shared" si="29"/>
        <v>#DIV/0!</v>
      </c>
      <c r="S109" s="16" t="e">
        <f t="shared" si="30"/>
        <v>#DIV/0!</v>
      </c>
      <c r="T109" s="102" t="e">
        <f t="shared" si="31"/>
        <v>#DIV/0!</v>
      </c>
      <c r="U109" s="17" t="e">
        <f t="shared" si="32"/>
        <v>#DIV/0!</v>
      </c>
    </row>
    <row r="110" spans="1:21" x14ac:dyDescent="0.2">
      <c r="A110" s="99" t="s">
        <v>401</v>
      </c>
      <c r="B110" s="100" t="s">
        <v>37</v>
      </c>
      <c r="C110" s="100" t="s">
        <v>297</v>
      </c>
      <c r="D110" s="100" t="s">
        <v>404</v>
      </c>
      <c r="E110" s="101" t="s">
        <v>282</v>
      </c>
      <c r="F110" s="100" t="s">
        <v>270</v>
      </c>
      <c r="G110" s="100" t="s">
        <v>198</v>
      </c>
      <c r="H110" s="100" t="s">
        <v>9</v>
      </c>
      <c r="I110" s="100" t="s">
        <v>190</v>
      </c>
      <c r="J110" s="100"/>
      <c r="K110" s="102">
        <v>1</v>
      </c>
      <c r="L110" s="102">
        <f t="shared" si="27"/>
        <v>1</v>
      </c>
      <c r="M110" s="103">
        <f>prodnorm34</f>
        <v>0</v>
      </c>
      <c r="N110" s="30">
        <f>dagwerk34</f>
        <v>0</v>
      </c>
      <c r="O110" s="100" t="s">
        <v>96</v>
      </c>
      <c r="P110" s="16">
        <f>uurtarief34</f>
        <v>0</v>
      </c>
      <c r="Q110" s="102" t="e">
        <f t="shared" si="28"/>
        <v>#DIV/0!</v>
      </c>
      <c r="R110" s="102" t="e">
        <f t="shared" si="29"/>
        <v>#DIV/0!</v>
      </c>
      <c r="S110" s="16" t="e">
        <f t="shared" si="30"/>
        <v>#DIV/0!</v>
      </c>
      <c r="T110" s="102" t="e">
        <f t="shared" si="31"/>
        <v>#DIV/0!</v>
      </c>
      <c r="U110" s="17" t="e">
        <f t="shared" si="32"/>
        <v>#DIV/0!</v>
      </c>
    </row>
    <row r="111" spans="1:21" x14ac:dyDescent="0.2">
      <c r="A111" s="99" t="s">
        <v>401</v>
      </c>
      <c r="B111" s="100" t="s">
        <v>37</v>
      </c>
      <c r="C111" s="100" t="s">
        <v>297</v>
      </c>
      <c r="D111" s="100" t="s">
        <v>308</v>
      </c>
      <c r="E111" s="101" t="s">
        <v>405</v>
      </c>
      <c r="F111" s="100" t="s">
        <v>406</v>
      </c>
      <c r="G111" s="100" t="s">
        <v>219</v>
      </c>
      <c r="H111" s="100" t="s">
        <v>9</v>
      </c>
      <c r="I111" s="100" t="s">
        <v>190</v>
      </c>
      <c r="J111" s="100"/>
      <c r="K111" s="102">
        <v>51</v>
      </c>
      <c r="L111" s="102">
        <f t="shared" si="27"/>
        <v>51</v>
      </c>
      <c r="M111" s="103">
        <f>prodnorm48</f>
        <v>0</v>
      </c>
      <c r="N111" s="30">
        <f>dagwerk48</f>
        <v>0</v>
      </c>
      <c r="O111" s="100" t="s">
        <v>96</v>
      </c>
      <c r="P111" s="16">
        <f>uurtarief48</f>
        <v>0</v>
      </c>
      <c r="Q111" s="102" t="e">
        <f t="shared" si="28"/>
        <v>#DIV/0!</v>
      </c>
      <c r="R111" s="102" t="e">
        <f t="shared" si="29"/>
        <v>#DIV/0!</v>
      </c>
      <c r="S111" s="16" t="e">
        <f t="shared" si="30"/>
        <v>#DIV/0!</v>
      </c>
      <c r="T111" s="102" t="e">
        <f t="shared" si="31"/>
        <v>#DIV/0!</v>
      </c>
      <c r="U111" s="17" t="e">
        <f t="shared" si="32"/>
        <v>#DIV/0!</v>
      </c>
    </row>
    <row r="112" spans="1:21" x14ac:dyDescent="0.2">
      <c r="A112" s="99" t="s">
        <v>401</v>
      </c>
      <c r="B112" s="100" t="s">
        <v>37</v>
      </c>
      <c r="C112" s="100" t="s">
        <v>297</v>
      </c>
      <c r="D112" s="100" t="s">
        <v>310</v>
      </c>
      <c r="E112" s="101" t="s">
        <v>397</v>
      </c>
      <c r="F112" s="100" t="s">
        <v>406</v>
      </c>
      <c r="G112" s="100" t="s">
        <v>196</v>
      </c>
      <c r="H112" s="100" t="s">
        <v>9</v>
      </c>
      <c r="I112" s="100" t="s">
        <v>190</v>
      </c>
      <c r="J112" s="100"/>
      <c r="K112" s="102">
        <v>6.5</v>
      </c>
      <c r="L112" s="102">
        <f t="shared" si="27"/>
        <v>6.5</v>
      </c>
      <c r="M112" s="103">
        <f>prodnorm32</f>
        <v>0</v>
      </c>
      <c r="N112" s="30">
        <f>dagwerk32</f>
        <v>0</v>
      </c>
      <c r="O112" s="100" t="s">
        <v>96</v>
      </c>
      <c r="P112" s="16">
        <f>uurtarief32</f>
        <v>0</v>
      </c>
      <c r="Q112" s="102" t="e">
        <f t="shared" si="28"/>
        <v>#DIV/0!</v>
      </c>
      <c r="R112" s="102" t="e">
        <f t="shared" si="29"/>
        <v>#DIV/0!</v>
      </c>
      <c r="S112" s="16" t="e">
        <f t="shared" si="30"/>
        <v>#DIV/0!</v>
      </c>
      <c r="T112" s="102" t="e">
        <f t="shared" si="31"/>
        <v>#DIV/0!</v>
      </c>
      <c r="U112" s="17" t="e">
        <f t="shared" si="32"/>
        <v>#DIV/0!</v>
      </c>
    </row>
    <row r="113" spans="1:21" x14ac:dyDescent="0.2">
      <c r="A113" s="99" t="s">
        <v>401</v>
      </c>
      <c r="B113" s="100" t="s">
        <v>37</v>
      </c>
      <c r="C113" s="100" t="s">
        <v>297</v>
      </c>
      <c r="D113" s="100" t="s">
        <v>407</v>
      </c>
      <c r="E113" s="101" t="s">
        <v>408</v>
      </c>
      <c r="F113" s="100" t="s">
        <v>406</v>
      </c>
      <c r="G113" s="100" t="s">
        <v>189</v>
      </c>
      <c r="H113" s="100" t="s">
        <v>17</v>
      </c>
      <c r="I113" s="100" t="s">
        <v>190</v>
      </c>
      <c r="J113" s="100"/>
      <c r="K113" s="102">
        <v>1.2</v>
      </c>
      <c r="L113" s="102">
        <f t="shared" si="27"/>
        <v>5.6470588235294113E-2</v>
      </c>
      <c r="M113" s="103">
        <f>prodnorm26</f>
        <v>0</v>
      </c>
      <c r="N113" s="30">
        <f>dagwerk26</f>
        <v>0</v>
      </c>
      <c r="O113" s="100" t="s">
        <v>96</v>
      </c>
      <c r="P113" s="16">
        <f>uurtarief26</f>
        <v>0</v>
      </c>
      <c r="Q113" s="102" t="e">
        <f t="shared" si="28"/>
        <v>#DIV/0!</v>
      </c>
      <c r="R113" s="102" t="e">
        <f t="shared" si="29"/>
        <v>#DIV/0!</v>
      </c>
      <c r="S113" s="16" t="e">
        <f t="shared" si="30"/>
        <v>#DIV/0!</v>
      </c>
      <c r="T113" s="102" t="e">
        <f t="shared" si="31"/>
        <v>#DIV/0!</v>
      </c>
      <c r="U113" s="17" t="e">
        <f t="shared" si="32"/>
        <v>#DIV/0!</v>
      </c>
    </row>
    <row r="114" spans="1:21" x14ac:dyDescent="0.2">
      <c r="A114" s="99" t="s">
        <v>401</v>
      </c>
      <c r="B114" s="100" t="s">
        <v>37</v>
      </c>
      <c r="C114" s="100" t="s">
        <v>297</v>
      </c>
      <c r="D114" s="100" t="s">
        <v>311</v>
      </c>
      <c r="E114" s="101" t="s">
        <v>405</v>
      </c>
      <c r="F114" s="100" t="s">
        <v>406</v>
      </c>
      <c r="G114" s="100" t="s">
        <v>219</v>
      </c>
      <c r="H114" s="100" t="s">
        <v>9</v>
      </c>
      <c r="I114" s="100" t="s">
        <v>190</v>
      </c>
      <c r="J114" s="100"/>
      <c r="K114" s="102">
        <v>34.1</v>
      </c>
      <c r="L114" s="102">
        <f t="shared" si="27"/>
        <v>34.1</v>
      </c>
      <c r="M114" s="103">
        <f>prodnorm48</f>
        <v>0</v>
      </c>
      <c r="N114" s="30">
        <f>dagwerk48</f>
        <v>0</v>
      </c>
      <c r="O114" s="100" t="s">
        <v>96</v>
      </c>
      <c r="P114" s="16">
        <f>uurtarief48</f>
        <v>0</v>
      </c>
      <c r="Q114" s="102" t="e">
        <f t="shared" si="28"/>
        <v>#DIV/0!</v>
      </c>
      <c r="R114" s="102" t="e">
        <f t="shared" si="29"/>
        <v>#DIV/0!</v>
      </c>
      <c r="S114" s="16" t="e">
        <f t="shared" si="30"/>
        <v>#DIV/0!</v>
      </c>
      <c r="T114" s="102" t="e">
        <f t="shared" si="31"/>
        <v>#DIV/0!</v>
      </c>
      <c r="U114" s="17" t="e">
        <f t="shared" si="32"/>
        <v>#DIV/0!</v>
      </c>
    </row>
    <row r="115" spans="1:21" x14ac:dyDescent="0.2">
      <c r="A115" s="99" t="s">
        <v>401</v>
      </c>
      <c r="B115" s="100" t="s">
        <v>37</v>
      </c>
      <c r="C115" s="100" t="s">
        <v>297</v>
      </c>
      <c r="D115" s="100" t="s">
        <v>409</v>
      </c>
      <c r="E115" s="101" t="s">
        <v>410</v>
      </c>
      <c r="F115" s="100" t="s">
        <v>273</v>
      </c>
      <c r="G115" s="100" t="s">
        <v>229</v>
      </c>
      <c r="H115" s="100" t="s">
        <v>9</v>
      </c>
      <c r="I115" s="100" t="s">
        <v>190</v>
      </c>
      <c r="J115" s="100"/>
      <c r="K115" s="102">
        <v>27.6</v>
      </c>
      <c r="L115" s="102">
        <f t="shared" si="27"/>
        <v>27.6</v>
      </c>
      <c r="M115" s="103">
        <f>prodnorm55</f>
        <v>0</v>
      </c>
      <c r="N115" s="30">
        <f>dagwerk55</f>
        <v>0</v>
      </c>
      <c r="O115" s="100" t="s">
        <v>96</v>
      </c>
      <c r="P115" s="16">
        <f>uurtarief55</f>
        <v>0</v>
      </c>
      <c r="Q115" s="102" t="e">
        <f t="shared" si="28"/>
        <v>#DIV/0!</v>
      </c>
      <c r="R115" s="102" t="e">
        <f t="shared" si="29"/>
        <v>#DIV/0!</v>
      </c>
      <c r="S115" s="16" t="e">
        <f t="shared" si="30"/>
        <v>#DIV/0!</v>
      </c>
      <c r="T115" s="102" t="e">
        <f t="shared" si="31"/>
        <v>#DIV/0!</v>
      </c>
      <c r="U115" s="17" t="e">
        <f t="shared" si="32"/>
        <v>#DIV/0!</v>
      </c>
    </row>
    <row r="116" spans="1:21" x14ac:dyDescent="0.2">
      <c r="A116" s="99" t="s">
        <v>401</v>
      </c>
      <c r="B116" s="100" t="s">
        <v>37</v>
      </c>
      <c r="C116" s="100" t="s">
        <v>297</v>
      </c>
      <c r="D116" s="100" t="s">
        <v>411</v>
      </c>
      <c r="E116" s="101" t="s">
        <v>412</v>
      </c>
      <c r="F116" s="100" t="s">
        <v>300</v>
      </c>
      <c r="G116" s="100" t="s">
        <v>211</v>
      </c>
      <c r="H116" s="100" t="s">
        <v>9</v>
      </c>
      <c r="I116" s="100" t="s">
        <v>190</v>
      </c>
      <c r="J116" s="100"/>
      <c r="K116" s="102">
        <v>29.7</v>
      </c>
      <c r="L116" s="102">
        <f t="shared" si="27"/>
        <v>29.7</v>
      </c>
      <c r="M116" s="103">
        <f>prodnorm42</f>
        <v>0</v>
      </c>
      <c r="N116" s="30">
        <f>dagwerk42</f>
        <v>0</v>
      </c>
      <c r="O116" s="100" t="s">
        <v>96</v>
      </c>
      <c r="P116" s="16">
        <f>uurtarief42</f>
        <v>0</v>
      </c>
      <c r="Q116" s="102" t="e">
        <f t="shared" si="28"/>
        <v>#DIV/0!</v>
      </c>
      <c r="R116" s="102" t="e">
        <f t="shared" si="29"/>
        <v>#DIV/0!</v>
      </c>
      <c r="S116" s="16" t="e">
        <f t="shared" si="30"/>
        <v>#DIV/0!</v>
      </c>
      <c r="T116" s="102" t="e">
        <f t="shared" si="31"/>
        <v>#DIV/0!</v>
      </c>
      <c r="U116" s="17" t="e">
        <f t="shared" si="32"/>
        <v>#DIV/0!</v>
      </c>
    </row>
    <row r="117" spans="1:21" x14ac:dyDescent="0.2">
      <c r="A117" s="99" t="s">
        <v>401</v>
      </c>
      <c r="B117" s="100" t="s">
        <v>37</v>
      </c>
      <c r="C117" s="100" t="s">
        <v>297</v>
      </c>
      <c r="D117" s="100" t="s">
        <v>316</v>
      </c>
      <c r="E117" s="101" t="s">
        <v>344</v>
      </c>
      <c r="F117" s="100" t="s">
        <v>300</v>
      </c>
      <c r="G117" s="100" t="s">
        <v>217</v>
      </c>
      <c r="H117" s="100" t="s">
        <v>9</v>
      </c>
      <c r="I117" s="100" t="s">
        <v>190</v>
      </c>
      <c r="J117" s="100"/>
      <c r="K117" s="102">
        <v>2</v>
      </c>
      <c r="L117" s="102">
        <f t="shared" si="27"/>
        <v>2</v>
      </c>
      <c r="M117" s="103">
        <f>prodnorm46</f>
        <v>0</v>
      </c>
      <c r="N117" s="30">
        <f>dagwerk46</f>
        <v>0</v>
      </c>
      <c r="O117" s="100" t="s">
        <v>96</v>
      </c>
      <c r="P117" s="16">
        <f>uurtarief46</f>
        <v>0</v>
      </c>
      <c r="Q117" s="102" t="e">
        <f t="shared" si="28"/>
        <v>#DIV/0!</v>
      </c>
      <c r="R117" s="102" t="e">
        <f t="shared" si="29"/>
        <v>#DIV/0!</v>
      </c>
      <c r="S117" s="16" t="e">
        <f t="shared" si="30"/>
        <v>#DIV/0!</v>
      </c>
      <c r="T117" s="102" t="e">
        <f t="shared" si="31"/>
        <v>#DIV/0!</v>
      </c>
      <c r="U117" s="17" t="e">
        <f t="shared" si="32"/>
        <v>#DIV/0!</v>
      </c>
    </row>
    <row r="118" spans="1:21" x14ac:dyDescent="0.2">
      <c r="A118" s="99" t="s">
        <v>401</v>
      </c>
      <c r="B118" s="100" t="s">
        <v>37</v>
      </c>
      <c r="C118" s="100" t="s">
        <v>297</v>
      </c>
      <c r="D118" s="100" t="s">
        <v>326</v>
      </c>
      <c r="E118" s="101" t="s">
        <v>413</v>
      </c>
      <c r="F118" s="100" t="s">
        <v>406</v>
      </c>
      <c r="G118" s="100" t="s">
        <v>189</v>
      </c>
      <c r="H118" s="100" t="s">
        <v>17</v>
      </c>
      <c r="I118" s="100" t="s">
        <v>190</v>
      </c>
      <c r="J118" s="100"/>
      <c r="K118" s="102">
        <v>11.8</v>
      </c>
      <c r="L118" s="102">
        <f t="shared" si="27"/>
        <v>0.55529411764705883</v>
      </c>
      <c r="M118" s="103">
        <f>prodnorm26</f>
        <v>0</v>
      </c>
      <c r="N118" s="30">
        <f>dagwerk26</f>
        <v>0</v>
      </c>
      <c r="O118" s="100" t="s">
        <v>96</v>
      </c>
      <c r="P118" s="16">
        <f>uurtarief26</f>
        <v>0</v>
      </c>
      <c r="Q118" s="102" t="e">
        <f t="shared" si="28"/>
        <v>#DIV/0!</v>
      </c>
      <c r="R118" s="102" t="e">
        <f t="shared" si="29"/>
        <v>#DIV/0!</v>
      </c>
      <c r="S118" s="16" t="e">
        <f t="shared" si="30"/>
        <v>#DIV/0!</v>
      </c>
      <c r="T118" s="102" t="e">
        <f t="shared" si="31"/>
        <v>#DIV/0!</v>
      </c>
      <c r="U118" s="17" t="e">
        <f t="shared" si="32"/>
        <v>#DIV/0!</v>
      </c>
    </row>
    <row r="119" spans="1:21" x14ac:dyDescent="0.2">
      <c r="A119" s="99" t="s">
        <v>401</v>
      </c>
      <c r="B119" s="100" t="s">
        <v>37</v>
      </c>
      <c r="C119" s="100" t="s">
        <v>297</v>
      </c>
      <c r="D119" s="100" t="s">
        <v>329</v>
      </c>
      <c r="E119" s="101" t="s">
        <v>413</v>
      </c>
      <c r="F119" s="100" t="s">
        <v>406</v>
      </c>
      <c r="G119" s="100" t="s">
        <v>189</v>
      </c>
      <c r="H119" s="100" t="s">
        <v>17</v>
      </c>
      <c r="I119" s="100" t="s">
        <v>190</v>
      </c>
      <c r="J119" s="100"/>
      <c r="K119" s="102">
        <v>12</v>
      </c>
      <c r="L119" s="102">
        <f t="shared" si="27"/>
        <v>0.56470588235294117</v>
      </c>
      <c r="M119" s="103">
        <f>prodnorm26</f>
        <v>0</v>
      </c>
      <c r="N119" s="30">
        <f>dagwerk26</f>
        <v>0</v>
      </c>
      <c r="O119" s="100" t="s">
        <v>96</v>
      </c>
      <c r="P119" s="16">
        <f>uurtarief26</f>
        <v>0</v>
      </c>
      <c r="Q119" s="102" t="e">
        <f t="shared" si="28"/>
        <v>#DIV/0!</v>
      </c>
      <c r="R119" s="102" t="e">
        <f t="shared" si="29"/>
        <v>#DIV/0!</v>
      </c>
      <c r="S119" s="16" t="e">
        <f t="shared" si="30"/>
        <v>#DIV/0!</v>
      </c>
      <c r="T119" s="102" t="e">
        <f t="shared" si="31"/>
        <v>#DIV/0!</v>
      </c>
      <c r="U119" s="17" t="e">
        <f t="shared" si="32"/>
        <v>#DIV/0!</v>
      </c>
    </row>
    <row r="120" spans="1:21" x14ac:dyDescent="0.2">
      <c r="A120" s="99" t="s">
        <v>401</v>
      </c>
      <c r="B120" s="100" t="s">
        <v>37</v>
      </c>
      <c r="C120" s="100" t="s">
        <v>297</v>
      </c>
      <c r="D120" s="100" t="s">
        <v>332</v>
      </c>
      <c r="E120" s="101" t="s">
        <v>413</v>
      </c>
      <c r="F120" s="100" t="s">
        <v>406</v>
      </c>
      <c r="G120" s="100" t="s">
        <v>189</v>
      </c>
      <c r="H120" s="100" t="s">
        <v>17</v>
      </c>
      <c r="I120" s="100" t="s">
        <v>190</v>
      </c>
      <c r="J120" s="100"/>
      <c r="K120" s="102">
        <v>6.7</v>
      </c>
      <c r="L120" s="102">
        <f t="shared" si="27"/>
        <v>0.31529411764705884</v>
      </c>
      <c r="M120" s="103">
        <f>prodnorm26</f>
        <v>0</v>
      </c>
      <c r="N120" s="30">
        <f>dagwerk26</f>
        <v>0</v>
      </c>
      <c r="O120" s="100" t="s">
        <v>96</v>
      </c>
      <c r="P120" s="16">
        <f>uurtarief26</f>
        <v>0</v>
      </c>
      <c r="Q120" s="102" t="e">
        <f t="shared" si="28"/>
        <v>#DIV/0!</v>
      </c>
      <c r="R120" s="102" t="e">
        <f t="shared" si="29"/>
        <v>#DIV/0!</v>
      </c>
      <c r="S120" s="16" t="e">
        <f t="shared" si="30"/>
        <v>#DIV/0!</v>
      </c>
      <c r="T120" s="102" t="e">
        <f t="shared" si="31"/>
        <v>#DIV/0!</v>
      </c>
      <c r="U120" s="17" t="e">
        <f t="shared" si="32"/>
        <v>#DIV/0!</v>
      </c>
    </row>
    <row r="121" spans="1:21" x14ac:dyDescent="0.2">
      <c r="A121" s="99" t="s">
        <v>401</v>
      </c>
      <c r="B121" s="100" t="s">
        <v>37</v>
      </c>
      <c r="C121" s="100" t="s">
        <v>297</v>
      </c>
      <c r="D121" s="100" t="s">
        <v>334</v>
      </c>
      <c r="E121" s="101" t="s">
        <v>304</v>
      </c>
      <c r="F121" s="100" t="s">
        <v>300</v>
      </c>
      <c r="G121" s="100" t="s">
        <v>231</v>
      </c>
      <c r="H121" s="100" t="s">
        <v>9</v>
      </c>
      <c r="I121" s="100" t="s">
        <v>190</v>
      </c>
      <c r="J121" s="100"/>
      <c r="K121" s="102">
        <v>4.4000000000000004</v>
      </c>
      <c r="L121" s="102">
        <f t="shared" si="27"/>
        <v>4.4000000000000004</v>
      </c>
      <c r="M121" s="103">
        <f>prodnorm57</f>
        <v>0</v>
      </c>
      <c r="N121" s="30">
        <f>dagwerk57</f>
        <v>0</v>
      </c>
      <c r="O121" s="100" t="s">
        <v>96</v>
      </c>
      <c r="P121" s="16">
        <f>uurtarief57</f>
        <v>0</v>
      </c>
      <c r="Q121" s="102" t="e">
        <f t="shared" si="28"/>
        <v>#DIV/0!</v>
      </c>
      <c r="R121" s="102" t="e">
        <f t="shared" si="29"/>
        <v>#DIV/0!</v>
      </c>
      <c r="S121" s="16" t="e">
        <f t="shared" si="30"/>
        <v>#DIV/0!</v>
      </c>
      <c r="T121" s="102" t="e">
        <f t="shared" si="31"/>
        <v>#DIV/0!</v>
      </c>
      <c r="U121" s="17" t="e">
        <f t="shared" si="32"/>
        <v>#DIV/0!</v>
      </c>
    </row>
    <row r="122" spans="1:21" x14ac:dyDescent="0.2">
      <c r="A122" s="99" t="s">
        <v>401</v>
      </c>
      <c r="B122" s="100" t="s">
        <v>37</v>
      </c>
      <c r="C122" s="100" t="s">
        <v>297</v>
      </c>
      <c r="D122" s="100" t="s">
        <v>336</v>
      </c>
      <c r="E122" s="101" t="s">
        <v>309</v>
      </c>
      <c r="F122" s="100" t="s">
        <v>289</v>
      </c>
      <c r="G122" s="100" t="s">
        <v>226</v>
      </c>
      <c r="H122" s="100" t="s">
        <v>9</v>
      </c>
      <c r="I122" s="100" t="s">
        <v>190</v>
      </c>
      <c r="J122" s="100"/>
      <c r="K122" s="102">
        <v>5.0999999999999996</v>
      </c>
      <c r="L122" s="102">
        <f t="shared" si="27"/>
        <v>5.0999999999999996</v>
      </c>
      <c r="M122" s="103">
        <f>prodnorm53</f>
        <v>0</v>
      </c>
      <c r="N122" s="30">
        <f>dagwerk53</f>
        <v>0</v>
      </c>
      <c r="O122" s="100" t="s">
        <v>96</v>
      </c>
      <c r="P122" s="16">
        <f>uurtarief53</f>
        <v>0</v>
      </c>
      <c r="Q122" s="102" t="e">
        <f t="shared" si="28"/>
        <v>#DIV/0!</v>
      </c>
      <c r="R122" s="102" t="e">
        <f t="shared" si="29"/>
        <v>#DIV/0!</v>
      </c>
      <c r="S122" s="16" t="e">
        <f t="shared" si="30"/>
        <v>#DIV/0!</v>
      </c>
      <c r="T122" s="102" t="e">
        <f t="shared" si="31"/>
        <v>#DIV/0!</v>
      </c>
      <c r="U122" s="17" t="e">
        <f t="shared" si="32"/>
        <v>#DIV/0!</v>
      </c>
    </row>
    <row r="123" spans="1:21" x14ac:dyDescent="0.2">
      <c r="A123" s="99" t="s">
        <v>401</v>
      </c>
      <c r="B123" s="100" t="s">
        <v>37</v>
      </c>
      <c r="C123" s="100" t="s">
        <v>297</v>
      </c>
      <c r="D123" s="100" t="s">
        <v>414</v>
      </c>
      <c r="E123" s="101" t="s">
        <v>275</v>
      </c>
      <c r="F123" s="100" t="s">
        <v>289</v>
      </c>
      <c r="G123" s="100" t="s">
        <v>229</v>
      </c>
      <c r="H123" s="100" t="s">
        <v>9</v>
      </c>
      <c r="I123" s="100" t="s">
        <v>190</v>
      </c>
      <c r="J123" s="100"/>
      <c r="K123" s="102">
        <v>2</v>
      </c>
      <c r="L123" s="102">
        <f t="shared" si="27"/>
        <v>2</v>
      </c>
      <c r="M123" s="103">
        <f>prodnorm55</f>
        <v>0</v>
      </c>
      <c r="N123" s="30">
        <f>dagwerk55</f>
        <v>0</v>
      </c>
      <c r="O123" s="100" t="s">
        <v>96</v>
      </c>
      <c r="P123" s="16">
        <f>uurtarief55</f>
        <v>0</v>
      </c>
      <c r="Q123" s="102" t="e">
        <f t="shared" si="28"/>
        <v>#DIV/0!</v>
      </c>
      <c r="R123" s="102" t="e">
        <f t="shared" si="29"/>
        <v>#DIV/0!</v>
      </c>
      <c r="S123" s="16" t="e">
        <f t="shared" si="30"/>
        <v>#DIV/0!</v>
      </c>
      <c r="T123" s="102" t="e">
        <f t="shared" si="31"/>
        <v>#DIV/0!</v>
      </c>
      <c r="U123" s="17" t="e">
        <f t="shared" si="32"/>
        <v>#DIV/0!</v>
      </c>
    </row>
    <row r="124" spans="1:21" x14ac:dyDescent="0.2">
      <c r="A124" s="99" t="s">
        <v>401</v>
      </c>
      <c r="B124" s="100" t="s">
        <v>37</v>
      </c>
      <c r="C124" s="100" t="s">
        <v>297</v>
      </c>
      <c r="D124" s="100" t="s">
        <v>338</v>
      </c>
      <c r="E124" s="101" t="s">
        <v>399</v>
      </c>
      <c r="F124" s="100" t="s">
        <v>406</v>
      </c>
      <c r="G124" s="100" t="s">
        <v>217</v>
      </c>
      <c r="H124" s="100" t="s">
        <v>9</v>
      </c>
      <c r="I124" s="100" t="s">
        <v>190</v>
      </c>
      <c r="J124" s="100"/>
      <c r="K124" s="102">
        <v>7.3</v>
      </c>
      <c r="L124" s="102">
        <f t="shared" si="27"/>
        <v>7.3</v>
      </c>
      <c r="M124" s="103">
        <f>prodnorm46</f>
        <v>0</v>
      </c>
      <c r="N124" s="30">
        <f>dagwerk46</f>
        <v>0</v>
      </c>
      <c r="O124" s="100" t="s">
        <v>96</v>
      </c>
      <c r="P124" s="16">
        <f>uurtarief46</f>
        <v>0</v>
      </c>
      <c r="Q124" s="102" t="e">
        <f t="shared" si="28"/>
        <v>#DIV/0!</v>
      </c>
      <c r="R124" s="102" t="e">
        <f t="shared" si="29"/>
        <v>#DIV/0!</v>
      </c>
      <c r="S124" s="16" t="e">
        <f t="shared" si="30"/>
        <v>#DIV/0!</v>
      </c>
      <c r="T124" s="102" t="e">
        <f t="shared" si="31"/>
        <v>#DIV/0!</v>
      </c>
      <c r="U124" s="17" t="e">
        <f t="shared" si="32"/>
        <v>#DIV/0!</v>
      </c>
    </row>
    <row r="125" spans="1:21" x14ac:dyDescent="0.2">
      <c r="A125" s="99" t="s">
        <v>401</v>
      </c>
      <c r="B125" s="100" t="s">
        <v>37</v>
      </c>
      <c r="C125" s="100" t="s">
        <v>297</v>
      </c>
      <c r="D125" s="100" t="s">
        <v>339</v>
      </c>
      <c r="E125" s="101" t="s">
        <v>415</v>
      </c>
      <c r="F125" s="100" t="s">
        <v>406</v>
      </c>
      <c r="G125" s="100" t="s">
        <v>189</v>
      </c>
      <c r="H125" s="100" t="s">
        <v>17</v>
      </c>
      <c r="I125" s="100" t="s">
        <v>190</v>
      </c>
      <c r="J125" s="100"/>
      <c r="K125" s="102">
        <v>6.3</v>
      </c>
      <c r="L125" s="102">
        <f t="shared" si="27"/>
        <v>0.2964705882352941</v>
      </c>
      <c r="M125" s="103">
        <f>prodnorm26</f>
        <v>0</v>
      </c>
      <c r="N125" s="30">
        <f>dagwerk26</f>
        <v>0</v>
      </c>
      <c r="O125" s="100" t="s">
        <v>96</v>
      </c>
      <c r="P125" s="16">
        <f>uurtarief26</f>
        <v>0</v>
      </c>
      <c r="Q125" s="102" t="e">
        <f t="shared" si="28"/>
        <v>#DIV/0!</v>
      </c>
      <c r="R125" s="102" t="e">
        <f t="shared" si="29"/>
        <v>#DIV/0!</v>
      </c>
      <c r="S125" s="16" t="e">
        <f t="shared" si="30"/>
        <v>#DIV/0!</v>
      </c>
      <c r="T125" s="102" t="e">
        <f t="shared" si="31"/>
        <v>#DIV/0!</v>
      </c>
      <c r="U125" s="17" t="e">
        <f t="shared" si="32"/>
        <v>#DIV/0!</v>
      </c>
    </row>
    <row r="126" spans="1:21" x14ac:dyDescent="0.2">
      <c r="A126" s="99" t="s">
        <v>401</v>
      </c>
      <c r="B126" s="100" t="s">
        <v>37</v>
      </c>
      <c r="C126" s="100" t="s">
        <v>297</v>
      </c>
      <c r="D126" s="100" t="s">
        <v>341</v>
      </c>
      <c r="E126" s="101" t="s">
        <v>416</v>
      </c>
      <c r="F126" s="100" t="s">
        <v>270</v>
      </c>
      <c r="G126" s="100" t="s">
        <v>222</v>
      </c>
      <c r="H126" s="100" t="s">
        <v>9</v>
      </c>
      <c r="I126" s="100" t="s">
        <v>190</v>
      </c>
      <c r="J126" s="100"/>
      <c r="K126" s="102">
        <v>8.1</v>
      </c>
      <c r="L126" s="102">
        <f t="shared" si="27"/>
        <v>8.1</v>
      </c>
      <c r="M126" s="103">
        <f>prodnorm50</f>
        <v>0</v>
      </c>
      <c r="N126" s="30">
        <f>dagwerk50</f>
        <v>0</v>
      </c>
      <c r="O126" s="100" t="s">
        <v>96</v>
      </c>
      <c r="P126" s="16">
        <f>uurtarief50</f>
        <v>0</v>
      </c>
      <c r="Q126" s="102" t="e">
        <f t="shared" si="28"/>
        <v>#DIV/0!</v>
      </c>
      <c r="R126" s="102" t="e">
        <f t="shared" si="29"/>
        <v>#DIV/0!</v>
      </c>
      <c r="S126" s="16" t="e">
        <f t="shared" si="30"/>
        <v>#DIV/0!</v>
      </c>
      <c r="T126" s="102" t="e">
        <f t="shared" si="31"/>
        <v>#DIV/0!</v>
      </c>
      <c r="U126" s="17" t="e">
        <f t="shared" si="32"/>
        <v>#DIV/0!</v>
      </c>
    </row>
    <row r="127" spans="1:21" x14ac:dyDescent="0.2">
      <c r="A127" s="99" t="s">
        <v>401</v>
      </c>
      <c r="B127" s="100" t="s">
        <v>37</v>
      </c>
      <c r="C127" s="100" t="s">
        <v>297</v>
      </c>
      <c r="D127" s="100" t="s">
        <v>342</v>
      </c>
      <c r="E127" s="101" t="s">
        <v>417</v>
      </c>
      <c r="F127" s="100" t="s">
        <v>270</v>
      </c>
      <c r="G127" s="100" t="s">
        <v>222</v>
      </c>
      <c r="H127" s="100" t="s">
        <v>9</v>
      </c>
      <c r="I127" s="100" t="s">
        <v>190</v>
      </c>
      <c r="J127" s="100"/>
      <c r="K127" s="102">
        <v>6.9</v>
      </c>
      <c r="L127" s="102">
        <f t="shared" si="27"/>
        <v>6.9</v>
      </c>
      <c r="M127" s="103">
        <f>prodnorm50</f>
        <v>0</v>
      </c>
      <c r="N127" s="30">
        <f>dagwerk50</f>
        <v>0</v>
      </c>
      <c r="O127" s="100" t="s">
        <v>96</v>
      </c>
      <c r="P127" s="16">
        <f>uurtarief50</f>
        <v>0</v>
      </c>
      <c r="Q127" s="102" t="e">
        <f t="shared" si="28"/>
        <v>#DIV/0!</v>
      </c>
      <c r="R127" s="102" t="e">
        <f t="shared" si="29"/>
        <v>#DIV/0!</v>
      </c>
      <c r="S127" s="16" t="e">
        <f t="shared" si="30"/>
        <v>#DIV/0!</v>
      </c>
      <c r="T127" s="102" t="e">
        <f t="shared" si="31"/>
        <v>#DIV/0!</v>
      </c>
      <c r="U127" s="17" t="e">
        <f t="shared" si="32"/>
        <v>#DIV/0!</v>
      </c>
    </row>
    <row r="128" spans="1:21" x14ac:dyDescent="0.2">
      <c r="A128" s="99" t="s">
        <v>401</v>
      </c>
      <c r="B128" s="100" t="s">
        <v>37</v>
      </c>
      <c r="C128" s="100" t="s">
        <v>297</v>
      </c>
      <c r="D128" s="100" t="s">
        <v>343</v>
      </c>
      <c r="E128" s="101" t="s">
        <v>322</v>
      </c>
      <c r="F128" s="100" t="s">
        <v>406</v>
      </c>
      <c r="G128" s="100" t="s">
        <v>213</v>
      </c>
      <c r="H128" s="100" t="s">
        <v>9</v>
      </c>
      <c r="I128" s="100" t="s">
        <v>190</v>
      </c>
      <c r="J128" s="100"/>
      <c r="K128" s="102">
        <v>10.5</v>
      </c>
      <c r="L128" s="102">
        <f t="shared" si="27"/>
        <v>10.5</v>
      </c>
      <c r="M128" s="103">
        <f>prodnorm43</f>
        <v>0</v>
      </c>
      <c r="N128" s="30">
        <f>dagwerk43</f>
        <v>0</v>
      </c>
      <c r="O128" s="100" t="s">
        <v>96</v>
      </c>
      <c r="P128" s="16">
        <f>uurtarief43</f>
        <v>0</v>
      </c>
      <c r="Q128" s="102" t="e">
        <f t="shared" si="28"/>
        <v>#DIV/0!</v>
      </c>
      <c r="R128" s="102" t="e">
        <f t="shared" si="29"/>
        <v>#DIV/0!</v>
      </c>
      <c r="S128" s="16" t="e">
        <f t="shared" si="30"/>
        <v>#DIV/0!</v>
      </c>
      <c r="T128" s="102" t="e">
        <f t="shared" si="31"/>
        <v>#DIV/0!</v>
      </c>
      <c r="U128" s="17" t="e">
        <f t="shared" si="32"/>
        <v>#DIV/0!</v>
      </c>
    </row>
    <row r="129" spans="1:21" x14ac:dyDescent="0.2">
      <c r="A129" s="99" t="s">
        <v>401</v>
      </c>
      <c r="B129" s="100" t="s">
        <v>37</v>
      </c>
      <c r="C129" s="100" t="s">
        <v>388</v>
      </c>
      <c r="D129" s="100" t="s">
        <v>389</v>
      </c>
      <c r="E129" s="101" t="s">
        <v>278</v>
      </c>
      <c r="F129" s="100" t="s">
        <v>276</v>
      </c>
      <c r="G129" s="100" t="s">
        <v>229</v>
      </c>
      <c r="H129" s="100" t="s">
        <v>9</v>
      </c>
      <c r="I129" s="100" t="s">
        <v>190</v>
      </c>
      <c r="J129" s="100"/>
      <c r="K129" s="102">
        <v>3.9</v>
      </c>
      <c r="L129" s="102">
        <f t="shared" si="27"/>
        <v>3.9</v>
      </c>
      <c r="M129" s="103">
        <f>prodnorm55</f>
        <v>0</v>
      </c>
      <c r="N129" s="30">
        <f>dagwerk55</f>
        <v>0</v>
      </c>
      <c r="O129" s="100" t="s">
        <v>96</v>
      </c>
      <c r="P129" s="16">
        <f>uurtarief55</f>
        <v>0</v>
      </c>
      <c r="Q129" s="102" t="e">
        <f t="shared" si="28"/>
        <v>#DIV/0!</v>
      </c>
      <c r="R129" s="102" t="e">
        <f t="shared" si="29"/>
        <v>#DIV/0!</v>
      </c>
      <c r="S129" s="16" t="e">
        <f t="shared" si="30"/>
        <v>#DIV/0!</v>
      </c>
      <c r="T129" s="102" t="e">
        <f t="shared" si="31"/>
        <v>#DIV/0!</v>
      </c>
      <c r="U129" s="17" t="e">
        <f t="shared" si="32"/>
        <v>#DIV/0!</v>
      </c>
    </row>
    <row r="130" spans="1:21" x14ac:dyDescent="0.2">
      <c r="A130" s="99" t="s">
        <v>401</v>
      </c>
      <c r="B130" s="100" t="s">
        <v>37</v>
      </c>
      <c r="C130" s="100" t="s">
        <v>388</v>
      </c>
      <c r="D130" s="100" t="s">
        <v>389</v>
      </c>
      <c r="E130" s="101" t="s">
        <v>278</v>
      </c>
      <c r="F130" s="100" t="s">
        <v>276</v>
      </c>
      <c r="G130" s="100" t="s">
        <v>235</v>
      </c>
      <c r="H130" s="100" t="s">
        <v>22</v>
      </c>
      <c r="I130" s="100" t="s">
        <v>190</v>
      </c>
      <c r="J130" s="100"/>
      <c r="K130" s="102">
        <v>3.9</v>
      </c>
      <c r="L130" s="102">
        <f t="shared" si="27"/>
        <v>3.0588235294117645E-2</v>
      </c>
      <c r="M130" s="103">
        <f>prodnorm60</f>
        <v>0</v>
      </c>
      <c r="N130" s="30">
        <f>dagwerk60</f>
        <v>0</v>
      </c>
      <c r="O130" s="100" t="s">
        <v>96</v>
      </c>
      <c r="P130" s="16">
        <f>uurtarief60</f>
        <v>0</v>
      </c>
      <c r="Q130" s="102" t="e">
        <f t="shared" si="28"/>
        <v>#DIV/0!</v>
      </c>
      <c r="R130" s="102" t="e">
        <f t="shared" si="29"/>
        <v>#DIV/0!</v>
      </c>
      <c r="S130" s="16" t="e">
        <f t="shared" si="30"/>
        <v>#DIV/0!</v>
      </c>
      <c r="T130" s="102" t="e">
        <f t="shared" si="31"/>
        <v>#DIV/0!</v>
      </c>
      <c r="U130" s="17" t="e">
        <f t="shared" si="32"/>
        <v>#DIV/0!</v>
      </c>
    </row>
    <row r="131" spans="1:21" x14ac:dyDescent="0.2">
      <c r="A131" s="99" t="s">
        <v>401</v>
      </c>
      <c r="B131" s="100" t="s">
        <v>37</v>
      </c>
      <c r="C131" s="100" t="s">
        <v>388</v>
      </c>
      <c r="D131" s="100" t="s">
        <v>418</v>
      </c>
      <c r="E131" s="101" t="s">
        <v>344</v>
      </c>
      <c r="F131" s="100" t="s">
        <v>276</v>
      </c>
      <c r="G131" s="100" t="s">
        <v>217</v>
      </c>
      <c r="H131" s="100" t="s">
        <v>9</v>
      </c>
      <c r="I131" s="100" t="s">
        <v>190</v>
      </c>
      <c r="J131" s="100"/>
      <c r="K131" s="102">
        <v>2</v>
      </c>
      <c r="L131" s="102">
        <f t="shared" si="27"/>
        <v>2</v>
      </c>
      <c r="M131" s="103">
        <f>prodnorm46</f>
        <v>0</v>
      </c>
      <c r="N131" s="30">
        <f>dagwerk46</f>
        <v>0</v>
      </c>
      <c r="O131" s="100" t="s">
        <v>96</v>
      </c>
      <c r="P131" s="16">
        <f>uurtarief46</f>
        <v>0</v>
      </c>
      <c r="Q131" s="102" t="e">
        <f t="shared" si="28"/>
        <v>#DIV/0!</v>
      </c>
      <c r="R131" s="102" t="e">
        <f t="shared" si="29"/>
        <v>#DIV/0!</v>
      </c>
      <c r="S131" s="16" t="e">
        <f t="shared" si="30"/>
        <v>#DIV/0!</v>
      </c>
      <c r="T131" s="102" t="e">
        <f t="shared" si="31"/>
        <v>#DIV/0!</v>
      </c>
      <c r="U131" s="17" t="e">
        <f t="shared" si="32"/>
        <v>#DIV/0!</v>
      </c>
    </row>
    <row r="132" spans="1:21" x14ac:dyDescent="0.2">
      <c r="A132" s="99" t="s">
        <v>401</v>
      </c>
      <c r="B132" s="100" t="s">
        <v>37</v>
      </c>
      <c r="C132" s="100" t="s">
        <v>388</v>
      </c>
      <c r="D132" s="100" t="s">
        <v>418</v>
      </c>
      <c r="E132" s="101" t="s">
        <v>344</v>
      </c>
      <c r="F132" s="100" t="s">
        <v>276</v>
      </c>
      <c r="G132" s="100" t="s">
        <v>235</v>
      </c>
      <c r="H132" s="100" t="s">
        <v>22</v>
      </c>
      <c r="I132" s="100" t="s">
        <v>190</v>
      </c>
      <c r="J132" s="100"/>
      <c r="K132" s="102">
        <v>2</v>
      </c>
      <c r="L132" s="102">
        <f t="shared" si="27"/>
        <v>1.5686274509803921E-2</v>
      </c>
      <c r="M132" s="103">
        <f>prodnorm60</f>
        <v>0</v>
      </c>
      <c r="N132" s="30">
        <f>dagwerk60</f>
        <v>0</v>
      </c>
      <c r="O132" s="100" t="s">
        <v>96</v>
      </c>
      <c r="P132" s="16">
        <f>uurtarief60</f>
        <v>0</v>
      </c>
      <c r="Q132" s="102" t="e">
        <f t="shared" si="28"/>
        <v>#DIV/0!</v>
      </c>
      <c r="R132" s="102" t="e">
        <f t="shared" si="29"/>
        <v>#DIV/0!</v>
      </c>
      <c r="S132" s="16" t="e">
        <f t="shared" si="30"/>
        <v>#DIV/0!</v>
      </c>
      <c r="T132" s="102" t="e">
        <f t="shared" si="31"/>
        <v>#DIV/0!</v>
      </c>
      <c r="U132" s="17" t="e">
        <f t="shared" si="32"/>
        <v>#DIV/0!</v>
      </c>
    </row>
    <row r="133" spans="1:21" x14ac:dyDescent="0.2">
      <c r="A133" s="99" t="s">
        <v>401</v>
      </c>
      <c r="B133" s="100" t="s">
        <v>37</v>
      </c>
      <c r="C133" s="100" t="s">
        <v>388</v>
      </c>
      <c r="D133" s="100" t="s">
        <v>391</v>
      </c>
      <c r="E133" s="101" t="s">
        <v>340</v>
      </c>
      <c r="F133" s="100" t="s">
        <v>270</v>
      </c>
      <c r="G133" s="100" t="s">
        <v>222</v>
      </c>
      <c r="H133" s="100" t="s">
        <v>9</v>
      </c>
      <c r="I133" s="100" t="s">
        <v>190</v>
      </c>
      <c r="J133" s="100"/>
      <c r="K133" s="102">
        <v>6.7</v>
      </c>
      <c r="L133" s="102">
        <f t="shared" si="27"/>
        <v>6.7</v>
      </c>
      <c r="M133" s="103">
        <f>prodnorm50</f>
        <v>0</v>
      </c>
      <c r="N133" s="30">
        <f>dagwerk50</f>
        <v>0</v>
      </c>
      <c r="O133" s="100" t="s">
        <v>96</v>
      </c>
      <c r="P133" s="16">
        <f>uurtarief50</f>
        <v>0</v>
      </c>
      <c r="Q133" s="102" t="e">
        <f t="shared" si="28"/>
        <v>#DIV/0!</v>
      </c>
      <c r="R133" s="102" t="e">
        <f t="shared" si="29"/>
        <v>#DIV/0!</v>
      </c>
      <c r="S133" s="16" t="e">
        <f t="shared" si="30"/>
        <v>#DIV/0!</v>
      </c>
      <c r="T133" s="102" t="e">
        <f t="shared" si="31"/>
        <v>#DIV/0!</v>
      </c>
      <c r="U133" s="17" t="e">
        <f t="shared" si="32"/>
        <v>#DIV/0!</v>
      </c>
    </row>
    <row r="134" spans="1:21" x14ac:dyDescent="0.2">
      <c r="A134" s="99" t="s">
        <v>401</v>
      </c>
      <c r="B134" s="100" t="s">
        <v>37</v>
      </c>
      <c r="C134" s="100" t="s">
        <v>388</v>
      </c>
      <c r="D134" s="100" t="s">
        <v>419</v>
      </c>
      <c r="E134" s="101" t="s">
        <v>304</v>
      </c>
      <c r="F134" s="100" t="s">
        <v>276</v>
      </c>
      <c r="G134" s="100" t="s">
        <v>229</v>
      </c>
      <c r="H134" s="100" t="s">
        <v>9</v>
      </c>
      <c r="I134" s="100" t="s">
        <v>190</v>
      </c>
      <c r="J134" s="100"/>
      <c r="K134" s="102">
        <v>19.100000000000001</v>
      </c>
      <c r="L134" s="102">
        <f t="shared" si="27"/>
        <v>19.100000000000001</v>
      </c>
      <c r="M134" s="103">
        <f>prodnorm55</f>
        <v>0</v>
      </c>
      <c r="N134" s="30">
        <f>dagwerk55</f>
        <v>0</v>
      </c>
      <c r="O134" s="100" t="s">
        <v>96</v>
      </c>
      <c r="P134" s="16">
        <f>uurtarief55</f>
        <v>0</v>
      </c>
      <c r="Q134" s="102" t="e">
        <f t="shared" si="28"/>
        <v>#DIV/0!</v>
      </c>
      <c r="R134" s="102" t="e">
        <f t="shared" si="29"/>
        <v>#DIV/0!</v>
      </c>
      <c r="S134" s="16" t="e">
        <f t="shared" si="30"/>
        <v>#DIV/0!</v>
      </c>
      <c r="T134" s="102" t="e">
        <f t="shared" si="31"/>
        <v>#DIV/0!</v>
      </c>
      <c r="U134" s="17" t="e">
        <f t="shared" si="32"/>
        <v>#DIV/0!</v>
      </c>
    </row>
    <row r="135" spans="1:21" x14ac:dyDescent="0.2">
      <c r="A135" s="99" t="s">
        <v>401</v>
      </c>
      <c r="B135" s="100" t="s">
        <v>37</v>
      </c>
      <c r="C135" s="100" t="s">
        <v>388</v>
      </c>
      <c r="D135" s="100" t="s">
        <v>419</v>
      </c>
      <c r="E135" s="101" t="s">
        <v>304</v>
      </c>
      <c r="F135" s="100" t="s">
        <v>276</v>
      </c>
      <c r="G135" s="100" t="s">
        <v>235</v>
      </c>
      <c r="H135" s="100" t="s">
        <v>22</v>
      </c>
      <c r="I135" s="100" t="s">
        <v>190</v>
      </c>
      <c r="J135" s="100"/>
      <c r="K135" s="102">
        <v>19.100000000000001</v>
      </c>
      <c r="L135" s="102">
        <f t="shared" si="27"/>
        <v>0.14980392156862746</v>
      </c>
      <c r="M135" s="103">
        <f>prodnorm60</f>
        <v>0</v>
      </c>
      <c r="N135" s="30">
        <f>dagwerk60</f>
        <v>0</v>
      </c>
      <c r="O135" s="100" t="s">
        <v>96</v>
      </c>
      <c r="P135" s="16">
        <f>uurtarief60</f>
        <v>0</v>
      </c>
      <c r="Q135" s="102" t="e">
        <f t="shared" si="28"/>
        <v>#DIV/0!</v>
      </c>
      <c r="R135" s="102" t="e">
        <f t="shared" si="29"/>
        <v>#DIV/0!</v>
      </c>
      <c r="S135" s="16" t="e">
        <f t="shared" si="30"/>
        <v>#DIV/0!</v>
      </c>
      <c r="T135" s="102" t="e">
        <f t="shared" si="31"/>
        <v>#DIV/0!</v>
      </c>
      <c r="U135" s="17" t="e">
        <f t="shared" si="32"/>
        <v>#DIV/0!</v>
      </c>
    </row>
    <row r="136" spans="1:21" x14ac:dyDescent="0.2">
      <c r="A136" s="99" t="s">
        <v>401</v>
      </c>
      <c r="B136" s="100" t="s">
        <v>37</v>
      </c>
      <c r="C136" s="100" t="s">
        <v>388</v>
      </c>
      <c r="D136" s="100" t="s">
        <v>392</v>
      </c>
      <c r="E136" s="101" t="s">
        <v>420</v>
      </c>
      <c r="F136" s="100" t="s">
        <v>276</v>
      </c>
      <c r="G136" s="100" t="s">
        <v>209</v>
      </c>
      <c r="H136" s="100" t="s">
        <v>15</v>
      </c>
      <c r="I136" s="100" t="s">
        <v>190</v>
      </c>
      <c r="J136" s="100"/>
      <c r="K136" s="102">
        <v>56.6</v>
      </c>
      <c r="L136" s="102">
        <f t="shared" si="27"/>
        <v>11.32</v>
      </c>
      <c r="M136" s="103">
        <f>prodnorm41</f>
        <v>0</v>
      </c>
      <c r="N136" s="30">
        <f>dagwerk41</f>
        <v>0</v>
      </c>
      <c r="O136" s="100" t="s">
        <v>96</v>
      </c>
      <c r="P136" s="16">
        <f>uurtarief41</f>
        <v>0</v>
      </c>
      <c r="Q136" s="102" t="e">
        <f t="shared" si="28"/>
        <v>#DIV/0!</v>
      </c>
      <c r="R136" s="102" t="e">
        <f t="shared" si="29"/>
        <v>#DIV/0!</v>
      </c>
      <c r="S136" s="16" t="e">
        <f t="shared" si="30"/>
        <v>#DIV/0!</v>
      </c>
      <c r="T136" s="102" t="e">
        <f t="shared" si="31"/>
        <v>#DIV/0!</v>
      </c>
      <c r="U136" s="17" t="e">
        <f t="shared" si="32"/>
        <v>#DIV/0!</v>
      </c>
    </row>
    <row r="137" spans="1:21" x14ac:dyDescent="0.2">
      <c r="A137" s="99" t="s">
        <v>401</v>
      </c>
      <c r="B137" s="100" t="s">
        <v>37</v>
      </c>
      <c r="C137" s="100" t="s">
        <v>388</v>
      </c>
      <c r="D137" s="100" t="s">
        <v>392</v>
      </c>
      <c r="E137" s="101" t="s">
        <v>420</v>
      </c>
      <c r="F137" s="100" t="s">
        <v>276</v>
      </c>
      <c r="G137" s="100" t="s">
        <v>235</v>
      </c>
      <c r="H137" s="100" t="s">
        <v>22</v>
      </c>
      <c r="I137" s="100" t="s">
        <v>190</v>
      </c>
      <c r="J137" s="100"/>
      <c r="K137" s="102">
        <v>56.6</v>
      </c>
      <c r="L137" s="102">
        <f t="shared" si="27"/>
        <v>0.44392156862745097</v>
      </c>
      <c r="M137" s="103">
        <f>prodnorm60</f>
        <v>0</v>
      </c>
      <c r="N137" s="30">
        <f>dagwerk60</f>
        <v>0</v>
      </c>
      <c r="O137" s="100" t="s">
        <v>96</v>
      </c>
      <c r="P137" s="16">
        <f>uurtarief60</f>
        <v>0</v>
      </c>
      <c r="Q137" s="102" t="e">
        <f t="shared" si="28"/>
        <v>#DIV/0!</v>
      </c>
      <c r="R137" s="102" t="e">
        <f t="shared" si="29"/>
        <v>#DIV/0!</v>
      </c>
      <c r="S137" s="16" t="e">
        <f t="shared" si="30"/>
        <v>#DIV/0!</v>
      </c>
      <c r="T137" s="102" t="e">
        <f t="shared" si="31"/>
        <v>#DIV/0!</v>
      </c>
      <c r="U137" s="17" t="e">
        <f t="shared" si="32"/>
        <v>#DIV/0!</v>
      </c>
    </row>
    <row r="138" spans="1:21" x14ac:dyDescent="0.2">
      <c r="A138" s="99" t="s">
        <v>401</v>
      </c>
      <c r="B138" s="100" t="s">
        <v>37</v>
      </c>
      <c r="C138" s="100" t="s">
        <v>388</v>
      </c>
      <c r="D138" s="100" t="s">
        <v>394</v>
      </c>
      <c r="E138" s="101" t="s">
        <v>378</v>
      </c>
      <c r="F138" s="100" t="s">
        <v>300</v>
      </c>
      <c r="G138" s="100" t="s">
        <v>194</v>
      </c>
      <c r="H138" s="100" t="s">
        <v>9</v>
      </c>
      <c r="I138" s="100" t="s">
        <v>190</v>
      </c>
      <c r="J138" s="100"/>
      <c r="K138" s="102">
        <v>29</v>
      </c>
      <c r="L138" s="102">
        <f t="shared" si="27"/>
        <v>29</v>
      </c>
      <c r="M138" s="103">
        <f>prodnorm30</f>
        <v>0</v>
      </c>
      <c r="N138" s="30">
        <f>dagwerk30</f>
        <v>0</v>
      </c>
      <c r="O138" s="100" t="s">
        <v>96</v>
      </c>
      <c r="P138" s="16">
        <f>uurtarief30</f>
        <v>0</v>
      </c>
      <c r="Q138" s="102" t="e">
        <f t="shared" si="28"/>
        <v>#DIV/0!</v>
      </c>
      <c r="R138" s="102" t="e">
        <f t="shared" si="29"/>
        <v>#DIV/0!</v>
      </c>
      <c r="S138" s="16" t="e">
        <f t="shared" si="30"/>
        <v>#DIV/0!</v>
      </c>
      <c r="T138" s="102" t="e">
        <f t="shared" si="31"/>
        <v>#DIV/0!</v>
      </c>
      <c r="U138" s="17" t="e">
        <f t="shared" si="32"/>
        <v>#DIV/0!</v>
      </c>
    </row>
    <row r="139" spans="1:21" x14ac:dyDescent="0.2">
      <c r="A139" s="99" t="s">
        <v>401</v>
      </c>
      <c r="B139" s="100" t="s">
        <v>37</v>
      </c>
      <c r="C139" s="100" t="s">
        <v>388</v>
      </c>
      <c r="D139" s="100" t="s">
        <v>421</v>
      </c>
      <c r="E139" s="101" t="s">
        <v>422</v>
      </c>
      <c r="F139" s="100" t="s">
        <v>276</v>
      </c>
      <c r="G139" s="100" t="s">
        <v>229</v>
      </c>
      <c r="H139" s="100" t="s">
        <v>9</v>
      </c>
      <c r="I139" s="100" t="s">
        <v>190</v>
      </c>
      <c r="J139" s="100"/>
      <c r="K139" s="102">
        <v>9.8000000000000007</v>
      </c>
      <c r="L139" s="102">
        <f t="shared" si="27"/>
        <v>9.8000000000000007</v>
      </c>
      <c r="M139" s="103">
        <f>prodnorm55</f>
        <v>0</v>
      </c>
      <c r="N139" s="30">
        <f>dagwerk55</f>
        <v>0</v>
      </c>
      <c r="O139" s="100" t="s">
        <v>96</v>
      </c>
      <c r="P139" s="16">
        <f>uurtarief55</f>
        <v>0</v>
      </c>
      <c r="Q139" s="102" t="e">
        <f t="shared" si="28"/>
        <v>#DIV/0!</v>
      </c>
      <c r="R139" s="102" t="e">
        <f t="shared" si="29"/>
        <v>#DIV/0!</v>
      </c>
      <c r="S139" s="16" t="e">
        <f t="shared" si="30"/>
        <v>#DIV/0!</v>
      </c>
      <c r="T139" s="102" t="e">
        <f t="shared" si="31"/>
        <v>#DIV/0!</v>
      </c>
      <c r="U139" s="17" t="e">
        <f t="shared" si="32"/>
        <v>#DIV/0!</v>
      </c>
    </row>
    <row r="140" spans="1:21" x14ac:dyDescent="0.2">
      <c r="A140" s="104" t="s">
        <v>401</v>
      </c>
      <c r="B140" s="105" t="s">
        <v>37</v>
      </c>
      <c r="C140" s="105" t="s">
        <v>388</v>
      </c>
      <c r="D140" s="105" t="s">
        <v>421</v>
      </c>
      <c r="E140" s="106" t="s">
        <v>422</v>
      </c>
      <c r="F140" s="105" t="s">
        <v>276</v>
      </c>
      <c r="G140" s="105" t="s">
        <v>235</v>
      </c>
      <c r="H140" s="105" t="s">
        <v>23</v>
      </c>
      <c r="I140" s="105" t="s">
        <v>190</v>
      </c>
      <c r="J140" s="105"/>
      <c r="K140" s="107">
        <v>9.8000000000000007</v>
      </c>
      <c r="L140" s="107">
        <f t="shared" si="27"/>
        <v>3.8431372549019613E-2</v>
      </c>
      <c r="M140" s="108">
        <f>prodnorm59</f>
        <v>0</v>
      </c>
      <c r="N140" s="109">
        <f>dagwerk59</f>
        <v>0</v>
      </c>
      <c r="O140" s="105" t="s">
        <v>96</v>
      </c>
      <c r="P140" s="26">
        <f>uurtarief59</f>
        <v>0</v>
      </c>
      <c r="Q140" s="107" t="e">
        <f t="shared" si="28"/>
        <v>#DIV/0!</v>
      </c>
      <c r="R140" s="107" t="e">
        <f t="shared" si="29"/>
        <v>#DIV/0!</v>
      </c>
      <c r="S140" s="26" t="e">
        <f t="shared" si="30"/>
        <v>#DIV/0!</v>
      </c>
      <c r="T140" s="107" t="e">
        <f t="shared" si="31"/>
        <v>#DIV/0!</v>
      </c>
      <c r="U140" s="27" t="e">
        <f t="shared" si="32"/>
        <v>#DIV/0!</v>
      </c>
    </row>
    <row r="141" spans="1:21" x14ac:dyDescent="0.2">
      <c r="A141" s="110" t="s">
        <v>373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3" t="e">
        <f>IF(_xlfn.SINGLE(object3_urenjaar1)&gt;0,_xlfn.SINGLE(object3_prijsjaar1)/_xlfn.SINGLE(object3_urenjaar1),0)</f>
        <v>#DIV/0!</v>
      </c>
      <c r="Q141" s="72" t="e">
        <f>SUM(Q105:Q140)</f>
        <v>#DIV/0!</v>
      </c>
      <c r="R141" s="72" t="e">
        <f>SUM(R105:R140)</f>
        <v>#DIV/0!</v>
      </c>
      <c r="S141" s="73" t="e">
        <f>SUM(S105:S140)</f>
        <v>#DIV/0!</v>
      </c>
      <c r="T141" s="72" t="e">
        <f>SUM(T105:T140)</f>
        <v>#DIV/0!</v>
      </c>
      <c r="U141" s="74" t="e">
        <f>SUM(U105:U140)</f>
        <v>#DIV/0!</v>
      </c>
    </row>
    <row r="142" spans="1:21" x14ac:dyDescent="0.2">
      <c r="A142" s="84" t="s">
        <v>423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69"/>
    </row>
    <row r="143" spans="1:21" x14ac:dyDescent="0.2">
      <c r="A143" s="91" t="s">
        <v>424</v>
      </c>
      <c r="B143" s="92" t="s">
        <v>37</v>
      </c>
      <c r="C143" s="92" t="s">
        <v>297</v>
      </c>
      <c r="D143" s="92" t="s">
        <v>305</v>
      </c>
      <c r="E143" s="93" t="s">
        <v>378</v>
      </c>
      <c r="F143" s="92" t="s">
        <v>425</v>
      </c>
      <c r="G143" s="92" t="s">
        <v>192</v>
      </c>
      <c r="H143" s="92" t="s">
        <v>9</v>
      </c>
      <c r="I143" s="92" t="s">
        <v>190</v>
      </c>
      <c r="J143" s="92"/>
      <c r="K143" s="94">
        <v>40.14</v>
      </c>
      <c r="L143" s="94">
        <f t="shared" ref="L143:L158" si="33">K143*VLOOKUP(H143,dagsoorttabel1,2,FALSE)</f>
        <v>40.14</v>
      </c>
      <c r="M143" s="95">
        <f>prodnorm28</f>
        <v>0</v>
      </c>
      <c r="N143" s="96">
        <f>dagwerk28</f>
        <v>0</v>
      </c>
      <c r="O143" s="92" t="s">
        <v>96</v>
      </c>
      <c r="P143" s="97">
        <f>uurtarief28</f>
        <v>0</v>
      </c>
      <c r="Q143" s="94" t="e">
        <f t="shared" ref="Q143:Q157" si="34">IF(ISBLANK(M143),0,L143/ROUND(M143,4))</f>
        <v>#DIV/0!</v>
      </c>
      <c r="R143" s="94" t="e">
        <f t="shared" ref="R143:R158" si="35">IF(ISBLANK(M143),0,Q143*ROUND(N143,2))</f>
        <v>#DIV/0!</v>
      </c>
      <c r="S143" s="97" t="e">
        <f t="shared" ref="S143:S158" si="36">ROUND(P143,2)*Q143</f>
        <v>#DIV/0!</v>
      </c>
      <c r="T143" s="94" t="e">
        <f t="shared" ref="T143:T158" si="37">Q143*dagenperjaar1</f>
        <v>#DIV/0!</v>
      </c>
      <c r="U143" s="98" t="e">
        <f t="shared" ref="U143:U158" si="38">T143*ROUND(P143,2)</f>
        <v>#DIV/0!</v>
      </c>
    </row>
    <row r="144" spans="1:21" x14ac:dyDescent="0.2">
      <c r="A144" s="99" t="s">
        <v>424</v>
      </c>
      <c r="B144" s="100" t="s">
        <v>37</v>
      </c>
      <c r="C144" s="100" t="s">
        <v>297</v>
      </c>
      <c r="D144" s="100" t="s">
        <v>307</v>
      </c>
      <c r="E144" s="101" t="s">
        <v>349</v>
      </c>
      <c r="F144" s="100" t="s">
        <v>425</v>
      </c>
      <c r="G144" s="100" t="s">
        <v>192</v>
      </c>
      <c r="H144" s="100" t="s">
        <v>9</v>
      </c>
      <c r="I144" s="100" t="s">
        <v>190</v>
      </c>
      <c r="J144" s="100"/>
      <c r="K144" s="102">
        <v>11.52</v>
      </c>
      <c r="L144" s="102">
        <f t="shared" si="33"/>
        <v>11.52</v>
      </c>
      <c r="M144" s="103">
        <f>prodnorm28</f>
        <v>0</v>
      </c>
      <c r="N144" s="30">
        <f>dagwerk28</f>
        <v>0</v>
      </c>
      <c r="O144" s="100" t="s">
        <v>96</v>
      </c>
      <c r="P144" s="16">
        <f>uurtarief28</f>
        <v>0</v>
      </c>
      <c r="Q144" s="102" t="e">
        <f t="shared" si="34"/>
        <v>#DIV/0!</v>
      </c>
      <c r="R144" s="102" t="e">
        <f t="shared" si="35"/>
        <v>#DIV/0!</v>
      </c>
      <c r="S144" s="16" t="e">
        <f t="shared" si="36"/>
        <v>#DIV/0!</v>
      </c>
      <c r="T144" s="102" t="e">
        <f t="shared" si="37"/>
        <v>#DIV/0!</v>
      </c>
      <c r="U144" s="17" t="e">
        <f t="shared" si="38"/>
        <v>#DIV/0!</v>
      </c>
    </row>
    <row r="145" spans="1:21" x14ac:dyDescent="0.2">
      <c r="A145" s="99" t="s">
        <v>424</v>
      </c>
      <c r="B145" s="100" t="s">
        <v>37</v>
      </c>
      <c r="C145" s="100" t="s">
        <v>297</v>
      </c>
      <c r="D145" s="100" t="s">
        <v>308</v>
      </c>
      <c r="E145" s="101" t="s">
        <v>395</v>
      </c>
      <c r="F145" s="100" t="s">
        <v>425</v>
      </c>
      <c r="G145" s="100" t="s">
        <v>219</v>
      </c>
      <c r="H145" s="100" t="s">
        <v>9</v>
      </c>
      <c r="I145" s="100" t="s">
        <v>190</v>
      </c>
      <c r="J145" s="100"/>
      <c r="K145" s="102">
        <v>39.21</v>
      </c>
      <c r="L145" s="102">
        <f t="shared" si="33"/>
        <v>39.21</v>
      </c>
      <c r="M145" s="103">
        <f>prodnorm48</f>
        <v>0</v>
      </c>
      <c r="N145" s="30">
        <f>dagwerk48</f>
        <v>0</v>
      </c>
      <c r="O145" s="100" t="s">
        <v>96</v>
      </c>
      <c r="P145" s="16">
        <f>uurtarief48</f>
        <v>0</v>
      </c>
      <c r="Q145" s="102" t="e">
        <f t="shared" si="34"/>
        <v>#DIV/0!</v>
      </c>
      <c r="R145" s="102" t="e">
        <f t="shared" si="35"/>
        <v>#DIV/0!</v>
      </c>
      <c r="S145" s="16" t="e">
        <f t="shared" si="36"/>
        <v>#DIV/0!</v>
      </c>
      <c r="T145" s="102" t="e">
        <f t="shared" si="37"/>
        <v>#DIV/0!</v>
      </c>
      <c r="U145" s="17" t="e">
        <f t="shared" si="38"/>
        <v>#DIV/0!</v>
      </c>
    </row>
    <row r="146" spans="1:21" x14ac:dyDescent="0.2">
      <c r="A146" s="99" t="s">
        <v>424</v>
      </c>
      <c r="B146" s="100" t="s">
        <v>37</v>
      </c>
      <c r="C146" s="100" t="s">
        <v>297</v>
      </c>
      <c r="D146" s="100" t="s">
        <v>311</v>
      </c>
      <c r="E146" s="101" t="s">
        <v>378</v>
      </c>
      <c r="F146" s="100" t="s">
        <v>425</v>
      </c>
      <c r="G146" s="100" t="s">
        <v>192</v>
      </c>
      <c r="H146" s="100" t="s">
        <v>9</v>
      </c>
      <c r="I146" s="100" t="s">
        <v>190</v>
      </c>
      <c r="J146" s="100"/>
      <c r="K146" s="102">
        <v>19.23</v>
      </c>
      <c r="L146" s="102">
        <f t="shared" si="33"/>
        <v>19.23</v>
      </c>
      <c r="M146" s="103">
        <f>prodnorm28</f>
        <v>0</v>
      </c>
      <c r="N146" s="30">
        <f>dagwerk28</f>
        <v>0</v>
      </c>
      <c r="O146" s="100" t="s">
        <v>96</v>
      </c>
      <c r="P146" s="16">
        <f>uurtarief28</f>
        <v>0</v>
      </c>
      <c r="Q146" s="102" t="e">
        <f t="shared" si="34"/>
        <v>#DIV/0!</v>
      </c>
      <c r="R146" s="102" t="e">
        <f t="shared" si="35"/>
        <v>#DIV/0!</v>
      </c>
      <c r="S146" s="16" t="e">
        <f t="shared" si="36"/>
        <v>#DIV/0!</v>
      </c>
      <c r="T146" s="102" t="e">
        <f t="shared" si="37"/>
        <v>#DIV/0!</v>
      </c>
      <c r="U146" s="17" t="e">
        <f t="shared" si="38"/>
        <v>#DIV/0!</v>
      </c>
    </row>
    <row r="147" spans="1:21" x14ac:dyDescent="0.2">
      <c r="A147" s="99" t="s">
        <v>424</v>
      </c>
      <c r="B147" s="100" t="s">
        <v>37</v>
      </c>
      <c r="C147" s="100" t="s">
        <v>297</v>
      </c>
      <c r="D147" s="100" t="s">
        <v>313</v>
      </c>
      <c r="E147" s="101" t="s">
        <v>304</v>
      </c>
      <c r="F147" s="100" t="s">
        <v>425</v>
      </c>
      <c r="G147" s="100" t="s">
        <v>229</v>
      </c>
      <c r="H147" s="100" t="s">
        <v>9</v>
      </c>
      <c r="I147" s="100" t="s">
        <v>190</v>
      </c>
      <c r="J147" s="100"/>
      <c r="K147" s="102">
        <v>26.82</v>
      </c>
      <c r="L147" s="102">
        <f t="shared" si="33"/>
        <v>26.82</v>
      </c>
      <c r="M147" s="103">
        <f>prodnorm55</f>
        <v>0</v>
      </c>
      <c r="N147" s="30">
        <f>dagwerk55</f>
        <v>0</v>
      </c>
      <c r="O147" s="100" t="s">
        <v>96</v>
      </c>
      <c r="P147" s="16">
        <f>uurtarief55</f>
        <v>0</v>
      </c>
      <c r="Q147" s="102" t="e">
        <f t="shared" si="34"/>
        <v>#DIV/0!</v>
      </c>
      <c r="R147" s="102" t="e">
        <f t="shared" si="35"/>
        <v>#DIV/0!</v>
      </c>
      <c r="S147" s="16" t="e">
        <f t="shared" si="36"/>
        <v>#DIV/0!</v>
      </c>
      <c r="T147" s="102" t="e">
        <f t="shared" si="37"/>
        <v>#DIV/0!</v>
      </c>
      <c r="U147" s="17" t="e">
        <f t="shared" si="38"/>
        <v>#DIV/0!</v>
      </c>
    </row>
    <row r="148" spans="1:21" x14ac:dyDescent="0.2">
      <c r="A148" s="99" t="s">
        <v>424</v>
      </c>
      <c r="B148" s="100" t="s">
        <v>37</v>
      </c>
      <c r="C148" s="100" t="s">
        <v>297</v>
      </c>
      <c r="D148" s="100" t="s">
        <v>411</v>
      </c>
      <c r="E148" s="101" t="s">
        <v>426</v>
      </c>
      <c r="F148" s="100" t="s">
        <v>427</v>
      </c>
      <c r="G148" s="100" t="s">
        <v>222</v>
      </c>
      <c r="H148" s="100" t="s">
        <v>9</v>
      </c>
      <c r="I148" s="100" t="s">
        <v>190</v>
      </c>
      <c r="J148" s="100"/>
      <c r="K148" s="102">
        <v>4.08</v>
      </c>
      <c r="L148" s="102">
        <f t="shared" si="33"/>
        <v>4.08</v>
      </c>
      <c r="M148" s="103">
        <f>prodnorm50</f>
        <v>0</v>
      </c>
      <c r="N148" s="30">
        <f>dagwerk50</f>
        <v>0</v>
      </c>
      <c r="O148" s="100" t="s">
        <v>96</v>
      </c>
      <c r="P148" s="16">
        <f>uurtarief50</f>
        <v>0</v>
      </c>
      <c r="Q148" s="102" t="e">
        <f t="shared" si="34"/>
        <v>#DIV/0!</v>
      </c>
      <c r="R148" s="102" t="e">
        <f t="shared" si="35"/>
        <v>#DIV/0!</v>
      </c>
      <c r="S148" s="16" t="e">
        <f t="shared" si="36"/>
        <v>#DIV/0!</v>
      </c>
      <c r="T148" s="102" t="e">
        <f t="shared" si="37"/>
        <v>#DIV/0!</v>
      </c>
      <c r="U148" s="17" t="e">
        <f t="shared" si="38"/>
        <v>#DIV/0!</v>
      </c>
    </row>
    <row r="149" spans="1:21" x14ac:dyDescent="0.2">
      <c r="A149" s="99" t="s">
        <v>424</v>
      </c>
      <c r="B149" s="100" t="s">
        <v>37</v>
      </c>
      <c r="C149" s="100" t="s">
        <v>297</v>
      </c>
      <c r="D149" s="100" t="s">
        <v>326</v>
      </c>
      <c r="E149" s="101" t="s">
        <v>428</v>
      </c>
      <c r="F149" s="100" t="s">
        <v>427</v>
      </c>
      <c r="G149" s="100" t="s">
        <v>207</v>
      </c>
      <c r="H149" s="100" t="s">
        <v>9</v>
      </c>
      <c r="I149" s="100" t="s">
        <v>190</v>
      </c>
      <c r="J149" s="100"/>
      <c r="K149" s="102">
        <v>6.52</v>
      </c>
      <c r="L149" s="102">
        <f t="shared" si="33"/>
        <v>6.52</v>
      </c>
      <c r="M149" s="103">
        <f>prodnorm40</f>
        <v>0</v>
      </c>
      <c r="N149" s="30">
        <f>dagwerk40</f>
        <v>0</v>
      </c>
      <c r="O149" s="100" t="s">
        <v>96</v>
      </c>
      <c r="P149" s="16">
        <f>uurtarief40</f>
        <v>0</v>
      </c>
      <c r="Q149" s="102" t="e">
        <f t="shared" si="34"/>
        <v>#DIV/0!</v>
      </c>
      <c r="R149" s="102" t="e">
        <f t="shared" si="35"/>
        <v>#DIV/0!</v>
      </c>
      <c r="S149" s="16" t="e">
        <f t="shared" si="36"/>
        <v>#DIV/0!</v>
      </c>
      <c r="T149" s="102" t="e">
        <f t="shared" si="37"/>
        <v>#DIV/0!</v>
      </c>
      <c r="U149" s="17" t="e">
        <f t="shared" si="38"/>
        <v>#DIV/0!</v>
      </c>
    </row>
    <row r="150" spans="1:21" x14ac:dyDescent="0.2">
      <c r="A150" s="99" t="s">
        <v>424</v>
      </c>
      <c r="B150" s="100" t="s">
        <v>37</v>
      </c>
      <c r="C150" s="100" t="s">
        <v>297</v>
      </c>
      <c r="D150" s="100" t="s">
        <v>329</v>
      </c>
      <c r="E150" s="101" t="s">
        <v>429</v>
      </c>
      <c r="F150" s="100" t="s">
        <v>427</v>
      </c>
      <c r="G150" s="100" t="s">
        <v>222</v>
      </c>
      <c r="H150" s="100" t="s">
        <v>9</v>
      </c>
      <c r="I150" s="100" t="s">
        <v>190</v>
      </c>
      <c r="J150" s="100"/>
      <c r="K150" s="102">
        <v>6.6899999999999995</v>
      </c>
      <c r="L150" s="102">
        <f t="shared" si="33"/>
        <v>6.6899999999999995</v>
      </c>
      <c r="M150" s="103">
        <f>prodnorm50</f>
        <v>0</v>
      </c>
      <c r="N150" s="30">
        <f>dagwerk50</f>
        <v>0</v>
      </c>
      <c r="O150" s="100" t="s">
        <v>96</v>
      </c>
      <c r="P150" s="16">
        <f>uurtarief50</f>
        <v>0</v>
      </c>
      <c r="Q150" s="102" t="e">
        <f t="shared" si="34"/>
        <v>#DIV/0!</v>
      </c>
      <c r="R150" s="102" t="e">
        <f t="shared" si="35"/>
        <v>#DIV/0!</v>
      </c>
      <c r="S150" s="16" t="e">
        <f t="shared" si="36"/>
        <v>#DIV/0!</v>
      </c>
      <c r="T150" s="102" t="e">
        <f t="shared" si="37"/>
        <v>#DIV/0!</v>
      </c>
      <c r="U150" s="17" t="e">
        <f t="shared" si="38"/>
        <v>#DIV/0!</v>
      </c>
    </row>
    <row r="151" spans="1:21" x14ac:dyDescent="0.2">
      <c r="A151" s="99" t="s">
        <v>424</v>
      </c>
      <c r="B151" s="100" t="s">
        <v>37</v>
      </c>
      <c r="C151" s="100" t="s">
        <v>297</v>
      </c>
      <c r="D151" s="100" t="s">
        <v>336</v>
      </c>
      <c r="E151" s="101" t="s">
        <v>430</v>
      </c>
      <c r="F151" s="100" t="s">
        <v>425</v>
      </c>
      <c r="G151" s="100" t="s">
        <v>229</v>
      </c>
      <c r="H151" s="100" t="s">
        <v>9</v>
      </c>
      <c r="I151" s="100" t="s">
        <v>190</v>
      </c>
      <c r="J151" s="100"/>
      <c r="K151" s="102">
        <v>1.62</v>
      </c>
      <c r="L151" s="102">
        <f t="shared" si="33"/>
        <v>1.62</v>
      </c>
      <c r="M151" s="103">
        <f>prodnorm55</f>
        <v>0</v>
      </c>
      <c r="N151" s="30">
        <f>dagwerk55</f>
        <v>0</v>
      </c>
      <c r="O151" s="100" t="s">
        <v>96</v>
      </c>
      <c r="P151" s="16">
        <f>uurtarief55</f>
        <v>0</v>
      </c>
      <c r="Q151" s="102" t="e">
        <f t="shared" si="34"/>
        <v>#DIV/0!</v>
      </c>
      <c r="R151" s="102" t="e">
        <f t="shared" si="35"/>
        <v>#DIV/0!</v>
      </c>
      <c r="S151" s="16" t="e">
        <f t="shared" si="36"/>
        <v>#DIV/0!</v>
      </c>
      <c r="T151" s="102" t="e">
        <f t="shared" si="37"/>
        <v>#DIV/0!</v>
      </c>
      <c r="U151" s="17" t="e">
        <f t="shared" si="38"/>
        <v>#DIV/0!</v>
      </c>
    </row>
    <row r="152" spans="1:21" x14ac:dyDescent="0.2">
      <c r="A152" s="99" t="s">
        <v>424</v>
      </c>
      <c r="B152" s="100" t="s">
        <v>37</v>
      </c>
      <c r="C152" s="100" t="s">
        <v>297</v>
      </c>
      <c r="D152" s="100" t="s">
        <v>346</v>
      </c>
      <c r="E152" s="101" t="s">
        <v>431</v>
      </c>
      <c r="F152" s="100" t="s">
        <v>427</v>
      </c>
      <c r="G152" s="100" t="s">
        <v>207</v>
      </c>
      <c r="H152" s="100" t="s">
        <v>9</v>
      </c>
      <c r="I152" s="100" t="s">
        <v>190</v>
      </c>
      <c r="J152" s="100"/>
      <c r="K152" s="102">
        <v>10.53</v>
      </c>
      <c r="L152" s="102">
        <f t="shared" si="33"/>
        <v>10.53</v>
      </c>
      <c r="M152" s="103">
        <f>prodnorm40</f>
        <v>0</v>
      </c>
      <c r="N152" s="30">
        <f>dagwerk40</f>
        <v>0</v>
      </c>
      <c r="O152" s="100" t="s">
        <v>96</v>
      </c>
      <c r="P152" s="16">
        <f>uurtarief40</f>
        <v>0</v>
      </c>
      <c r="Q152" s="102" t="e">
        <f t="shared" si="34"/>
        <v>#DIV/0!</v>
      </c>
      <c r="R152" s="102" t="e">
        <f t="shared" si="35"/>
        <v>#DIV/0!</v>
      </c>
      <c r="S152" s="16" t="e">
        <f t="shared" si="36"/>
        <v>#DIV/0!</v>
      </c>
      <c r="T152" s="102" t="e">
        <f t="shared" si="37"/>
        <v>#DIV/0!</v>
      </c>
      <c r="U152" s="17" t="e">
        <f t="shared" si="38"/>
        <v>#DIV/0!</v>
      </c>
    </row>
    <row r="153" spans="1:21" x14ac:dyDescent="0.2">
      <c r="A153" s="99" t="s">
        <v>424</v>
      </c>
      <c r="B153" s="100" t="s">
        <v>37</v>
      </c>
      <c r="C153" s="100" t="s">
        <v>297</v>
      </c>
      <c r="D153" s="100" t="s">
        <v>353</v>
      </c>
      <c r="E153" s="101" t="s">
        <v>432</v>
      </c>
      <c r="F153" s="100" t="s">
        <v>433</v>
      </c>
      <c r="G153" s="100" t="s">
        <v>229</v>
      </c>
      <c r="H153" s="100" t="s">
        <v>9</v>
      </c>
      <c r="I153" s="100" t="s">
        <v>190</v>
      </c>
      <c r="J153" s="100"/>
      <c r="K153" s="102">
        <v>19.88</v>
      </c>
      <c r="L153" s="102">
        <f t="shared" si="33"/>
        <v>19.88</v>
      </c>
      <c r="M153" s="103">
        <f>prodnorm55</f>
        <v>0</v>
      </c>
      <c r="N153" s="30">
        <f>dagwerk55</f>
        <v>0</v>
      </c>
      <c r="O153" s="100" t="s">
        <v>96</v>
      </c>
      <c r="P153" s="16">
        <f>uurtarief55</f>
        <v>0</v>
      </c>
      <c r="Q153" s="102" t="e">
        <f t="shared" si="34"/>
        <v>#DIV/0!</v>
      </c>
      <c r="R153" s="102" t="e">
        <f t="shared" si="35"/>
        <v>#DIV/0!</v>
      </c>
      <c r="S153" s="16" t="e">
        <f t="shared" si="36"/>
        <v>#DIV/0!</v>
      </c>
      <c r="T153" s="102" t="e">
        <f t="shared" si="37"/>
        <v>#DIV/0!</v>
      </c>
      <c r="U153" s="17" t="e">
        <f t="shared" si="38"/>
        <v>#DIV/0!</v>
      </c>
    </row>
    <row r="154" spans="1:21" x14ac:dyDescent="0.2">
      <c r="A154" s="99" t="s">
        <v>424</v>
      </c>
      <c r="B154" s="100" t="s">
        <v>37</v>
      </c>
      <c r="C154" s="100" t="s">
        <v>297</v>
      </c>
      <c r="D154" s="100" t="s">
        <v>434</v>
      </c>
      <c r="E154" s="101" t="s">
        <v>344</v>
      </c>
      <c r="F154" s="100" t="s">
        <v>433</v>
      </c>
      <c r="G154" s="100" t="s">
        <v>217</v>
      </c>
      <c r="H154" s="100" t="s">
        <v>9</v>
      </c>
      <c r="I154" s="100" t="s">
        <v>190</v>
      </c>
      <c r="J154" s="100"/>
      <c r="K154" s="102">
        <v>3</v>
      </c>
      <c r="L154" s="102">
        <f t="shared" si="33"/>
        <v>3</v>
      </c>
      <c r="M154" s="103">
        <f>prodnorm46</f>
        <v>0</v>
      </c>
      <c r="N154" s="30">
        <f>dagwerk46</f>
        <v>0</v>
      </c>
      <c r="O154" s="100" t="s">
        <v>96</v>
      </c>
      <c r="P154" s="16">
        <f>uurtarief46</f>
        <v>0</v>
      </c>
      <c r="Q154" s="102" t="e">
        <f t="shared" si="34"/>
        <v>#DIV/0!</v>
      </c>
      <c r="R154" s="102" t="e">
        <f t="shared" si="35"/>
        <v>#DIV/0!</v>
      </c>
      <c r="S154" s="16" t="e">
        <f t="shared" si="36"/>
        <v>#DIV/0!</v>
      </c>
      <c r="T154" s="102" t="e">
        <f t="shared" si="37"/>
        <v>#DIV/0!</v>
      </c>
      <c r="U154" s="17" t="e">
        <f t="shared" si="38"/>
        <v>#DIV/0!</v>
      </c>
    </row>
    <row r="155" spans="1:21" x14ac:dyDescent="0.2">
      <c r="A155" s="99" t="s">
        <v>424</v>
      </c>
      <c r="B155" s="100" t="s">
        <v>37</v>
      </c>
      <c r="C155" s="100" t="s">
        <v>297</v>
      </c>
      <c r="D155" s="100" t="s">
        <v>354</v>
      </c>
      <c r="E155" s="101" t="s">
        <v>299</v>
      </c>
      <c r="F155" s="100" t="s">
        <v>433</v>
      </c>
      <c r="G155" s="100" t="s">
        <v>201</v>
      </c>
      <c r="H155" s="100" t="s">
        <v>9</v>
      </c>
      <c r="I155" s="100" t="s">
        <v>190</v>
      </c>
      <c r="J155" s="100"/>
      <c r="K155" s="102">
        <v>4.22</v>
      </c>
      <c r="L155" s="102">
        <f t="shared" si="33"/>
        <v>4.22</v>
      </c>
      <c r="M155" s="103">
        <f>prodnorm36</f>
        <v>0</v>
      </c>
      <c r="N155" s="30">
        <f>dagwerk36</f>
        <v>0</v>
      </c>
      <c r="O155" s="100" t="s">
        <v>96</v>
      </c>
      <c r="P155" s="16">
        <f>uurtarief36</f>
        <v>0</v>
      </c>
      <c r="Q155" s="102" t="e">
        <f t="shared" si="34"/>
        <v>#DIV/0!</v>
      </c>
      <c r="R155" s="102" t="e">
        <f t="shared" si="35"/>
        <v>#DIV/0!</v>
      </c>
      <c r="S155" s="16" t="e">
        <f t="shared" si="36"/>
        <v>#DIV/0!</v>
      </c>
      <c r="T155" s="102" t="e">
        <f t="shared" si="37"/>
        <v>#DIV/0!</v>
      </c>
      <c r="U155" s="17" t="e">
        <f t="shared" si="38"/>
        <v>#DIV/0!</v>
      </c>
    </row>
    <row r="156" spans="1:21" x14ac:dyDescent="0.2">
      <c r="A156" s="99" t="s">
        <v>424</v>
      </c>
      <c r="B156" s="100" t="s">
        <v>37</v>
      </c>
      <c r="C156" s="100" t="s">
        <v>297</v>
      </c>
      <c r="D156" s="100" t="s">
        <v>356</v>
      </c>
      <c r="E156" s="101" t="s">
        <v>435</v>
      </c>
      <c r="F156" s="100" t="s">
        <v>433</v>
      </c>
      <c r="G156" s="100" t="s">
        <v>222</v>
      </c>
      <c r="H156" s="100" t="s">
        <v>9</v>
      </c>
      <c r="I156" s="100" t="s">
        <v>190</v>
      </c>
      <c r="J156" s="100"/>
      <c r="K156" s="102">
        <v>1.25</v>
      </c>
      <c r="L156" s="102">
        <f t="shared" si="33"/>
        <v>1.25</v>
      </c>
      <c r="M156" s="103">
        <f>prodnorm50</f>
        <v>0</v>
      </c>
      <c r="N156" s="30">
        <f>dagwerk50</f>
        <v>0</v>
      </c>
      <c r="O156" s="100" t="s">
        <v>96</v>
      </c>
      <c r="P156" s="16">
        <f>uurtarief50</f>
        <v>0</v>
      </c>
      <c r="Q156" s="102" t="e">
        <f t="shared" si="34"/>
        <v>#DIV/0!</v>
      </c>
      <c r="R156" s="102" t="e">
        <f t="shared" si="35"/>
        <v>#DIV/0!</v>
      </c>
      <c r="S156" s="16" t="e">
        <f t="shared" si="36"/>
        <v>#DIV/0!</v>
      </c>
      <c r="T156" s="102" t="e">
        <f t="shared" si="37"/>
        <v>#DIV/0!</v>
      </c>
      <c r="U156" s="17" t="e">
        <f t="shared" si="38"/>
        <v>#DIV/0!</v>
      </c>
    </row>
    <row r="157" spans="1:21" x14ac:dyDescent="0.2">
      <c r="A157" s="99" t="s">
        <v>424</v>
      </c>
      <c r="B157" s="100" t="s">
        <v>37</v>
      </c>
      <c r="C157" s="100" t="s">
        <v>297</v>
      </c>
      <c r="D157" s="100" t="s">
        <v>357</v>
      </c>
      <c r="E157" s="101" t="s">
        <v>436</v>
      </c>
      <c r="F157" s="100" t="s">
        <v>425</v>
      </c>
      <c r="G157" s="100" t="s">
        <v>192</v>
      </c>
      <c r="H157" s="100" t="s">
        <v>15</v>
      </c>
      <c r="I157" s="100" t="s">
        <v>190</v>
      </c>
      <c r="J157" s="100"/>
      <c r="K157" s="102">
        <v>9</v>
      </c>
      <c r="L157" s="102">
        <f t="shared" si="33"/>
        <v>1.8</v>
      </c>
      <c r="M157" s="103">
        <f>prodnorm27</f>
        <v>0</v>
      </c>
      <c r="N157" s="30">
        <f>dagwerk27</f>
        <v>0</v>
      </c>
      <c r="O157" s="100" t="s">
        <v>96</v>
      </c>
      <c r="P157" s="16">
        <f>uurtarief27</f>
        <v>0</v>
      </c>
      <c r="Q157" s="102" t="e">
        <f t="shared" si="34"/>
        <v>#DIV/0!</v>
      </c>
      <c r="R157" s="102" t="e">
        <f t="shared" si="35"/>
        <v>#DIV/0!</v>
      </c>
      <c r="S157" s="16" t="e">
        <f t="shared" si="36"/>
        <v>#DIV/0!</v>
      </c>
      <c r="T157" s="102" t="e">
        <f t="shared" si="37"/>
        <v>#DIV/0!</v>
      </c>
      <c r="U157" s="17" t="e">
        <f t="shared" si="38"/>
        <v>#DIV/0!</v>
      </c>
    </row>
    <row r="158" spans="1:21" x14ac:dyDescent="0.2">
      <c r="A158" s="104" t="s">
        <v>424</v>
      </c>
      <c r="B158" s="105" t="s">
        <v>37</v>
      </c>
      <c r="C158" s="105" t="s">
        <v>371</v>
      </c>
      <c r="D158" s="105" t="s">
        <v>37</v>
      </c>
      <c r="E158" s="106" t="s">
        <v>437</v>
      </c>
      <c r="F158" s="105" t="s">
        <v>37</v>
      </c>
      <c r="G158" s="105" t="s">
        <v>239</v>
      </c>
      <c r="H158" s="105" t="s">
        <v>15</v>
      </c>
      <c r="I158" s="105" t="s">
        <v>240</v>
      </c>
      <c r="J158" s="105"/>
      <c r="K158" s="107">
        <v>1</v>
      </c>
      <c r="L158" s="107">
        <f t="shared" si="33"/>
        <v>0.2</v>
      </c>
      <c r="M158" s="108">
        <f>prodnorm22</f>
        <v>0</v>
      </c>
      <c r="N158" s="109">
        <f>dagwerk22</f>
        <v>0</v>
      </c>
      <c r="O158" s="105" t="s">
        <v>242</v>
      </c>
      <c r="P158" s="26">
        <f>uurtarief22</f>
        <v>0</v>
      </c>
      <c r="Q158" s="107">
        <f>L158*ROUND(M158,4)/60</f>
        <v>0</v>
      </c>
      <c r="R158" s="107">
        <f t="shared" si="35"/>
        <v>0</v>
      </c>
      <c r="S158" s="26">
        <f t="shared" si="36"/>
        <v>0</v>
      </c>
      <c r="T158" s="107">
        <f t="shared" si="37"/>
        <v>0</v>
      </c>
      <c r="U158" s="27">
        <f t="shared" si="38"/>
        <v>0</v>
      </c>
    </row>
    <row r="159" spans="1:21" x14ac:dyDescent="0.2">
      <c r="A159" s="110" t="s">
        <v>373</v>
      </c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3" t="e">
        <f>IF(_xlfn.SINGLE(object4_urenjaar1)&gt;0,_xlfn.SINGLE(object4_prijsjaar1)/_xlfn.SINGLE(object4_urenjaar1),0)</f>
        <v>#DIV/0!</v>
      </c>
      <c r="Q159" s="72" t="e">
        <f>SUM(Q143:Q158)</f>
        <v>#DIV/0!</v>
      </c>
      <c r="R159" s="72" t="e">
        <f>SUM(R143:R158)</f>
        <v>#DIV/0!</v>
      </c>
      <c r="S159" s="73" t="e">
        <f>SUM(S143:S158)</f>
        <v>#DIV/0!</v>
      </c>
      <c r="T159" s="72" t="e">
        <f>SUM(T143:T158)</f>
        <v>#DIV/0!</v>
      </c>
      <c r="U159" s="74" t="e">
        <f>SUM(U143:U158)</f>
        <v>#DIV/0!</v>
      </c>
    </row>
    <row r="160" spans="1:21" x14ac:dyDescent="0.2">
      <c r="A160" s="84" t="s">
        <v>438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69"/>
    </row>
    <row r="161" spans="1:21" x14ac:dyDescent="0.2">
      <c r="A161" s="38" t="s">
        <v>439</v>
      </c>
      <c r="B161" s="39" t="s">
        <v>37</v>
      </c>
      <c r="C161" s="39" t="s">
        <v>371</v>
      </c>
      <c r="D161" s="39" t="s">
        <v>37</v>
      </c>
      <c r="E161" s="85" t="s">
        <v>440</v>
      </c>
      <c r="F161" s="39" t="s">
        <v>37</v>
      </c>
      <c r="G161" s="39" t="s">
        <v>243</v>
      </c>
      <c r="H161" s="39" t="s">
        <v>12</v>
      </c>
      <c r="I161" s="39" t="s">
        <v>240</v>
      </c>
      <c r="J161" s="39"/>
      <c r="K161" s="57">
        <v>1</v>
      </c>
      <c r="L161" s="57">
        <f>K161*VLOOKUP(H161,dagsoorttabel1,2,FALSE)</f>
        <v>0.58823529411764708</v>
      </c>
      <c r="M161" s="58">
        <f>prodnorm23</f>
        <v>0</v>
      </c>
      <c r="N161" s="59">
        <f>dagwerk23</f>
        <v>0</v>
      </c>
      <c r="O161" s="39" t="s">
        <v>242</v>
      </c>
      <c r="P161" s="40">
        <f>uurtarief23</f>
        <v>0</v>
      </c>
      <c r="Q161" s="57">
        <f>L161*ROUND(M161,4)/60</f>
        <v>0</v>
      </c>
      <c r="R161" s="57">
        <f>IF(ISBLANK(M161),0,Q161*ROUND(N161,2))</f>
        <v>0</v>
      </c>
      <c r="S161" s="40">
        <f>ROUND(P161,2)*Q161</f>
        <v>0</v>
      </c>
      <c r="T161" s="57">
        <f>Q161*dagenperjaar1</f>
        <v>0</v>
      </c>
      <c r="U161" s="41">
        <f>T161*ROUND(P161,2)</f>
        <v>0</v>
      </c>
    </row>
    <row r="162" spans="1:21" x14ac:dyDescent="0.2">
      <c r="A162" s="35" t="s">
        <v>441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7"/>
    </row>
    <row r="163" spans="1:21" x14ac:dyDescent="0.2">
      <c r="A163" s="38" t="s">
        <v>442</v>
      </c>
      <c r="B163" s="39" t="s">
        <v>37</v>
      </c>
      <c r="C163" s="39" t="s">
        <v>371</v>
      </c>
      <c r="D163" s="39" t="s">
        <v>37</v>
      </c>
      <c r="E163" s="85" t="s">
        <v>443</v>
      </c>
      <c r="F163" s="39" t="s">
        <v>37</v>
      </c>
      <c r="G163" s="39" t="s">
        <v>245</v>
      </c>
      <c r="H163" s="39" t="s">
        <v>16</v>
      </c>
      <c r="I163" s="39" t="s">
        <v>240</v>
      </c>
      <c r="J163" s="39"/>
      <c r="K163" s="57">
        <v>1</v>
      </c>
      <c r="L163" s="57">
        <f>K163*VLOOKUP(H163,dagsoorttabel1,2,FALSE)</f>
        <v>0.10196078431372549</v>
      </c>
      <c r="M163" s="58">
        <f>prodnorm24</f>
        <v>0</v>
      </c>
      <c r="N163" s="59">
        <f>dagwerk24</f>
        <v>0</v>
      </c>
      <c r="O163" s="39" t="s">
        <v>242</v>
      </c>
      <c r="P163" s="40">
        <f>uurtarief24</f>
        <v>0</v>
      </c>
      <c r="Q163" s="57">
        <f>L163*ROUND(M163,4)/60</f>
        <v>0</v>
      </c>
      <c r="R163" s="57">
        <f>IF(ISBLANK(M163),0,Q163*ROUND(N163,2))</f>
        <v>0</v>
      </c>
      <c r="S163" s="40">
        <f>ROUND(P163,2)*Q163</f>
        <v>0</v>
      </c>
      <c r="T163" s="57">
        <f>Q163*dagenperjaar1</f>
        <v>0</v>
      </c>
      <c r="U163" s="41">
        <f>T163*ROUND(P163,2)</f>
        <v>0</v>
      </c>
    </row>
    <row r="164" spans="1:21" x14ac:dyDescent="0.2">
      <c r="A164" s="35" t="s">
        <v>444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7"/>
    </row>
    <row r="165" spans="1:21" x14ac:dyDescent="0.2">
      <c r="A165" s="91" t="s">
        <v>445</v>
      </c>
      <c r="B165" s="92" t="s">
        <v>37</v>
      </c>
      <c r="C165" s="92" t="s">
        <v>297</v>
      </c>
      <c r="D165" s="92" t="s">
        <v>446</v>
      </c>
      <c r="E165" s="93" t="s">
        <v>280</v>
      </c>
      <c r="F165" s="92" t="s">
        <v>276</v>
      </c>
      <c r="G165" s="92" t="s">
        <v>205</v>
      </c>
      <c r="H165" s="92" t="s">
        <v>9</v>
      </c>
      <c r="I165" s="92" t="s">
        <v>190</v>
      </c>
      <c r="J165" s="92"/>
      <c r="K165" s="94">
        <v>4</v>
      </c>
      <c r="L165" s="94">
        <f t="shared" ref="L165:L196" si="39">K165*VLOOKUP(H165,dagsoorttabel1,2,FALSE)</f>
        <v>4</v>
      </c>
      <c r="M165" s="95">
        <f>prodnorm38</f>
        <v>0</v>
      </c>
      <c r="N165" s="96">
        <f>dagwerk38</f>
        <v>0</v>
      </c>
      <c r="O165" s="92" t="s">
        <v>96</v>
      </c>
      <c r="P165" s="97">
        <f>uurtarief38</f>
        <v>0</v>
      </c>
      <c r="Q165" s="94" t="e">
        <f t="shared" ref="Q165:Q196" si="40">IF(ISBLANK(M165),0,L165/ROUND(M165,4))</f>
        <v>#DIV/0!</v>
      </c>
      <c r="R165" s="94" t="e">
        <f t="shared" ref="R165:R196" si="41">IF(ISBLANK(M165),0,Q165*ROUND(N165,2))</f>
        <v>#DIV/0!</v>
      </c>
      <c r="S165" s="97" t="e">
        <f t="shared" ref="S165:S196" si="42">ROUND(P165,2)*Q165</f>
        <v>#DIV/0!</v>
      </c>
      <c r="T165" s="94" t="e">
        <f t="shared" ref="T165:T196" si="43">Q165*dagenperjaar1</f>
        <v>#DIV/0!</v>
      </c>
      <c r="U165" s="98" t="e">
        <f t="shared" ref="U165:U196" si="44">T165*ROUND(P165,2)</f>
        <v>#DIV/0!</v>
      </c>
    </row>
    <row r="166" spans="1:21" x14ac:dyDescent="0.2">
      <c r="A166" s="99" t="s">
        <v>445</v>
      </c>
      <c r="B166" s="100" t="s">
        <v>37</v>
      </c>
      <c r="C166" s="100" t="s">
        <v>297</v>
      </c>
      <c r="D166" s="100" t="s">
        <v>447</v>
      </c>
      <c r="E166" s="101" t="s">
        <v>448</v>
      </c>
      <c r="F166" s="100" t="s">
        <v>289</v>
      </c>
      <c r="G166" s="100" t="s">
        <v>226</v>
      </c>
      <c r="H166" s="100" t="s">
        <v>9</v>
      </c>
      <c r="I166" s="100" t="s">
        <v>190</v>
      </c>
      <c r="J166" s="100"/>
      <c r="K166" s="102">
        <v>11</v>
      </c>
      <c r="L166" s="102">
        <f t="shared" si="39"/>
        <v>11</v>
      </c>
      <c r="M166" s="103">
        <f>prodnorm53</f>
        <v>0</v>
      </c>
      <c r="N166" s="30">
        <f>dagwerk53</f>
        <v>0</v>
      </c>
      <c r="O166" s="100" t="s">
        <v>96</v>
      </c>
      <c r="P166" s="16">
        <f>uurtarief53</f>
        <v>0</v>
      </c>
      <c r="Q166" s="102" t="e">
        <f t="shared" si="40"/>
        <v>#DIV/0!</v>
      </c>
      <c r="R166" s="102" t="e">
        <f t="shared" si="41"/>
        <v>#DIV/0!</v>
      </c>
      <c r="S166" s="16" t="e">
        <f t="shared" si="42"/>
        <v>#DIV/0!</v>
      </c>
      <c r="T166" s="102" t="e">
        <f t="shared" si="43"/>
        <v>#DIV/0!</v>
      </c>
      <c r="U166" s="17" t="e">
        <f t="shared" si="44"/>
        <v>#DIV/0!</v>
      </c>
    </row>
    <row r="167" spans="1:21" x14ac:dyDescent="0.2">
      <c r="A167" s="99" t="s">
        <v>445</v>
      </c>
      <c r="B167" s="100" t="s">
        <v>37</v>
      </c>
      <c r="C167" s="100" t="s">
        <v>297</v>
      </c>
      <c r="D167" s="100" t="s">
        <v>449</v>
      </c>
      <c r="E167" s="101" t="s">
        <v>378</v>
      </c>
      <c r="F167" s="100" t="s">
        <v>300</v>
      </c>
      <c r="G167" s="100" t="s">
        <v>194</v>
      </c>
      <c r="H167" s="100" t="s">
        <v>9</v>
      </c>
      <c r="I167" s="100" t="s">
        <v>190</v>
      </c>
      <c r="J167" s="100"/>
      <c r="K167" s="102">
        <v>19</v>
      </c>
      <c r="L167" s="102">
        <f t="shared" si="39"/>
        <v>19</v>
      </c>
      <c r="M167" s="103">
        <f>prodnorm30</f>
        <v>0</v>
      </c>
      <c r="N167" s="30">
        <f>dagwerk30</f>
        <v>0</v>
      </c>
      <c r="O167" s="100" t="s">
        <v>96</v>
      </c>
      <c r="P167" s="16">
        <f>uurtarief30</f>
        <v>0</v>
      </c>
      <c r="Q167" s="102" t="e">
        <f t="shared" si="40"/>
        <v>#DIV/0!</v>
      </c>
      <c r="R167" s="102" t="e">
        <f t="shared" si="41"/>
        <v>#DIV/0!</v>
      </c>
      <c r="S167" s="16" t="e">
        <f t="shared" si="42"/>
        <v>#DIV/0!</v>
      </c>
      <c r="T167" s="102" t="e">
        <f t="shared" si="43"/>
        <v>#DIV/0!</v>
      </c>
      <c r="U167" s="17" t="e">
        <f t="shared" si="44"/>
        <v>#DIV/0!</v>
      </c>
    </row>
    <row r="168" spans="1:21" x14ac:dyDescent="0.2">
      <c r="A168" s="99" t="s">
        <v>445</v>
      </c>
      <c r="B168" s="100" t="s">
        <v>37</v>
      </c>
      <c r="C168" s="100" t="s">
        <v>297</v>
      </c>
      <c r="D168" s="100" t="s">
        <v>450</v>
      </c>
      <c r="E168" s="101" t="s">
        <v>322</v>
      </c>
      <c r="F168" s="100" t="s">
        <v>300</v>
      </c>
      <c r="G168" s="100" t="s">
        <v>215</v>
      </c>
      <c r="H168" s="100" t="s">
        <v>9</v>
      </c>
      <c r="I168" s="100" t="s">
        <v>190</v>
      </c>
      <c r="J168" s="100"/>
      <c r="K168" s="102">
        <v>19</v>
      </c>
      <c r="L168" s="102">
        <f t="shared" si="39"/>
        <v>19</v>
      </c>
      <c r="M168" s="103">
        <f>prodnorm44</f>
        <v>0</v>
      </c>
      <c r="N168" s="30">
        <f>dagwerk44</f>
        <v>0</v>
      </c>
      <c r="O168" s="100" t="s">
        <v>96</v>
      </c>
      <c r="P168" s="16">
        <f>uurtarief44</f>
        <v>0</v>
      </c>
      <c r="Q168" s="102" t="e">
        <f t="shared" si="40"/>
        <v>#DIV/0!</v>
      </c>
      <c r="R168" s="102" t="e">
        <f t="shared" si="41"/>
        <v>#DIV/0!</v>
      </c>
      <c r="S168" s="16" t="e">
        <f t="shared" si="42"/>
        <v>#DIV/0!</v>
      </c>
      <c r="T168" s="102" t="e">
        <f t="shared" si="43"/>
        <v>#DIV/0!</v>
      </c>
      <c r="U168" s="17" t="e">
        <f t="shared" si="44"/>
        <v>#DIV/0!</v>
      </c>
    </row>
    <row r="169" spans="1:21" x14ac:dyDescent="0.2">
      <c r="A169" s="99" t="s">
        <v>445</v>
      </c>
      <c r="B169" s="100" t="s">
        <v>37</v>
      </c>
      <c r="C169" s="100" t="s">
        <v>297</v>
      </c>
      <c r="D169" s="100" t="s">
        <v>451</v>
      </c>
      <c r="E169" s="101" t="s">
        <v>322</v>
      </c>
      <c r="F169" s="100" t="s">
        <v>300</v>
      </c>
      <c r="G169" s="100" t="s">
        <v>215</v>
      </c>
      <c r="H169" s="100" t="s">
        <v>9</v>
      </c>
      <c r="I169" s="100" t="s">
        <v>190</v>
      </c>
      <c r="J169" s="100"/>
      <c r="K169" s="102">
        <v>13</v>
      </c>
      <c r="L169" s="102">
        <f t="shared" si="39"/>
        <v>13</v>
      </c>
      <c r="M169" s="103">
        <f>prodnorm44</f>
        <v>0</v>
      </c>
      <c r="N169" s="30">
        <f>dagwerk44</f>
        <v>0</v>
      </c>
      <c r="O169" s="100" t="s">
        <v>96</v>
      </c>
      <c r="P169" s="16">
        <f>uurtarief44</f>
        <v>0</v>
      </c>
      <c r="Q169" s="102" t="e">
        <f t="shared" si="40"/>
        <v>#DIV/0!</v>
      </c>
      <c r="R169" s="102" t="e">
        <f t="shared" si="41"/>
        <v>#DIV/0!</v>
      </c>
      <c r="S169" s="16" t="e">
        <f t="shared" si="42"/>
        <v>#DIV/0!</v>
      </c>
      <c r="T169" s="102" t="e">
        <f t="shared" si="43"/>
        <v>#DIV/0!</v>
      </c>
      <c r="U169" s="17" t="e">
        <f t="shared" si="44"/>
        <v>#DIV/0!</v>
      </c>
    </row>
    <row r="170" spans="1:21" x14ac:dyDescent="0.2">
      <c r="A170" s="99" t="s">
        <v>445</v>
      </c>
      <c r="B170" s="100" t="s">
        <v>37</v>
      </c>
      <c r="C170" s="100" t="s">
        <v>297</v>
      </c>
      <c r="D170" s="100" t="s">
        <v>452</v>
      </c>
      <c r="E170" s="101" t="s">
        <v>378</v>
      </c>
      <c r="F170" s="100" t="s">
        <v>300</v>
      </c>
      <c r="G170" s="100" t="s">
        <v>194</v>
      </c>
      <c r="H170" s="100" t="s">
        <v>9</v>
      </c>
      <c r="I170" s="100" t="s">
        <v>190</v>
      </c>
      <c r="J170" s="100"/>
      <c r="K170" s="102">
        <v>20</v>
      </c>
      <c r="L170" s="102">
        <f t="shared" si="39"/>
        <v>20</v>
      </c>
      <c r="M170" s="103">
        <f>prodnorm30</f>
        <v>0</v>
      </c>
      <c r="N170" s="30">
        <f>dagwerk30</f>
        <v>0</v>
      </c>
      <c r="O170" s="100" t="s">
        <v>96</v>
      </c>
      <c r="P170" s="16">
        <f>uurtarief30</f>
        <v>0</v>
      </c>
      <c r="Q170" s="102" t="e">
        <f t="shared" si="40"/>
        <v>#DIV/0!</v>
      </c>
      <c r="R170" s="102" t="e">
        <f t="shared" si="41"/>
        <v>#DIV/0!</v>
      </c>
      <c r="S170" s="16" t="e">
        <f t="shared" si="42"/>
        <v>#DIV/0!</v>
      </c>
      <c r="T170" s="102" t="e">
        <f t="shared" si="43"/>
        <v>#DIV/0!</v>
      </c>
      <c r="U170" s="17" t="e">
        <f t="shared" si="44"/>
        <v>#DIV/0!</v>
      </c>
    </row>
    <row r="171" spans="1:21" x14ac:dyDescent="0.2">
      <c r="A171" s="99" t="s">
        <v>445</v>
      </c>
      <c r="B171" s="100" t="s">
        <v>37</v>
      </c>
      <c r="C171" s="100" t="s">
        <v>297</v>
      </c>
      <c r="D171" s="100" t="s">
        <v>453</v>
      </c>
      <c r="E171" s="101" t="s">
        <v>322</v>
      </c>
      <c r="F171" s="100" t="s">
        <v>300</v>
      </c>
      <c r="G171" s="100" t="s">
        <v>215</v>
      </c>
      <c r="H171" s="100" t="s">
        <v>9</v>
      </c>
      <c r="I171" s="100" t="s">
        <v>190</v>
      </c>
      <c r="J171" s="100"/>
      <c r="K171" s="102">
        <v>14</v>
      </c>
      <c r="L171" s="102">
        <f t="shared" si="39"/>
        <v>14</v>
      </c>
      <c r="M171" s="103">
        <f>prodnorm44</f>
        <v>0</v>
      </c>
      <c r="N171" s="30">
        <f>dagwerk44</f>
        <v>0</v>
      </c>
      <c r="O171" s="100" t="s">
        <v>96</v>
      </c>
      <c r="P171" s="16">
        <f>uurtarief44</f>
        <v>0</v>
      </c>
      <c r="Q171" s="102" t="e">
        <f t="shared" si="40"/>
        <v>#DIV/0!</v>
      </c>
      <c r="R171" s="102" t="e">
        <f t="shared" si="41"/>
        <v>#DIV/0!</v>
      </c>
      <c r="S171" s="16" t="e">
        <f t="shared" si="42"/>
        <v>#DIV/0!</v>
      </c>
      <c r="T171" s="102" t="e">
        <f t="shared" si="43"/>
        <v>#DIV/0!</v>
      </c>
      <c r="U171" s="17" t="e">
        <f t="shared" si="44"/>
        <v>#DIV/0!</v>
      </c>
    </row>
    <row r="172" spans="1:21" x14ac:dyDescent="0.2">
      <c r="A172" s="99" t="s">
        <v>445</v>
      </c>
      <c r="B172" s="100" t="s">
        <v>37</v>
      </c>
      <c r="C172" s="100" t="s">
        <v>297</v>
      </c>
      <c r="D172" s="100" t="s">
        <v>454</v>
      </c>
      <c r="E172" s="101" t="s">
        <v>322</v>
      </c>
      <c r="F172" s="100" t="s">
        <v>300</v>
      </c>
      <c r="G172" s="100" t="s">
        <v>215</v>
      </c>
      <c r="H172" s="100" t="s">
        <v>9</v>
      </c>
      <c r="I172" s="100" t="s">
        <v>190</v>
      </c>
      <c r="J172" s="100"/>
      <c r="K172" s="102">
        <v>17</v>
      </c>
      <c r="L172" s="102">
        <f t="shared" si="39"/>
        <v>17</v>
      </c>
      <c r="M172" s="103">
        <f>prodnorm44</f>
        <v>0</v>
      </c>
      <c r="N172" s="30">
        <f>dagwerk44</f>
        <v>0</v>
      </c>
      <c r="O172" s="100" t="s">
        <v>96</v>
      </c>
      <c r="P172" s="16">
        <f>uurtarief44</f>
        <v>0</v>
      </c>
      <c r="Q172" s="102" t="e">
        <f t="shared" si="40"/>
        <v>#DIV/0!</v>
      </c>
      <c r="R172" s="102" t="e">
        <f t="shared" si="41"/>
        <v>#DIV/0!</v>
      </c>
      <c r="S172" s="16" t="e">
        <f t="shared" si="42"/>
        <v>#DIV/0!</v>
      </c>
      <c r="T172" s="102" t="e">
        <f t="shared" si="43"/>
        <v>#DIV/0!</v>
      </c>
      <c r="U172" s="17" t="e">
        <f t="shared" si="44"/>
        <v>#DIV/0!</v>
      </c>
    </row>
    <row r="173" spans="1:21" x14ac:dyDescent="0.2">
      <c r="A173" s="99" t="s">
        <v>445</v>
      </c>
      <c r="B173" s="100" t="s">
        <v>37</v>
      </c>
      <c r="C173" s="100" t="s">
        <v>297</v>
      </c>
      <c r="D173" s="100" t="s">
        <v>455</v>
      </c>
      <c r="E173" s="101" t="s">
        <v>322</v>
      </c>
      <c r="F173" s="100" t="s">
        <v>300</v>
      </c>
      <c r="G173" s="100" t="s">
        <v>215</v>
      </c>
      <c r="H173" s="100" t="s">
        <v>9</v>
      </c>
      <c r="I173" s="100" t="s">
        <v>190</v>
      </c>
      <c r="J173" s="100"/>
      <c r="K173" s="102">
        <v>39</v>
      </c>
      <c r="L173" s="102">
        <f t="shared" si="39"/>
        <v>39</v>
      </c>
      <c r="M173" s="103">
        <f>prodnorm44</f>
        <v>0</v>
      </c>
      <c r="N173" s="30">
        <f>dagwerk44</f>
        <v>0</v>
      </c>
      <c r="O173" s="100" t="s">
        <v>96</v>
      </c>
      <c r="P173" s="16">
        <f>uurtarief44</f>
        <v>0</v>
      </c>
      <c r="Q173" s="102" t="e">
        <f t="shared" si="40"/>
        <v>#DIV/0!</v>
      </c>
      <c r="R173" s="102" t="e">
        <f t="shared" si="41"/>
        <v>#DIV/0!</v>
      </c>
      <c r="S173" s="16" t="e">
        <f t="shared" si="42"/>
        <v>#DIV/0!</v>
      </c>
      <c r="T173" s="102" t="e">
        <f t="shared" si="43"/>
        <v>#DIV/0!</v>
      </c>
      <c r="U173" s="17" t="e">
        <f t="shared" si="44"/>
        <v>#DIV/0!</v>
      </c>
    </row>
    <row r="174" spans="1:21" x14ac:dyDescent="0.2">
      <c r="A174" s="99" t="s">
        <v>445</v>
      </c>
      <c r="B174" s="100" t="s">
        <v>37</v>
      </c>
      <c r="C174" s="100" t="s">
        <v>297</v>
      </c>
      <c r="D174" s="100" t="s">
        <v>456</v>
      </c>
      <c r="E174" s="101" t="s">
        <v>378</v>
      </c>
      <c r="F174" s="100" t="s">
        <v>300</v>
      </c>
      <c r="G174" s="100" t="s">
        <v>194</v>
      </c>
      <c r="H174" s="100" t="s">
        <v>9</v>
      </c>
      <c r="I174" s="100" t="s">
        <v>190</v>
      </c>
      <c r="J174" s="100"/>
      <c r="K174" s="102">
        <v>19</v>
      </c>
      <c r="L174" s="102">
        <f t="shared" si="39"/>
        <v>19</v>
      </c>
      <c r="M174" s="103">
        <f>prodnorm30</f>
        <v>0</v>
      </c>
      <c r="N174" s="30">
        <f>dagwerk30</f>
        <v>0</v>
      </c>
      <c r="O174" s="100" t="s">
        <v>96</v>
      </c>
      <c r="P174" s="16">
        <f>uurtarief30</f>
        <v>0</v>
      </c>
      <c r="Q174" s="102" t="e">
        <f t="shared" si="40"/>
        <v>#DIV/0!</v>
      </c>
      <c r="R174" s="102" t="e">
        <f t="shared" si="41"/>
        <v>#DIV/0!</v>
      </c>
      <c r="S174" s="16" t="e">
        <f t="shared" si="42"/>
        <v>#DIV/0!</v>
      </c>
      <c r="T174" s="102" t="e">
        <f t="shared" si="43"/>
        <v>#DIV/0!</v>
      </c>
      <c r="U174" s="17" t="e">
        <f t="shared" si="44"/>
        <v>#DIV/0!</v>
      </c>
    </row>
    <row r="175" spans="1:21" x14ac:dyDescent="0.2">
      <c r="A175" s="99" t="s">
        <v>445</v>
      </c>
      <c r="B175" s="100" t="s">
        <v>37</v>
      </c>
      <c r="C175" s="100" t="s">
        <v>297</v>
      </c>
      <c r="D175" s="100" t="s">
        <v>457</v>
      </c>
      <c r="E175" s="101" t="s">
        <v>378</v>
      </c>
      <c r="F175" s="100" t="s">
        <v>300</v>
      </c>
      <c r="G175" s="100" t="s">
        <v>194</v>
      </c>
      <c r="H175" s="100" t="s">
        <v>9</v>
      </c>
      <c r="I175" s="100" t="s">
        <v>190</v>
      </c>
      <c r="J175" s="100"/>
      <c r="K175" s="102">
        <v>19</v>
      </c>
      <c r="L175" s="102">
        <f t="shared" si="39"/>
        <v>19</v>
      </c>
      <c r="M175" s="103">
        <f>prodnorm30</f>
        <v>0</v>
      </c>
      <c r="N175" s="30">
        <f>dagwerk30</f>
        <v>0</v>
      </c>
      <c r="O175" s="100" t="s">
        <v>96</v>
      </c>
      <c r="P175" s="16">
        <f>uurtarief30</f>
        <v>0</v>
      </c>
      <c r="Q175" s="102" t="e">
        <f t="shared" si="40"/>
        <v>#DIV/0!</v>
      </c>
      <c r="R175" s="102" t="e">
        <f t="shared" si="41"/>
        <v>#DIV/0!</v>
      </c>
      <c r="S175" s="16" t="e">
        <f t="shared" si="42"/>
        <v>#DIV/0!</v>
      </c>
      <c r="T175" s="102" t="e">
        <f t="shared" si="43"/>
        <v>#DIV/0!</v>
      </c>
      <c r="U175" s="17" t="e">
        <f t="shared" si="44"/>
        <v>#DIV/0!</v>
      </c>
    </row>
    <row r="176" spans="1:21" x14ac:dyDescent="0.2">
      <c r="A176" s="99" t="s">
        <v>445</v>
      </c>
      <c r="B176" s="100" t="s">
        <v>37</v>
      </c>
      <c r="C176" s="100" t="s">
        <v>297</v>
      </c>
      <c r="D176" s="100" t="s">
        <v>458</v>
      </c>
      <c r="E176" s="101" t="s">
        <v>378</v>
      </c>
      <c r="F176" s="100" t="s">
        <v>300</v>
      </c>
      <c r="G176" s="100" t="s">
        <v>194</v>
      </c>
      <c r="H176" s="100" t="s">
        <v>9</v>
      </c>
      <c r="I176" s="100" t="s">
        <v>190</v>
      </c>
      <c r="J176" s="100"/>
      <c r="K176" s="102">
        <v>25</v>
      </c>
      <c r="L176" s="102">
        <f t="shared" si="39"/>
        <v>25</v>
      </c>
      <c r="M176" s="103">
        <f>prodnorm30</f>
        <v>0</v>
      </c>
      <c r="N176" s="30">
        <f>dagwerk30</f>
        <v>0</v>
      </c>
      <c r="O176" s="100" t="s">
        <v>96</v>
      </c>
      <c r="P176" s="16">
        <f>uurtarief30</f>
        <v>0</v>
      </c>
      <c r="Q176" s="102" t="e">
        <f t="shared" si="40"/>
        <v>#DIV/0!</v>
      </c>
      <c r="R176" s="102" t="e">
        <f t="shared" si="41"/>
        <v>#DIV/0!</v>
      </c>
      <c r="S176" s="16" t="e">
        <f t="shared" si="42"/>
        <v>#DIV/0!</v>
      </c>
      <c r="T176" s="102" t="e">
        <f t="shared" si="43"/>
        <v>#DIV/0!</v>
      </c>
      <c r="U176" s="17" t="e">
        <f t="shared" si="44"/>
        <v>#DIV/0!</v>
      </c>
    </row>
    <row r="177" spans="1:21" x14ac:dyDescent="0.2">
      <c r="A177" s="99" t="s">
        <v>445</v>
      </c>
      <c r="B177" s="100" t="s">
        <v>37</v>
      </c>
      <c r="C177" s="100" t="s">
        <v>297</v>
      </c>
      <c r="D177" s="100" t="s">
        <v>459</v>
      </c>
      <c r="E177" s="101" t="s">
        <v>304</v>
      </c>
      <c r="F177" s="100" t="s">
        <v>327</v>
      </c>
      <c r="G177" s="100" t="s">
        <v>231</v>
      </c>
      <c r="H177" s="100" t="s">
        <v>9</v>
      </c>
      <c r="I177" s="100" t="s">
        <v>190</v>
      </c>
      <c r="J177" s="100"/>
      <c r="K177" s="102">
        <v>10</v>
      </c>
      <c r="L177" s="102">
        <f t="shared" si="39"/>
        <v>10</v>
      </c>
      <c r="M177" s="103">
        <f>prodnorm57</f>
        <v>0</v>
      </c>
      <c r="N177" s="30">
        <f>dagwerk57</f>
        <v>0</v>
      </c>
      <c r="O177" s="100" t="s">
        <v>96</v>
      </c>
      <c r="P177" s="16">
        <f>uurtarief57</f>
        <v>0</v>
      </c>
      <c r="Q177" s="102" t="e">
        <f t="shared" si="40"/>
        <v>#DIV/0!</v>
      </c>
      <c r="R177" s="102" t="e">
        <f t="shared" si="41"/>
        <v>#DIV/0!</v>
      </c>
      <c r="S177" s="16" t="e">
        <f t="shared" si="42"/>
        <v>#DIV/0!</v>
      </c>
      <c r="T177" s="102" t="e">
        <f t="shared" si="43"/>
        <v>#DIV/0!</v>
      </c>
      <c r="U177" s="17" t="e">
        <f t="shared" si="44"/>
        <v>#DIV/0!</v>
      </c>
    </row>
    <row r="178" spans="1:21" x14ac:dyDescent="0.2">
      <c r="A178" s="99" t="s">
        <v>445</v>
      </c>
      <c r="B178" s="100" t="s">
        <v>37</v>
      </c>
      <c r="C178" s="100" t="s">
        <v>297</v>
      </c>
      <c r="D178" s="100" t="s">
        <v>460</v>
      </c>
      <c r="E178" s="101" t="s">
        <v>304</v>
      </c>
      <c r="F178" s="100" t="s">
        <v>300</v>
      </c>
      <c r="G178" s="100" t="s">
        <v>231</v>
      </c>
      <c r="H178" s="100" t="s">
        <v>9</v>
      </c>
      <c r="I178" s="100" t="s">
        <v>190</v>
      </c>
      <c r="J178" s="100"/>
      <c r="K178" s="102">
        <v>36</v>
      </c>
      <c r="L178" s="102">
        <f t="shared" si="39"/>
        <v>36</v>
      </c>
      <c r="M178" s="103">
        <f>prodnorm57</f>
        <v>0</v>
      </c>
      <c r="N178" s="30">
        <f>dagwerk57</f>
        <v>0</v>
      </c>
      <c r="O178" s="100" t="s">
        <v>96</v>
      </c>
      <c r="P178" s="16">
        <f>uurtarief57</f>
        <v>0</v>
      </c>
      <c r="Q178" s="102" t="e">
        <f t="shared" si="40"/>
        <v>#DIV/0!</v>
      </c>
      <c r="R178" s="102" t="e">
        <f t="shared" si="41"/>
        <v>#DIV/0!</v>
      </c>
      <c r="S178" s="16" t="e">
        <f t="shared" si="42"/>
        <v>#DIV/0!</v>
      </c>
      <c r="T178" s="102" t="e">
        <f t="shared" si="43"/>
        <v>#DIV/0!</v>
      </c>
      <c r="U178" s="17" t="e">
        <f t="shared" si="44"/>
        <v>#DIV/0!</v>
      </c>
    </row>
    <row r="179" spans="1:21" x14ac:dyDescent="0.2">
      <c r="A179" s="99" t="s">
        <v>445</v>
      </c>
      <c r="B179" s="100" t="s">
        <v>37</v>
      </c>
      <c r="C179" s="100" t="s">
        <v>297</v>
      </c>
      <c r="D179" s="100" t="s">
        <v>461</v>
      </c>
      <c r="E179" s="101" t="s">
        <v>304</v>
      </c>
      <c r="F179" s="100" t="s">
        <v>300</v>
      </c>
      <c r="G179" s="100" t="s">
        <v>231</v>
      </c>
      <c r="H179" s="100" t="s">
        <v>9</v>
      </c>
      <c r="I179" s="100" t="s">
        <v>190</v>
      </c>
      <c r="J179" s="100"/>
      <c r="K179" s="102">
        <v>36</v>
      </c>
      <c r="L179" s="102">
        <f t="shared" si="39"/>
        <v>36</v>
      </c>
      <c r="M179" s="103">
        <f>prodnorm57</f>
        <v>0</v>
      </c>
      <c r="N179" s="30">
        <f>dagwerk57</f>
        <v>0</v>
      </c>
      <c r="O179" s="100" t="s">
        <v>96</v>
      </c>
      <c r="P179" s="16">
        <f>uurtarief57</f>
        <v>0</v>
      </c>
      <c r="Q179" s="102" t="e">
        <f t="shared" si="40"/>
        <v>#DIV/0!</v>
      </c>
      <c r="R179" s="102" t="e">
        <f t="shared" si="41"/>
        <v>#DIV/0!</v>
      </c>
      <c r="S179" s="16" t="e">
        <f t="shared" si="42"/>
        <v>#DIV/0!</v>
      </c>
      <c r="T179" s="102" t="e">
        <f t="shared" si="43"/>
        <v>#DIV/0!</v>
      </c>
      <c r="U179" s="17" t="e">
        <f t="shared" si="44"/>
        <v>#DIV/0!</v>
      </c>
    </row>
    <row r="180" spans="1:21" x14ac:dyDescent="0.2">
      <c r="A180" s="99" t="s">
        <v>445</v>
      </c>
      <c r="B180" s="100" t="s">
        <v>37</v>
      </c>
      <c r="C180" s="100" t="s">
        <v>297</v>
      </c>
      <c r="D180" s="100" t="s">
        <v>462</v>
      </c>
      <c r="E180" s="101" t="s">
        <v>344</v>
      </c>
      <c r="F180" s="100" t="s">
        <v>463</v>
      </c>
      <c r="G180" s="100" t="s">
        <v>217</v>
      </c>
      <c r="H180" s="100" t="s">
        <v>9</v>
      </c>
      <c r="I180" s="100" t="s">
        <v>190</v>
      </c>
      <c r="J180" s="100"/>
      <c r="K180" s="102">
        <v>37</v>
      </c>
      <c r="L180" s="102">
        <f t="shared" si="39"/>
        <v>37</v>
      </c>
      <c r="M180" s="103">
        <f>prodnorm46</f>
        <v>0</v>
      </c>
      <c r="N180" s="30">
        <f>dagwerk46</f>
        <v>0</v>
      </c>
      <c r="O180" s="100" t="s">
        <v>96</v>
      </c>
      <c r="P180" s="16">
        <f>uurtarief46</f>
        <v>0</v>
      </c>
      <c r="Q180" s="102" t="e">
        <f t="shared" si="40"/>
        <v>#DIV/0!</v>
      </c>
      <c r="R180" s="102" t="e">
        <f t="shared" si="41"/>
        <v>#DIV/0!</v>
      </c>
      <c r="S180" s="16" t="e">
        <f t="shared" si="42"/>
        <v>#DIV/0!</v>
      </c>
      <c r="T180" s="102" t="e">
        <f t="shared" si="43"/>
        <v>#DIV/0!</v>
      </c>
      <c r="U180" s="17" t="e">
        <f t="shared" si="44"/>
        <v>#DIV/0!</v>
      </c>
    </row>
    <row r="181" spans="1:21" x14ac:dyDescent="0.2">
      <c r="A181" s="99" t="s">
        <v>445</v>
      </c>
      <c r="B181" s="100" t="s">
        <v>37</v>
      </c>
      <c r="C181" s="100" t="s">
        <v>297</v>
      </c>
      <c r="D181" s="100" t="s">
        <v>462</v>
      </c>
      <c r="E181" s="101" t="s">
        <v>344</v>
      </c>
      <c r="F181" s="100" t="s">
        <v>463</v>
      </c>
      <c r="G181" s="100" t="s">
        <v>235</v>
      </c>
      <c r="H181" s="100" t="s">
        <v>23</v>
      </c>
      <c r="I181" s="100" t="s">
        <v>190</v>
      </c>
      <c r="J181" s="100"/>
      <c r="K181" s="102">
        <v>37</v>
      </c>
      <c r="L181" s="102">
        <f t="shared" si="39"/>
        <v>0.14509803921568626</v>
      </c>
      <c r="M181" s="103">
        <f>prodnorm59</f>
        <v>0</v>
      </c>
      <c r="N181" s="30">
        <f>dagwerk59</f>
        <v>0</v>
      </c>
      <c r="O181" s="100" t="s">
        <v>96</v>
      </c>
      <c r="P181" s="16">
        <f>uurtarief59</f>
        <v>0</v>
      </c>
      <c r="Q181" s="102" t="e">
        <f t="shared" si="40"/>
        <v>#DIV/0!</v>
      </c>
      <c r="R181" s="102" t="e">
        <f t="shared" si="41"/>
        <v>#DIV/0!</v>
      </c>
      <c r="S181" s="16" t="e">
        <f t="shared" si="42"/>
        <v>#DIV/0!</v>
      </c>
      <c r="T181" s="102" t="e">
        <f t="shared" si="43"/>
        <v>#DIV/0!</v>
      </c>
      <c r="U181" s="17" t="e">
        <f t="shared" si="44"/>
        <v>#DIV/0!</v>
      </c>
    </row>
    <row r="182" spans="1:21" x14ac:dyDescent="0.2">
      <c r="A182" s="99" t="s">
        <v>445</v>
      </c>
      <c r="B182" s="100" t="s">
        <v>37</v>
      </c>
      <c r="C182" s="100" t="s">
        <v>297</v>
      </c>
      <c r="D182" s="100" t="s">
        <v>464</v>
      </c>
      <c r="E182" s="101" t="s">
        <v>465</v>
      </c>
      <c r="F182" s="100" t="s">
        <v>427</v>
      </c>
      <c r="G182" s="100" t="s">
        <v>222</v>
      </c>
      <c r="H182" s="100" t="s">
        <v>9</v>
      </c>
      <c r="I182" s="100" t="s">
        <v>190</v>
      </c>
      <c r="J182" s="100"/>
      <c r="K182" s="102">
        <v>6</v>
      </c>
      <c r="L182" s="102">
        <f t="shared" si="39"/>
        <v>6</v>
      </c>
      <c r="M182" s="103">
        <f>prodnorm50</f>
        <v>0</v>
      </c>
      <c r="N182" s="30">
        <f>dagwerk50</f>
        <v>0</v>
      </c>
      <c r="O182" s="100" t="s">
        <v>96</v>
      </c>
      <c r="P182" s="16">
        <f>uurtarief50</f>
        <v>0</v>
      </c>
      <c r="Q182" s="102" t="e">
        <f t="shared" si="40"/>
        <v>#DIV/0!</v>
      </c>
      <c r="R182" s="102" t="e">
        <f t="shared" si="41"/>
        <v>#DIV/0!</v>
      </c>
      <c r="S182" s="16" t="e">
        <f t="shared" si="42"/>
        <v>#DIV/0!</v>
      </c>
      <c r="T182" s="102" t="e">
        <f t="shared" si="43"/>
        <v>#DIV/0!</v>
      </c>
      <c r="U182" s="17" t="e">
        <f t="shared" si="44"/>
        <v>#DIV/0!</v>
      </c>
    </row>
    <row r="183" spans="1:21" x14ac:dyDescent="0.2">
      <c r="A183" s="99" t="s">
        <v>445</v>
      </c>
      <c r="B183" s="100" t="s">
        <v>37</v>
      </c>
      <c r="C183" s="100" t="s">
        <v>297</v>
      </c>
      <c r="D183" s="100" t="s">
        <v>466</v>
      </c>
      <c r="E183" s="101" t="s">
        <v>465</v>
      </c>
      <c r="F183" s="100" t="s">
        <v>427</v>
      </c>
      <c r="G183" s="100" t="s">
        <v>222</v>
      </c>
      <c r="H183" s="100" t="s">
        <v>9</v>
      </c>
      <c r="I183" s="100" t="s">
        <v>190</v>
      </c>
      <c r="J183" s="100"/>
      <c r="K183" s="102">
        <v>6</v>
      </c>
      <c r="L183" s="102">
        <f t="shared" si="39"/>
        <v>6</v>
      </c>
      <c r="M183" s="103">
        <f>prodnorm50</f>
        <v>0</v>
      </c>
      <c r="N183" s="30">
        <f>dagwerk50</f>
        <v>0</v>
      </c>
      <c r="O183" s="100" t="s">
        <v>96</v>
      </c>
      <c r="P183" s="16">
        <f>uurtarief50</f>
        <v>0</v>
      </c>
      <c r="Q183" s="102" t="e">
        <f t="shared" si="40"/>
        <v>#DIV/0!</v>
      </c>
      <c r="R183" s="102" t="e">
        <f t="shared" si="41"/>
        <v>#DIV/0!</v>
      </c>
      <c r="S183" s="16" t="e">
        <f t="shared" si="42"/>
        <v>#DIV/0!</v>
      </c>
      <c r="T183" s="102" t="e">
        <f t="shared" si="43"/>
        <v>#DIV/0!</v>
      </c>
      <c r="U183" s="17" t="e">
        <f t="shared" si="44"/>
        <v>#DIV/0!</v>
      </c>
    </row>
    <row r="184" spans="1:21" x14ac:dyDescent="0.2">
      <c r="A184" s="99" t="s">
        <v>445</v>
      </c>
      <c r="B184" s="100" t="s">
        <v>37</v>
      </c>
      <c r="C184" s="100" t="s">
        <v>297</v>
      </c>
      <c r="D184" s="100" t="s">
        <v>467</v>
      </c>
      <c r="E184" s="101" t="s">
        <v>304</v>
      </c>
      <c r="F184" s="100" t="s">
        <v>300</v>
      </c>
      <c r="G184" s="100" t="s">
        <v>231</v>
      </c>
      <c r="H184" s="100" t="s">
        <v>9</v>
      </c>
      <c r="I184" s="100" t="s">
        <v>190</v>
      </c>
      <c r="J184" s="100"/>
      <c r="K184" s="102">
        <v>17</v>
      </c>
      <c r="L184" s="102">
        <f t="shared" si="39"/>
        <v>17</v>
      </c>
      <c r="M184" s="103">
        <f>prodnorm57</f>
        <v>0</v>
      </c>
      <c r="N184" s="30">
        <f>dagwerk57</f>
        <v>0</v>
      </c>
      <c r="O184" s="100" t="s">
        <v>96</v>
      </c>
      <c r="P184" s="16">
        <f>uurtarief57</f>
        <v>0</v>
      </c>
      <c r="Q184" s="102" t="e">
        <f t="shared" si="40"/>
        <v>#DIV/0!</v>
      </c>
      <c r="R184" s="102" t="e">
        <f t="shared" si="41"/>
        <v>#DIV/0!</v>
      </c>
      <c r="S184" s="16" t="e">
        <f t="shared" si="42"/>
        <v>#DIV/0!</v>
      </c>
      <c r="T184" s="102" t="e">
        <f t="shared" si="43"/>
        <v>#DIV/0!</v>
      </c>
      <c r="U184" s="17" t="e">
        <f t="shared" si="44"/>
        <v>#DIV/0!</v>
      </c>
    </row>
    <row r="185" spans="1:21" x14ac:dyDescent="0.2">
      <c r="A185" s="99" t="s">
        <v>445</v>
      </c>
      <c r="B185" s="100" t="s">
        <v>37</v>
      </c>
      <c r="C185" s="100" t="s">
        <v>297</v>
      </c>
      <c r="D185" s="100" t="s">
        <v>468</v>
      </c>
      <c r="E185" s="101" t="s">
        <v>465</v>
      </c>
      <c r="F185" s="100" t="s">
        <v>427</v>
      </c>
      <c r="G185" s="100" t="s">
        <v>222</v>
      </c>
      <c r="H185" s="100" t="s">
        <v>9</v>
      </c>
      <c r="I185" s="100" t="s">
        <v>190</v>
      </c>
      <c r="J185" s="100"/>
      <c r="K185" s="102">
        <v>10</v>
      </c>
      <c r="L185" s="102">
        <f t="shared" si="39"/>
        <v>10</v>
      </c>
      <c r="M185" s="103">
        <f>prodnorm50</f>
        <v>0</v>
      </c>
      <c r="N185" s="30">
        <f>dagwerk50</f>
        <v>0</v>
      </c>
      <c r="O185" s="100" t="s">
        <v>96</v>
      </c>
      <c r="P185" s="16">
        <f>uurtarief50</f>
        <v>0</v>
      </c>
      <c r="Q185" s="102" t="e">
        <f t="shared" si="40"/>
        <v>#DIV/0!</v>
      </c>
      <c r="R185" s="102" t="e">
        <f t="shared" si="41"/>
        <v>#DIV/0!</v>
      </c>
      <c r="S185" s="16" t="e">
        <f t="shared" si="42"/>
        <v>#DIV/0!</v>
      </c>
      <c r="T185" s="102" t="e">
        <f t="shared" si="43"/>
        <v>#DIV/0!</v>
      </c>
      <c r="U185" s="17" t="e">
        <f t="shared" si="44"/>
        <v>#DIV/0!</v>
      </c>
    </row>
    <row r="186" spans="1:21" x14ac:dyDescent="0.2">
      <c r="A186" s="99" t="s">
        <v>445</v>
      </c>
      <c r="B186" s="100" t="s">
        <v>37</v>
      </c>
      <c r="C186" s="100" t="s">
        <v>297</v>
      </c>
      <c r="D186" s="100" t="s">
        <v>469</v>
      </c>
      <c r="E186" s="101" t="s">
        <v>470</v>
      </c>
      <c r="F186" s="100" t="s">
        <v>427</v>
      </c>
      <c r="G186" s="100" t="s">
        <v>222</v>
      </c>
      <c r="H186" s="100" t="s">
        <v>9</v>
      </c>
      <c r="I186" s="100" t="s">
        <v>190</v>
      </c>
      <c r="J186" s="100"/>
      <c r="K186" s="102">
        <v>4</v>
      </c>
      <c r="L186" s="102">
        <f t="shared" si="39"/>
        <v>4</v>
      </c>
      <c r="M186" s="103">
        <f>prodnorm50</f>
        <v>0</v>
      </c>
      <c r="N186" s="30">
        <f>dagwerk50</f>
        <v>0</v>
      </c>
      <c r="O186" s="100" t="s">
        <v>96</v>
      </c>
      <c r="P186" s="16">
        <f>uurtarief50</f>
        <v>0</v>
      </c>
      <c r="Q186" s="102" t="e">
        <f t="shared" si="40"/>
        <v>#DIV/0!</v>
      </c>
      <c r="R186" s="102" t="e">
        <f t="shared" si="41"/>
        <v>#DIV/0!</v>
      </c>
      <c r="S186" s="16" t="e">
        <f t="shared" si="42"/>
        <v>#DIV/0!</v>
      </c>
      <c r="T186" s="102" t="e">
        <f t="shared" si="43"/>
        <v>#DIV/0!</v>
      </c>
      <c r="U186" s="17" t="e">
        <f t="shared" si="44"/>
        <v>#DIV/0!</v>
      </c>
    </row>
    <row r="187" spans="1:21" x14ac:dyDescent="0.2">
      <c r="A187" s="99" t="s">
        <v>445</v>
      </c>
      <c r="B187" s="100" t="s">
        <v>37</v>
      </c>
      <c r="C187" s="100" t="s">
        <v>297</v>
      </c>
      <c r="D187" s="100" t="s">
        <v>471</v>
      </c>
      <c r="E187" s="101" t="s">
        <v>465</v>
      </c>
      <c r="F187" s="100" t="s">
        <v>427</v>
      </c>
      <c r="G187" s="100" t="s">
        <v>222</v>
      </c>
      <c r="H187" s="100" t="s">
        <v>9</v>
      </c>
      <c r="I187" s="100" t="s">
        <v>190</v>
      </c>
      <c r="J187" s="100"/>
      <c r="K187" s="102">
        <v>10</v>
      </c>
      <c r="L187" s="102">
        <f t="shared" si="39"/>
        <v>10</v>
      </c>
      <c r="M187" s="103">
        <f>prodnorm50</f>
        <v>0</v>
      </c>
      <c r="N187" s="30">
        <f>dagwerk50</f>
        <v>0</v>
      </c>
      <c r="O187" s="100" t="s">
        <v>96</v>
      </c>
      <c r="P187" s="16">
        <f>uurtarief50</f>
        <v>0</v>
      </c>
      <c r="Q187" s="102" t="e">
        <f t="shared" si="40"/>
        <v>#DIV/0!</v>
      </c>
      <c r="R187" s="102" t="e">
        <f t="shared" si="41"/>
        <v>#DIV/0!</v>
      </c>
      <c r="S187" s="16" t="e">
        <f t="shared" si="42"/>
        <v>#DIV/0!</v>
      </c>
      <c r="T187" s="102" t="e">
        <f t="shared" si="43"/>
        <v>#DIV/0!</v>
      </c>
      <c r="U187" s="17" t="e">
        <f t="shared" si="44"/>
        <v>#DIV/0!</v>
      </c>
    </row>
    <row r="188" spans="1:21" x14ac:dyDescent="0.2">
      <c r="A188" s="99" t="s">
        <v>445</v>
      </c>
      <c r="B188" s="100" t="s">
        <v>37</v>
      </c>
      <c r="C188" s="100" t="s">
        <v>297</v>
      </c>
      <c r="D188" s="100" t="s">
        <v>472</v>
      </c>
      <c r="E188" s="101" t="s">
        <v>473</v>
      </c>
      <c r="F188" s="100" t="s">
        <v>463</v>
      </c>
      <c r="G188" s="100" t="s">
        <v>229</v>
      </c>
      <c r="H188" s="100" t="s">
        <v>9</v>
      </c>
      <c r="I188" s="100" t="s">
        <v>190</v>
      </c>
      <c r="J188" s="100"/>
      <c r="K188" s="102">
        <v>50</v>
      </c>
      <c r="L188" s="102">
        <f t="shared" si="39"/>
        <v>50</v>
      </c>
      <c r="M188" s="103">
        <f>prodnorm55</f>
        <v>0</v>
      </c>
      <c r="N188" s="30">
        <f>dagwerk55</f>
        <v>0</v>
      </c>
      <c r="O188" s="100" t="s">
        <v>96</v>
      </c>
      <c r="P188" s="16">
        <f>uurtarief55</f>
        <v>0</v>
      </c>
      <c r="Q188" s="102" t="e">
        <f t="shared" si="40"/>
        <v>#DIV/0!</v>
      </c>
      <c r="R188" s="102" t="e">
        <f t="shared" si="41"/>
        <v>#DIV/0!</v>
      </c>
      <c r="S188" s="16" t="e">
        <f t="shared" si="42"/>
        <v>#DIV/0!</v>
      </c>
      <c r="T188" s="102" t="e">
        <f t="shared" si="43"/>
        <v>#DIV/0!</v>
      </c>
      <c r="U188" s="17" t="e">
        <f t="shared" si="44"/>
        <v>#DIV/0!</v>
      </c>
    </row>
    <row r="189" spans="1:21" x14ac:dyDescent="0.2">
      <c r="A189" s="99" t="s">
        <v>445</v>
      </c>
      <c r="B189" s="100" t="s">
        <v>37</v>
      </c>
      <c r="C189" s="100" t="s">
        <v>297</v>
      </c>
      <c r="D189" s="100" t="s">
        <v>472</v>
      </c>
      <c r="E189" s="101" t="s">
        <v>473</v>
      </c>
      <c r="F189" s="100" t="s">
        <v>463</v>
      </c>
      <c r="G189" s="100" t="s">
        <v>235</v>
      </c>
      <c r="H189" s="100" t="s">
        <v>23</v>
      </c>
      <c r="I189" s="100" t="s">
        <v>190</v>
      </c>
      <c r="J189" s="100"/>
      <c r="K189" s="102">
        <v>50</v>
      </c>
      <c r="L189" s="102">
        <f t="shared" si="39"/>
        <v>0.19607843137254902</v>
      </c>
      <c r="M189" s="103">
        <f>prodnorm59</f>
        <v>0</v>
      </c>
      <c r="N189" s="30">
        <f>dagwerk59</f>
        <v>0</v>
      </c>
      <c r="O189" s="100" t="s">
        <v>96</v>
      </c>
      <c r="P189" s="16">
        <f>uurtarief59</f>
        <v>0</v>
      </c>
      <c r="Q189" s="102" t="e">
        <f t="shared" si="40"/>
        <v>#DIV/0!</v>
      </c>
      <c r="R189" s="102" t="e">
        <f t="shared" si="41"/>
        <v>#DIV/0!</v>
      </c>
      <c r="S189" s="16" t="e">
        <f t="shared" si="42"/>
        <v>#DIV/0!</v>
      </c>
      <c r="T189" s="102" t="e">
        <f t="shared" si="43"/>
        <v>#DIV/0!</v>
      </c>
      <c r="U189" s="17" t="e">
        <f t="shared" si="44"/>
        <v>#DIV/0!</v>
      </c>
    </row>
    <row r="190" spans="1:21" x14ac:dyDescent="0.2">
      <c r="A190" s="99" t="s">
        <v>445</v>
      </c>
      <c r="B190" s="100" t="s">
        <v>37</v>
      </c>
      <c r="C190" s="100" t="s">
        <v>297</v>
      </c>
      <c r="D190" s="100" t="s">
        <v>474</v>
      </c>
      <c r="E190" s="101" t="s">
        <v>299</v>
      </c>
      <c r="F190" s="100" t="s">
        <v>327</v>
      </c>
      <c r="G190" s="100" t="s">
        <v>203</v>
      </c>
      <c r="H190" s="100" t="s">
        <v>9</v>
      </c>
      <c r="I190" s="100" t="s">
        <v>190</v>
      </c>
      <c r="J190" s="100"/>
      <c r="K190" s="102">
        <v>6</v>
      </c>
      <c r="L190" s="102">
        <f t="shared" si="39"/>
        <v>6</v>
      </c>
      <c r="M190" s="103">
        <f>prodnorm37</f>
        <v>0</v>
      </c>
      <c r="N190" s="30">
        <f>dagwerk37</f>
        <v>0</v>
      </c>
      <c r="O190" s="100" t="s">
        <v>96</v>
      </c>
      <c r="P190" s="16">
        <f>uurtarief37</f>
        <v>0</v>
      </c>
      <c r="Q190" s="102" t="e">
        <f t="shared" si="40"/>
        <v>#DIV/0!</v>
      </c>
      <c r="R190" s="102" t="e">
        <f t="shared" si="41"/>
        <v>#DIV/0!</v>
      </c>
      <c r="S190" s="16" t="e">
        <f t="shared" si="42"/>
        <v>#DIV/0!</v>
      </c>
      <c r="T190" s="102" t="e">
        <f t="shared" si="43"/>
        <v>#DIV/0!</v>
      </c>
      <c r="U190" s="17" t="e">
        <f t="shared" si="44"/>
        <v>#DIV/0!</v>
      </c>
    </row>
    <row r="191" spans="1:21" x14ac:dyDescent="0.2">
      <c r="A191" s="99" t="s">
        <v>445</v>
      </c>
      <c r="B191" s="100" t="s">
        <v>37</v>
      </c>
      <c r="C191" s="100" t="s">
        <v>297</v>
      </c>
      <c r="D191" s="100" t="s">
        <v>475</v>
      </c>
      <c r="E191" s="101" t="s">
        <v>377</v>
      </c>
      <c r="F191" s="100" t="s">
        <v>476</v>
      </c>
      <c r="G191" s="100" t="s">
        <v>229</v>
      </c>
      <c r="H191" s="100" t="s">
        <v>9</v>
      </c>
      <c r="I191" s="100" t="s">
        <v>190</v>
      </c>
      <c r="J191" s="100"/>
      <c r="K191" s="102">
        <v>10</v>
      </c>
      <c r="L191" s="102">
        <f t="shared" si="39"/>
        <v>10</v>
      </c>
      <c r="M191" s="103">
        <f>prodnorm55</f>
        <v>0</v>
      </c>
      <c r="N191" s="30">
        <f>dagwerk55</f>
        <v>0</v>
      </c>
      <c r="O191" s="100" t="s">
        <v>96</v>
      </c>
      <c r="P191" s="16">
        <f>uurtarief55</f>
        <v>0</v>
      </c>
      <c r="Q191" s="102" t="e">
        <f t="shared" si="40"/>
        <v>#DIV/0!</v>
      </c>
      <c r="R191" s="102" t="e">
        <f t="shared" si="41"/>
        <v>#DIV/0!</v>
      </c>
      <c r="S191" s="16" t="e">
        <f t="shared" si="42"/>
        <v>#DIV/0!</v>
      </c>
      <c r="T191" s="102" t="e">
        <f t="shared" si="43"/>
        <v>#DIV/0!</v>
      </c>
      <c r="U191" s="17" t="e">
        <f t="shared" si="44"/>
        <v>#DIV/0!</v>
      </c>
    </row>
    <row r="192" spans="1:21" x14ac:dyDescent="0.2">
      <c r="A192" s="99" t="s">
        <v>445</v>
      </c>
      <c r="B192" s="100" t="s">
        <v>37</v>
      </c>
      <c r="C192" s="100" t="s">
        <v>297</v>
      </c>
      <c r="D192" s="100" t="s">
        <v>477</v>
      </c>
      <c r="E192" s="101" t="s">
        <v>349</v>
      </c>
      <c r="F192" s="100" t="s">
        <v>476</v>
      </c>
      <c r="G192" s="100" t="s">
        <v>213</v>
      </c>
      <c r="H192" s="100" t="s">
        <v>9</v>
      </c>
      <c r="I192" s="100" t="s">
        <v>190</v>
      </c>
      <c r="J192" s="100"/>
      <c r="K192" s="102">
        <v>15</v>
      </c>
      <c r="L192" s="102">
        <f t="shared" si="39"/>
        <v>15</v>
      </c>
      <c r="M192" s="103">
        <f>prodnorm43</f>
        <v>0</v>
      </c>
      <c r="N192" s="30">
        <f>dagwerk43</f>
        <v>0</v>
      </c>
      <c r="O192" s="100" t="s">
        <v>96</v>
      </c>
      <c r="P192" s="16">
        <f>uurtarief43</f>
        <v>0</v>
      </c>
      <c r="Q192" s="102" t="e">
        <f t="shared" si="40"/>
        <v>#DIV/0!</v>
      </c>
      <c r="R192" s="102" t="e">
        <f t="shared" si="41"/>
        <v>#DIV/0!</v>
      </c>
      <c r="S192" s="16" t="e">
        <f t="shared" si="42"/>
        <v>#DIV/0!</v>
      </c>
      <c r="T192" s="102" t="e">
        <f t="shared" si="43"/>
        <v>#DIV/0!</v>
      </c>
      <c r="U192" s="17" t="e">
        <f t="shared" si="44"/>
        <v>#DIV/0!</v>
      </c>
    </row>
    <row r="193" spans="1:21" x14ac:dyDescent="0.2">
      <c r="A193" s="99" t="s">
        <v>445</v>
      </c>
      <c r="B193" s="100" t="s">
        <v>37</v>
      </c>
      <c r="C193" s="100" t="s">
        <v>297</v>
      </c>
      <c r="D193" s="100" t="s">
        <v>478</v>
      </c>
      <c r="E193" s="101" t="s">
        <v>349</v>
      </c>
      <c r="F193" s="100" t="s">
        <v>476</v>
      </c>
      <c r="G193" s="100" t="s">
        <v>213</v>
      </c>
      <c r="H193" s="100" t="s">
        <v>9</v>
      </c>
      <c r="I193" s="100" t="s">
        <v>190</v>
      </c>
      <c r="J193" s="100"/>
      <c r="K193" s="102">
        <v>15</v>
      </c>
      <c r="L193" s="102">
        <f t="shared" si="39"/>
        <v>15</v>
      </c>
      <c r="M193" s="103">
        <f>prodnorm43</f>
        <v>0</v>
      </c>
      <c r="N193" s="30">
        <f>dagwerk43</f>
        <v>0</v>
      </c>
      <c r="O193" s="100" t="s">
        <v>96</v>
      </c>
      <c r="P193" s="16">
        <f>uurtarief43</f>
        <v>0</v>
      </c>
      <c r="Q193" s="102" t="e">
        <f t="shared" si="40"/>
        <v>#DIV/0!</v>
      </c>
      <c r="R193" s="102" t="e">
        <f t="shared" si="41"/>
        <v>#DIV/0!</v>
      </c>
      <c r="S193" s="16" t="e">
        <f t="shared" si="42"/>
        <v>#DIV/0!</v>
      </c>
      <c r="T193" s="102" t="e">
        <f t="shared" si="43"/>
        <v>#DIV/0!</v>
      </c>
      <c r="U193" s="17" t="e">
        <f t="shared" si="44"/>
        <v>#DIV/0!</v>
      </c>
    </row>
    <row r="194" spans="1:21" x14ac:dyDescent="0.2">
      <c r="A194" s="99" t="s">
        <v>445</v>
      </c>
      <c r="B194" s="100" t="s">
        <v>37</v>
      </c>
      <c r="C194" s="100" t="s">
        <v>297</v>
      </c>
      <c r="D194" s="100" t="s">
        <v>479</v>
      </c>
      <c r="E194" s="101" t="s">
        <v>304</v>
      </c>
      <c r="F194" s="100" t="s">
        <v>476</v>
      </c>
      <c r="G194" s="100" t="s">
        <v>229</v>
      </c>
      <c r="H194" s="100" t="s">
        <v>9</v>
      </c>
      <c r="I194" s="100" t="s">
        <v>190</v>
      </c>
      <c r="J194" s="100"/>
      <c r="K194" s="102">
        <v>10</v>
      </c>
      <c r="L194" s="102">
        <f t="shared" si="39"/>
        <v>10</v>
      </c>
      <c r="M194" s="103">
        <f>prodnorm55</f>
        <v>0</v>
      </c>
      <c r="N194" s="30">
        <f>dagwerk55</f>
        <v>0</v>
      </c>
      <c r="O194" s="100" t="s">
        <v>96</v>
      </c>
      <c r="P194" s="16">
        <f>uurtarief55</f>
        <v>0</v>
      </c>
      <c r="Q194" s="102" t="e">
        <f t="shared" si="40"/>
        <v>#DIV/0!</v>
      </c>
      <c r="R194" s="102" t="e">
        <f t="shared" si="41"/>
        <v>#DIV/0!</v>
      </c>
      <c r="S194" s="16" t="e">
        <f t="shared" si="42"/>
        <v>#DIV/0!</v>
      </c>
      <c r="T194" s="102" t="e">
        <f t="shared" si="43"/>
        <v>#DIV/0!</v>
      </c>
      <c r="U194" s="17" t="e">
        <f t="shared" si="44"/>
        <v>#DIV/0!</v>
      </c>
    </row>
    <row r="195" spans="1:21" x14ac:dyDescent="0.2">
      <c r="A195" s="99" t="s">
        <v>445</v>
      </c>
      <c r="B195" s="100" t="s">
        <v>37</v>
      </c>
      <c r="C195" s="100" t="s">
        <v>297</v>
      </c>
      <c r="D195" s="100" t="s">
        <v>480</v>
      </c>
      <c r="E195" s="101" t="s">
        <v>481</v>
      </c>
      <c r="F195" s="100" t="s">
        <v>476</v>
      </c>
      <c r="G195" s="100" t="s">
        <v>192</v>
      </c>
      <c r="H195" s="100" t="s">
        <v>9</v>
      </c>
      <c r="I195" s="100" t="s">
        <v>190</v>
      </c>
      <c r="J195" s="100"/>
      <c r="K195" s="102">
        <v>20</v>
      </c>
      <c r="L195" s="102">
        <f t="shared" si="39"/>
        <v>20</v>
      </c>
      <c r="M195" s="103">
        <f>prodnorm28</f>
        <v>0</v>
      </c>
      <c r="N195" s="30">
        <f>dagwerk28</f>
        <v>0</v>
      </c>
      <c r="O195" s="100" t="s">
        <v>96</v>
      </c>
      <c r="P195" s="16">
        <f>uurtarief28</f>
        <v>0</v>
      </c>
      <c r="Q195" s="102" t="e">
        <f t="shared" si="40"/>
        <v>#DIV/0!</v>
      </c>
      <c r="R195" s="102" t="e">
        <f t="shared" si="41"/>
        <v>#DIV/0!</v>
      </c>
      <c r="S195" s="16" t="e">
        <f t="shared" si="42"/>
        <v>#DIV/0!</v>
      </c>
      <c r="T195" s="102" t="e">
        <f t="shared" si="43"/>
        <v>#DIV/0!</v>
      </c>
      <c r="U195" s="17" t="e">
        <f t="shared" si="44"/>
        <v>#DIV/0!</v>
      </c>
    </row>
    <row r="196" spans="1:21" x14ac:dyDescent="0.2">
      <c r="A196" s="99" t="s">
        <v>445</v>
      </c>
      <c r="B196" s="100" t="s">
        <v>37</v>
      </c>
      <c r="C196" s="100" t="s">
        <v>297</v>
      </c>
      <c r="D196" s="100" t="s">
        <v>482</v>
      </c>
      <c r="E196" s="101" t="s">
        <v>483</v>
      </c>
      <c r="F196" s="100" t="s">
        <v>476</v>
      </c>
      <c r="G196" s="100" t="s">
        <v>192</v>
      </c>
      <c r="H196" s="100" t="s">
        <v>9</v>
      </c>
      <c r="I196" s="100" t="s">
        <v>190</v>
      </c>
      <c r="J196" s="100"/>
      <c r="K196" s="102">
        <v>43</v>
      </c>
      <c r="L196" s="102">
        <f t="shared" si="39"/>
        <v>43</v>
      </c>
      <c r="M196" s="103">
        <f>prodnorm28</f>
        <v>0</v>
      </c>
      <c r="N196" s="30">
        <f>dagwerk28</f>
        <v>0</v>
      </c>
      <c r="O196" s="100" t="s">
        <v>96</v>
      </c>
      <c r="P196" s="16">
        <f>uurtarief28</f>
        <v>0</v>
      </c>
      <c r="Q196" s="102" t="e">
        <f t="shared" si="40"/>
        <v>#DIV/0!</v>
      </c>
      <c r="R196" s="102" t="e">
        <f t="shared" si="41"/>
        <v>#DIV/0!</v>
      </c>
      <c r="S196" s="16" t="e">
        <f t="shared" si="42"/>
        <v>#DIV/0!</v>
      </c>
      <c r="T196" s="102" t="e">
        <f t="shared" si="43"/>
        <v>#DIV/0!</v>
      </c>
      <c r="U196" s="17" t="e">
        <f t="shared" si="44"/>
        <v>#DIV/0!</v>
      </c>
    </row>
    <row r="197" spans="1:21" x14ac:dyDescent="0.2">
      <c r="A197" s="99" t="s">
        <v>445</v>
      </c>
      <c r="B197" s="100" t="s">
        <v>37</v>
      </c>
      <c r="C197" s="100" t="s">
        <v>297</v>
      </c>
      <c r="D197" s="100" t="s">
        <v>484</v>
      </c>
      <c r="E197" s="101" t="s">
        <v>378</v>
      </c>
      <c r="F197" s="100" t="s">
        <v>476</v>
      </c>
      <c r="G197" s="100" t="s">
        <v>192</v>
      </c>
      <c r="H197" s="100" t="s">
        <v>9</v>
      </c>
      <c r="I197" s="100" t="s">
        <v>190</v>
      </c>
      <c r="J197" s="100"/>
      <c r="K197" s="102">
        <v>23</v>
      </c>
      <c r="L197" s="102">
        <f t="shared" ref="L197:L228" si="45">K197*VLOOKUP(H197,dagsoorttabel1,2,FALSE)</f>
        <v>23</v>
      </c>
      <c r="M197" s="103">
        <f>prodnorm28</f>
        <v>0</v>
      </c>
      <c r="N197" s="30">
        <f>dagwerk28</f>
        <v>0</v>
      </c>
      <c r="O197" s="100" t="s">
        <v>96</v>
      </c>
      <c r="P197" s="16">
        <f>uurtarief28</f>
        <v>0</v>
      </c>
      <c r="Q197" s="102" t="e">
        <f t="shared" ref="Q197:Q228" si="46">IF(ISBLANK(M197),0,L197/ROUND(M197,4))</f>
        <v>#DIV/0!</v>
      </c>
      <c r="R197" s="102" t="e">
        <f t="shared" ref="R197:R228" si="47">IF(ISBLANK(M197),0,Q197*ROUND(N197,2))</f>
        <v>#DIV/0!</v>
      </c>
      <c r="S197" s="16" t="e">
        <f t="shared" ref="S197:S228" si="48">ROUND(P197,2)*Q197</f>
        <v>#DIV/0!</v>
      </c>
      <c r="T197" s="102" t="e">
        <f t="shared" ref="T197:T228" si="49">Q197*dagenperjaar1</f>
        <v>#DIV/0!</v>
      </c>
      <c r="U197" s="17" t="e">
        <f t="shared" ref="U197:U228" si="50">T197*ROUND(P197,2)</f>
        <v>#DIV/0!</v>
      </c>
    </row>
    <row r="198" spans="1:21" x14ac:dyDescent="0.2">
      <c r="A198" s="99" t="s">
        <v>445</v>
      </c>
      <c r="B198" s="100" t="s">
        <v>37</v>
      </c>
      <c r="C198" s="100" t="s">
        <v>297</v>
      </c>
      <c r="D198" s="100" t="s">
        <v>485</v>
      </c>
      <c r="E198" s="101" t="s">
        <v>486</v>
      </c>
      <c r="F198" s="100" t="s">
        <v>463</v>
      </c>
      <c r="G198" s="100" t="s">
        <v>219</v>
      </c>
      <c r="H198" s="100" t="s">
        <v>9</v>
      </c>
      <c r="I198" s="100" t="s">
        <v>190</v>
      </c>
      <c r="J198" s="100"/>
      <c r="K198" s="102">
        <v>93</v>
      </c>
      <c r="L198" s="102">
        <f t="shared" si="45"/>
        <v>93</v>
      </c>
      <c r="M198" s="103">
        <f>prodnorm48</f>
        <v>0</v>
      </c>
      <c r="N198" s="30">
        <f>dagwerk48</f>
        <v>0</v>
      </c>
      <c r="O198" s="100" t="s">
        <v>96</v>
      </c>
      <c r="P198" s="16">
        <f>uurtarief48</f>
        <v>0</v>
      </c>
      <c r="Q198" s="102" t="e">
        <f t="shared" si="46"/>
        <v>#DIV/0!</v>
      </c>
      <c r="R198" s="102" t="e">
        <f t="shared" si="47"/>
        <v>#DIV/0!</v>
      </c>
      <c r="S198" s="16" t="e">
        <f t="shared" si="48"/>
        <v>#DIV/0!</v>
      </c>
      <c r="T198" s="102" t="e">
        <f t="shared" si="49"/>
        <v>#DIV/0!</v>
      </c>
      <c r="U198" s="17" t="e">
        <f t="shared" si="50"/>
        <v>#DIV/0!</v>
      </c>
    </row>
    <row r="199" spans="1:21" x14ac:dyDescent="0.2">
      <c r="A199" s="99" t="s">
        <v>445</v>
      </c>
      <c r="B199" s="100" t="s">
        <v>37</v>
      </c>
      <c r="C199" s="100" t="s">
        <v>297</v>
      </c>
      <c r="D199" s="100" t="s">
        <v>487</v>
      </c>
      <c r="E199" s="101" t="s">
        <v>322</v>
      </c>
      <c r="F199" s="100" t="s">
        <v>463</v>
      </c>
      <c r="G199" s="100" t="s">
        <v>213</v>
      </c>
      <c r="H199" s="100" t="s">
        <v>9</v>
      </c>
      <c r="I199" s="100" t="s">
        <v>190</v>
      </c>
      <c r="J199" s="100"/>
      <c r="K199" s="102">
        <v>29</v>
      </c>
      <c r="L199" s="102">
        <f t="shared" si="45"/>
        <v>29</v>
      </c>
      <c r="M199" s="103">
        <f>prodnorm43</f>
        <v>0</v>
      </c>
      <c r="N199" s="30">
        <f>dagwerk43</f>
        <v>0</v>
      </c>
      <c r="O199" s="100" t="s">
        <v>96</v>
      </c>
      <c r="P199" s="16">
        <f>uurtarief43</f>
        <v>0</v>
      </c>
      <c r="Q199" s="102" t="e">
        <f t="shared" si="46"/>
        <v>#DIV/0!</v>
      </c>
      <c r="R199" s="102" t="e">
        <f t="shared" si="47"/>
        <v>#DIV/0!</v>
      </c>
      <c r="S199" s="16" t="e">
        <f t="shared" si="48"/>
        <v>#DIV/0!</v>
      </c>
      <c r="T199" s="102" t="e">
        <f t="shared" si="49"/>
        <v>#DIV/0!</v>
      </c>
      <c r="U199" s="17" t="e">
        <f t="shared" si="50"/>
        <v>#DIV/0!</v>
      </c>
    </row>
    <row r="200" spans="1:21" x14ac:dyDescent="0.2">
      <c r="A200" s="99" t="s">
        <v>445</v>
      </c>
      <c r="B200" s="100" t="s">
        <v>37</v>
      </c>
      <c r="C200" s="100" t="s">
        <v>297</v>
      </c>
      <c r="D200" s="100" t="s">
        <v>488</v>
      </c>
      <c r="E200" s="101" t="s">
        <v>489</v>
      </c>
      <c r="F200" s="100" t="s">
        <v>490</v>
      </c>
      <c r="G200" s="100" t="s">
        <v>229</v>
      </c>
      <c r="H200" s="100" t="s">
        <v>9</v>
      </c>
      <c r="I200" s="100" t="s">
        <v>190</v>
      </c>
      <c r="J200" s="100"/>
      <c r="K200" s="102">
        <v>248</v>
      </c>
      <c r="L200" s="102">
        <f t="shared" si="45"/>
        <v>248</v>
      </c>
      <c r="M200" s="103">
        <f>prodnorm55</f>
        <v>0</v>
      </c>
      <c r="N200" s="30">
        <f>dagwerk55</f>
        <v>0</v>
      </c>
      <c r="O200" s="100" t="s">
        <v>96</v>
      </c>
      <c r="P200" s="16">
        <f>uurtarief55</f>
        <v>0</v>
      </c>
      <c r="Q200" s="102" t="e">
        <f t="shared" si="46"/>
        <v>#DIV/0!</v>
      </c>
      <c r="R200" s="102" t="e">
        <f t="shared" si="47"/>
        <v>#DIV/0!</v>
      </c>
      <c r="S200" s="16" t="e">
        <f t="shared" si="48"/>
        <v>#DIV/0!</v>
      </c>
      <c r="T200" s="102" t="e">
        <f t="shared" si="49"/>
        <v>#DIV/0!</v>
      </c>
      <c r="U200" s="17" t="e">
        <f t="shared" si="50"/>
        <v>#DIV/0!</v>
      </c>
    </row>
    <row r="201" spans="1:21" x14ac:dyDescent="0.2">
      <c r="A201" s="99" t="s">
        <v>445</v>
      </c>
      <c r="B201" s="100" t="s">
        <v>37</v>
      </c>
      <c r="C201" s="100" t="s">
        <v>297</v>
      </c>
      <c r="D201" s="100" t="s">
        <v>491</v>
      </c>
      <c r="E201" s="101" t="s">
        <v>304</v>
      </c>
      <c r="F201" s="100" t="s">
        <v>463</v>
      </c>
      <c r="G201" s="100" t="s">
        <v>229</v>
      </c>
      <c r="H201" s="100" t="s">
        <v>9</v>
      </c>
      <c r="I201" s="100" t="s">
        <v>190</v>
      </c>
      <c r="J201" s="100"/>
      <c r="K201" s="102">
        <v>52</v>
      </c>
      <c r="L201" s="102">
        <f t="shared" si="45"/>
        <v>52</v>
      </c>
      <c r="M201" s="103">
        <f>prodnorm55</f>
        <v>0</v>
      </c>
      <c r="N201" s="30">
        <f>dagwerk55</f>
        <v>0</v>
      </c>
      <c r="O201" s="100" t="s">
        <v>96</v>
      </c>
      <c r="P201" s="16">
        <f>uurtarief55</f>
        <v>0</v>
      </c>
      <c r="Q201" s="102" t="e">
        <f t="shared" si="46"/>
        <v>#DIV/0!</v>
      </c>
      <c r="R201" s="102" t="e">
        <f t="shared" si="47"/>
        <v>#DIV/0!</v>
      </c>
      <c r="S201" s="16" t="e">
        <f t="shared" si="48"/>
        <v>#DIV/0!</v>
      </c>
      <c r="T201" s="102" t="e">
        <f t="shared" si="49"/>
        <v>#DIV/0!</v>
      </c>
      <c r="U201" s="17" t="e">
        <f t="shared" si="50"/>
        <v>#DIV/0!</v>
      </c>
    </row>
    <row r="202" spans="1:21" x14ac:dyDescent="0.2">
      <c r="A202" s="99" t="s">
        <v>445</v>
      </c>
      <c r="B202" s="100" t="s">
        <v>37</v>
      </c>
      <c r="C202" s="100" t="s">
        <v>297</v>
      </c>
      <c r="D202" s="100" t="s">
        <v>491</v>
      </c>
      <c r="E202" s="101" t="s">
        <v>304</v>
      </c>
      <c r="F202" s="100" t="s">
        <v>463</v>
      </c>
      <c r="G202" s="100" t="s">
        <v>235</v>
      </c>
      <c r="H202" s="100" t="s">
        <v>23</v>
      </c>
      <c r="I202" s="100" t="s">
        <v>190</v>
      </c>
      <c r="J202" s="100"/>
      <c r="K202" s="102">
        <v>52</v>
      </c>
      <c r="L202" s="102">
        <f t="shared" si="45"/>
        <v>0.20392156862745098</v>
      </c>
      <c r="M202" s="103">
        <f>prodnorm59</f>
        <v>0</v>
      </c>
      <c r="N202" s="30">
        <f>dagwerk59</f>
        <v>0</v>
      </c>
      <c r="O202" s="100" t="s">
        <v>96</v>
      </c>
      <c r="P202" s="16">
        <f>uurtarief59</f>
        <v>0</v>
      </c>
      <c r="Q202" s="102" t="e">
        <f t="shared" si="46"/>
        <v>#DIV/0!</v>
      </c>
      <c r="R202" s="102" t="e">
        <f t="shared" si="47"/>
        <v>#DIV/0!</v>
      </c>
      <c r="S202" s="16" t="e">
        <f t="shared" si="48"/>
        <v>#DIV/0!</v>
      </c>
      <c r="T202" s="102" t="e">
        <f t="shared" si="49"/>
        <v>#DIV/0!</v>
      </c>
      <c r="U202" s="17" t="e">
        <f t="shared" si="50"/>
        <v>#DIV/0!</v>
      </c>
    </row>
    <row r="203" spans="1:21" x14ac:dyDescent="0.2">
      <c r="A203" s="99" t="s">
        <v>445</v>
      </c>
      <c r="B203" s="100" t="s">
        <v>37</v>
      </c>
      <c r="C203" s="100" t="s">
        <v>297</v>
      </c>
      <c r="D203" s="100" t="s">
        <v>492</v>
      </c>
      <c r="E203" s="101" t="s">
        <v>493</v>
      </c>
      <c r="F203" s="100" t="s">
        <v>463</v>
      </c>
      <c r="G203" s="100" t="s">
        <v>229</v>
      </c>
      <c r="H203" s="100" t="s">
        <v>9</v>
      </c>
      <c r="I203" s="100" t="s">
        <v>190</v>
      </c>
      <c r="J203" s="100"/>
      <c r="K203" s="102">
        <v>11</v>
      </c>
      <c r="L203" s="102">
        <f t="shared" si="45"/>
        <v>11</v>
      </c>
      <c r="M203" s="103">
        <f>prodnorm55</f>
        <v>0</v>
      </c>
      <c r="N203" s="30">
        <f>dagwerk55</f>
        <v>0</v>
      </c>
      <c r="O203" s="100" t="s">
        <v>96</v>
      </c>
      <c r="P203" s="16">
        <f>uurtarief55</f>
        <v>0</v>
      </c>
      <c r="Q203" s="102" t="e">
        <f t="shared" si="46"/>
        <v>#DIV/0!</v>
      </c>
      <c r="R203" s="102" t="e">
        <f t="shared" si="47"/>
        <v>#DIV/0!</v>
      </c>
      <c r="S203" s="16" t="e">
        <f t="shared" si="48"/>
        <v>#DIV/0!</v>
      </c>
      <c r="T203" s="102" t="e">
        <f t="shared" si="49"/>
        <v>#DIV/0!</v>
      </c>
      <c r="U203" s="17" t="e">
        <f t="shared" si="50"/>
        <v>#DIV/0!</v>
      </c>
    </row>
    <row r="204" spans="1:21" x14ac:dyDescent="0.2">
      <c r="A204" s="99" t="s">
        <v>445</v>
      </c>
      <c r="B204" s="100" t="s">
        <v>37</v>
      </c>
      <c r="C204" s="100" t="s">
        <v>297</v>
      </c>
      <c r="D204" s="100" t="s">
        <v>492</v>
      </c>
      <c r="E204" s="101" t="s">
        <v>493</v>
      </c>
      <c r="F204" s="100" t="s">
        <v>463</v>
      </c>
      <c r="G204" s="100" t="s">
        <v>235</v>
      </c>
      <c r="H204" s="100" t="s">
        <v>23</v>
      </c>
      <c r="I204" s="100" t="s">
        <v>190</v>
      </c>
      <c r="J204" s="100"/>
      <c r="K204" s="102">
        <v>11</v>
      </c>
      <c r="L204" s="102">
        <f t="shared" si="45"/>
        <v>4.3137254901960784E-2</v>
      </c>
      <c r="M204" s="103">
        <f>prodnorm59</f>
        <v>0</v>
      </c>
      <c r="N204" s="30">
        <f>dagwerk59</f>
        <v>0</v>
      </c>
      <c r="O204" s="100" t="s">
        <v>96</v>
      </c>
      <c r="P204" s="16">
        <f>uurtarief59</f>
        <v>0</v>
      </c>
      <c r="Q204" s="102" t="e">
        <f t="shared" si="46"/>
        <v>#DIV/0!</v>
      </c>
      <c r="R204" s="102" t="e">
        <f t="shared" si="47"/>
        <v>#DIV/0!</v>
      </c>
      <c r="S204" s="16" t="e">
        <f t="shared" si="48"/>
        <v>#DIV/0!</v>
      </c>
      <c r="T204" s="102" t="e">
        <f t="shared" si="49"/>
        <v>#DIV/0!</v>
      </c>
      <c r="U204" s="17" t="e">
        <f t="shared" si="50"/>
        <v>#DIV/0!</v>
      </c>
    </row>
    <row r="205" spans="1:21" x14ac:dyDescent="0.2">
      <c r="A205" s="99" t="s">
        <v>445</v>
      </c>
      <c r="B205" s="100" t="s">
        <v>37</v>
      </c>
      <c r="C205" s="100" t="s">
        <v>297</v>
      </c>
      <c r="D205" s="100" t="s">
        <v>494</v>
      </c>
      <c r="E205" s="101" t="s">
        <v>322</v>
      </c>
      <c r="F205" s="100" t="s">
        <v>463</v>
      </c>
      <c r="G205" s="100" t="s">
        <v>213</v>
      </c>
      <c r="H205" s="100" t="s">
        <v>9</v>
      </c>
      <c r="I205" s="100" t="s">
        <v>190</v>
      </c>
      <c r="J205" s="100"/>
      <c r="K205" s="102">
        <v>26</v>
      </c>
      <c r="L205" s="102">
        <f t="shared" si="45"/>
        <v>26</v>
      </c>
      <c r="M205" s="103">
        <f>prodnorm43</f>
        <v>0</v>
      </c>
      <c r="N205" s="30">
        <f>dagwerk43</f>
        <v>0</v>
      </c>
      <c r="O205" s="100" t="s">
        <v>96</v>
      </c>
      <c r="P205" s="16">
        <f>uurtarief43</f>
        <v>0</v>
      </c>
      <c r="Q205" s="102" t="e">
        <f t="shared" si="46"/>
        <v>#DIV/0!</v>
      </c>
      <c r="R205" s="102" t="e">
        <f t="shared" si="47"/>
        <v>#DIV/0!</v>
      </c>
      <c r="S205" s="16" t="e">
        <f t="shared" si="48"/>
        <v>#DIV/0!</v>
      </c>
      <c r="T205" s="102" t="e">
        <f t="shared" si="49"/>
        <v>#DIV/0!</v>
      </c>
      <c r="U205" s="17" t="e">
        <f t="shared" si="50"/>
        <v>#DIV/0!</v>
      </c>
    </row>
    <row r="206" spans="1:21" x14ac:dyDescent="0.2">
      <c r="A206" s="99" t="s">
        <v>445</v>
      </c>
      <c r="B206" s="100" t="s">
        <v>37</v>
      </c>
      <c r="C206" s="100" t="s">
        <v>297</v>
      </c>
      <c r="D206" s="100" t="s">
        <v>494</v>
      </c>
      <c r="E206" s="101" t="s">
        <v>322</v>
      </c>
      <c r="F206" s="100" t="s">
        <v>463</v>
      </c>
      <c r="G206" s="100" t="s">
        <v>235</v>
      </c>
      <c r="H206" s="100" t="s">
        <v>23</v>
      </c>
      <c r="I206" s="100" t="s">
        <v>190</v>
      </c>
      <c r="J206" s="100"/>
      <c r="K206" s="102">
        <v>26</v>
      </c>
      <c r="L206" s="102">
        <f t="shared" si="45"/>
        <v>0.10196078431372549</v>
      </c>
      <c r="M206" s="103">
        <f>prodnorm59</f>
        <v>0</v>
      </c>
      <c r="N206" s="30">
        <f>dagwerk59</f>
        <v>0</v>
      </c>
      <c r="O206" s="100" t="s">
        <v>96</v>
      </c>
      <c r="P206" s="16">
        <f>uurtarief59</f>
        <v>0</v>
      </c>
      <c r="Q206" s="102" t="e">
        <f t="shared" si="46"/>
        <v>#DIV/0!</v>
      </c>
      <c r="R206" s="102" t="e">
        <f t="shared" si="47"/>
        <v>#DIV/0!</v>
      </c>
      <c r="S206" s="16" t="e">
        <f t="shared" si="48"/>
        <v>#DIV/0!</v>
      </c>
      <c r="T206" s="102" t="e">
        <f t="shared" si="49"/>
        <v>#DIV/0!</v>
      </c>
      <c r="U206" s="17" t="e">
        <f t="shared" si="50"/>
        <v>#DIV/0!</v>
      </c>
    </row>
    <row r="207" spans="1:21" x14ac:dyDescent="0.2">
      <c r="A207" s="99" t="s">
        <v>445</v>
      </c>
      <c r="B207" s="100" t="s">
        <v>37</v>
      </c>
      <c r="C207" s="100" t="s">
        <v>297</v>
      </c>
      <c r="D207" s="100" t="s">
        <v>495</v>
      </c>
      <c r="E207" s="101" t="s">
        <v>322</v>
      </c>
      <c r="F207" s="100" t="s">
        <v>463</v>
      </c>
      <c r="G207" s="100" t="s">
        <v>213</v>
      </c>
      <c r="H207" s="100" t="s">
        <v>9</v>
      </c>
      <c r="I207" s="100" t="s">
        <v>190</v>
      </c>
      <c r="J207" s="100"/>
      <c r="K207" s="102">
        <v>24</v>
      </c>
      <c r="L207" s="102">
        <f t="shared" si="45"/>
        <v>24</v>
      </c>
      <c r="M207" s="103">
        <f>prodnorm43</f>
        <v>0</v>
      </c>
      <c r="N207" s="30">
        <f>dagwerk43</f>
        <v>0</v>
      </c>
      <c r="O207" s="100" t="s">
        <v>96</v>
      </c>
      <c r="P207" s="16">
        <f>uurtarief43</f>
        <v>0</v>
      </c>
      <c r="Q207" s="102" t="e">
        <f t="shared" si="46"/>
        <v>#DIV/0!</v>
      </c>
      <c r="R207" s="102" t="e">
        <f t="shared" si="47"/>
        <v>#DIV/0!</v>
      </c>
      <c r="S207" s="16" t="e">
        <f t="shared" si="48"/>
        <v>#DIV/0!</v>
      </c>
      <c r="T207" s="102" t="e">
        <f t="shared" si="49"/>
        <v>#DIV/0!</v>
      </c>
      <c r="U207" s="17" t="e">
        <f t="shared" si="50"/>
        <v>#DIV/0!</v>
      </c>
    </row>
    <row r="208" spans="1:21" x14ac:dyDescent="0.2">
      <c r="A208" s="99" t="s">
        <v>445</v>
      </c>
      <c r="B208" s="100" t="s">
        <v>37</v>
      </c>
      <c r="C208" s="100" t="s">
        <v>297</v>
      </c>
      <c r="D208" s="100" t="s">
        <v>495</v>
      </c>
      <c r="E208" s="101" t="s">
        <v>322</v>
      </c>
      <c r="F208" s="100" t="s">
        <v>463</v>
      </c>
      <c r="G208" s="100" t="s">
        <v>235</v>
      </c>
      <c r="H208" s="100" t="s">
        <v>23</v>
      </c>
      <c r="I208" s="100" t="s">
        <v>190</v>
      </c>
      <c r="J208" s="100"/>
      <c r="K208" s="102">
        <v>24</v>
      </c>
      <c r="L208" s="102">
        <f t="shared" si="45"/>
        <v>9.4117647058823528E-2</v>
      </c>
      <c r="M208" s="103">
        <f>prodnorm59</f>
        <v>0</v>
      </c>
      <c r="N208" s="30">
        <f>dagwerk59</f>
        <v>0</v>
      </c>
      <c r="O208" s="100" t="s">
        <v>96</v>
      </c>
      <c r="P208" s="16">
        <f>uurtarief59</f>
        <v>0</v>
      </c>
      <c r="Q208" s="102" t="e">
        <f t="shared" si="46"/>
        <v>#DIV/0!</v>
      </c>
      <c r="R208" s="102" t="e">
        <f t="shared" si="47"/>
        <v>#DIV/0!</v>
      </c>
      <c r="S208" s="16" t="e">
        <f t="shared" si="48"/>
        <v>#DIV/0!</v>
      </c>
      <c r="T208" s="102" t="e">
        <f t="shared" si="49"/>
        <v>#DIV/0!</v>
      </c>
      <c r="U208" s="17" t="e">
        <f t="shared" si="50"/>
        <v>#DIV/0!</v>
      </c>
    </row>
    <row r="209" spans="1:21" x14ac:dyDescent="0.2">
      <c r="A209" s="99" t="s">
        <v>445</v>
      </c>
      <c r="B209" s="100" t="s">
        <v>37</v>
      </c>
      <c r="C209" s="100" t="s">
        <v>297</v>
      </c>
      <c r="D209" s="100" t="s">
        <v>496</v>
      </c>
      <c r="E209" s="101" t="s">
        <v>378</v>
      </c>
      <c r="F209" s="100" t="s">
        <v>463</v>
      </c>
      <c r="G209" s="100" t="s">
        <v>192</v>
      </c>
      <c r="H209" s="100" t="s">
        <v>9</v>
      </c>
      <c r="I209" s="100" t="s">
        <v>190</v>
      </c>
      <c r="J209" s="100"/>
      <c r="K209" s="102">
        <v>22</v>
      </c>
      <c r="L209" s="102">
        <f t="shared" si="45"/>
        <v>22</v>
      </c>
      <c r="M209" s="103">
        <f>prodnorm28</f>
        <v>0</v>
      </c>
      <c r="N209" s="30">
        <f>dagwerk28</f>
        <v>0</v>
      </c>
      <c r="O209" s="100" t="s">
        <v>96</v>
      </c>
      <c r="P209" s="16">
        <f>uurtarief28</f>
        <v>0</v>
      </c>
      <c r="Q209" s="102" t="e">
        <f t="shared" si="46"/>
        <v>#DIV/0!</v>
      </c>
      <c r="R209" s="102" t="e">
        <f t="shared" si="47"/>
        <v>#DIV/0!</v>
      </c>
      <c r="S209" s="16" t="e">
        <f t="shared" si="48"/>
        <v>#DIV/0!</v>
      </c>
      <c r="T209" s="102" t="e">
        <f t="shared" si="49"/>
        <v>#DIV/0!</v>
      </c>
      <c r="U209" s="17" t="e">
        <f t="shared" si="50"/>
        <v>#DIV/0!</v>
      </c>
    </row>
    <row r="210" spans="1:21" x14ac:dyDescent="0.2">
      <c r="A210" s="99" t="s">
        <v>445</v>
      </c>
      <c r="B210" s="100" t="s">
        <v>37</v>
      </c>
      <c r="C210" s="100" t="s">
        <v>297</v>
      </c>
      <c r="D210" s="100" t="s">
        <v>496</v>
      </c>
      <c r="E210" s="101" t="s">
        <v>378</v>
      </c>
      <c r="F210" s="100" t="s">
        <v>463</v>
      </c>
      <c r="G210" s="100" t="s">
        <v>235</v>
      </c>
      <c r="H210" s="100" t="s">
        <v>23</v>
      </c>
      <c r="I210" s="100" t="s">
        <v>190</v>
      </c>
      <c r="J210" s="100"/>
      <c r="K210" s="102">
        <v>22</v>
      </c>
      <c r="L210" s="102">
        <f t="shared" si="45"/>
        <v>8.6274509803921567E-2</v>
      </c>
      <c r="M210" s="103">
        <f>prodnorm59</f>
        <v>0</v>
      </c>
      <c r="N210" s="30">
        <f>dagwerk59</f>
        <v>0</v>
      </c>
      <c r="O210" s="100" t="s">
        <v>96</v>
      </c>
      <c r="P210" s="16">
        <f>uurtarief59</f>
        <v>0</v>
      </c>
      <c r="Q210" s="102" t="e">
        <f t="shared" si="46"/>
        <v>#DIV/0!</v>
      </c>
      <c r="R210" s="102" t="e">
        <f t="shared" si="47"/>
        <v>#DIV/0!</v>
      </c>
      <c r="S210" s="16" t="e">
        <f t="shared" si="48"/>
        <v>#DIV/0!</v>
      </c>
      <c r="T210" s="102" t="e">
        <f t="shared" si="49"/>
        <v>#DIV/0!</v>
      </c>
      <c r="U210" s="17" t="e">
        <f t="shared" si="50"/>
        <v>#DIV/0!</v>
      </c>
    </row>
    <row r="211" spans="1:21" x14ac:dyDescent="0.2">
      <c r="A211" s="99" t="s">
        <v>445</v>
      </c>
      <c r="B211" s="100" t="s">
        <v>37</v>
      </c>
      <c r="C211" s="100" t="s">
        <v>297</v>
      </c>
      <c r="D211" s="100" t="s">
        <v>497</v>
      </c>
      <c r="E211" s="101" t="s">
        <v>378</v>
      </c>
      <c r="F211" s="100" t="s">
        <v>463</v>
      </c>
      <c r="G211" s="100" t="s">
        <v>192</v>
      </c>
      <c r="H211" s="100" t="s">
        <v>9</v>
      </c>
      <c r="I211" s="100" t="s">
        <v>190</v>
      </c>
      <c r="J211" s="100"/>
      <c r="K211" s="102">
        <v>17</v>
      </c>
      <c r="L211" s="102">
        <f t="shared" si="45"/>
        <v>17</v>
      </c>
      <c r="M211" s="103">
        <f>prodnorm28</f>
        <v>0</v>
      </c>
      <c r="N211" s="30">
        <f>dagwerk28</f>
        <v>0</v>
      </c>
      <c r="O211" s="100" t="s">
        <v>96</v>
      </c>
      <c r="P211" s="16">
        <f>uurtarief28</f>
        <v>0</v>
      </c>
      <c r="Q211" s="102" t="e">
        <f t="shared" si="46"/>
        <v>#DIV/0!</v>
      </c>
      <c r="R211" s="102" t="e">
        <f t="shared" si="47"/>
        <v>#DIV/0!</v>
      </c>
      <c r="S211" s="16" t="e">
        <f t="shared" si="48"/>
        <v>#DIV/0!</v>
      </c>
      <c r="T211" s="102" t="e">
        <f t="shared" si="49"/>
        <v>#DIV/0!</v>
      </c>
      <c r="U211" s="17" t="e">
        <f t="shared" si="50"/>
        <v>#DIV/0!</v>
      </c>
    </row>
    <row r="212" spans="1:21" x14ac:dyDescent="0.2">
      <c r="A212" s="99" t="s">
        <v>445</v>
      </c>
      <c r="B212" s="100" t="s">
        <v>37</v>
      </c>
      <c r="C212" s="100" t="s">
        <v>297</v>
      </c>
      <c r="D212" s="100" t="s">
        <v>497</v>
      </c>
      <c r="E212" s="101" t="s">
        <v>378</v>
      </c>
      <c r="F212" s="100" t="s">
        <v>463</v>
      </c>
      <c r="G212" s="100" t="s">
        <v>235</v>
      </c>
      <c r="H212" s="100" t="s">
        <v>23</v>
      </c>
      <c r="I212" s="100" t="s">
        <v>190</v>
      </c>
      <c r="J212" s="100"/>
      <c r="K212" s="102">
        <v>17</v>
      </c>
      <c r="L212" s="102">
        <f t="shared" si="45"/>
        <v>6.6666666666666666E-2</v>
      </c>
      <c r="M212" s="103">
        <f>prodnorm59</f>
        <v>0</v>
      </c>
      <c r="N212" s="30">
        <f>dagwerk59</f>
        <v>0</v>
      </c>
      <c r="O212" s="100" t="s">
        <v>96</v>
      </c>
      <c r="P212" s="16">
        <f>uurtarief59</f>
        <v>0</v>
      </c>
      <c r="Q212" s="102" t="e">
        <f t="shared" si="46"/>
        <v>#DIV/0!</v>
      </c>
      <c r="R212" s="102" t="e">
        <f t="shared" si="47"/>
        <v>#DIV/0!</v>
      </c>
      <c r="S212" s="16" t="e">
        <f t="shared" si="48"/>
        <v>#DIV/0!</v>
      </c>
      <c r="T212" s="102" t="e">
        <f t="shared" si="49"/>
        <v>#DIV/0!</v>
      </c>
      <c r="U212" s="17" t="e">
        <f t="shared" si="50"/>
        <v>#DIV/0!</v>
      </c>
    </row>
    <row r="213" spans="1:21" x14ac:dyDescent="0.2">
      <c r="A213" s="99" t="s">
        <v>445</v>
      </c>
      <c r="B213" s="100" t="s">
        <v>37</v>
      </c>
      <c r="C213" s="100" t="s">
        <v>297</v>
      </c>
      <c r="D213" s="100" t="s">
        <v>498</v>
      </c>
      <c r="E213" s="101" t="s">
        <v>499</v>
      </c>
      <c r="F213" s="100" t="s">
        <v>463</v>
      </c>
      <c r="G213" s="100" t="s">
        <v>213</v>
      </c>
      <c r="H213" s="100" t="s">
        <v>9</v>
      </c>
      <c r="I213" s="100" t="s">
        <v>190</v>
      </c>
      <c r="J213" s="100"/>
      <c r="K213" s="102">
        <v>81</v>
      </c>
      <c r="L213" s="102">
        <f t="shared" si="45"/>
        <v>81</v>
      </c>
      <c r="M213" s="103">
        <f>prodnorm43</f>
        <v>0</v>
      </c>
      <c r="N213" s="30">
        <f>dagwerk43</f>
        <v>0</v>
      </c>
      <c r="O213" s="100" t="s">
        <v>96</v>
      </c>
      <c r="P213" s="16">
        <f>uurtarief43</f>
        <v>0</v>
      </c>
      <c r="Q213" s="102" t="e">
        <f t="shared" si="46"/>
        <v>#DIV/0!</v>
      </c>
      <c r="R213" s="102" t="e">
        <f t="shared" si="47"/>
        <v>#DIV/0!</v>
      </c>
      <c r="S213" s="16" t="e">
        <f t="shared" si="48"/>
        <v>#DIV/0!</v>
      </c>
      <c r="T213" s="102" t="e">
        <f t="shared" si="49"/>
        <v>#DIV/0!</v>
      </c>
      <c r="U213" s="17" t="e">
        <f t="shared" si="50"/>
        <v>#DIV/0!</v>
      </c>
    </row>
    <row r="214" spans="1:21" x14ac:dyDescent="0.2">
      <c r="A214" s="99" t="s">
        <v>445</v>
      </c>
      <c r="B214" s="100" t="s">
        <v>37</v>
      </c>
      <c r="C214" s="100" t="s">
        <v>297</v>
      </c>
      <c r="D214" s="100" t="s">
        <v>498</v>
      </c>
      <c r="E214" s="101" t="s">
        <v>499</v>
      </c>
      <c r="F214" s="100" t="s">
        <v>463</v>
      </c>
      <c r="G214" s="100" t="s">
        <v>235</v>
      </c>
      <c r="H214" s="100" t="s">
        <v>23</v>
      </c>
      <c r="I214" s="100" t="s">
        <v>190</v>
      </c>
      <c r="J214" s="100"/>
      <c r="K214" s="102">
        <v>81</v>
      </c>
      <c r="L214" s="102">
        <f t="shared" si="45"/>
        <v>0.31764705882352939</v>
      </c>
      <c r="M214" s="103">
        <f>prodnorm59</f>
        <v>0</v>
      </c>
      <c r="N214" s="30">
        <f>dagwerk59</f>
        <v>0</v>
      </c>
      <c r="O214" s="100" t="s">
        <v>96</v>
      </c>
      <c r="P214" s="16">
        <f>uurtarief59</f>
        <v>0</v>
      </c>
      <c r="Q214" s="102" t="e">
        <f t="shared" si="46"/>
        <v>#DIV/0!</v>
      </c>
      <c r="R214" s="102" t="e">
        <f t="shared" si="47"/>
        <v>#DIV/0!</v>
      </c>
      <c r="S214" s="16" t="e">
        <f t="shared" si="48"/>
        <v>#DIV/0!</v>
      </c>
      <c r="T214" s="102" t="e">
        <f t="shared" si="49"/>
        <v>#DIV/0!</v>
      </c>
      <c r="U214" s="17" t="e">
        <f t="shared" si="50"/>
        <v>#DIV/0!</v>
      </c>
    </row>
    <row r="215" spans="1:21" x14ac:dyDescent="0.2">
      <c r="A215" s="99" t="s">
        <v>445</v>
      </c>
      <c r="B215" s="100" t="s">
        <v>37</v>
      </c>
      <c r="C215" s="100" t="s">
        <v>297</v>
      </c>
      <c r="D215" s="100" t="s">
        <v>500</v>
      </c>
      <c r="E215" s="101" t="s">
        <v>501</v>
      </c>
      <c r="F215" s="100" t="s">
        <v>463</v>
      </c>
      <c r="G215" s="100" t="s">
        <v>192</v>
      </c>
      <c r="H215" s="100" t="s">
        <v>9</v>
      </c>
      <c r="I215" s="100" t="s">
        <v>190</v>
      </c>
      <c r="J215" s="100"/>
      <c r="K215" s="102">
        <v>16</v>
      </c>
      <c r="L215" s="102">
        <f t="shared" si="45"/>
        <v>16</v>
      </c>
      <c r="M215" s="103">
        <f>prodnorm28</f>
        <v>0</v>
      </c>
      <c r="N215" s="30">
        <f>dagwerk28</f>
        <v>0</v>
      </c>
      <c r="O215" s="100" t="s">
        <v>96</v>
      </c>
      <c r="P215" s="16">
        <f>uurtarief28</f>
        <v>0</v>
      </c>
      <c r="Q215" s="102" t="e">
        <f t="shared" si="46"/>
        <v>#DIV/0!</v>
      </c>
      <c r="R215" s="102" t="e">
        <f t="shared" si="47"/>
        <v>#DIV/0!</v>
      </c>
      <c r="S215" s="16" t="e">
        <f t="shared" si="48"/>
        <v>#DIV/0!</v>
      </c>
      <c r="T215" s="102" t="e">
        <f t="shared" si="49"/>
        <v>#DIV/0!</v>
      </c>
      <c r="U215" s="17" t="e">
        <f t="shared" si="50"/>
        <v>#DIV/0!</v>
      </c>
    </row>
    <row r="216" spans="1:21" x14ac:dyDescent="0.2">
      <c r="A216" s="99" t="s">
        <v>445</v>
      </c>
      <c r="B216" s="100" t="s">
        <v>37</v>
      </c>
      <c r="C216" s="100" t="s">
        <v>297</v>
      </c>
      <c r="D216" s="100" t="s">
        <v>500</v>
      </c>
      <c r="E216" s="101" t="s">
        <v>501</v>
      </c>
      <c r="F216" s="100" t="s">
        <v>463</v>
      </c>
      <c r="G216" s="100" t="s">
        <v>235</v>
      </c>
      <c r="H216" s="100" t="s">
        <v>23</v>
      </c>
      <c r="I216" s="100" t="s">
        <v>190</v>
      </c>
      <c r="J216" s="100"/>
      <c r="K216" s="102">
        <v>16</v>
      </c>
      <c r="L216" s="102">
        <f t="shared" si="45"/>
        <v>6.2745098039215685E-2</v>
      </c>
      <c r="M216" s="103">
        <f>prodnorm59</f>
        <v>0</v>
      </c>
      <c r="N216" s="30">
        <f>dagwerk59</f>
        <v>0</v>
      </c>
      <c r="O216" s="100" t="s">
        <v>96</v>
      </c>
      <c r="P216" s="16">
        <f>uurtarief59</f>
        <v>0</v>
      </c>
      <c r="Q216" s="102" t="e">
        <f t="shared" si="46"/>
        <v>#DIV/0!</v>
      </c>
      <c r="R216" s="102" t="e">
        <f t="shared" si="47"/>
        <v>#DIV/0!</v>
      </c>
      <c r="S216" s="16" t="e">
        <f t="shared" si="48"/>
        <v>#DIV/0!</v>
      </c>
      <c r="T216" s="102" t="e">
        <f t="shared" si="49"/>
        <v>#DIV/0!</v>
      </c>
      <c r="U216" s="17" t="e">
        <f t="shared" si="50"/>
        <v>#DIV/0!</v>
      </c>
    </row>
    <row r="217" spans="1:21" x14ac:dyDescent="0.2">
      <c r="A217" s="99" t="s">
        <v>445</v>
      </c>
      <c r="B217" s="100" t="s">
        <v>37</v>
      </c>
      <c r="C217" s="100" t="s">
        <v>502</v>
      </c>
      <c r="D217" s="100" t="s">
        <v>391</v>
      </c>
      <c r="E217" s="101" t="s">
        <v>448</v>
      </c>
      <c r="F217" s="100" t="s">
        <v>289</v>
      </c>
      <c r="G217" s="100" t="s">
        <v>226</v>
      </c>
      <c r="H217" s="100" t="s">
        <v>9</v>
      </c>
      <c r="I217" s="100" t="s">
        <v>190</v>
      </c>
      <c r="J217" s="100"/>
      <c r="K217" s="102">
        <v>11</v>
      </c>
      <c r="L217" s="102">
        <f t="shared" si="45"/>
        <v>11</v>
      </c>
      <c r="M217" s="103">
        <f>prodnorm53</f>
        <v>0</v>
      </c>
      <c r="N217" s="30">
        <f>dagwerk53</f>
        <v>0</v>
      </c>
      <c r="O217" s="100" t="s">
        <v>96</v>
      </c>
      <c r="P217" s="16">
        <f>uurtarief53</f>
        <v>0</v>
      </c>
      <c r="Q217" s="102" t="e">
        <f t="shared" si="46"/>
        <v>#DIV/0!</v>
      </c>
      <c r="R217" s="102" t="e">
        <f t="shared" si="47"/>
        <v>#DIV/0!</v>
      </c>
      <c r="S217" s="16" t="e">
        <f t="shared" si="48"/>
        <v>#DIV/0!</v>
      </c>
      <c r="T217" s="102" t="e">
        <f t="shared" si="49"/>
        <v>#DIV/0!</v>
      </c>
      <c r="U217" s="17" t="e">
        <f t="shared" si="50"/>
        <v>#DIV/0!</v>
      </c>
    </row>
    <row r="218" spans="1:21" x14ac:dyDescent="0.2">
      <c r="A218" s="99" t="s">
        <v>445</v>
      </c>
      <c r="B218" s="100" t="s">
        <v>37</v>
      </c>
      <c r="C218" s="100" t="s">
        <v>502</v>
      </c>
      <c r="D218" s="100" t="s">
        <v>419</v>
      </c>
      <c r="E218" s="101" t="s">
        <v>503</v>
      </c>
      <c r="F218" s="100" t="s">
        <v>504</v>
      </c>
      <c r="G218" s="100" t="s">
        <v>229</v>
      </c>
      <c r="H218" s="100" t="s">
        <v>9</v>
      </c>
      <c r="I218" s="100" t="s">
        <v>190</v>
      </c>
      <c r="J218" s="100"/>
      <c r="K218" s="102">
        <v>4</v>
      </c>
      <c r="L218" s="102">
        <f t="shared" si="45"/>
        <v>4</v>
      </c>
      <c r="M218" s="103">
        <f>prodnorm55</f>
        <v>0</v>
      </c>
      <c r="N218" s="30">
        <f>dagwerk55</f>
        <v>0</v>
      </c>
      <c r="O218" s="100" t="s">
        <v>96</v>
      </c>
      <c r="P218" s="16">
        <f>uurtarief55</f>
        <v>0</v>
      </c>
      <c r="Q218" s="102" t="e">
        <f t="shared" si="46"/>
        <v>#DIV/0!</v>
      </c>
      <c r="R218" s="102" t="e">
        <f t="shared" si="47"/>
        <v>#DIV/0!</v>
      </c>
      <c r="S218" s="16" t="e">
        <f t="shared" si="48"/>
        <v>#DIV/0!</v>
      </c>
      <c r="T218" s="102" t="e">
        <f t="shared" si="49"/>
        <v>#DIV/0!</v>
      </c>
      <c r="U218" s="17" t="e">
        <f t="shared" si="50"/>
        <v>#DIV/0!</v>
      </c>
    </row>
    <row r="219" spans="1:21" x14ac:dyDescent="0.2">
      <c r="A219" s="99" t="s">
        <v>445</v>
      </c>
      <c r="B219" s="100" t="s">
        <v>37</v>
      </c>
      <c r="C219" s="100" t="s">
        <v>502</v>
      </c>
      <c r="D219" s="100" t="s">
        <v>392</v>
      </c>
      <c r="E219" s="101" t="s">
        <v>378</v>
      </c>
      <c r="F219" s="100" t="s">
        <v>300</v>
      </c>
      <c r="G219" s="100" t="s">
        <v>194</v>
      </c>
      <c r="H219" s="100" t="s">
        <v>9</v>
      </c>
      <c r="I219" s="100" t="s">
        <v>190</v>
      </c>
      <c r="J219" s="100"/>
      <c r="K219" s="102">
        <v>19</v>
      </c>
      <c r="L219" s="102">
        <f t="shared" si="45"/>
        <v>19</v>
      </c>
      <c r="M219" s="103">
        <f t="shared" ref="M219:M228" si="51">prodnorm30</f>
        <v>0</v>
      </c>
      <c r="N219" s="30">
        <f t="shared" ref="N219:N228" si="52">dagwerk30</f>
        <v>0</v>
      </c>
      <c r="O219" s="100" t="s">
        <v>96</v>
      </c>
      <c r="P219" s="16">
        <f t="shared" ref="P219:P228" si="53">uurtarief30</f>
        <v>0</v>
      </c>
      <c r="Q219" s="102" t="e">
        <f t="shared" si="46"/>
        <v>#DIV/0!</v>
      </c>
      <c r="R219" s="102" t="e">
        <f t="shared" si="47"/>
        <v>#DIV/0!</v>
      </c>
      <c r="S219" s="16" t="e">
        <f t="shared" si="48"/>
        <v>#DIV/0!</v>
      </c>
      <c r="T219" s="102" t="e">
        <f t="shared" si="49"/>
        <v>#DIV/0!</v>
      </c>
      <c r="U219" s="17" t="e">
        <f t="shared" si="50"/>
        <v>#DIV/0!</v>
      </c>
    </row>
    <row r="220" spans="1:21" x14ac:dyDescent="0.2">
      <c r="A220" s="99" t="s">
        <v>445</v>
      </c>
      <c r="B220" s="100" t="s">
        <v>37</v>
      </c>
      <c r="C220" s="100" t="s">
        <v>502</v>
      </c>
      <c r="D220" s="100" t="s">
        <v>393</v>
      </c>
      <c r="E220" s="101" t="s">
        <v>378</v>
      </c>
      <c r="F220" s="100" t="s">
        <v>300</v>
      </c>
      <c r="G220" s="100" t="s">
        <v>194</v>
      </c>
      <c r="H220" s="100" t="s">
        <v>9</v>
      </c>
      <c r="I220" s="100" t="s">
        <v>190</v>
      </c>
      <c r="J220" s="100"/>
      <c r="K220" s="102">
        <v>19</v>
      </c>
      <c r="L220" s="102">
        <f t="shared" si="45"/>
        <v>19</v>
      </c>
      <c r="M220" s="103">
        <f t="shared" si="51"/>
        <v>0</v>
      </c>
      <c r="N220" s="30">
        <f t="shared" si="52"/>
        <v>0</v>
      </c>
      <c r="O220" s="100" t="s">
        <v>96</v>
      </c>
      <c r="P220" s="16">
        <f t="shared" si="53"/>
        <v>0</v>
      </c>
      <c r="Q220" s="102" t="e">
        <f t="shared" si="46"/>
        <v>#DIV/0!</v>
      </c>
      <c r="R220" s="102" t="e">
        <f t="shared" si="47"/>
        <v>#DIV/0!</v>
      </c>
      <c r="S220" s="16" t="e">
        <f t="shared" si="48"/>
        <v>#DIV/0!</v>
      </c>
      <c r="T220" s="102" t="e">
        <f t="shared" si="49"/>
        <v>#DIV/0!</v>
      </c>
      <c r="U220" s="17" t="e">
        <f t="shared" si="50"/>
        <v>#DIV/0!</v>
      </c>
    </row>
    <row r="221" spans="1:21" x14ac:dyDescent="0.2">
      <c r="A221" s="99" t="s">
        <v>445</v>
      </c>
      <c r="B221" s="100" t="s">
        <v>37</v>
      </c>
      <c r="C221" s="100" t="s">
        <v>502</v>
      </c>
      <c r="D221" s="100" t="s">
        <v>394</v>
      </c>
      <c r="E221" s="101" t="s">
        <v>378</v>
      </c>
      <c r="F221" s="100" t="s">
        <v>300</v>
      </c>
      <c r="G221" s="100" t="s">
        <v>194</v>
      </c>
      <c r="H221" s="100" t="s">
        <v>9</v>
      </c>
      <c r="I221" s="100" t="s">
        <v>190</v>
      </c>
      <c r="J221" s="100"/>
      <c r="K221" s="102">
        <v>19</v>
      </c>
      <c r="L221" s="102">
        <f t="shared" si="45"/>
        <v>19</v>
      </c>
      <c r="M221" s="103">
        <f t="shared" si="51"/>
        <v>0</v>
      </c>
      <c r="N221" s="30">
        <f t="shared" si="52"/>
        <v>0</v>
      </c>
      <c r="O221" s="100" t="s">
        <v>96</v>
      </c>
      <c r="P221" s="16">
        <f t="shared" si="53"/>
        <v>0</v>
      </c>
      <c r="Q221" s="102" t="e">
        <f t="shared" si="46"/>
        <v>#DIV/0!</v>
      </c>
      <c r="R221" s="102" t="e">
        <f t="shared" si="47"/>
        <v>#DIV/0!</v>
      </c>
      <c r="S221" s="16" t="e">
        <f t="shared" si="48"/>
        <v>#DIV/0!</v>
      </c>
      <c r="T221" s="102" t="e">
        <f t="shared" si="49"/>
        <v>#DIV/0!</v>
      </c>
      <c r="U221" s="17" t="e">
        <f t="shared" si="50"/>
        <v>#DIV/0!</v>
      </c>
    </row>
    <row r="222" spans="1:21" x14ac:dyDescent="0.2">
      <c r="A222" s="99" t="s">
        <v>445</v>
      </c>
      <c r="B222" s="100" t="s">
        <v>37</v>
      </c>
      <c r="C222" s="100" t="s">
        <v>502</v>
      </c>
      <c r="D222" s="100" t="s">
        <v>421</v>
      </c>
      <c r="E222" s="101" t="s">
        <v>378</v>
      </c>
      <c r="F222" s="100" t="s">
        <v>300</v>
      </c>
      <c r="G222" s="100" t="s">
        <v>194</v>
      </c>
      <c r="H222" s="100" t="s">
        <v>9</v>
      </c>
      <c r="I222" s="100" t="s">
        <v>190</v>
      </c>
      <c r="J222" s="100"/>
      <c r="K222" s="102">
        <v>19</v>
      </c>
      <c r="L222" s="102">
        <f t="shared" si="45"/>
        <v>19</v>
      </c>
      <c r="M222" s="103">
        <f t="shared" si="51"/>
        <v>0</v>
      </c>
      <c r="N222" s="30">
        <f t="shared" si="52"/>
        <v>0</v>
      </c>
      <c r="O222" s="100" t="s">
        <v>96</v>
      </c>
      <c r="P222" s="16">
        <f t="shared" si="53"/>
        <v>0</v>
      </c>
      <c r="Q222" s="102" t="e">
        <f t="shared" si="46"/>
        <v>#DIV/0!</v>
      </c>
      <c r="R222" s="102" t="e">
        <f t="shared" si="47"/>
        <v>#DIV/0!</v>
      </c>
      <c r="S222" s="16" t="e">
        <f t="shared" si="48"/>
        <v>#DIV/0!</v>
      </c>
      <c r="T222" s="102" t="e">
        <f t="shared" si="49"/>
        <v>#DIV/0!</v>
      </c>
      <c r="U222" s="17" t="e">
        <f t="shared" si="50"/>
        <v>#DIV/0!</v>
      </c>
    </row>
    <row r="223" spans="1:21" x14ac:dyDescent="0.2">
      <c r="A223" s="99" t="s">
        <v>445</v>
      </c>
      <c r="B223" s="100" t="s">
        <v>37</v>
      </c>
      <c r="C223" s="100" t="s">
        <v>502</v>
      </c>
      <c r="D223" s="100" t="s">
        <v>505</v>
      </c>
      <c r="E223" s="101" t="s">
        <v>378</v>
      </c>
      <c r="F223" s="100" t="s">
        <v>300</v>
      </c>
      <c r="G223" s="100" t="s">
        <v>194</v>
      </c>
      <c r="H223" s="100" t="s">
        <v>9</v>
      </c>
      <c r="I223" s="100" t="s">
        <v>190</v>
      </c>
      <c r="J223" s="100"/>
      <c r="K223" s="102">
        <v>19</v>
      </c>
      <c r="L223" s="102">
        <f t="shared" si="45"/>
        <v>19</v>
      </c>
      <c r="M223" s="103">
        <f t="shared" si="51"/>
        <v>0</v>
      </c>
      <c r="N223" s="30">
        <f t="shared" si="52"/>
        <v>0</v>
      </c>
      <c r="O223" s="100" t="s">
        <v>96</v>
      </c>
      <c r="P223" s="16">
        <f t="shared" si="53"/>
        <v>0</v>
      </c>
      <c r="Q223" s="102" t="e">
        <f t="shared" si="46"/>
        <v>#DIV/0!</v>
      </c>
      <c r="R223" s="102" t="e">
        <f t="shared" si="47"/>
        <v>#DIV/0!</v>
      </c>
      <c r="S223" s="16" t="e">
        <f t="shared" si="48"/>
        <v>#DIV/0!</v>
      </c>
      <c r="T223" s="102" t="e">
        <f t="shared" si="49"/>
        <v>#DIV/0!</v>
      </c>
      <c r="U223" s="17" t="e">
        <f t="shared" si="50"/>
        <v>#DIV/0!</v>
      </c>
    </row>
    <row r="224" spans="1:21" x14ac:dyDescent="0.2">
      <c r="A224" s="99" t="s">
        <v>445</v>
      </c>
      <c r="B224" s="100" t="s">
        <v>37</v>
      </c>
      <c r="C224" s="100" t="s">
        <v>502</v>
      </c>
      <c r="D224" s="100" t="s">
        <v>506</v>
      </c>
      <c r="E224" s="101" t="s">
        <v>378</v>
      </c>
      <c r="F224" s="100" t="s">
        <v>300</v>
      </c>
      <c r="G224" s="100" t="s">
        <v>194</v>
      </c>
      <c r="H224" s="100" t="s">
        <v>9</v>
      </c>
      <c r="I224" s="100" t="s">
        <v>190</v>
      </c>
      <c r="J224" s="100"/>
      <c r="K224" s="102">
        <v>19</v>
      </c>
      <c r="L224" s="102">
        <f t="shared" si="45"/>
        <v>19</v>
      </c>
      <c r="M224" s="103">
        <f t="shared" si="51"/>
        <v>0</v>
      </c>
      <c r="N224" s="30">
        <f t="shared" si="52"/>
        <v>0</v>
      </c>
      <c r="O224" s="100" t="s">
        <v>96</v>
      </c>
      <c r="P224" s="16">
        <f t="shared" si="53"/>
        <v>0</v>
      </c>
      <c r="Q224" s="102" t="e">
        <f t="shared" si="46"/>
        <v>#DIV/0!</v>
      </c>
      <c r="R224" s="102" t="e">
        <f t="shared" si="47"/>
        <v>#DIV/0!</v>
      </c>
      <c r="S224" s="16" t="e">
        <f t="shared" si="48"/>
        <v>#DIV/0!</v>
      </c>
      <c r="T224" s="102" t="e">
        <f t="shared" si="49"/>
        <v>#DIV/0!</v>
      </c>
      <c r="U224" s="17" t="e">
        <f t="shared" si="50"/>
        <v>#DIV/0!</v>
      </c>
    </row>
    <row r="225" spans="1:21" x14ac:dyDescent="0.2">
      <c r="A225" s="99" t="s">
        <v>445</v>
      </c>
      <c r="B225" s="100" t="s">
        <v>37</v>
      </c>
      <c r="C225" s="100" t="s">
        <v>502</v>
      </c>
      <c r="D225" s="100" t="s">
        <v>507</v>
      </c>
      <c r="E225" s="101" t="s">
        <v>378</v>
      </c>
      <c r="F225" s="100" t="s">
        <v>300</v>
      </c>
      <c r="G225" s="100" t="s">
        <v>194</v>
      </c>
      <c r="H225" s="100" t="s">
        <v>9</v>
      </c>
      <c r="I225" s="100" t="s">
        <v>190</v>
      </c>
      <c r="J225" s="100"/>
      <c r="K225" s="102">
        <v>44</v>
      </c>
      <c r="L225" s="102">
        <f t="shared" si="45"/>
        <v>44</v>
      </c>
      <c r="M225" s="103">
        <f t="shared" si="51"/>
        <v>0</v>
      </c>
      <c r="N225" s="30">
        <f t="shared" si="52"/>
        <v>0</v>
      </c>
      <c r="O225" s="100" t="s">
        <v>96</v>
      </c>
      <c r="P225" s="16">
        <f t="shared" si="53"/>
        <v>0</v>
      </c>
      <c r="Q225" s="102" t="e">
        <f t="shared" si="46"/>
        <v>#DIV/0!</v>
      </c>
      <c r="R225" s="102" t="e">
        <f t="shared" si="47"/>
        <v>#DIV/0!</v>
      </c>
      <c r="S225" s="16" t="e">
        <f t="shared" si="48"/>
        <v>#DIV/0!</v>
      </c>
      <c r="T225" s="102" t="e">
        <f t="shared" si="49"/>
        <v>#DIV/0!</v>
      </c>
      <c r="U225" s="17" t="e">
        <f t="shared" si="50"/>
        <v>#DIV/0!</v>
      </c>
    </row>
    <row r="226" spans="1:21" x14ac:dyDescent="0.2">
      <c r="A226" s="99" t="s">
        <v>445</v>
      </c>
      <c r="B226" s="100" t="s">
        <v>37</v>
      </c>
      <c r="C226" s="100" t="s">
        <v>502</v>
      </c>
      <c r="D226" s="100" t="s">
        <v>508</v>
      </c>
      <c r="E226" s="101" t="s">
        <v>378</v>
      </c>
      <c r="F226" s="100" t="s">
        <v>300</v>
      </c>
      <c r="G226" s="100" t="s">
        <v>194</v>
      </c>
      <c r="H226" s="100" t="s">
        <v>9</v>
      </c>
      <c r="I226" s="100" t="s">
        <v>190</v>
      </c>
      <c r="J226" s="100"/>
      <c r="K226" s="102">
        <v>29</v>
      </c>
      <c r="L226" s="102">
        <f t="shared" si="45"/>
        <v>29</v>
      </c>
      <c r="M226" s="103">
        <f t="shared" si="51"/>
        <v>0</v>
      </c>
      <c r="N226" s="30">
        <f t="shared" si="52"/>
        <v>0</v>
      </c>
      <c r="O226" s="100" t="s">
        <v>96</v>
      </c>
      <c r="P226" s="16">
        <f t="shared" si="53"/>
        <v>0</v>
      </c>
      <c r="Q226" s="102" t="e">
        <f t="shared" si="46"/>
        <v>#DIV/0!</v>
      </c>
      <c r="R226" s="102" t="e">
        <f t="shared" si="47"/>
        <v>#DIV/0!</v>
      </c>
      <c r="S226" s="16" t="e">
        <f t="shared" si="48"/>
        <v>#DIV/0!</v>
      </c>
      <c r="T226" s="102" t="e">
        <f t="shared" si="49"/>
        <v>#DIV/0!</v>
      </c>
      <c r="U226" s="17" t="e">
        <f t="shared" si="50"/>
        <v>#DIV/0!</v>
      </c>
    </row>
    <row r="227" spans="1:21" x14ac:dyDescent="0.2">
      <c r="A227" s="99" t="s">
        <v>445</v>
      </c>
      <c r="B227" s="100" t="s">
        <v>37</v>
      </c>
      <c r="C227" s="100" t="s">
        <v>502</v>
      </c>
      <c r="D227" s="100" t="s">
        <v>509</v>
      </c>
      <c r="E227" s="101" t="s">
        <v>378</v>
      </c>
      <c r="F227" s="100" t="s">
        <v>300</v>
      </c>
      <c r="G227" s="100" t="s">
        <v>194</v>
      </c>
      <c r="H227" s="100" t="s">
        <v>9</v>
      </c>
      <c r="I227" s="100" t="s">
        <v>190</v>
      </c>
      <c r="J227" s="100"/>
      <c r="K227" s="102">
        <v>45</v>
      </c>
      <c r="L227" s="102">
        <f t="shared" si="45"/>
        <v>45</v>
      </c>
      <c r="M227" s="103">
        <f t="shared" si="51"/>
        <v>0</v>
      </c>
      <c r="N227" s="30">
        <f t="shared" si="52"/>
        <v>0</v>
      </c>
      <c r="O227" s="100" t="s">
        <v>96</v>
      </c>
      <c r="P227" s="16">
        <f t="shared" si="53"/>
        <v>0</v>
      </c>
      <c r="Q227" s="102" t="e">
        <f t="shared" si="46"/>
        <v>#DIV/0!</v>
      </c>
      <c r="R227" s="102" t="e">
        <f t="shared" si="47"/>
        <v>#DIV/0!</v>
      </c>
      <c r="S227" s="16" t="e">
        <f t="shared" si="48"/>
        <v>#DIV/0!</v>
      </c>
      <c r="T227" s="102" t="e">
        <f t="shared" si="49"/>
        <v>#DIV/0!</v>
      </c>
      <c r="U227" s="17" t="e">
        <f t="shared" si="50"/>
        <v>#DIV/0!</v>
      </c>
    </row>
    <row r="228" spans="1:21" x14ac:dyDescent="0.2">
      <c r="A228" s="99" t="s">
        <v>445</v>
      </c>
      <c r="B228" s="100" t="s">
        <v>37</v>
      </c>
      <c r="C228" s="100" t="s">
        <v>502</v>
      </c>
      <c r="D228" s="100" t="s">
        <v>510</v>
      </c>
      <c r="E228" s="101" t="s">
        <v>378</v>
      </c>
      <c r="F228" s="100" t="s">
        <v>300</v>
      </c>
      <c r="G228" s="100" t="s">
        <v>194</v>
      </c>
      <c r="H228" s="100" t="s">
        <v>9</v>
      </c>
      <c r="I228" s="100" t="s">
        <v>190</v>
      </c>
      <c r="J228" s="100"/>
      <c r="K228" s="102">
        <v>19</v>
      </c>
      <c r="L228" s="102">
        <f t="shared" si="45"/>
        <v>19</v>
      </c>
      <c r="M228" s="103">
        <f t="shared" si="51"/>
        <v>0</v>
      </c>
      <c r="N228" s="30">
        <f t="shared" si="52"/>
        <v>0</v>
      </c>
      <c r="O228" s="100" t="s">
        <v>96</v>
      </c>
      <c r="P228" s="16">
        <f t="shared" si="53"/>
        <v>0</v>
      </c>
      <c r="Q228" s="102" t="e">
        <f t="shared" si="46"/>
        <v>#DIV/0!</v>
      </c>
      <c r="R228" s="102" t="e">
        <f t="shared" si="47"/>
        <v>#DIV/0!</v>
      </c>
      <c r="S228" s="16" t="e">
        <f t="shared" si="48"/>
        <v>#DIV/0!</v>
      </c>
      <c r="T228" s="102" t="e">
        <f t="shared" si="49"/>
        <v>#DIV/0!</v>
      </c>
      <c r="U228" s="17" t="e">
        <f t="shared" si="50"/>
        <v>#DIV/0!</v>
      </c>
    </row>
    <row r="229" spans="1:21" x14ac:dyDescent="0.2">
      <c r="A229" s="99" t="s">
        <v>445</v>
      </c>
      <c r="B229" s="100" t="s">
        <v>37</v>
      </c>
      <c r="C229" s="100" t="s">
        <v>502</v>
      </c>
      <c r="D229" s="100" t="s">
        <v>511</v>
      </c>
      <c r="E229" s="101" t="s">
        <v>322</v>
      </c>
      <c r="F229" s="100" t="s">
        <v>300</v>
      </c>
      <c r="G229" s="100" t="s">
        <v>215</v>
      </c>
      <c r="H229" s="100" t="s">
        <v>9</v>
      </c>
      <c r="I229" s="100" t="s">
        <v>190</v>
      </c>
      <c r="J229" s="100"/>
      <c r="K229" s="102">
        <v>19</v>
      </c>
      <c r="L229" s="102">
        <f t="shared" ref="L229:L260" si="54">K229*VLOOKUP(H229,dagsoorttabel1,2,FALSE)</f>
        <v>19</v>
      </c>
      <c r="M229" s="103">
        <f>prodnorm44</f>
        <v>0</v>
      </c>
      <c r="N229" s="30">
        <f>dagwerk44</f>
        <v>0</v>
      </c>
      <c r="O229" s="100" t="s">
        <v>96</v>
      </c>
      <c r="P229" s="16">
        <f>uurtarief44</f>
        <v>0</v>
      </c>
      <c r="Q229" s="102" t="e">
        <f t="shared" ref="Q229:Q260" si="55">IF(ISBLANK(M229),0,L229/ROUND(M229,4))</f>
        <v>#DIV/0!</v>
      </c>
      <c r="R229" s="102" t="e">
        <f t="shared" ref="R229:R260" si="56">IF(ISBLANK(M229),0,Q229*ROUND(N229,2))</f>
        <v>#DIV/0!</v>
      </c>
      <c r="S229" s="16" t="e">
        <f t="shared" ref="S229:S260" si="57">ROUND(P229,2)*Q229</f>
        <v>#DIV/0!</v>
      </c>
      <c r="T229" s="102" t="e">
        <f t="shared" ref="T229:T260" si="58">Q229*dagenperjaar1</f>
        <v>#DIV/0!</v>
      </c>
      <c r="U229" s="17" t="e">
        <f t="shared" ref="U229:U260" si="59">T229*ROUND(P229,2)</f>
        <v>#DIV/0!</v>
      </c>
    </row>
    <row r="230" spans="1:21" x14ac:dyDescent="0.2">
      <c r="A230" s="99" t="s">
        <v>445</v>
      </c>
      <c r="B230" s="100" t="s">
        <v>37</v>
      </c>
      <c r="C230" s="100" t="s">
        <v>502</v>
      </c>
      <c r="D230" s="100" t="s">
        <v>512</v>
      </c>
      <c r="E230" s="101" t="s">
        <v>378</v>
      </c>
      <c r="F230" s="100" t="s">
        <v>300</v>
      </c>
      <c r="G230" s="100" t="s">
        <v>194</v>
      </c>
      <c r="H230" s="100" t="s">
        <v>9</v>
      </c>
      <c r="I230" s="100" t="s">
        <v>190</v>
      </c>
      <c r="J230" s="100"/>
      <c r="K230" s="102">
        <v>38</v>
      </c>
      <c r="L230" s="102">
        <f t="shared" si="54"/>
        <v>38</v>
      </c>
      <c r="M230" s="103">
        <f t="shared" ref="M230:M236" si="60">prodnorm30</f>
        <v>0</v>
      </c>
      <c r="N230" s="30">
        <f t="shared" ref="N230:N236" si="61">dagwerk30</f>
        <v>0</v>
      </c>
      <c r="O230" s="100" t="s">
        <v>96</v>
      </c>
      <c r="P230" s="16">
        <f t="shared" ref="P230:P236" si="62">uurtarief30</f>
        <v>0</v>
      </c>
      <c r="Q230" s="102" t="e">
        <f t="shared" si="55"/>
        <v>#DIV/0!</v>
      </c>
      <c r="R230" s="102" t="e">
        <f t="shared" si="56"/>
        <v>#DIV/0!</v>
      </c>
      <c r="S230" s="16" t="e">
        <f t="shared" si="57"/>
        <v>#DIV/0!</v>
      </c>
      <c r="T230" s="102" t="e">
        <f t="shared" si="58"/>
        <v>#DIV/0!</v>
      </c>
      <c r="U230" s="17" t="e">
        <f t="shared" si="59"/>
        <v>#DIV/0!</v>
      </c>
    </row>
    <row r="231" spans="1:21" x14ac:dyDescent="0.2">
      <c r="A231" s="99" t="s">
        <v>445</v>
      </c>
      <c r="B231" s="100" t="s">
        <v>37</v>
      </c>
      <c r="C231" s="100" t="s">
        <v>502</v>
      </c>
      <c r="D231" s="100" t="s">
        <v>513</v>
      </c>
      <c r="E231" s="101" t="s">
        <v>378</v>
      </c>
      <c r="F231" s="100" t="s">
        <v>300</v>
      </c>
      <c r="G231" s="100" t="s">
        <v>194</v>
      </c>
      <c r="H231" s="100" t="s">
        <v>9</v>
      </c>
      <c r="I231" s="100" t="s">
        <v>190</v>
      </c>
      <c r="J231" s="100"/>
      <c r="K231" s="102">
        <v>19</v>
      </c>
      <c r="L231" s="102">
        <f t="shared" si="54"/>
        <v>19</v>
      </c>
      <c r="M231" s="103">
        <f t="shared" si="60"/>
        <v>0</v>
      </c>
      <c r="N231" s="30">
        <f t="shared" si="61"/>
        <v>0</v>
      </c>
      <c r="O231" s="100" t="s">
        <v>96</v>
      </c>
      <c r="P231" s="16">
        <f t="shared" si="62"/>
        <v>0</v>
      </c>
      <c r="Q231" s="102" t="e">
        <f t="shared" si="55"/>
        <v>#DIV/0!</v>
      </c>
      <c r="R231" s="102" t="e">
        <f t="shared" si="56"/>
        <v>#DIV/0!</v>
      </c>
      <c r="S231" s="16" t="e">
        <f t="shared" si="57"/>
        <v>#DIV/0!</v>
      </c>
      <c r="T231" s="102" t="e">
        <f t="shared" si="58"/>
        <v>#DIV/0!</v>
      </c>
      <c r="U231" s="17" t="e">
        <f t="shared" si="59"/>
        <v>#DIV/0!</v>
      </c>
    </row>
    <row r="232" spans="1:21" x14ac:dyDescent="0.2">
      <c r="A232" s="99" t="s">
        <v>445</v>
      </c>
      <c r="B232" s="100" t="s">
        <v>37</v>
      </c>
      <c r="C232" s="100" t="s">
        <v>502</v>
      </c>
      <c r="D232" s="100" t="s">
        <v>514</v>
      </c>
      <c r="E232" s="101" t="s">
        <v>378</v>
      </c>
      <c r="F232" s="100" t="s">
        <v>300</v>
      </c>
      <c r="G232" s="100" t="s">
        <v>194</v>
      </c>
      <c r="H232" s="100" t="s">
        <v>9</v>
      </c>
      <c r="I232" s="100" t="s">
        <v>190</v>
      </c>
      <c r="J232" s="100"/>
      <c r="K232" s="102">
        <v>19</v>
      </c>
      <c r="L232" s="102">
        <f t="shared" si="54"/>
        <v>19</v>
      </c>
      <c r="M232" s="103">
        <f t="shared" si="60"/>
        <v>0</v>
      </c>
      <c r="N232" s="30">
        <f t="shared" si="61"/>
        <v>0</v>
      </c>
      <c r="O232" s="100" t="s">
        <v>96</v>
      </c>
      <c r="P232" s="16">
        <f t="shared" si="62"/>
        <v>0</v>
      </c>
      <c r="Q232" s="102" t="e">
        <f t="shared" si="55"/>
        <v>#DIV/0!</v>
      </c>
      <c r="R232" s="102" t="e">
        <f t="shared" si="56"/>
        <v>#DIV/0!</v>
      </c>
      <c r="S232" s="16" t="e">
        <f t="shared" si="57"/>
        <v>#DIV/0!</v>
      </c>
      <c r="T232" s="102" t="e">
        <f t="shared" si="58"/>
        <v>#DIV/0!</v>
      </c>
      <c r="U232" s="17" t="e">
        <f t="shared" si="59"/>
        <v>#DIV/0!</v>
      </c>
    </row>
    <row r="233" spans="1:21" x14ac:dyDescent="0.2">
      <c r="A233" s="99" t="s">
        <v>445</v>
      </c>
      <c r="B233" s="100" t="s">
        <v>37</v>
      </c>
      <c r="C233" s="100" t="s">
        <v>502</v>
      </c>
      <c r="D233" s="100" t="s">
        <v>515</v>
      </c>
      <c r="E233" s="101" t="s">
        <v>378</v>
      </c>
      <c r="F233" s="100" t="s">
        <v>300</v>
      </c>
      <c r="G233" s="100" t="s">
        <v>194</v>
      </c>
      <c r="H233" s="100" t="s">
        <v>9</v>
      </c>
      <c r="I233" s="100" t="s">
        <v>190</v>
      </c>
      <c r="J233" s="100"/>
      <c r="K233" s="102">
        <v>19</v>
      </c>
      <c r="L233" s="102">
        <f t="shared" si="54"/>
        <v>19</v>
      </c>
      <c r="M233" s="103">
        <f t="shared" si="60"/>
        <v>0</v>
      </c>
      <c r="N233" s="30">
        <f t="shared" si="61"/>
        <v>0</v>
      </c>
      <c r="O233" s="100" t="s">
        <v>96</v>
      </c>
      <c r="P233" s="16">
        <f t="shared" si="62"/>
        <v>0</v>
      </c>
      <c r="Q233" s="102" t="e">
        <f t="shared" si="55"/>
        <v>#DIV/0!</v>
      </c>
      <c r="R233" s="102" t="e">
        <f t="shared" si="56"/>
        <v>#DIV/0!</v>
      </c>
      <c r="S233" s="16" t="e">
        <f t="shared" si="57"/>
        <v>#DIV/0!</v>
      </c>
      <c r="T233" s="102" t="e">
        <f t="shared" si="58"/>
        <v>#DIV/0!</v>
      </c>
      <c r="U233" s="17" t="e">
        <f t="shared" si="59"/>
        <v>#DIV/0!</v>
      </c>
    </row>
    <row r="234" spans="1:21" x14ac:dyDescent="0.2">
      <c r="A234" s="99" t="s">
        <v>445</v>
      </c>
      <c r="B234" s="100" t="s">
        <v>37</v>
      </c>
      <c r="C234" s="100" t="s">
        <v>502</v>
      </c>
      <c r="D234" s="100" t="s">
        <v>516</v>
      </c>
      <c r="E234" s="101" t="s">
        <v>378</v>
      </c>
      <c r="F234" s="100" t="s">
        <v>300</v>
      </c>
      <c r="G234" s="100" t="s">
        <v>194</v>
      </c>
      <c r="H234" s="100" t="s">
        <v>9</v>
      </c>
      <c r="I234" s="100" t="s">
        <v>190</v>
      </c>
      <c r="J234" s="100"/>
      <c r="K234" s="102">
        <v>35</v>
      </c>
      <c r="L234" s="102">
        <f t="shared" si="54"/>
        <v>35</v>
      </c>
      <c r="M234" s="103">
        <f t="shared" si="60"/>
        <v>0</v>
      </c>
      <c r="N234" s="30">
        <f t="shared" si="61"/>
        <v>0</v>
      </c>
      <c r="O234" s="100" t="s">
        <v>96</v>
      </c>
      <c r="P234" s="16">
        <f t="shared" si="62"/>
        <v>0</v>
      </c>
      <c r="Q234" s="102" t="e">
        <f t="shared" si="55"/>
        <v>#DIV/0!</v>
      </c>
      <c r="R234" s="102" t="e">
        <f t="shared" si="56"/>
        <v>#DIV/0!</v>
      </c>
      <c r="S234" s="16" t="e">
        <f t="shared" si="57"/>
        <v>#DIV/0!</v>
      </c>
      <c r="T234" s="102" t="e">
        <f t="shared" si="58"/>
        <v>#DIV/0!</v>
      </c>
      <c r="U234" s="17" t="e">
        <f t="shared" si="59"/>
        <v>#DIV/0!</v>
      </c>
    </row>
    <row r="235" spans="1:21" x14ac:dyDescent="0.2">
      <c r="A235" s="99" t="s">
        <v>445</v>
      </c>
      <c r="B235" s="100" t="s">
        <v>37</v>
      </c>
      <c r="C235" s="100" t="s">
        <v>502</v>
      </c>
      <c r="D235" s="100" t="s">
        <v>517</v>
      </c>
      <c r="E235" s="101" t="s">
        <v>378</v>
      </c>
      <c r="F235" s="100" t="s">
        <v>300</v>
      </c>
      <c r="G235" s="100" t="s">
        <v>194</v>
      </c>
      <c r="H235" s="100" t="s">
        <v>9</v>
      </c>
      <c r="I235" s="100" t="s">
        <v>190</v>
      </c>
      <c r="J235" s="100"/>
      <c r="K235" s="102">
        <v>29</v>
      </c>
      <c r="L235" s="102">
        <f t="shared" si="54"/>
        <v>29</v>
      </c>
      <c r="M235" s="103">
        <f t="shared" si="60"/>
        <v>0</v>
      </c>
      <c r="N235" s="30">
        <f t="shared" si="61"/>
        <v>0</v>
      </c>
      <c r="O235" s="100" t="s">
        <v>96</v>
      </c>
      <c r="P235" s="16">
        <f t="shared" si="62"/>
        <v>0</v>
      </c>
      <c r="Q235" s="102" t="e">
        <f t="shared" si="55"/>
        <v>#DIV/0!</v>
      </c>
      <c r="R235" s="102" t="e">
        <f t="shared" si="56"/>
        <v>#DIV/0!</v>
      </c>
      <c r="S235" s="16" t="e">
        <f t="shared" si="57"/>
        <v>#DIV/0!</v>
      </c>
      <c r="T235" s="102" t="e">
        <f t="shared" si="58"/>
        <v>#DIV/0!</v>
      </c>
      <c r="U235" s="17" t="e">
        <f t="shared" si="59"/>
        <v>#DIV/0!</v>
      </c>
    </row>
    <row r="236" spans="1:21" x14ac:dyDescent="0.2">
      <c r="A236" s="99" t="s">
        <v>445</v>
      </c>
      <c r="B236" s="100" t="s">
        <v>37</v>
      </c>
      <c r="C236" s="100" t="s">
        <v>502</v>
      </c>
      <c r="D236" s="100" t="s">
        <v>518</v>
      </c>
      <c r="E236" s="101" t="s">
        <v>378</v>
      </c>
      <c r="F236" s="100" t="s">
        <v>300</v>
      </c>
      <c r="G236" s="100" t="s">
        <v>194</v>
      </c>
      <c r="H236" s="100" t="s">
        <v>9</v>
      </c>
      <c r="I236" s="100" t="s">
        <v>190</v>
      </c>
      <c r="J236" s="100"/>
      <c r="K236" s="102">
        <v>23</v>
      </c>
      <c r="L236" s="102">
        <f t="shared" si="54"/>
        <v>23</v>
      </c>
      <c r="M236" s="103">
        <f t="shared" si="60"/>
        <v>0</v>
      </c>
      <c r="N236" s="30">
        <f t="shared" si="61"/>
        <v>0</v>
      </c>
      <c r="O236" s="100" t="s">
        <v>96</v>
      </c>
      <c r="P236" s="16">
        <f t="shared" si="62"/>
        <v>0</v>
      </c>
      <c r="Q236" s="102" t="e">
        <f t="shared" si="55"/>
        <v>#DIV/0!</v>
      </c>
      <c r="R236" s="102" t="e">
        <f t="shared" si="56"/>
        <v>#DIV/0!</v>
      </c>
      <c r="S236" s="16" t="e">
        <f t="shared" si="57"/>
        <v>#DIV/0!</v>
      </c>
      <c r="T236" s="102" t="e">
        <f t="shared" si="58"/>
        <v>#DIV/0!</v>
      </c>
      <c r="U236" s="17" t="e">
        <f t="shared" si="59"/>
        <v>#DIV/0!</v>
      </c>
    </row>
    <row r="237" spans="1:21" x14ac:dyDescent="0.2">
      <c r="A237" s="99" t="s">
        <v>445</v>
      </c>
      <c r="B237" s="100" t="s">
        <v>37</v>
      </c>
      <c r="C237" s="100" t="s">
        <v>502</v>
      </c>
      <c r="D237" s="100" t="s">
        <v>519</v>
      </c>
      <c r="E237" s="101" t="s">
        <v>520</v>
      </c>
      <c r="F237" s="100" t="s">
        <v>300</v>
      </c>
      <c r="G237" s="100" t="s">
        <v>215</v>
      </c>
      <c r="H237" s="100" t="s">
        <v>9</v>
      </c>
      <c r="I237" s="100" t="s">
        <v>190</v>
      </c>
      <c r="J237" s="100"/>
      <c r="K237" s="102">
        <v>25</v>
      </c>
      <c r="L237" s="102">
        <f t="shared" si="54"/>
        <v>25</v>
      </c>
      <c r="M237" s="103">
        <f>prodnorm44</f>
        <v>0</v>
      </c>
      <c r="N237" s="30">
        <f>dagwerk44</f>
        <v>0</v>
      </c>
      <c r="O237" s="100" t="s">
        <v>96</v>
      </c>
      <c r="P237" s="16">
        <f>uurtarief44</f>
        <v>0</v>
      </c>
      <c r="Q237" s="102" t="e">
        <f t="shared" si="55"/>
        <v>#DIV/0!</v>
      </c>
      <c r="R237" s="102" t="e">
        <f t="shared" si="56"/>
        <v>#DIV/0!</v>
      </c>
      <c r="S237" s="16" t="e">
        <f t="shared" si="57"/>
        <v>#DIV/0!</v>
      </c>
      <c r="T237" s="102" t="e">
        <f t="shared" si="58"/>
        <v>#DIV/0!</v>
      </c>
      <c r="U237" s="17" t="e">
        <f t="shared" si="59"/>
        <v>#DIV/0!</v>
      </c>
    </row>
    <row r="238" spans="1:21" x14ac:dyDescent="0.2">
      <c r="A238" s="99" t="s">
        <v>445</v>
      </c>
      <c r="B238" s="100" t="s">
        <v>37</v>
      </c>
      <c r="C238" s="100" t="s">
        <v>502</v>
      </c>
      <c r="D238" s="100" t="s">
        <v>521</v>
      </c>
      <c r="E238" s="101" t="s">
        <v>378</v>
      </c>
      <c r="F238" s="100" t="s">
        <v>300</v>
      </c>
      <c r="G238" s="100" t="s">
        <v>194</v>
      </c>
      <c r="H238" s="100" t="s">
        <v>9</v>
      </c>
      <c r="I238" s="100" t="s">
        <v>190</v>
      </c>
      <c r="J238" s="100"/>
      <c r="K238" s="102">
        <v>17</v>
      </c>
      <c r="L238" s="102">
        <f t="shared" si="54"/>
        <v>17</v>
      </c>
      <c r="M238" s="103">
        <f>prodnorm30</f>
        <v>0</v>
      </c>
      <c r="N238" s="30">
        <f>dagwerk30</f>
        <v>0</v>
      </c>
      <c r="O238" s="100" t="s">
        <v>96</v>
      </c>
      <c r="P238" s="16">
        <f>uurtarief30</f>
        <v>0</v>
      </c>
      <c r="Q238" s="102" t="e">
        <f t="shared" si="55"/>
        <v>#DIV/0!</v>
      </c>
      <c r="R238" s="102" t="e">
        <f t="shared" si="56"/>
        <v>#DIV/0!</v>
      </c>
      <c r="S238" s="16" t="e">
        <f t="shared" si="57"/>
        <v>#DIV/0!</v>
      </c>
      <c r="T238" s="102" t="e">
        <f t="shared" si="58"/>
        <v>#DIV/0!</v>
      </c>
      <c r="U238" s="17" t="e">
        <f t="shared" si="59"/>
        <v>#DIV/0!</v>
      </c>
    </row>
    <row r="239" spans="1:21" x14ac:dyDescent="0.2">
      <c r="A239" s="99" t="s">
        <v>445</v>
      </c>
      <c r="B239" s="100" t="s">
        <v>37</v>
      </c>
      <c r="C239" s="100" t="s">
        <v>502</v>
      </c>
      <c r="D239" s="100" t="s">
        <v>522</v>
      </c>
      <c r="E239" s="101" t="s">
        <v>378</v>
      </c>
      <c r="F239" s="100" t="s">
        <v>300</v>
      </c>
      <c r="G239" s="100" t="s">
        <v>194</v>
      </c>
      <c r="H239" s="100" t="s">
        <v>9</v>
      </c>
      <c r="I239" s="100" t="s">
        <v>190</v>
      </c>
      <c r="J239" s="100"/>
      <c r="K239" s="102">
        <v>19</v>
      </c>
      <c r="L239" s="102">
        <f t="shared" si="54"/>
        <v>19</v>
      </c>
      <c r="M239" s="103">
        <f>prodnorm30</f>
        <v>0</v>
      </c>
      <c r="N239" s="30">
        <f>dagwerk30</f>
        <v>0</v>
      </c>
      <c r="O239" s="100" t="s">
        <v>96</v>
      </c>
      <c r="P239" s="16">
        <f>uurtarief30</f>
        <v>0</v>
      </c>
      <c r="Q239" s="102" t="e">
        <f t="shared" si="55"/>
        <v>#DIV/0!</v>
      </c>
      <c r="R239" s="102" t="e">
        <f t="shared" si="56"/>
        <v>#DIV/0!</v>
      </c>
      <c r="S239" s="16" t="e">
        <f t="shared" si="57"/>
        <v>#DIV/0!</v>
      </c>
      <c r="T239" s="102" t="e">
        <f t="shared" si="58"/>
        <v>#DIV/0!</v>
      </c>
      <c r="U239" s="17" t="e">
        <f t="shared" si="59"/>
        <v>#DIV/0!</v>
      </c>
    </row>
    <row r="240" spans="1:21" x14ac:dyDescent="0.2">
      <c r="A240" s="99" t="s">
        <v>445</v>
      </c>
      <c r="B240" s="100" t="s">
        <v>37</v>
      </c>
      <c r="C240" s="100" t="s">
        <v>502</v>
      </c>
      <c r="D240" s="100" t="s">
        <v>523</v>
      </c>
      <c r="E240" s="101" t="s">
        <v>524</v>
      </c>
      <c r="F240" s="100" t="s">
        <v>270</v>
      </c>
      <c r="G240" s="100" t="s">
        <v>222</v>
      </c>
      <c r="H240" s="100" t="s">
        <v>9</v>
      </c>
      <c r="I240" s="100" t="s">
        <v>190</v>
      </c>
      <c r="J240" s="100"/>
      <c r="K240" s="102">
        <v>5</v>
      </c>
      <c r="L240" s="102">
        <f t="shared" si="54"/>
        <v>5</v>
      </c>
      <c r="M240" s="103">
        <f t="shared" ref="M240:M246" si="63">prodnorm50</f>
        <v>0</v>
      </c>
      <c r="N240" s="30">
        <f t="shared" ref="N240:N246" si="64">dagwerk50</f>
        <v>0</v>
      </c>
      <c r="O240" s="100" t="s">
        <v>96</v>
      </c>
      <c r="P240" s="16">
        <f t="shared" ref="P240:P246" si="65">uurtarief50</f>
        <v>0</v>
      </c>
      <c r="Q240" s="102" t="e">
        <f t="shared" si="55"/>
        <v>#DIV/0!</v>
      </c>
      <c r="R240" s="102" t="e">
        <f t="shared" si="56"/>
        <v>#DIV/0!</v>
      </c>
      <c r="S240" s="16" t="e">
        <f t="shared" si="57"/>
        <v>#DIV/0!</v>
      </c>
      <c r="T240" s="102" t="e">
        <f t="shared" si="58"/>
        <v>#DIV/0!</v>
      </c>
      <c r="U240" s="17" t="e">
        <f t="shared" si="59"/>
        <v>#DIV/0!</v>
      </c>
    </row>
    <row r="241" spans="1:21" x14ac:dyDescent="0.2">
      <c r="A241" s="99" t="s">
        <v>445</v>
      </c>
      <c r="B241" s="100" t="s">
        <v>37</v>
      </c>
      <c r="C241" s="100" t="s">
        <v>502</v>
      </c>
      <c r="D241" s="100" t="s">
        <v>525</v>
      </c>
      <c r="E241" s="101" t="s">
        <v>526</v>
      </c>
      <c r="F241" s="100" t="s">
        <v>270</v>
      </c>
      <c r="G241" s="100" t="s">
        <v>222</v>
      </c>
      <c r="H241" s="100" t="s">
        <v>9</v>
      </c>
      <c r="I241" s="100" t="s">
        <v>190</v>
      </c>
      <c r="J241" s="100"/>
      <c r="K241" s="102">
        <v>4</v>
      </c>
      <c r="L241" s="102">
        <f t="shared" si="54"/>
        <v>4</v>
      </c>
      <c r="M241" s="103">
        <f t="shared" si="63"/>
        <v>0</v>
      </c>
      <c r="N241" s="30">
        <f t="shared" si="64"/>
        <v>0</v>
      </c>
      <c r="O241" s="100" t="s">
        <v>96</v>
      </c>
      <c r="P241" s="16">
        <f t="shared" si="65"/>
        <v>0</v>
      </c>
      <c r="Q241" s="102" t="e">
        <f t="shared" si="55"/>
        <v>#DIV/0!</v>
      </c>
      <c r="R241" s="102" t="e">
        <f t="shared" si="56"/>
        <v>#DIV/0!</v>
      </c>
      <c r="S241" s="16" t="e">
        <f t="shared" si="57"/>
        <v>#DIV/0!</v>
      </c>
      <c r="T241" s="102" t="e">
        <f t="shared" si="58"/>
        <v>#DIV/0!</v>
      </c>
      <c r="U241" s="17" t="e">
        <f t="shared" si="59"/>
        <v>#DIV/0!</v>
      </c>
    </row>
    <row r="242" spans="1:21" x14ac:dyDescent="0.2">
      <c r="A242" s="99" t="s">
        <v>445</v>
      </c>
      <c r="B242" s="100" t="s">
        <v>37</v>
      </c>
      <c r="C242" s="100" t="s">
        <v>502</v>
      </c>
      <c r="D242" s="100" t="s">
        <v>527</v>
      </c>
      <c r="E242" s="101" t="s">
        <v>435</v>
      </c>
      <c r="F242" s="100" t="s">
        <v>270</v>
      </c>
      <c r="G242" s="100" t="s">
        <v>222</v>
      </c>
      <c r="H242" s="100" t="s">
        <v>9</v>
      </c>
      <c r="I242" s="100" t="s">
        <v>190</v>
      </c>
      <c r="J242" s="100"/>
      <c r="K242" s="102">
        <v>1</v>
      </c>
      <c r="L242" s="102">
        <f t="shared" si="54"/>
        <v>1</v>
      </c>
      <c r="M242" s="103">
        <f t="shared" si="63"/>
        <v>0</v>
      </c>
      <c r="N242" s="30">
        <f t="shared" si="64"/>
        <v>0</v>
      </c>
      <c r="O242" s="100" t="s">
        <v>96</v>
      </c>
      <c r="P242" s="16">
        <f t="shared" si="65"/>
        <v>0</v>
      </c>
      <c r="Q242" s="102" t="e">
        <f t="shared" si="55"/>
        <v>#DIV/0!</v>
      </c>
      <c r="R242" s="102" t="e">
        <f t="shared" si="56"/>
        <v>#DIV/0!</v>
      </c>
      <c r="S242" s="16" t="e">
        <f t="shared" si="57"/>
        <v>#DIV/0!</v>
      </c>
      <c r="T242" s="102" t="e">
        <f t="shared" si="58"/>
        <v>#DIV/0!</v>
      </c>
      <c r="U242" s="17" t="e">
        <f t="shared" si="59"/>
        <v>#DIV/0!</v>
      </c>
    </row>
    <row r="243" spans="1:21" x14ac:dyDescent="0.2">
      <c r="A243" s="99" t="s">
        <v>445</v>
      </c>
      <c r="B243" s="100" t="s">
        <v>37</v>
      </c>
      <c r="C243" s="100" t="s">
        <v>502</v>
      </c>
      <c r="D243" s="100" t="s">
        <v>528</v>
      </c>
      <c r="E243" s="101" t="s">
        <v>435</v>
      </c>
      <c r="F243" s="100" t="s">
        <v>270</v>
      </c>
      <c r="G243" s="100" t="s">
        <v>222</v>
      </c>
      <c r="H243" s="100" t="s">
        <v>9</v>
      </c>
      <c r="I243" s="100" t="s">
        <v>190</v>
      </c>
      <c r="J243" s="100"/>
      <c r="K243" s="102">
        <v>1</v>
      </c>
      <c r="L243" s="102">
        <f t="shared" si="54"/>
        <v>1</v>
      </c>
      <c r="M243" s="103">
        <f t="shared" si="63"/>
        <v>0</v>
      </c>
      <c r="N243" s="30">
        <f t="shared" si="64"/>
        <v>0</v>
      </c>
      <c r="O243" s="100" t="s">
        <v>96</v>
      </c>
      <c r="P243" s="16">
        <f t="shared" si="65"/>
        <v>0</v>
      </c>
      <c r="Q243" s="102" t="e">
        <f t="shared" si="55"/>
        <v>#DIV/0!</v>
      </c>
      <c r="R243" s="102" t="e">
        <f t="shared" si="56"/>
        <v>#DIV/0!</v>
      </c>
      <c r="S243" s="16" t="e">
        <f t="shared" si="57"/>
        <v>#DIV/0!</v>
      </c>
      <c r="T243" s="102" t="e">
        <f t="shared" si="58"/>
        <v>#DIV/0!</v>
      </c>
      <c r="U243" s="17" t="e">
        <f t="shared" si="59"/>
        <v>#DIV/0!</v>
      </c>
    </row>
    <row r="244" spans="1:21" x14ac:dyDescent="0.2">
      <c r="A244" s="99" t="s">
        <v>445</v>
      </c>
      <c r="B244" s="100" t="s">
        <v>37</v>
      </c>
      <c r="C244" s="100" t="s">
        <v>502</v>
      </c>
      <c r="D244" s="100" t="s">
        <v>529</v>
      </c>
      <c r="E244" s="101" t="s">
        <v>526</v>
      </c>
      <c r="F244" s="100" t="s">
        <v>270</v>
      </c>
      <c r="G244" s="100" t="s">
        <v>222</v>
      </c>
      <c r="H244" s="100" t="s">
        <v>9</v>
      </c>
      <c r="I244" s="100" t="s">
        <v>190</v>
      </c>
      <c r="J244" s="100"/>
      <c r="K244" s="102">
        <v>4</v>
      </c>
      <c r="L244" s="102">
        <f t="shared" si="54"/>
        <v>4</v>
      </c>
      <c r="M244" s="103">
        <f t="shared" si="63"/>
        <v>0</v>
      </c>
      <c r="N244" s="30">
        <f t="shared" si="64"/>
        <v>0</v>
      </c>
      <c r="O244" s="100" t="s">
        <v>96</v>
      </c>
      <c r="P244" s="16">
        <f t="shared" si="65"/>
        <v>0</v>
      </c>
      <c r="Q244" s="102" t="e">
        <f t="shared" si="55"/>
        <v>#DIV/0!</v>
      </c>
      <c r="R244" s="102" t="e">
        <f t="shared" si="56"/>
        <v>#DIV/0!</v>
      </c>
      <c r="S244" s="16" t="e">
        <f t="shared" si="57"/>
        <v>#DIV/0!</v>
      </c>
      <c r="T244" s="102" t="e">
        <f t="shared" si="58"/>
        <v>#DIV/0!</v>
      </c>
      <c r="U244" s="17" t="e">
        <f t="shared" si="59"/>
        <v>#DIV/0!</v>
      </c>
    </row>
    <row r="245" spans="1:21" x14ac:dyDescent="0.2">
      <c r="A245" s="99" t="s">
        <v>445</v>
      </c>
      <c r="B245" s="100" t="s">
        <v>37</v>
      </c>
      <c r="C245" s="100" t="s">
        <v>502</v>
      </c>
      <c r="D245" s="100" t="s">
        <v>530</v>
      </c>
      <c r="E245" s="101" t="s">
        <v>435</v>
      </c>
      <c r="F245" s="100" t="s">
        <v>270</v>
      </c>
      <c r="G245" s="100" t="s">
        <v>222</v>
      </c>
      <c r="H245" s="100" t="s">
        <v>9</v>
      </c>
      <c r="I245" s="100" t="s">
        <v>190</v>
      </c>
      <c r="J245" s="100"/>
      <c r="K245" s="102">
        <v>1</v>
      </c>
      <c r="L245" s="102">
        <f t="shared" si="54"/>
        <v>1</v>
      </c>
      <c r="M245" s="103">
        <f t="shared" si="63"/>
        <v>0</v>
      </c>
      <c r="N245" s="30">
        <f t="shared" si="64"/>
        <v>0</v>
      </c>
      <c r="O245" s="100" t="s">
        <v>96</v>
      </c>
      <c r="P245" s="16">
        <f t="shared" si="65"/>
        <v>0</v>
      </c>
      <c r="Q245" s="102" t="e">
        <f t="shared" si="55"/>
        <v>#DIV/0!</v>
      </c>
      <c r="R245" s="102" t="e">
        <f t="shared" si="56"/>
        <v>#DIV/0!</v>
      </c>
      <c r="S245" s="16" t="e">
        <f t="shared" si="57"/>
        <v>#DIV/0!</v>
      </c>
      <c r="T245" s="102" t="e">
        <f t="shared" si="58"/>
        <v>#DIV/0!</v>
      </c>
      <c r="U245" s="17" t="e">
        <f t="shared" si="59"/>
        <v>#DIV/0!</v>
      </c>
    </row>
    <row r="246" spans="1:21" x14ac:dyDescent="0.2">
      <c r="A246" s="99" t="s">
        <v>445</v>
      </c>
      <c r="B246" s="100" t="s">
        <v>37</v>
      </c>
      <c r="C246" s="100" t="s">
        <v>502</v>
      </c>
      <c r="D246" s="100" t="s">
        <v>531</v>
      </c>
      <c r="E246" s="101" t="s">
        <v>435</v>
      </c>
      <c r="F246" s="100" t="s">
        <v>270</v>
      </c>
      <c r="G246" s="100" t="s">
        <v>222</v>
      </c>
      <c r="H246" s="100" t="s">
        <v>9</v>
      </c>
      <c r="I246" s="100" t="s">
        <v>190</v>
      </c>
      <c r="J246" s="100"/>
      <c r="K246" s="102">
        <v>1</v>
      </c>
      <c r="L246" s="102">
        <f t="shared" si="54"/>
        <v>1</v>
      </c>
      <c r="M246" s="103">
        <f t="shared" si="63"/>
        <v>0</v>
      </c>
      <c r="N246" s="30">
        <f t="shared" si="64"/>
        <v>0</v>
      </c>
      <c r="O246" s="100" t="s">
        <v>96</v>
      </c>
      <c r="P246" s="16">
        <f t="shared" si="65"/>
        <v>0</v>
      </c>
      <c r="Q246" s="102" t="e">
        <f t="shared" si="55"/>
        <v>#DIV/0!</v>
      </c>
      <c r="R246" s="102" t="e">
        <f t="shared" si="56"/>
        <v>#DIV/0!</v>
      </c>
      <c r="S246" s="16" t="e">
        <f t="shared" si="57"/>
        <v>#DIV/0!</v>
      </c>
      <c r="T246" s="102" t="e">
        <f t="shared" si="58"/>
        <v>#DIV/0!</v>
      </c>
      <c r="U246" s="17" t="e">
        <f t="shared" si="59"/>
        <v>#DIV/0!</v>
      </c>
    </row>
    <row r="247" spans="1:21" x14ac:dyDescent="0.2">
      <c r="A247" s="99" t="s">
        <v>445</v>
      </c>
      <c r="B247" s="100" t="s">
        <v>37</v>
      </c>
      <c r="C247" s="100" t="s">
        <v>502</v>
      </c>
      <c r="D247" s="100" t="s">
        <v>532</v>
      </c>
      <c r="E247" s="101" t="s">
        <v>344</v>
      </c>
      <c r="F247" s="100" t="s">
        <v>276</v>
      </c>
      <c r="G247" s="100" t="s">
        <v>217</v>
      </c>
      <c r="H247" s="100" t="s">
        <v>9</v>
      </c>
      <c r="I247" s="100" t="s">
        <v>190</v>
      </c>
      <c r="J247" s="100"/>
      <c r="K247" s="102">
        <v>36</v>
      </c>
      <c r="L247" s="102">
        <f t="shared" si="54"/>
        <v>36</v>
      </c>
      <c r="M247" s="103">
        <f>prodnorm46</f>
        <v>0</v>
      </c>
      <c r="N247" s="30">
        <f>dagwerk46</f>
        <v>0</v>
      </c>
      <c r="O247" s="100" t="s">
        <v>96</v>
      </c>
      <c r="P247" s="16">
        <f>uurtarief46</f>
        <v>0</v>
      </c>
      <c r="Q247" s="102" t="e">
        <f t="shared" si="55"/>
        <v>#DIV/0!</v>
      </c>
      <c r="R247" s="102" t="e">
        <f t="shared" si="56"/>
        <v>#DIV/0!</v>
      </c>
      <c r="S247" s="16" t="e">
        <f t="shared" si="57"/>
        <v>#DIV/0!</v>
      </c>
      <c r="T247" s="102" t="e">
        <f t="shared" si="58"/>
        <v>#DIV/0!</v>
      </c>
      <c r="U247" s="17" t="e">
        <f t="shared" si="59"/>
        <v>#DIV/0!</v>
      </c>
    </row>
    <row r="248" spans="1:21" x14ac:dyDescent="0.2">
      <c r="A248" s="99" t="s">
        <v>445</v>
      </c>
      <c r="B248" s="100" t="s">
        <v>37</v>
      </c>
      <c r="C248" s="100" t="s">
        <v>502</v>
      </c>
      <c r="D248" s="100" t="s">
        <v>533</v>
      </c>
      <c r="E248" s="101" t="s">
        <v>534</v>
      </c>
      <c r="F248" s="100" t="s">
        <v>276</v>
      </c>
      <c r="G248" s="100" t="s">
        <v>229</v>
      </c>
      <c r="H248" s="100" t="s">
        <v>9</v>
      </c>
      <c r="I248" s="100" t="s">
        <v>190</v>
      </c>
      <c r="J248" s="100"/>
      <c r="K248" s="102">
        <v>17</v>
      </c>
      <c r="L248" s="102">
        <f t="shared" si="54"/>
        <v>17</v>
      </c>
      <c r="M248" s="103">
        <f>prodnorm55</f>
        <v>0</v>
      </c>
      <c r="N248" s="30">
        <f>dagwerk55</f>
        <v>0</v>
      </c>
      <c r="O248" s="100" t="s">
        <v>96</v>
      </c>
      <c r="P248" s="16">
        <f>uurtarief55</f>
        <v>0</v>
      </c>
      <c r="Q248" s="102" t="e">
        <f t="shared" si="55"/>
        <v>#DIV/0!</v>
      </c>
      <c r="R248" s="102" t="e">
        <f t="shared" si="56"/>
        <v>#DIV/0!</v>
      </c>
      <c r="S248" s="16" t="e">
        <f t="shared" si="57"/>
        <v>#DIV/0!</v>
      </c>
      <c r="T248" s="102" t="e">
        <f t="shared" si="58"/>
        <v>#DIV/0!</v>
      </c>
      <c r="U248" s="17" t="e">
        <f t="shared" si="59"/>
        <v>#DIV/0!</v>
      </c>
    </row>
    <row r="249" spans="1:21" x14ac:dyDescent="0.2">
      <c r="A249" s="99" t="s">
        <v>445</v>
      </c>
      <c r="B249" s="100" t="s">
        <v>37</v>
      </c>
      <c r="C249" s="100" t="s">
        <v>502</v>
      </c>
      <c r="D249" s="100" t="s">
        <v>535</v>
      </c>
      <c r="E249" s="101" t="s">
        <v>536</v>
      </c>
      <c r="F249" s="100" t="s">
        <v>300</v>
      </c>
      <c r="G249" s="100" t="s">
        <v>194</v>
      </c>
      <c r="H249" s="100" t="s">
        <v>9</v>
      </c>
      <c r="I249" s="100" t="s">
        <v>190</v>
      </c>
      <c r="J249" s="100"/>
      <c r="K249" s="102">
        <v>5</v>
      </c>
      <c r="L249" s="102">
        <f t="shared" si="54"/>
        <v>5</v>
      </c>
      <c r="M249" s="103">
        <f>prodnorm30</f>
        <v>0</v>
      </c>
      <c r="N249" s="30">
        <f>dagwerk30</f>
        <v>0</v>
      </c>
      <c r="O249" s="100" t="s">
        <v>96</v>
      </c>
      <c r="P249" s="16">
        <f>uurtarief30</f>
        <v>0</v>
      </c>
      <c r="Q249" s="102" t="e">
        <f t="shared" si="55"/>
        <v>#DIV/0!</v>
      </c>
      <c r="R249" s="102" t="e">
        <f t="shared" si="56"/>
        <v>#DIV/0!</v>
      </c>
      <c r="S249" s="16" t="e">
        <f t="shared" si="57"/>
        <v>#DIV/0!</v>
      </c>
      <c r="T249" s="102" t="e">
        <f t="shared" si="58"/>
        <v>#DIV/0!</v>
      </c>
      <c r="U249" s="17" t="e">
        <f t="shared" si="59"/>
        <v>#DIV/0!</v>
      </c>
    </row>
    <row r="250" spans="1:21" x14ac:dyDescent="0.2">
      <c r="A250" s="99" t="s">
        <v>445</v>
      </c>
      <c r="B250" s="100" t="s">
        <v>37</v>
      </c>
      <c r="C250" s="100" t="s">
        <v>502</v>
      </c>
      <c r="D250" s="100" t="s">
        <v>537</v>
      </c>
      <c r="E250" s="101" t="s">
        <v>536</v>
      </c>
      <c r="F250" s="100" t="s">
        <v>300</v>
      </c>
      <c r="G250" s="100" t="s">
        <v>194</v>
      </c>
      <c r="H250" s="100" t="s">
        <v>9</v>
      </c>
      <c r="I250" s="100" t="s">
        <v>190</v>
      </c>
      <c r="J250" s="100"/>
      <c r="K250" s="102">
        <v>3</v>
      </c>
      <c r="L250" s="102">
        <f t="shared" si="54"/>
        <v>3</v>
      </c>
      <c r="M250" s="103">
        <f>prodnorm30</f>
        <v>0</v>
      </c>
      <c r="N250" s="30">
        <f>dagwerk30</f>
        <v>0</v>
      </c>
      <c r="O250" s="100" t="s">
        <v>96</v>
      </c>
      <c r="P250" s="16">
        <f>uurtarief30</f>
        <v>0</v>
      </c>
      <c r="Q250" s="102" t="e">
        <f t="shared" si="55"/>
        <v>#DIV/0!</v>
      </c>
      <c r="R250" s="102" t="e">
        <f t="shared" si="56"/>
        <v>#DIV/0!</v>
      </c>
      <c r="S250" s="16" t="e">
        <f t="shared" si="57"/>
        <v>#DIV/0!</v>
      </c>
      <c r="T250" s="102" t="e">
        <f t="shared" si="58"/>
        <v>#DIV/0!</v>
      </c>
      <c r="U250" s="17" t="e">
        <f t="shared" si="59"/>
        <v>#DIV/0!</v>
      </c>
    </row>
    <row r="251" spans="1:21" x14ac:dyDescent="0.2">
      <c r="A251" s="99" t="s">
        <v>445</v>
      </c>
      <c r="B251" s="100" t="s">
        <v>37</v>
      </c>
      <c r="C251" s="100" t="s">
        <v>502</v>
      </c>
      <c r="D251" s="100" t="s">
        <v>538</v>
      </c>
      <c r="E251" s="101" t="s">
        <v>536</v>
      </c>
      <c r="F251" s="100" t="s">
        <v>300</v>
      </c>
      <c r="G251" s="100" t="s">
        <v>194</v>
      </c>
      <c r="H251" s="100" t="s">
        <v>9</v>
      </c>
      <c r="I251" s="100" t="s">
        <v>190</v>
      </c>
      <c r="J251" s="100"/>
      <c r="K251" s="102">
        <v>3</v>
      </c>
      <c r="L251" s="102">
        <f t="shared" si="54"/>
        <v>3</v>
      </c>
      <c r="M251" s="103">
        <f>prodnorm30</f>
        <v>0</v>
      </c>
      <c r="N251" s="30">
        <f>dagwerk30</f>
        <v>0</v>
      </c>
      <c r="O251" s="100" t="s">
        <v>96</v>
      </c>
      <c r="P251" s="16">
        <f>uurtarief30</f>
        <v>0</v>
      </c>
      <c r="Q251" s="102" t="e">
        <f t="shared" si="55"/>
        <v>#DIV/0!</v>
      </c>
      <c r="R251" s="102" t="e">
        <f t="shared" si="56"/>
        <v>#DIV/0!</v>
      </c>
      <c r="S251" s="16" t="e">
        <f t="shared" si="57"/>
        <v>#DIV/0!</v>
      </c>
      <c r="T251" s="102" t="e">
        <f t="shared" si="58"/>
        <v>#DIV/0!</v>
      </c>
      <c r="U251" s="17" t="e">
        <f t="shared" si="59"/>
        <v>#DIV/0!</v>
      </c>
    </row>
    <row r="252" spans="1:21" x14ac:dyDescent="0.2">
      <c r="A252" s="99" t="s">
        <v>445</v>
      </c>
      <c r="B252" s="100" t="s">
        <v>37</v>
      </c>
      <c r="C252" s="100" t="s">
        <v>502</v>
      </c>
      <c r="D252" s="100" t="s">
        <v>539</v>
      </c>
      <c r="E252" s="101" t="s">
        <v>536</v>
      </c>
      <c r="F252" s="100" t="s">
        <v>300</v>
      </c>
      <c r="G252" s="100" t="s">
        <v>194</v>
      </c>
      <c r="H252" s="100" t="s">
        <v>9</v>
      </c>
      <c r="I252" s="100" t="s">
        <v>190</v>
      </c>
      <c r="J252" s="100"/>
      <c r="K252" s="102">
        <v>3</v>
      </c>
      <c r="L252" s="102">
        <f t="shared" si="54"/>
        <v>3</v>
      </c>
      <c r="M252" s="103">
        <f>prodnorm30</f>
        <v>0</v>
      </c>
      <c r="N252" s="30">
        <f>dagwerk30</f>
        <v>0</v>
      </c>
      <c r="O252" s="100" t="s">
        <v>96</v>
      </c>
      <c r="P252" s="16">
        <f>uurtarief30</f>
        <v>0</v>
      </c>
      <c r="Q252" s="102" t="e">
        <f t="shared" si="55"/>
        <v>#DIV/0!</v>
      </c>
      <c r="R252" s="102" t="e">
        <f t="shared" si="56"/>
        <v>#DIV/0!</v>
      </c>
      <c r="S252" s="16" t="e">
        <f t="shared" si="57"/>
        <v>#DIV/0!</v>
      </c>
      <c r="T252" s="102" t="e">
        <f t="shared" si="58"/>
        <v>#DIV/0!</v>
      </c>
      <c r="U252" s="17" t="e">
        <f t="shared" si="59"/>
        <v>#DIV/0!</v>
      </c>
    </row>
    <row r="253" spans="1:21" x14ac:dyDescent="0.2">
      <c r="A253" s="99" t="s">
        <v>445</v>
      </c>
      <c r="B253" s="100" t="s">
        <v>37</v>
      </c>
      <c r="C253" s="100" t="s">
        <v>502</v>
      </c>
      <c r="D253" s="100" t="s">
        <v>540</v>
      </c>
      <c r="E253" s="101" t="s">
        <v>526</v>
      </c>
      <c r="F253" s="100" t="s">
        <v>270</v>
      </c>
      <c r="G253" s="100" t="s">
        <v>222</v>
      </c>
      <c r="H253" s="100" t="s">
        <v>9</v>
      </c>
      <c r="I253" s="100" t="s">
        <v>190</v>
      </c>
      <c r="J253" s="100"/>
      <c r="K253" s="102">
        <v>4</v>
      </c>
      <c r="L253" s="102">
        <f t="shared" si="54"/>
        <v>4</v>
      </c>
      <c r="M253" s="103">
        <f t="shared" ref="M253:M258" si="66">prodnorm50</f>
        <v>0</v>
      </c>
      <c r="N253" s="30">
        <f t="shared" ref="N253:N258" si="67">dagwerk50</f>
        <v>0</v>
      </c>
      <c r="O253" s="100" t="s">
        <v>96</v>
      </c>
      <c r="P253" s="16">
        <f t="shared" ref="P253:P258" si="68">uurtarief50</f>
        <v>0</v>
      </c>
      <c r="Q253" s="102" t="e">
        <f t="shared" si="55"/>
        <v>#DIV/0!</v>
      </c>
      <c r="R253" s="102" t="e">
        <f t="shared" si="56"/>
        <v>#DIV/0!</v>
      </c>
      <c r="S253" s="16" t="e">
        <f t="shared" si="57"/>
        <v>#DIV/0!</v>
      </c>
      <c r="T253" s="102" t="e">
        <f t="shared" si="58"/>
        <v>#DIV/0!</v>
      </c>
      <c r="U253" s="17" t="e">
        <f t="shared" si="59"/>
        <v>#DIV/0!</v>
      </c>
    </row>
    <row r="254" spans="1:21" x14ac:dyDescent="0.2">
      <c r="A254" s="99" t="s">
        <v>445</v>
      </c>
      <c r="B254" s="100" t="s">
        <v>37</v>
      </c>
      <c r="C254" s="100" t="s">
        <v>502</v>
      </c>
      <c r="D254" s="100" t="s">
        <v>541</v>
      </c>
      <c r="E254" s="101" t="s">
        <v>542</v>
      </c>
      <c r="F254" s="100" t="s">
        <v>270</v>
      </c>
      <c r="G254" s="100" t="s">
        <v>222</v>
      </c>
      <c r="H254" s="100" t="s">
        <v>9</v>
      </c>
      <c r="I254" s="100" t="s">
        <v>190</v>
      </c>
      <c r="J254" s="100"/>
      <c r="K254" s="102">
        <v>1</v>
      </c>
      <c r="L254" s="102">
        <f t="shared" si="54"/>
        <v>1</v>
      </c>
      <c r="M254" s="103">
        <f t="shared" si="66"/>
        <v>0</v>
      </c>
      <c r="N254" s="30">
        <f t="shared" si="67"/>
        <v>0</v>
      </c>
      <c r="O254" s="100" t="s">
        <v>96</v>
      </c>
      <c r="P254" s="16">
        <f t="shared" si="68"/>
        <v>0</v>
      </c>
      <c r="Q254" s="102" t="e">
        <f t="shared" si="55"/>
        <v>#DIV/0!</v>
      </c>
      <c r="R254" s="102" t="e">
        <f t="shared" si="56"/>
        <v>#DIV/0!</v>
      </c>
      <c r="S254" s="16" t="e">
        <f t="shared" si="57"/>
        <v>#DIV/0!</v>
      </c>
      <c r="T254" s="102" t="e">
        <f t="shared" si="58"/>
        <v>#DIV/0!</v>
      </c>
      <c r="U254" s="17" t="e">
        <f t="shared" si="59"/>
        <v>#DIV/0!</v>
      </c>
    </row>
    <row r="255" spans="1:21" x14ac:dyDescent="0.2">
      <c r="A255" s="99" t="s">
        <v>445</v>
      </c>
      <c r="B255" s="100" t="s">
        <v>37</v>
      </c>
      <c r="C255" s="100" t="s">
        <v>502</v>
      </c>
      <c r="D255" s="100" t="s">
        <v>543</v>
      </c>
      <c r="E255" s="101" t="s">
        <v>542</v>
      </c>
      <c r="F255" s="100" t="s">
        <v>270</v>
      </c>
      <c r="G255" s="100" t="s">
        <v>222</v>
      </c>
      <c r="H255" s="100" t="s">
        <v>9</v>
      </c>
      <c r="I255" s="100" t="s">
        <v>190</v>
      </c>
      <c r="J255" s="100"/>
      <c r="K255" s="102">
        <v>1</v>
      </c>
      <c r="L255" s="102">
        <f t="shared" si="54"/>
        <v>1</v>
      </c>
      <c r="M255" s="103">
        <f t="shared" si="66"/>
        <v>0</v>
      </c>
      <c r="N255" s="30">
        <f t="shared" si="67"/>
        <v>0</v>
      </c>
      <c r="O255" s="100" t="s">
        <v>96</v>
      </c>
      <c r="P255" s="16">
        <f t="shared" si="68"/>
        <v>0</v>
      </c>
      <c r="Q255" s="102" t="e">
        <f t="shared" si="55"/>
        <v>#DIV/0!</v>
      </c>
      <c r="R255" s="102" t="e">
        <f t="shared" si="56"/>
        <v>#DIV/0!</v>
      </c>
      <c r="S255" s="16" t="e">
        <f t="shared" si="57"/>
        <v>#DIV/0!</v>
      </c>
      <c r="T255" s="102" t="e">
        <f t="shared" si="58"/>
        <v>#DIV/0!</v>
      </c>
      <c r="U255" s="17" t="e">
        <f t="shared" si="59"/>
        <v>#DIV/0!</v>
      </c>
    </row>
    <row r="256" spans="1:21" x14ac:dyDescent="0.2">
      <c r="A256" s="99" t="s">
        <v>445</v>
      </c>
      <c r="B256" s="100" t="s">
        <v>37</v>
      </c>
      <c r="C256" s="100" t="s">
        <v>502</v>
      </c>
      <c r="D256" s="100" t="s">
        <v>544</v>
      </c>
      <c r="E256" s="101" t="s">
        <v>526</v>
      </c>
      <c r="F256" s="100" t="s">
        <v>270</v>
      </c>
      <c r="G256" s="100" t="s">
        <v>222</v>
      </c>
      <c r="H256" s="100" t="s">
        <v>9</v>
      </c>
      <c r="I256" s="100" t="s">
        <v>190</v>
      </c>
      <c r="J256" s="100"/>
      <c r="K256" s="102">
        <v>4</v>
      </c>
      <c r="L256" s="102">
        <f t="shared" si="54"/>
        <v>4</v>
      </c>
      <c r="M256" s="103">
        <f t="shared" si="66"/>
        <v>0</v>
      </c>
      <c r="N256" s="30">
        <f t="shared" si="67"/>
        <v>0</v>
      </c>
      <c r="O256" s="100" t="s">
        <v>96</v>
      </c>
      <c r="P256" s="16">
        <f t="shared" si="68"/>
        <v>0</v>
      </c>
      <c r="Q256" s="102" t="e">
        <f t="shared" si="55"/>
        <v>#DIV/0!</v>
      </c>
      <c r="R256" s="102" t="e">
        <f t="shared" si="56"/>
        <v>#DIV/0!</v>
      </c>
      <c r="S256" s="16" t="e">
        <f t="shared" si="57"/>
        <v>#DIV/0!</v>
      </c>
      <c r="T256" s="102" t="e">
        <f t="shared" si="58"/>
        <v>#DIV/0!</v>
      </c>
      <c r="U256" s="17" t="e">
        <f t="shared" si="59"/>
        <v>#DIV/0!</v>
      </c>
    </row>
    <row r="257" spans="1:21" x14ac:dyDescent="0.2">
      <c r="A257" s="99" t="s">
        <v>445</v>
      </c>
      <c r="B257" s="100" t="s">
        <v>37</v>
      </c>
      <c r="C257" s="100" t="s">
        <v>502</v>
      </c>
      <c r="D257" s="100" t="s">
        <v>545</v>
      </c>
      <c r="E257" s="101" t="s">
        <v>542</v>
      </c>
      <c r="F257" s="100" t="s">
        <v>270</v>
      </c>
      <c r="G257" s="100" t="s">
        <v>222</v>
      </c>
      <c r="H257" s="100" t="s">
        <v>9</v>
      </c>
      <c r="I257" s="100" t="s">
        <v>190</v>
      </c>
      <c r="J257" s="100"/>
      <c r="K257" s="102">
        <v>1</v>
      </c>
      <c r="L257" s="102">
        <f t="shared" si="54"/>
        <v>1</v>
      </c>
      <c r="M257" s="103">
        <f t="shared" si="66"/>
        <v>0</v>
      </c>
      <c r="N257" s="30">
        <f t="shared" si="67"/>
        <v>0</v>
      </c>
      <c r="O257" s="100" t="s">
        <v>96</v>
      </c>
      <c r="P257" s="16">
        <f t="shared" si="68"/>
        <v>0</v>
      </c>
      <c r="Q257" s="102" t="e">
        <f t="shared" si="55"/>
        <v>#DIV/0!</v>
      </c>
      <c r="R257" s="102" t="e">
        <f t="shared" si="56"/>
        <v>#DIV/0!</v>
      </c>
      <c r="S257" s="16" t="e">
        <f t="shared" si="57"/>
        <v>#DIV/0!</v>
      </c>
      <c r="T257" s="102" t="e">
        <f t="shared" si="58"/>
        <v>#DIV/0!</v>
      </c>
      <c r="U257" s="17" t="e">
        <f t="shared" si="59"/>
        <v>#DIV/0!</v>
      </c>
    </row>
    <row r="258" spans="1:21" x14ac:dyDescent="0.2">
      <c r="A258" s="99" t="s">
        <v>445</v>
      </c>
      <c r="B258" s="100" t="s">
        <v>37</v>
      </c>
      <c r="C258" s="100" t="s">
        <v>502</v>
      </c>
      <c r="D258" s="100" t="s">
        <v>546</v>
      </c>
      <c r="E258" s="101" t="s">
        <v>542</v>
      </c>
      <c r="F258" s="100" t="s">
        <v>270</v>
      </c>
      <c r="G258" s="100" t="s">
        <v>222</v>
      </c>
      <c r="H258" s="100" t="s">
        <v>9</v>
      </c>
      <c r="I258" s="100" t="s">
        <v>190</v>
      </c>
      <c r="J258" s="100"/>
      <c r="K258" s="102">
        <v>1</v>
      </c>
      <c r="L258" s="102">
        <f t="shared" si="54"/>
        <v>1</v>
      </c>
      <c r="M258" s="103">
        <f t="shared" si="66"/>
        <v>0</v>
      </c>
      <c r="N258" s="30">
        <f t="shared" si="67"/>
        <v>0</v>
      </c>
      <c r="O258" s="100" t="s">
        <v>96</v>
      </c>
      <c r="P258" s="16">
        <f t="shared" si="68"/>
        <v>0</v>
      </c>
      <c r="Q258" s="102" t="e">
        <f t="shared" si="55"/>
        <v>#DIV/0!</v>
      </c>
      <c r="R258" s="102" t="e">
        <f t="shared" si="56"/>
        <v>#DIV/0!</v>
      </c>
      <c r="S258" s="16" t="e">
        <f t="shared" si="57"/>
        <v>#DIV/0!</v>
      </c>
      <c r="T258" s="102" t="e">
        <f t="shared" si="58"/>
        <v>#DIV/0!</v>
      </c>
      <c r="U258" s="17" t="e">
        <f t="shared" si="59"/>
        <v>#DIV/0!</v>
      </c>
    </row>
    <row r="259" spans="1:21" x14ac:dyDescent="0.2">
      <c r="A259" s="99" t="s">
        <v>445</v>
      </c>
      <c r="B259" s="100" t="s">
        <v>37</v>
      </c>
      <c r="C259" s="100" t="s">
        <v>502</v>
      </c>
      <c r="D259" s="100" t="s">
        <v>547</v>
      </c>
      <c r="E259" s="101" t="s">
        <v>520</v>
      </c>
      <c r="F259" s="100" t="s">
        <v>300</v>
      </c>
      <c r="G259" s="100" t="s">
        <v>215</v>
      </c>
      <c r="H259" s="100" t="s">
        <v>9</v>
      </c>
      <c r="I259" s="100" t="s">
        <v>190</v>
      </c>
      <c r="J259" s="100"/>
      <c r="K259" s="102">
        <v>5</v>
      </c>
      <c r="L259" s="102">
        <f t="shared" si="54"/>
        <v>5</v>
      </c>
      <c r="M259" s="103">
        <f>prodnorm44</f>
        <v>0</v>
      </c>
      <c r="N259" s="30">
        <f>dagwerk44</f>
        <v>0</v>
      </c>
      <c r="O259" s="100" t="s">
        <v>96</v>
      </c>
      <c r="P259" s="16">
        <f>uurtarief44</f>
        <v>0</v>
      </c>
      <c r="Q259" s="102" t="e">
        <f t="shared" si="55"/>
        <v>#DIV/0!</v>
      </c>
      <c r="R259" s="102" t="e">
        <f t="shared" si="56"/>
        <v>#DIV/0!</v>
      </c>
      <c r="S259" s="16" t="e">
        <f t="shared" si="57"/>
        <v>#DIV/0!</v>
      </c>
      <c r="T259" s="102" t="e">
        <f t="shared" si="58"/>
        <v>#DIV/0!</v>
      </c>
      <c r="U259" s="17" t="e">
        <f t="shared" si="59"/>
        <v>#DIV/0!</v>
      </c>
    </row>
    <row r="260" spans="1:21" x14ac:dyDescent="0.2">
      <c r="A260" s="99" t="s">
        <v>445</v>
      </c>
      <c r="B260" s="100" t="s">
        <v>37</v>
      </c>
      <c r="C260" s="100" t="s">
        <v>502</v>
      </c>
      <c r="D260" s="100" t="s">
        <v>548</v>
      </c>
      <c r="E260" s="101" t="s">
        <v>304</v>
      </c>
      <c r="F260" s="100" t="s">
        <v>300</v>
      </c>
      <c r="G260" s="100" t="s">
        <v>231</v>
      </c>
      <c r="H260" s="100" t="s">
        <v>9</v>
      </c>
      <c r="I260" s="100" t="s">
        <v>190</v>
      </c>
      <c r="J260" s="100"/>
      <c r="K260" s="102">
        <v>70</v>
      </c>
      <c r="L260" s="102">
        <f t="shared" si="54"/>
        <v>70</v>
      </c>
      <c r="M260" s="103">
        <f>prodnorm57</f>
        <v>0</v>
      </c>
      <c r="N260" s="30">
        <f>dagwerk57</f>
        <v>0</v>
      </c>
      <c r="O260" s="100" t="s">
        <v>96</v>
      </c>
      <c r="P260" s="16">
        <f>uurtarief57</f>
        <v>0</v>
      </c>
      <c r="Q260" s="102" t="e">
        <f t="shared" si="55"/>
        <v>#DIV/0!</v>
      </c>
      <c r="R260" s="102" t="e">
        <f t="shared" si="56"/>
        <v>#DIV/0!</v>
      </c>
      <c r="S260" s="16" t="e">
        <f t="shared" si="57"/>
        <v>#DIV/0!</v>
      </c>
      <c r="T260" s="102" t="e">
        <f t="shared" si="58"/>
        <v>#DIV/0!</v>
      </c>
      <c r="U260" s="17" t="e">
        <f t="shared" si="59"/>
        <v>#DIV/0!</v>
      </c>
    </row>
    <row r="261" spans="1:21" x14ac:dyDescent="0.2">
      <c r="A261" s="99" t="s">
        <v>445</v>
      </c>
      <c r="B261" s="100" t="s">
        <v>37</v>
      </c>
      <c r="C261" s="100" t="s">
        <v>549</v>
      </c>
      <c r="D261" s="100" t="s">
        <v>550</v>
      </c>
      <c r="E261" s="101" t="s">
        <v>448</v>
      </c>
      <c r="F261" s="100" t="s">
        <v>300</v>
      </c>
      <c r="G261" s="100" t="s">
        <v>215</v>
      </c>
      <c r="H261" s="100" t="s">
        <v>9</v>
      </c>
      <c r="I261" s="100" t="s">
        <v>190</v>
      </c>
      <c r="J261" s="100"/>
      <c r="K261" s="102">
        <v>10</v>
      </c>
      <c r="L261" s="102">
        <f t="shared" ref="L261:L292" si="69">K261*VLOOKUP(H261,dagsoorttabel1,2,FALSE)</f>
        <v>10</v>
      </c>
      <c r="M261" s="103">
        <f t="shared" ref="M261:M267" si="70">prodnorm44</f>
        <v>0</v>
      </c>
      <c r="N261" s="30">
        <f t="shared" ref="N261:N267" si="71">dagwerk44</f>
        <v>0</v>
      </c>
      <c r="O261" s="100" t="s">
        <v>96</v>
      </c>
      <c r="P261" s="16">
        <f t="shared" ref="P261:P267" si="72">uurtarief44</f>
        <v>0</v>
      </c>
      <c r="Q261" s="102" t="e">
        <f t="shared" ref="Q261:Q277" si="73">IF(ISBLANK(M261),0,L261/ROUND(M261,4))</f>
        <v>#DIV/0!</v>
      </c>
      <c r="R261" s="102" t="e">
        <f t="shared" ref="R261:R292" si="74">IF(ISBLANK(M261),0,Q261*ROUND(N261,2))</f>
        <v>#DIV/0!</v>
      </c>
      <c r="S261" s="16" t="e">
        <f t="shared" ref="S261:S277" si="75">ROUND(P261,2)*Q261</f>
        <v>#DIV/0!</v>
      </c>
      <c r="T261" s="102" t="e">
        <f t="shared" ref="T261:T277" si="76">Q261*dagenperjaar1</f>
        <v>#DIV/0!</v>
      </c>
      <c r="U261" s="17" t="e">
        <f t="shared" ref="U261:U292" si="77">T261*ROUND(P261,2)</f>
        <v>#DIV/0!</v>
      </c>
    </row>
    <row r="262" spans="1:21" x14ac:dyDescent="0.2">
      <c r="A262" s="99" t="s">
        <v>445</v>
      </c>
      <c r="B262" s="100" t="s">
        <v>37</v>
      </c>
      <c r="C262" s="100" t="s">
        <v>549</v>
      </c>
      <c r="D262" s="100" t="s">
        <v>551</v>
      </c>
      <c r="E262" s="101" t="s">
        <v>322</v>
      </c>
      <c r="F262" s="100" t="s">
        <v>300</v>
      </c>
      <c r="G262" s="100" t="s">
        <v>215</v>
      </c>
      <c r="H262" s="100" t="s">
        <v>9</v>
      </c>
      <c r="I262" s="100" t="s">
        <v>190</v>
      </c>
      <c r="J262" s="100"/>
      <c r="K262" s="102">
        <v>27</v>
      </c>
      <c r="L262" s="102">
        <f t="shared" si="69"/>
        <v>27</v>
      </c>
      <c r="M262" s="103">
        <f t="shared" si="70"/>
        <v>0</v>
      </c>
      <c r="N262" s="30">
        <f t="shared" si="71"/>
        <v>0</v>
      </c>
      <c r="O262" s="100" t="s">
        <v>96</v>
      </c>
      <c r="P262" s="16">
        <f t="shared" si="72"/>
        <v>0</v>
      </c>
      <c r="Q262" s="102" t="e">
        <f t="shared" si="73"/>
        <v>#DIV/0!</v>
      </c>
      <c r="R262" s="102" t="e">
        <f t="shared" si="74"/>
        <v>#DIV/0!</v>
      </c>
      <c r="S262" s="16" t="e">
        <f t="shared" si="75"/>
        <v>#DIV/0!</v>
      </c>
      <c r="T262" s="102" t="e">
        <f t="shared" si="76"/>
        <v>#DIV/0!</v>
      </c>
      <c r="U262" s="17" t="e">
        <f t="shared" si="77"/>
        <v>#DIV/0!</v>
      </c>
    </row>
    <row r="263" spans="1:21" x14ac:dyDescent="0.2">
      <c r="A263" s="99" t="s">
        <v>445</v>
      </c>
      <c r="B263" s="100" t="s">
        <v>37</v>
      </c>
      <c r="C263" s="100" t="s">
        <v>549</v>
      </c>
      <c r="D263" s="100" t="s">
        <v>552</v>
      </c>
      <c r="E263" s="101" t="s">
        <v>322</v>
      </c>
      <c r="F263" s="100" t="s">
        <v>300</v>
      </c>
      <c r="G263" s="100" t="s">
        <v>215</v>
      </c>
      <c r="H263" s="100" t="s">
        <v>9</v>
      </c>
      <c r="I263" s="100" t="s">
        <v>190</v>
      </c>
      <c r="J263" s="100"/>
      <c r="K263" s="102">
        <v>27</v>
      </c>
      <c r="L263" s="102">
        <f t="shared" si="69"/>
        <v>27</v>
      </c>
      <c r="M263" s="103">
        <f t="shared" si="70"/>
        <v>0</v>
      </c>
      <c r="N263" s="30">
        <f t="shared" si="71"/>
        <v>0</v>
      </c>
      <c r="O263" s="100" t="s">
        <v>96</v>
      </c>
      <c r="P263" s="16">
        <f t="shared" si="72"/>
        <v>0</v>
      </c>
      <c r="Q263" s="102" t="e">
        <f t="shared" si="73"/>
        <v>#DIV/0!</v>
      </c>
      <c r="R263" s="102" t="e">
        <f t="shared" si="74"/>
        <v>#DIV/0!</v>
      </c>
      <c r="S263" s="16" t="e">
        <f t="shared" si="75"/>
        <v>#DIV/0!</v>
      </c>
      <c r="T263" s="102" t="e">
        <f t="shared" si="76"/>
        <v>#DIV/0!</v>
      </c>
      <c r="U263" s="17" t="e">
        <f t="shared" si="77"/>
        <v>#DIV/0!</v>
      </c>
    </row>
    <row r="264" spans="1:21" x14ac:dyDescent="0.2">
      <c r="A264" s="99" t="s">
        <v>445</v>
      </c>
      <c r="B264" s="100" t="s">
        <v>37</v>
      </c>
      <c r="C264" s="100" t="s">
        <v>549</v>
      </c>
      <c r="D264" s="100" t="s">
        <v>553</v>
      </c>
      <c r="E264" s="101" t="s">
        <v>322</v>
      </c>
      <c r="F264" s="100" t="s">
        <v>300</v>
      </c>
      <c r="G264" s="100" t="s">
        <v>215</v>
      </c>
      <c r="H264" s="100" t="s">
        <v>9</v>
      </c>
      <c r="I264" s="100" t="s">
        <v>190</v>
      </c>
      <c r="J264" s="100"/>
      <c r="K264" s="102">
        <v>28</v>
      </c>
      <c r="L264" s="102">
        <f t="shared" si="69"/>
        <v>28</v>
      </c>
      <c r="M264" s="103">
        <f t="shared" si="70"/>
        <v>0</v>
      </c>
      <c r="N264" s="30">
        <f t="shared" si="71"/>
        <v>0</v>
      </c>
      <c r="O264" s="100" t="s">
        <v>96</v>
      </c>
      <c r="P264" s="16">
        <f t="shared" si="72"/>
        <v>0</v>
      </c>
      <c r="Q264" s="102" t="e">
        <f t="shared" si="73"/>
        <v>#DIV/0!</v>
      </c>
      <c r="R264" s="102" t="e">
        <f t="shared" si="74"/>
        <v>#DIV/0!</v>
      </c>
      <c r="S264" s="16" t="e">
        <f t="shared" si="75"/>
        <v>#DIV/0!</v>
      </c>
      <c r="T264" s="102" t="e">
        <f t="shared" si="76"/>
        <v>#DIV/0!</v>
      </c>
      <c r="U264" s="17" t="e">
        <f t="shared" si="77"/>
        <v>#DIV/0!</v>
      </c>
    </row>
    <row r="265" spans="1:21" x14ac:dyDescent="0.2">
      <c r="A265" s="99" t="s">
        <v>445</v>
      </c>
      <c r="B265" s="100" t="s">
        <v>37</v>
      </c>
      <c r="C265" s="100" t="s">
        <v>549</v>
      </c>
      <c r="D265" s="100" t="s">
        <v>554</v>
      </c>
      <c r="E265" s="101" t="s">
        <v>322</v>
      </c>
      <c r="F265" s="100" t="s">
        <v>300</v>
      </c>
      <c r="G265" s="100" t="s">
        <v>215</v>
      </c>
      <c r="H265" s="100" t="s">
        <v>9</v>
      </c>
      <c r="I265" s="100" t="s">
        <v>190</v>
      </c>
      <c r="J265" s="100"/>
      <c r="K265" s="102">
        <v>29</v>
      </c>
      <c r="L265" s="102">
        <f t="shared" si="69"/>
        <v>29</v>
      </c>
      <c r="M265" s="103">
        <f t="shared" si="70"/>
        <v>0</v>
      </c>
      <c r="N265" s="30">
        <f t="shared" si="71"/>
        <v>0</v>
      </c>
      <c r="O265" s="100" t="s">
        <v>96</v>
      </c>
      <c r="P265" s="16">
        <f t="shared" si="72"/>
        <v>0</v>
      </c>
      <c r="Q265" s="102" t="e">
        <f t="shared" si="73"/>
        <v>#DIV/0!</v>
      </c>
      <c r="R265" s="102" t="e">
        <f t="shared" si="74"/>
        <v>#DIV/0!</v>
      </c>
      <c r="S265" s="16" t="e">
        <f t="shared" si="75"/>
        <v>#DIV/0!</v>
      </c>
      <c r="T265" s="102" t="e">
        <f t="shared" si="76"/>
        <v>#DIV/0!</v>
      </c>
      <c r="U265" s="17" t="e">
        <f t="shared" si="77"/>
        <v>#DIV/0!</v>
      </c>
    </row>
    <row r="266" spans="1:21" x14ac:dyDescent="0.2">
      <c r="A266" s="99" t="s">
        <v>445</v>
      </c>
      <c r="B266" s="100" t="s">
        <v>37</v>
      </c>
      <c r="C266" s="100" t="s">
        <v>549</v>
      </c>
      <c r="D266" s="100" t="s">
        <v>555</v>
      </c>
      <c r="E266" s="101" t="s">
        <v>322</v>
      </c>
      <c r="F266" s="100" t="s">
        <v>300</v>
      </c>
      <c r="G266" s="100" t="s">
        <v>215</v>
      </c>
      <c r="H266" s="100" t="s">
        <v>9</v>
      </c>
      <c r="I266" s="100" t="s">
        <v>190</v>
      </c>
      <c r="J266" s="100"/>
      <c r="K266" s="102">
        <v>29</v>
      </c>
      <c r="L266" s="102">
        <f t="shared" si="69"/>
        <v>29</v>
      </c>
      <c r="M266" s="103">
        <f t="shared" si="70"/>
        <v>0</v>
      </c>
      <c r="N266" s="30">
        <f t="shared" si="71"/>
        <v>0</v>
      </c>
      <c r="O266" s="100" t="s">
        <v>96</v>
      </c>
      <c r="P266" s="16">
        <f t="shared" si="72"/>
        <v>0</v>
      </c>
      <c r="Q266" s="102" t="e">
        <f t="shared" si="73"/>
        <v>#DIV/0!</v>
      </c>
      <c r="R266" s="102" t="e">
        <f t="shared" si="74"/>
        <v>#DIV/0!</v>
      </c>
      <c r="S266" s="16" t="e">
        <f t="shared" si="75"/>
        <v>#DIV/0!</v>
      </c>
      <c r="T266" s="102" t="e">
        <f t="shared" si="76"/>
        <v>#DIV/0!</v>
      </c>
      <c r="U266" s="17" t="e">
        <f t="shared" si="77"/>
        <v>#DIV/0!</v>
      </c>
    </row>
    <row r="267" spans="1:21" x14ac:dyDescent="0.2">
      <c r="A267" s="99" t="s">
        <v>445</v>
      </c>
      <c r="B267" s="100" t="s">
        <v>37</v>
      </c>
      <c r="C267" s="100" t="s">
        <v>549</v>
      </c>
      <c r="D267" s="100" t="s">
        <v>556</v>
      </c>
      <c r="E267" s="101" t="s">
        <v>322</v>
      </c>
      <c r="F267" s="100" t="s">
        <v>300</v>
      </c>
      <c r="G267" s="100" t="s">
        <v>215</v>
      </c>
      <c r="H267" s="100" t="s">
        <v>9</v>
      </c>
      <c r="I267" s="100" t="s">
        <v>190</v>
      </c>
      <c r="J267" s="100"/>
      <c r="K267" s="102">
        <v>28</v>
      </c>
      <c r="L267" s="102">
        <f t="shared" si="69"/>
        <v>28</v>
      </c>
      <c r="M267" s="103">
        <f t="shared" si="70"/>
        <v>0</v>
      </c>
      <c r="N267" s="30">
        <f t="shared" si="71"/>
        <v>0</v>
      </c>
      <c r="O267" s="100" t="s">
        <v>96</v>
      </c>
      <c r="P267" s="16">
        <f t="shared" si="72"/>
        <v>0</v>
      </c>
      <c r="Q267" s="102" t="e">
        <f t="shared" si="73"/>
        <v>#DIV/0!</v>
      </c>
      <c r="R267" s="102" t="e">
        <f t="shared" si="74"/>
        <v>#DIV/0!</v>
      </c>
      <c r="S267" s="16" t="e">
        <f t="shared" si="75"/>
        <v>#DIV/0!</v>
      </c>
      <c r="T267" s="102" t="e">
        <f t="shared" si="76"/>
        <v>#DIV/0!</v>
      </c>
      <c r="U267" s="17" t="e">
        <f t="shared" si="77"/>
        <v>#DIV/0!</v>
      </c>
    </row>
    <row r="268" spans="1:21" x14ac:dyDescent="0.2">
      <c r="A268" s="99" t="s">
        <v>445</v>
      </c>
      <c r="B268" s="100" t="s">
        <v>37</v>
      </c>
      <c r="C268" s="100" t="s">
        <v>549</v>
      </c>
      <c r="D268" s="100" t="s">
        <v>557</v>
      </c>
      <c r="E268" s="101" t="s">
        <v>558</v>
      </c>
      <c r="F268" s="100" t="s">
        <v>300</v>
      </c>
      <c r="G268" s="100" t="s">
        <v>231</v>
      </c>
      <c r="H268" s="100" t="s">
        <v>9</v>
      </c>
      <c r="I268" s="100" t="s">
        <v>190</v>
      </c>
      <c r="J268" s="100"/>
      <c r="K268" s="102">
        <v>81</v>
      </c>
      <c r="L268" s="102">
        <f t="shared" si="69"/>
        <v>81</v>
      </c>
      <c r="M268" s="103">
        <f>prodnorm57</f>
        <v>0</v>
      </c>
      <c r="N268" s="30">
        <f>dagwerk57</f>
        <v>0</v>
      </c>
      <c r="O268" s="100" t="s">
        <v>96</v>
      </c>
      <c r="P268" s="16">
        <f>uurtarief57</f>
        <v>0</v>
      </c>
      <c r="Q268" s="102" t="e">
        <f t="shared" si="73"/>
        <v>#DIV/0!</v>
      </c>
      <c r="R268" s="102" t="e">
        <f t="shared" si="74"/>
        <v>#DIV/0!</v>
      </c>
      <c r="S268" s="16" t="e">
        <f t="shared" si="75"/>
        <v>#DIV/0!</v>
      </c>
      <c r="T268" s="102" t="e">
        <f t="shared" si="76"/>
        <v>#DIV/0!</v>
      </c>
      <c r="U268" s="17" t="e">
        <f t="shared" si="77"/>
        <v>#DIV/0!</v>
      </c>
    </row>
    <row r="269" spans="1:21" x14ac:dyDescent="0.2">
      <c r="A269" s="99" t="s">
        <v>445</v>
      </c>
      <c r="B269" s="100" t="s">
        <v>37</v>
      </c>
      <c r="C269" s="100" t="s">
        <v>549</v>
      </c>
      <c r="D269" s="100" t="s">
        <v>559</v>
      </c>
      <c r="E269" s="101" t="s">
        <v>344</v>
      </c>
      <c r="F269" s="100" t="s">
        <v>276</v>
      </c>
      <c r="G269" s="100" t="s">
        <v>217</v>
      </c>
      <c r="H269" s="100" t="s">
        <v>9</v>
      </c>
      <c r="I269" s="100" t="s">
        <v>190</v>
      </c>
      <c r="J269" s="100"/>
      <c r="K269" s="102">
        <v>5</v>
      </c>
      <c r="L269" s="102">
        <f t="shared" si="69"/>
        <v>5</v>
      </c>
      <c r="M269" s="103">
        <f>prodnorm46</f>
        <v>0</v>
      </c>
      <c r="N269" s="30">
        <f>dagwerk46</f>
        <v>0</v>
      </c>
      <c r="O269" s="100" t="s">
        <v>96</v>
      </c>
      <c r="P269" s="16">
        <f>uurtarief46</f>
        <v>0</v>
      </c>
      <c r="Q269" s="102" t="e">
        <f t="shared" si="73"/>
        <v>#DIV/0!</v>
      </c>
      <c r="R269" s="102" t="e">
        <f t="shared" si="74"/>
        <v>#DIV/0!</v>
      </c>
      <c r="S269" s="16" t="e">
        <f t="shared" si="75"/>
        <v>#DIV/0!</v>
      </c>
      <c r="T269" s="102" t="e">
        <f t="shared" si="76"/>
        <v>#DIV/0!</v>
      </c>
      <c r="U269" s="17" t="e">
        <f t="shared" si="77"/>
        <v>#DIV/0!</v>
      </c>
    </row>
    <row r="270" spans="1:21" x14ac:dyDescent="0.2">
      <c r="A270" s="99" t="s">
        <v>445</v>
      </c>
      <c r="B270" s="100" t="s">
        <v>37</v>
      </c>
      <c r="C270" s="100" t="s">
        <v>549</v>
      </c>
      <c r="D270" s="100" t="s">
        <v>560</v>
      </c>
      <c r="E270" s="101" t="s">
        <v>430</v>
      </c>
      <c r="F270" s="100" t="s">
        <v>300</v>
      </c>
      <c r="G270" s="100" t="s">
        <v>231</v>
      </c>
      <c r="H270" s="100" t="s">
        <v>9</v>
      </c>
      <c r="I270" s="100" t="s">
        <v>190</v>
      </c>
      <c r="J270" s="100"/>
      <c r="K270" s="102">
        <v>2</v>
      </c>
      <c r="L270" s="102">
        <f t="shared" si="69"/>
        <v>2</v>
      </c>
      <c r="M270" s="103">
        <f>prodnorm57</f>
        <v>0</v>
      </c>
      <c r="N270" s="30">
        <f>dagwerk57</f>
        <v>0</v>
      </c>
      <c r="O270" s="100" t="s">
        <v>96</v>
      </c>
      <c r="P270" s="16">
        <f>uurtarief57</f>
        <v>0</v>
      </c>
      <c r="Q270" s="102" t="e">
        <f t="shared" si="73"/>
        <v>#DIV/0!</v>
      </c>
      <c r="R270" s="102" t="e">
        <f t="shared" si="74"/>
        <v>#DIV/0!</v>
      </c>
      <c r="S270" s="16" t="e">
        <f t="shared" si="75"/>
        <v>#DIV/0!</v>
      </c>
      <c r="T270" s="102" t="e">
        <f t="shared" si="76"/>
        <v>#DIV/0!</v>
      </c>
      <c r="U270" s="17" t="e">
        <f t="shared" si="77"/>
        <v>#DIV/0!</v>
      </c>
    </row>
    <row r="271" spans="1:21" x14ac:dyDescent="0.2">
      <c r="A271" s="99" t="s">
        <v>445</v>
      </c>
      <c r="B271" s="100" t="s">
        <v>37</v>
      </c>
      <c r="C271" s="100" t="s">
        <v>549</v>
      </c>
      <c r="D271" s="100" t="s">
        <v>561</v>
      </c>
      <c r="E271" s="101" t="s">
        <v>526</v>
      </c>
      <c r="F271" s="100" t="s">
        <v>270</v>
      </c>
      <c r="G271" s="100" t="s">
        <v>222</v>
      </c>
      <c r="H271" s="100" t="s">
        <v>9</v>
      </c>
      <c r="I271" s="100" t="s">
        <v>190</v>
      </c>
      <c r="J271" s="100"/>
      <c r="K271" s="102">
        <v>4</v>
      </c>
      <c r="L271" s="102">
        <f t="shared" si="69"/>
        <v>4</v>
      </c>
      <c r="M271" s="103">
        <f t="shared" ref="M271:M276" si="78">prodnorm50</f>
        <v>0</v>
      </c>
      <c r="N271" s="30">
        <f t="shared" ref="N271:N276" si="79">dagwerk50</f>
        <v>0</v>
      </c>
      <c r="O271" s="100" t="s">
        <v>96</v>
      </c>
      <c r="P271" s="16">
        <f t="shared" ref="P271:P276" si="80">uurtarief50</f>
        <v>0</v>
      </c>
      <c r="Q271" s="102" t="e">
        <f t="shared" si="73"/>
        <v>#DIV/0!</v>
      </c>
      <c r="R271" s="102" t="e">
        <f t="shared" si="74"/>
        <v>#DIV/0!</v>
      </c>
      <c r="S271" s="16" t="e">
        <f t="shared" si="75"/>
        <v>#DIV/0!</v>
      </c>
      <c r="T271" s="102" t="e">
        <f t="shared" si="76"/>
        <v>#DIV/0!</v>
      </c>
      <c r="U271" s="17" t="e">
        <f t="shared" si="77"/>
        <v>#DIV/0!</v>
      </c>
    </row>
    <row r="272" spans="1:21" x14ac:dyDescent="0.2">
      <c r="A272" s="99" t="s">
        <v>445</v>
      </c>
      <c r="B272" s="100" t="s">
        <v>37</v>
      </c>
      <c r="C272" s="100" t="s">
        <v>549</v>
      </c>
      <c r="D272" s="100" t="s">
        <v>562</v>
      </c>
      <c r="E272" s="101" t="s">
        <v>542</v>
      </c>
      <c r="F272" s="100" t="s">
        <v>270</v>
      </c>
      <c r="G272" s="100" t="s">
        <v>222</v>
      </c>
      <c r="H272" s="100" t="s">
        <v>9</v>
      </c>
      <c r="I272" s="100" t="s">
        <v>190</v>
      </c>
      <c r="J272" s="100"/>
      <c r="K272" s="102">
        <v>1</v>
      </c>
      <c r="L272" s="102">
        <f t="shared" si="69"/>
        <v>1</v>
      </c>
      <c r="M272" s="103">
        <f t="shared" si="78"/>
        <v>0</v>
      </c>
      <c r="N272" s="30">
        <f t="shared" si="79"/>
        <v>0</v>
      </c>
      <c r="O272" s="100" t="s">
        <v>96</v>
      </c>
      <c r="P272" s="16">
        <f t="shared" si="80"/>
        <v>0</v>
      </c>
      <c r="Q272" s="102" t="e">
        <f t="shared" si="73"/>
        <v>#DIV/0!</v>
      </c>
      <c r="R272" s="102" t="e">
        <f t="shared" si="74"/>
        <v>#DIV/0!</v>
      </c>
      <c r="S272" s="16" t="e">
        <f t="shared" si="75"/>
        <v>#DIV/0!</v>
      </c>
      <c r="T272" s="102" t="e">
        <f t="shared" si="76"/>
        <v>#DIV/0!</v>
      </c>
      <c r="U272" s="17" t="e">
        <f t="shared" si="77"/>
        <v>#DIV/0!</v>
      </c>
    </row>
    <row r="273" spans="1:21" x14ac:dyDescent="0.2">
      <c r="A273" s="99" t="s">
        <v>445</v>
      </c>
      <c r="B273" s="100" t="s">
        <v>37</v>
      </c>
      <c r="C273" s="100" t="s">
        <v>549</v>
      </c>
      <c r="D273" s="100" t="s">
        <v>563</v>
      </c>
      <c r="E273" s="101" t="s">
        <v>542</v>
      </c>
      <c r="F273" s="100" t="s">
        <v>270</v>
      </c>
      <c r="G273" s="100" t="s">
        <v>222</v>
      </c>
      <c r="H273" s="100" t="s">
        <v>9</v>
      </c>
      <c r="I273" s="100" t="s">
        <v>190</v>
      </c>
      <c r="J273" s="100"/>
      <c r="K273" s="102">
        <v>1</v>
      </c>
      <c r="L273" s="102">
        <f t="shared" si="69"/>
        <v>1</v>
      </c>
      <c r="M273" s="103">
        <f t="shared" si="78"/>
        <v>0</v>
      </c>
      <c r="N273" s="30">
        <f t="shared" si="79"/>
        <v>0</v>
      </c>
      <c r="O273" s="100" t="s">
        <v>96</v>
      </c>
      <c r="P273" s="16">
        <f t="shared" si="80"/>
        <v>0</v>
      </c>
      <c r="Q273" s="102" t="e">
        <f t="shared" si="73"/>
        <v>#DIV/0!</v>
      </c>
      <c r="R273" s="102" t="e">
        <f t="shared" si="74"/>
        <v>#DIV/0!</v>
      </c>
      <c r="S273" s="16" t="e">
        <f t="shared" si="75"/>
        <v>#DIV/0!</v>
      </c>
      <c r="T273" s="102" t="e">
        <f t="shared" si="76"/>
        <v>#DIV/0!</v>
      </c>
      <c r="U273" s="17" t="e">
        <f t="shared" si="77"/>
        <v>#DIV/0!</v>
      </c>
    </row>
    <row r="274" spans="1:21" x14ac:dyDescent="0.2">
      <c r="A274" s="99" t="s">
        <v>445</v>
      </c>
      <c r="B274" s="100" t="s">
        <v>37</v>
      </c>
      <c r="C274" s="100" t="s">
        <v>549</v>
      </c>
      <c r="D274" s="100" t="s">
        <v>564</v>
      </c>
      <c r="E274" s="101" t="s">
        <v>526</v>
      </c>
      <c r="F274" s="100" t="s">
        <v>270</v>
      </c>
      <c r="G274" s="100" t="s">
        <v>222</v>
      </c>
      <c r="H274" s="100" t="s">
        <v>9</v>
      </c>
      <c r="I274" s="100" t="s">
        <v>190</v>
      </c>
      <c r="J274" s="100"/>
      <c r="K274" s="102">
        <v>4</v>
      </c>
      <c r="L274" s="102">
        <f t="shared" si="69"/>
        <v>4</v>
      </c>
      <c r="M274" s="103">
        <f t="shared" si="78"/>
        <v>0</v>
      </c>
      <c r="N274" s="30">
        <f t="shared" si="79"/>
        <v>0</v>
      </c>
      <c r="O274" s="100" t="s">
        <v>96</v>
      </c>
      <c r="P274" s="16">
        <f t="shared" si="80"/>
        <v>0</v>
      </c>
      <c r="Q274" s="102" t="e">
        <f t="shared" si="73"/>
        <v>#DIV/0!</v>
      </c>
      <c r="R274" s="102" t="e">
        <f t="shared" si="74"/>
        <v>#DIV/0!</v>
      </c>
      <c r="S274" s="16" t="e">
        <f t="shared" si="75"/>
        <v>#DIV/0!</v>
      </c>
      <c r="T274" s="102" t="e">
        <f t="shared" si="76"/>
        <v>#DIV/0!</v>
      </c>
      <c r="U274" s="17" t="e">
        <f t="shared" si="77"/>
        <v>#DIV/0!</v>
      </c>
    </row>
    <row r="275" spans="1:21" x14ac:dyDescent="0.2">
      <c r="A275" s="99" t="s">
        <v>445</v>
      </c>
      <c r="B275" s="100" t="s">
        <v>37</v>
      </c>
      <c r="C275" s="100" t="s">
        <v>549</v>
      </c>
      <c r="D275" s="100" t="s">
        <v>565</v>
      </c>
      <c r="E275" s="101" t="s">
        <v>542</v>
      </c>
      <c r="F275" s="100" t="s">
        <v>270</v>
      </c>
      <c r="G275" s="100" t="s">
        <v>222</v>
      </c>
      <c r="H275" s="100" t="s">
        <v>9</v>
      </c>
      <c r="I275" s="100" t="s">
        <v>190</v>
      </c>
      <c r="J275" s="100"/>
      <c r="K275" s="102">
        <v>1</v>
      </c>
      <c r="L275" s="102">
        <f t="shared" si="69"/>
        <v>1</v>
      </c>
      <c r="M275" s="103">
        <f t="shared" si="78"/>
        <v>0</v>
      </c>
      <c r="N275" s="30">
        <f t="shared" si="79"/>
        <v>0</v>
      </c>
      <c r="O275" s="100" t="s">
        <v>96</v>
      </c>
      <c r="P275" s="16">
        <f t="shared" si="80"/>
        <v>0</v>
      </c>
      <c r="Q275" s="102" t="e">
        <f t="shared" si="73"/>
        <v>#DIV/0!</v>
      </c>
      <c r="R275" s="102" t="e">
        <f t="shared" si="74"/>
        <v>#DIV/0!</v>
      </c>
      <c r="S275" s="16" t="e">
        <f t="shared" si="75"/>
        <v>#DIV/0!</v>
      </c>
      <c r="T275" s="102" t="e">
        <f t="shared" si="76"/>
        <v>#DIV/0!</v>
      </c>
      <c r="U275" s="17" t="e">
        <f t="shared" si="77"/>
        <v>#DIV/0!</v>
      </c>
    </row>
    <row r="276" spans="1:21" x14ac:dyDescent="0.2">
      <c r="A276" s="99" t="s">
        <v>445</v>
      </c>
      <c r="B276" s="100" t="s">
        <v>37</v>
      </c>
      <c r="C276" s="100" t="s">
        <v>549</v>
      </c>
      <c r="D276" s="100" t="s">
        <v>566</v>
      </c>
      <c r="E276" s="101" t="s">
        <v>542</v>
      </c>
      <c r="F276" s="100" t="s">
        <v>270</v>
      </c>
      <c r="G276" s="100" t="s">
        <v>222</v>
      </c>
      <c r="H276" s="100" t="s">
        <v>9</v>
      </c>
      <c r="I276" s="100" t="s">
        <v>190</v>
      </c>
      <c r="J276" s="100"/>
      <c r="K276" s="102">
        <v>1</v>
      </c>
      <c r="L276" s="102">
        <f t="shared" si="69"/>
        <v>1</v>
      </c>
      <c r="M276" s="103">
        <f t="shared" si="78"/>
        <v>0</v>
      </c>
      <c r="N276" s="30">
        <f t="shared" si="79"/>
        <v>0</v>
      </c>
      <c r="O276" s="100" t="s">
        <v>96</v>
      </c>
      <c r="P276" s="16">
        <f t="shared" si="80"/>
        <v>0</v>
      </c>
      <c r="Q276" s="102" t="e">
        <f t="shared" si="73"/>
        <v>#DIV/0!</v>
      </c>
      <c r="R276" s="102" t="e">
        <f t="shared" si="74"/>
        <v>#DIV/0!</v>
      </c>
      <c r="S276" s="16" t="e">
        <f t="shared" si="75"/>
        <v>#DIV/0!</v>
      </c>
      <c r="T276" s="102" t="e">
        <f t="shared" si="76"/>
        <v>#DIV/0!</v>
      </c>
      <c r="U276" s="17" t="e">
        <f t="shared" si="77"/>
        <v>#DIV/0!</v>
      </c>
    </row>
    <row r="277" spans="1:21" x14ac:dyDescent="0.2">
      <c r="A277" s="104" t="s">
        <v>445</v>
      </c>
      <c r="B277" s="105" t="s">
        <v>37</v>
      </c>
      <c r="C277" s="105" t="s">
        <v>549</v>
      </c>
      <c r="D277" s="105" t="s">
        <v>567</v>
      </c>
      <c r="E277" s="106" t="s">
        <v>304</v>
      </c>
      <c r="F277" s="105" t="s">
        <v>300</v>
      </c>
      <c r="G277" s="105" t="s">
        <v>231</v>
      </c>
      <c r="H277" s="105" t="s">
        <v>9</v>
      </c>
      <c r="I277" s="105" t="s">
        <v>190</v>
      </c>
      <c r="J277" s="105"/>
      <c r="K277" s="107">
        <v>70</v>
      </c>
      <c r="L277" s="107">
        <f t="shared" si="69"/>
        <v>70</v>
      </c>
      <c r="M277" s="108">
        <f>prodnorm57</f>
        <v>0</v>
      </c>
      <c r="N277" s="109">
        <f>dagwerk57</f>
        <v>0</v>
      </c>
      <c r="O277" s="105" t="s">
        <v>96</v>
      </c>
      <c r="P277" s="26">
        <f>uurtarief57</f>
        <v>0</v>
      </c>
      <c r="Q277" s="107" t="e">
        <f t="shared" si="73"/>
        <v>#DIV/0!</v>
      </c>
      <c r="R277" s="107" t="e">
        <f t="shared" si="74"/>
        <v>#DIV/0!</v>
      </c>
      <c r="S277" s="26" t="e">
        <f t="shared" si="75"/>
        <v>#DIV/0!</v>
      </c>
      <c r="T277" s="107" t="e">
        <f t="shared" si="76"/>
        <v>#DIV/0!</v>
      </c>
      <c r="U277" s="27" t="e">
        <f t="shared" si="77"/>
        <v>#DIV/0!</v>
      </c>
    </row>
    <row r="278" spans="1:21" x14ac:dyDescent="0.2">
      <c r="A278" s="70" t="s">
        <v>373</v>
      </c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3" t="e">
        <f>IF(_xlfn.SINGLE(object7_urenjaar1)&gt;0,_xlfn.SINGLE(object7_prijsjaar1)/_xlfn.SINGLE(object7_urenjaar1),0)</f>
        <v>#DIV/0!</v>
      </c>
      <c r="Q278" s="72" t="e">
        <f>SUM(Q165:Q277)</f>
        <v>#DIV/0!</v>
      </c>
      <c r="R278" s="72" t="e">
        <f>SUM(R165:R277)</f>
        <v>#DIV/0!</v>
      </c>
      <c r="S278" s="73" t="e">
        <f>SUM(S165:S277)</f>
        <v>#DIV/0!</v>
      </c>
      <c r="T278" s="72" t="e">
        <f>SUM(T165:T277)</f>
        <v>#DIV/0!</v>
      </c>
      <c r="U278" s="73" t="e">
        <f>SUM(U165:U277)</f>
        <v>#DIV/0!</v>
      </c>
    </row>
  </sheetData>
  <sheetProtection algorithmName="SHA-512" hashValue="J+pQgi3zfuOoqOUCuGUzmq4s8hTKkm6IXO8rw/G8n/hplhQD89+p5U9qp6o9NETWGd66VyNFiisSbvaQ5geN7g==" saltValue="KXgPPT8IMPLgGDilya34Mw==" spinCount="100000" sheet="1" objects="1" scenarios="1" autoFilter="0"/>
  <autoFilter ref="A3:U278" xr:uid="{CD8F0F69-07D2-48DF-A575-B9AFEB4BBDC2}"/>
  <pageMargins left="0.7" right="0.7" top="0.75" bottom="0.75" header="0.3" footer="0.3"/>
  <pageSetup paperSize="9" scale="61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7952-4039-4323-88C9-929DB56B5331}">
  <dimension ref="A1:U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P5" sqref="P5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10" width="8.6328125" customWidth="1"/>
    <col min="11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ht="12.75" x14ac:dyDescent="0.2">
      <c r="A1" s="1" t="str">
        <f>CONCATENATE("Bijlage F.4: ",tabeltype," ruimten weekenddag")</f>
        <v>Bijlage F.4: Invultabel ruimten weekenddag</v>
      </c>
    </row>
    <row r="3" spans="1:21" ht="38.25" x14ac:dyDescent="0.2">
      <c r="A3" s="82" t="s">
        <v>256</v>
      </c>
      <c r="B3" s="31" t="s">
        <v>257</v>
      </c>
      <c r="C3" s="31" t="s">
        <v>258</v>
      </c>
      <c r="D3" s="31" t="s">
        <v>259</v>
      </c>
      <c r="E3" s="31" t="s">
        <v>260</v>
      </c>
      <c r="F3" s="31" t="s">
        <v>261</v>
      </c>
      <c r="G3" s="31" t="s">
        <v>181</v>
      </c>
      <c r="H3" s="31" t="s">
        <v>7</v>
      </c>
      <c r="I3" s="31" t="s">
        <v>262</v>
      </c>
      <c r="J3" s="31" t="s">
        <v>263</v>
      </c>
      <c r="K3" s="31" t="s">
        <v>183</v>
      </c>
      <c r="L3" s="31" t="s">
        <v>184</v>
      </c>
      <c r="M3" s="31" t="s">
        <v>88</v>
      </c>
      <c r="N3" s="31" t="s">
        <v>89</v>
      </c>
      <c r="O3" s="31" t="s">
        <v>90</v>
      </c>
      <c r="P3" s="31" t="s">
        <v>91</v>
      </c>
      <c r="Q3" s="31" t="s">
        <v>185</v>
      </c>
      <c r="R3" s="31" t="s">
        <v>264</v>
      </c>
      <c r="S3" s="31" t="s">
        <v>186</v>
      </c>
      <c r="T3" s="31" t="s">
        <v>187</v>
      </c>
      <c r="U3" s="83" t="s">
        <v>188</v>
      </c>
    </row>
    <row r="4" spans="1:21" ht="12.75" x14ac:dyDescent="0.2">
      <c r="A4" s="84" t="s">
        <v>438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69"/>
    </row>
    <row r="5" spans="1:21" ht="12.75" x14ac:dyDescent="0.2">
      <c r="A5" s="86" t="s">
        <v>439</v>
      </c>
      <c r="B5" s="87" t="s">
        <v>37</v>
      </c>
      <c r="C5" s="87" t="s">
        <v>371</v>
      </c>
      <c r="D5" s="87" t="s">
        <v>37</v>
      </c>
      <c r="E5" s="88" t="s">
        <v>440</v>
      </c>
      <c r="F5" s="87" t="s">
        <v>37</v>
      </c>
      <c r="G5" s="87" t="s">
        <v>252</v>
      </c>
      <c r="H5" s="87" t="s">
        <v>14</v>
      </c>
      <c r="I5" s="87" t="s">
        <v>240</v>
      </c>
      <c r="J5" s="87"/>
      <c r="K5" s="89">
        <v>1</v>
      </c>
      <c r="L5" s="89">
        <f>K5*VLOOKUP(H5,dagsoorttabel1,2,FALSE)</f>
        <v>0.23529411764705882</v>
      </c>
      <c r="M5" s="90">
        <f>prodnorm62</f>
        <v>0</v>
      </c>
      <c r="N5" s="28">
        <f>dagwerk62</f>
        <v>0</v>
      </c>
      <c r="O5" s="87" t="s">
        <v>242</v>
      </c>
      <c r="P5" s="8">
        <f>uurtarief62</f>
        <v>0</v>
      </c>
      <c r="Q5" s="89">
        <f>L5*ROUND(M5,4)/60</f>
        <v>0</v>
      </c>
      <c r="R5" s="89">
        <f>IF(ISBLANK(M5),0,Q5*ROUND(N5,2))</f>
        <v>0</v>
      </c>
      <c r="S5" s="8">
        <f>ROUND(P5,2)*Q5</f>
        <v>0</v>
      </c>
      <c r="T5" s="89">
        <f>Q5*dagenperjaar1</f>
        <v>0</v>
      </c>
      <c r="U5" s="9">
        <f>T5*ROUND(P5,2)</f>
        <v>0</v>
      </c>
    </row>
    <row r="6" spans="1:21" ht="12.75" x14ac:dyDescent="0.2">
      <c r="A6" s="70" t="s">
        <v>568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3">
        <f>IF(_xlfn.SINGLE(object5_urenjaar4)&gt;0,_xlfn.SINGLE(object5_prijsjaar4)/_xlfn.SINGLE(object5_urenjaar4),0)</f>
        <v>0</v>
      </c>
      <c r="Q6" s="72">
        <f>SUM(Q5:Q5)</f>
        <v>0</v>
      </c>
      <c r="R6" s="72">
        <f>SUM(R5:R5)</f>
        <v>0</v>
      </c>
      <c r="S6" s="73">
        <f>SUM(S5:S5)</f>
        <v>0</v>
      </c>
      <c r="T6" s="72">
        <f>SUM(T5:T5)</f>
        <v>0</v>
      </c>
      <c r="U6" s="73">
        <f>SUM(U5:U5)</f>
        <v>0</v>
      </c>
    </row>
  </sheetData>
  <sheetProtection algorithmName="SHA-512" hashValue="iptuhM+sw52UD+MDh6Y327GLQM/QuHQpgyx+YixEMy0r4mL1ikF7Hi5a61nOd9ftFwfPxhIYwid278M/MRh0Iw==" saltValue="scQ55rbsfDm5TY+H2dlgRA==" spinCount="100000" sheet="1" objects="1" scenarios="1" autoFilter="0"/>
  <autoFilter ref="A3:U6" xr:uid="{98BB7952-4039-4323-88C9-929DB56B5331}"/>
  <pageMargins left="0.7" right="0.7" top="0.75" bottom="0.75" header="0.3" footer="0.3"/>
  <pageSetup paperSize="9" scale="61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7101-1DC6-4911-AE26-E554038A446A}">
  <dimension ref="A1:P48"/>
  <sheetViews>
    <sheetView workbookViewId="0"/>
  </sheetViews>
  <sheetFormatPr defaultRowHeight="12.6" x14ac:dyDescent="0.2"/>
  <cols>
    <col min="1" max="1" width="5.6328125" customWidth="1"/>
    <col min="2" max="2" width="6.08984375" customWidth="1"/>
    <col min="3" max="3" width="11.6328125" customWidth="1"/>
    <col min="4" max="16" width="12.6328125" customWidth="1"/>
  </cols>
  <sheetData>
    <row r="1" spans="1:16" ht="12.75" x14ac:dyDescent="0.2">
      <c r="A1" s="1" t="s">
        <v>569</v>
      </c>
    </row>
    <row r="3" spans="1:16" ht="25.5" x14ac:dyDescent="0.2">
      <c r="A3" s="112" t="s">
        <v>181</v>
      </c>
      <c r="B3" s="112" t="s">
        <v>7</v>
      </c>
      <c r="C3" s="113" t="s">
        <v>570</v>
      </c>
      <c r="D3" s="113" t="s">
        <v>571</v>
      </c>
      <c r="E3" s="113" t="s">
        <v>572</v>
      </c>
      <c r="F3" s="113" t="s">
        <v>573</v>
      </c>
      <c r="G3" s="113" t="s">
        <v>574</v>
      </c>
      <c r="H3" s="113" t="s">
        <v>575</v>
      </c>
      <c r="I3" s="112" t="s">
        <v>576</v>
      </c>
      <c r="J3" s="112" t="s">
        <v>577</v>
      </c>
      <c r="K3" s="112" t="s">
        <v>578</v>
      </c>
      <c r="L3" s="112" t="s">
        <v>579</v>
      </c>
      <c r="M3" s="112" t="s">
        <v>580</v>
      </c>
      <c r="N3" s="112" t="s">
        <v>581</v>
      </c>
      <c r="O3" s="112" t="s">
        <v>582</v>
      </c>
      <c r="P3" s="112" t="s">
        <v>583</v>
      </c>
    </row>
    <row r="4" spans="1:16" ht="12.75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5" t="s">
        <v>183</v>
      </c>
      <c r="K4" s="115" t="s">
        <v>183</v>
      </c>
      <c r="L4" s="115" t="s">
        <v>183</v>
      </c>
      <c r="M4" s="115" t="s">
        <v>183</v>
      </c>
      <c r="N4" s="115" t="s">
        <v>183</v>
      </c>
      <c r="O4" s="115" t="s">
        <v>183</v>
      </c>
      <c r="P4" s="115" t="s">
        <v>183</v>
      </c>
    </row>
    <row r="5" spans="1:16" ht="12.75" x14ac:dyDescent="0.2">
      <c r="A5" s="42" t="s">
        <v>189</v>
      </c>
      <c r="B5" s="42" t="s">
        <v>17</v>
      </c>
      <c r="C5" s="42" t="s">
        <v>584</v>
      </c>
      <c r="D5" s="42" t="s">
        <v>190</v>
      </c>
      <c r="E5" s="60">
        <f t="shared" ref="E5:E44" si="0">IF(B5="","",VLOOKUP(B5,dagsoorttabel1,2,FALSE))</f>
        <v>4.7058823529411764E-2</v>
      </c>
      <c r="F5" s="60">
        <v>1</v>
      </c>
      <c r="G5" s="60">
        <f>IF(prodnorm26&gt;0,1/ROUND(prodnorm26,4),0)</f>
        <v>0</v>
      </c>
      <c r="H5" s="62">
        <f>ROUND(dagwerk26,4+2)</f>
        <v>0</v>
      </c>
      <c r="I5" s="46">
        <f>ROUND(uurtarief26,2)</f>
        <v>0</v>
      </c>
      <c r="J5" s="60">
        <v>0</v>
      </c>
      <c r="K5" s="60">
        <v>0</v>
      </c>
      <c r="L5" s="60">
        <v>38</v>
      </c>
      <c r="M5" s="60">
        <v>0</v>
      </c>
      <c r="N5" s="60">
        <v>0</v>
      </c>
      <c r="O5" s="60">
        <v>0</v>
      </c>
      <c r="P5" s="60">
        <v>0</v>
      </c>
    </row>
    <row r="6" spans="1:16" ht="12.75" x14ac:dyDescent="0.2">
      <c r="A6" s="47" t="s">
        <v>192</v>
      </c>
      <c r="B6" s="47" t="s">
        <v>15</v>
      </c>
      <c r="C6" s="47" t="s">
        <v>584</v>
      </c>
      <c r="D6" s="47" t="s">
        <v>190</v>
      </c>
      <c r="E6" s="63">
        <f t="shared" si="0"/>
        <v>0.2</v>
      </c>
      <c r="F6" s="63">
        <v>1</v>
      </c>
      <c r="G6" s="63">
        <f>IF(prodnorm27&gt;0,1/ROUND(prodnorm27,4),0)</f>
        <v>0</v>
      </c>
      <c r="H6" s="65">
        <f>ROUND(dagwerk27,4+2)</f>
        <v>0</v>
      </c>
      <c r="I6" s="51">
        <f>ROUND(uurtarief27,2)</f>
        <v>0</v>
      </c>
      <c r="J6" s="63">
        <v>0</v>
      </c>
      <c r="K6" s="63">
        <v>0</v>
      </c>
      <c r="L6" s="63">
        <v>0</v>
      </c>
      <c r="M6" s="63">
        <v>9</v>
      </c>
      <c r="N6" s="63">
        <v>0</v>
      </c>
      <c r="O6" s="63">
        <v>0</v>
      </c>
      <c r="P6" s="63">
        <v>0</v>
      </c>
    </row>
    <row r="7" spans="1:16" ht="12.75" x14ac:dyDescent="0.2">
      <c r="A7" s="47" t="s">
        <v>192</v>
      </c>
      <c r="B7" s="47" t="s">
        <v>9</v>
      </c>
      <c r="C7" s="47" t="s">
        <v>584</v>
      </c>
      <c r="D7" s="47" t="s">
        <v>190</v>
      </c>
      <c r="E7" s="63">
        <f t="shared" si="0"/>
        <v>1</v>
      </c>
      <c r="F7" s="63">
        <v>1</v>
      </c>
      <c r="G7" s="63">
        <f>IF(prodnorm28&gt;0,1/ROUND(prodnorm28,4),0)</f>
        <v>0</v>
      </c>
      <c r="H7" s="65">
        <f>ROUND(dagwerk28,4+2)</f>
        <v>0</v>
      </c>
      <c r="I7" s="51">
        <f>ROUND(uurtarief28,2)</f>
        <v>0</v>
      </c>
      <c r="J7" s="63">
        <v>21.7</v>
      </c>
      <c r="K7" s="63">
        <v>0</v>
      </c>
      <c r="L7" s="63">
        <v>0</v>
      </c>
      <c r="M7" s="63">
        <v>70.89</v>
      </c>
      <c r="N7" s="63">
        <v>0</v>
      </c>
      <c r="O7" s="63">
        <v>0</v>
      </c>
      <c r="P7" s="63">
        <v>141</v>
      </c>
    </row>
    <row r="8" spans="1:16" ht="12.75" x14ac:dyDescent="0.2">
      <c r="A8" s="47" t="s">
        <v>194</v>
      </c>
      <c r="B8" s="47" t="s">
        <v>15</v>
      </c>
      <c r="C8" s="47" t="s">
        <v>584</v>
      </c>
      <c r="D8" s="47" t="s">
        <v>190</v>
      </c>
      <c r="E8" s="63">
        <f t="shared" si="0"/>
        <v>0.2</v>
      </c>
      <c r="F8" s="63">
        <v>1</v>
      </c>
      <c r="G8" s="63">
        <f>IF(prodnorm29&gt;0,1/ROUND(prodnorm29,4),0)</f>
        <v>0</v>
      </c>
      <c r="H8" s="65">
        <f>ROUND(dagwerk29,4+2)</f>
        <v>0</v>
      </c>
      <c r="I8" s="51">
        <f>ROUND(uurtarief29,2)</f>
        <v>0</v>
      </c>
      <c r="J8" s="63">
        <v>0</v>
      </c>
      <c r="K8" s="63">
        <v>82.699999999999989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</row>
    <row r="9" spans="1:16" ht="12.75" x14ac:dyDescent="0.2">
      <c r="A9" s="47" t="s">
        <v>194</v>
      </c>
      <c r="B9" s="47" t="s">
        <v>9</v>
      </c>
      <c r="C9" s="47" t="s">
        <v>584</v>
      </c>
      <c r="D9" s="47" t="s">
        <v>190</v>
      </c>
      <c r="E9" s="63">
        <f t="shared" si="0"/>
        <v>1</v>
      </c>
      <c r="F9" s="63">
        <v>1</v>
      </c>
      <c r="G9" s="63">
        <f>IF(prodnorm30&gt;0,1/ROUND(prodnorm30,4),0)</f>
        <v>0</v>
      </c>
      <c r="H9" s="65">
        <f>ROUND(dagwerk30,4+2)</f>
        <v>0</v>
      </c>
      <c r="I9" s="51">
        <f>ROUND(uurtarief30,2)</f>
        <v>0</v>
      </c>
      <c r="J9" s="63">
        <v>93</v>
      </c>
      <c r="K9" s="63">
        <v>0</v>
      </c>
      <c r="L9" s="63">
        <v>29</v>
      </c>
      <c r="M9" s="63">
        <v>0</v>
      </c>
      <c r="N9" s="63">
        <v>0</v>
      </c>
      <c r="O9" s="63">
        <v>0</v>
      </c>
      <c r="P9" s="63">
        <v>585</v>
      </c>
    </row>
    <row r="10" spans="1:16" ht="12.75" x14ac:dyDescent="0.2">
      <c r="A10" s="47" t="s">
        <v>196</v>
      </c>
      <c r="B10" s="47" t="s">
        <v>15</v>
      </c>
      <c r="C10" s="47" t="s">
        <v>584</v>
      </c>
      <c r="D10" s="47" t="s">
        <v>190</v>
      </c>
      <c r="E10" s="63">
        <f t="shared" si="0"/>
        <v>0.2</v>
      </c>
      <c r="F10" s="63">
        <v>1</v>
      </c>
      <c r="G10" s="63">
        <f>IF(prodnorm31&gt;0,1/ROUND(prodnorm31,4),0)</f>
        <v>0</v>
      </c>
      <c r="H10" s="65">
        <f>ROUND(dagwerk31,4+2)</f>
        <v>0</v>
      </c>
      <c r="I10" s="51">
        <f>ROUND(uurtarief31,2)</f>
        <v>0</v>
      </c>
      <c r="J10" s="63">
        <v>0</v>
      </c>
      <c r="K10" s="63">
        <v>11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</row>
    <row r="11" spans="1:16" ht="12.75" x14ac:dyDescent="0.2">
      <c r="A11" s="47" t="s">
        <v>196</v>
      </c>
      <c r="B11" s="47" t="s">
        <v>9</v>
      </c>
      <c r="C11" s="47" t="s">
        <v>584</v>
      </c>
      <c r="D11" s="47" t="s">
        <v>190</v>
      </c>
      <c r="E11" s="63">
        <f t="shared" si="0"/>
        <v>1</v>
      </c>
      <c r="F11" s="63">
        <v>1</v>
      </c>
      <c r="G11" s="63">
        <f>IF(prodnorm32&gt;0,1/ROUND(prodnorm32,4),0)</f>
        <v>0</v>
      </c>
      <c r="H11" s="65">
        <f>ROUND(dagwerk32,4+2)</f>
        <v>0</v>
      </c>
      <c r="I11" s="51">
        <f>ROUND(uurtarief32,2)</f>
        <v>0</v>
      </c>
      <c r="J11" s="63">
        <v>0</v>
      </c>
      <c r="K11" s="63">
        <v>0</v>
      </c>
      <c r="L11" s="63">
        <v>6.5</v>
      </c>
      <c r="M11" s="63">
        <v>0</v>
      </c>
      <c r="N11" s="63">
        <v>0</v>
      </c>
      <c r="O11" s="63">
        <v>0</v>
      </c>
      <c r="P11" s="63">
        <v>0</v>
      </c>
    </row>
    <row r="12" spans="1:16" ht="12.75" x14ac:dyDescent="0.2">
      <c r="A12" s="47" t="s">
        <v>198</v>
      </c>
      <c r="B12" s="47" t="s">
        <v>15</v>
      </c>
      <c r="C12" s="47" t="s">
        <v>584</v>
      </c>
      <c r="D12" s="47" t="s">
        <v>190</v>
      </c>
      <c r="E12" s="63">
        <f t="shared" si="0"/>
        <v>0.2</v>
      </c>
      <c r="F12" s="63">
        <v>1</v>
      </c>
      <c r="G12" s="63">
        <f>IF(prodnorm33&gt;0,1/ROUND(prodnorm33,4),0)</f>
        <v>0</v>
      </c>
      <c r="H12" s="65">
        <f>ROUND(dagwerk33,4+2)</f>
        <v>0</v>
      </c>
      <c r="I12" s="51">
        <f>ROUND(uurtarief33,2)</f>
        <v>0</v>
      </c>
      <c r="J12" s="63">
        <v>0</v>
      </c>
      <c r="K12" s="63">
        <v>52.8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</row>
    <row r="13" spans="1:16" ht="12.75" x14ac:dyDescent="0.2">
      <c r="A13" s="47" t="s">
        <v>198</v>
      </c>
      <c r="B13" s="47" t="s">
        <v>9</v>
      </c>
      <c r="C13" s="47" t="s">
        <v>584</v>
      </c>
      <c r="D13" s="47" t="s">
        <v>190</v>
      </c>
      <c r="E13" s="63">
        <f t="shared" si="0"/>
        <v>1</v>
      </c>
      <c r="F13" s="63">
        <v>1</v>
      </c>
      <c r="G13" s="63">
        <f>IF(prodnorm34&gt;0,1/ROUND(prodnorm34,4),0)</f>
        <v>0</v>
      </c>
      <c r="H13" s="65">
        <f>ROUND(dagwerk34,4+2)</f>
        <v>0</v>
      </c>
      <c r="I13" s="51">
        <f>ROUND(uurtarief34,2)</f>
        <v>0</v>
      </c>
      <c r="J13" s="63">
        <v>0</v>
      </c>
      <c r="K13" s="63">
        <v>0</v>
      </c>
      <c r="L13" s="63">
        <v>1</v>
      </c>
      <c r="M13" s="63">
        <v>0</v>
      </c>
      <c r="N13" s="63">
        <v>0</v>
      </c>
      <c r="O13" s="63">
        <v>0</v>
      </c>
      <c r="P13" s="63">
        <v>0</v>
      </c>
    </row>
    <row r="14" spans="1:16" ht="12.75" x14ac:dyDescent="0.2">
      <c r="A14" s="47" t="s">
        <v>201</v>
      </c>
      <c r="B14" s="47" t="s">
        <v>15</v>
      </c>
      <c r="C14" s="47" t="s">
        <v>584</v>
      </c>
      <c r="D14" s="47" t="s">
        <v>190</v>
      </c>
      <c r="E14" s="63">
        <f t="shared" si="0"/>
        <v>0.2</v>
      </c>
      <c r="F14" s="63">
        <v>1</v>
      </c>
      <c r="G14" s="63">
        <f>IF(prodnorm35&gt;0,1/ROUND(prodnorm35,4),0)</f>
        <v>0</v>
      </c>
      <c r="H14" s="65">
        <f>ROUND(dagwerk35,4+2)</f>
        <v>0</v>
      </c>
      <c r="I14" s="51">
        <f>ROUND(uurtarief35,2)</f>
        <v>0</v>
      </c>
      <c r="J14" s="63">
        <v>0</v>
      </c>
      <c r="K14" s="63">
        <v>9.5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</row>
    <row r="15" spans="1:16" ht="12.75" x14ac:dyDescent="0.2">
      <c r="A15" s="47" t="s">
        <v>201</v>
      </c>
      <c r="B15" s="47" t="s">
        <v>9</v>
      </c>
      <c r="C15" s="47" t="s">
        <v>584</v>
      </c>
      <c r="D15" s="47" t="s">
        <v>190</v>
      </c>
      <c r="E15" s="63">
        <f t="shared" si="0"/>
        <v>1</v>
      </c>
      <c r="F15" s="63">
        <v>1</v>
      </c>
      <c r="G15" s="63">
        <f>IF(prodnorm36&gt;0,1/ROUND(prodnorm36,4),0)</f>
        <v>0</v>
      </c>
      <c r="H15" s="65">
        <f>ROUND(dagwerk36,4+2)</f>
        <v>0</v>
      </c>
      <c r="I15" s="51">
        <f>ROUND(uurtarief36,2)</f>
        <v>0</v>
      </c>
      <c r="J15" s="63">
        <v>30.3</v>
      </c>
      <c r="K15" s="63">
        <v>0</v>
      </c>
      <c r="L15" s="63">
        <v>0</v>
      </c>
      <c r="M15" s="63">
        <v>4.22</v>
      </c>
      <c r="N15" s="63">
        <v>0</v>
      </c>
      <c r="O15" s="63">
        <v>0</v>
      </c>
      <c r="P15" s="63">
        <v>0</v>
      </c>
    </row>
    <row r="16" spans="1:16" ht="12.75" x14ac:dyDescent="0.2">
      <c r="A16" s="47" t="s">
        <v>203</v>
      </c>
      <c r="B16" s="47" t="s">
        <v>9</v>
      </c>
      <c r="C16" s="47" t="s">
        <v>584</v>
      </c>
      <c r="D16" s="47" t="s">
        <v>190</v>
      </c>
      <c r="E16" s="63">
        <f t="shared" si="0"/>
        <v>1</v>
      </c>
      <c r="F16" s="63">
        <v>1</v>
      </c>
      <c r="G16" s="63">
        <f>IF(prodnorm37&gt;0,1/ROUND(prodnorm37,4),0)</f>
        <v>0</v>
      </c>
      <c r="H16" s="65">
        <f>ROUND(dagwerk37,4+2)</f>
        <v>0</v>
      </c>
      <c r="I16" s="51">
        <f>ROUND(uurtarief37,2)</f>
        <v>0</v>
      </c>
      <c r="J16" s="63">
        <v>12.8</v>
      </c>
      <c r="K16" s="63">
        <v>0</v>
      </c>
      <c r="L16" s="63">
        <v>4.8</v>
      </c>
      <c r="M16" s="63">
        <v>0</v>
      </c>
      <c r="N16" s="63">
        <v>0</v>
      </c>
      <c r="O16" s="63">
        <v>0</v>
      </c>
      <c r="P16" s="63">
        <v>6</v>
      </c>
    </row>
    <row r="17" spans="1:16" ht="12.75" x14ac:dyDescent="0.2">
      <c r="A17" s="47" t="s">
        <v>205</v>
      </c>
      <c r="B17" s="47" t="s">
        <v>9</v>
      </c>
      <c r="C17" s="47" t="s">
        <v>584</v>
      </c>
      <c r="D17" s="47" t="s">
        <v>190</v>
      </c>
      <c r="E17" s="63">
        <f t="shared" si="0"/>
        <v>1</v>
      </c>
      <c r="F17" s="63">
        <v>1</v>
      </c>
      <c r="G17" s="63">
        <f>IF(prodnorm38&gt;0,1/ROUND(prodnorm38,4),0)</f>
        <v>0</v>
      </c>
      <c r="H17" s="65">
        <f>ROUND(dagwerk38,4+2)</f>
        <v>0</v>
      </c>
      <c r="I17" s="51">
        <f>ROUND(uurtarief38,2)</f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4</v>
      </c>
    </row>
    <row r="18" spans="1:16" ht="12.75" x14ac:dyDescent="0.2">
      <c r="A18" s="47" t="s">
        <v>207</v>
      </c>
      <c r="B18" s="47" t="s">
        <v>15</v>
      </c>
      <c r="C18" s="47" t="s">
        <v>584</v>
      </c>
      <c r="D18" s="47" t="s">
        <v>190</v>
      </c>
      <c r="E18" s="63">
        <f t="shared" si="0"/>
        <v>0.2</v>
      </c>
      <c r="F18" s="63">
        <v>1</v>
      </c>
      <c r="G18" s="63">
        <f>IF(prodnorm39&gt;0,1/ROUND(prodnorm39,4),0)</f>
        <v>0</v>
      </c>
      <c r="H18" s="65">
        <f>ROUND(dagwerk39,4+2)</f>
        <v>0</v>
      </c>
      <c r="I18" s="51">
        <f>ROUND(uurtarief39,2)</f>
        <v>0</v>
      </c>
      <c r="J18" s="63">
        <v>0</v>
      </c>
      <c r="K18" s="63">
        <v>23.7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</row>
    <row r="19" spans="1:16" ht="12.75" x14ac:dyDescent="0.2">
      <c r="A19" s="47" t="s">
        <v>207</v>
      </c>
      <c r="B19" s="47" t="s">
        <v>9</v>
      </c>
      <c r="C19" s="47" t="s">
        <v>584</v>
      </c>
      <c r="D19" s="47" t="s">
        <v>190</v>
      </c>
      <c r="E19" s="63">
        <f t="shared" si="0"/>
        <v>1</v>
      </c>
      <c r="F19" s="63">
        <v>1</v>
      </c>
      <c r="G19" s="63">
        <f>IF(prodnorm40&gt;0,1/ROUND(prodnorm40,4),0)</f>
        <v>0</v>
      </c>
      <c r="H19" s="65">
        <f>ROUND(dagwerk40,4+2)</f>
        <v>0</v>
      </c>
      <c r="I19" s="51">
        <f>ROUND(uurtarief40,2)</f>
        <v>0</v>
      </c>
      <c r="J19" s="63">
        <v>0</v>
      </c>
      <c r="K19" s="63">
        <v>0</v>
      </c>
      <c r="L19" s="63">
        <v>0</v>
      </c>
      <c r="M19" s="63">
        <v>17.049999999999997</v>
      </c>
      <c r="N19" s="63">
        <v>0</v>
      </c>
      <c r="O19" s="63">
        <v>0</v>
      </c>
      <c r="P19" s="63">
        <v>0</v>
      </c>
    </row>
    <row r="20" spans="1:16" ht="12.75" x14ac:dyDescent="0.2">
      <c r="A20" s="47" t="s">
        <v>209</v>
      </c>
      <c r="B20" s="47" t="s">
        <v>15</v>
      </c>
      <c r="C20" s="47" t="s">
        <v>584</v>
      </c>
      <c r="D20" s="47" t="s">
        <v>190</v>
      </c>
      <c r="E20" s="63">
        <f t="shared" si="0"/>
        <v>0.2</v>
      </c>
      <c r="F20" s="63">
        <v>1</v>
      </c>
      <c r="G20" s="63">
        <f>IF(prodnorm41&gt;0,1/ROUND(prodnorm41,4),0)</f>
        <v>0</v>
      </c>
      <c r="H20" s="65">
        <f>ROUND(dagwerk41,4+2)</f>
        <v>0</v>
      </c>
      <c r="I20" s="51">
        <f>ROUND(uurtarief41,2)</f>
        <v>0</v>
      </c>
      <c r="J20" s="63">
        <v>0</v>
      </c>
      <c r="K20" s="63">
        <v>0</v>
      </c>
      <c r="L20" s="63">
        <v>56.6</v>
      </c>
      <c r="M20" s="63">
        <v>0</v>
      </c>
      <c r="N20" s="63">
        <v>0</v>
      </c>
      <c r="O20" s="63">
        <v>0</v>
      </c>
      <c r="P20" s="63">
        <v>0</v>
      </c>
    </row>
    <row r="21" spans="1:16" x14ac:dyDescent="0.2">
      <c r="A21" s="47" t="s">
        <v>211</v>
      </c>
      <c r="B21" s="47" t="s">
        <v>9</v>
      </c>
      <c r="C21" s="47" t="s">
        <v>584</v>
      </c>
      <c r="D21" s="47" t="s">
        <v>190</v>
      </c>
      <c r="E21" s="63">
        <f t="shared" si="0"/>
        <v>1</v>
      </c>
      <c r="F21" s="63">
        <v>1</v>
      </c>
      <c r="G21" s="63">
        <f>IF(prodnorm42&gt;0,1/ROUND(prodnorm42,4),0)</f>
        <v>0</v>
      </c>
      <c r="H21" s="65">
        <f>ROUND(dagwerk42,4+2)</f>
        <v>0</v>
      </c>
      <c r="I21" s="51">
        <f>ROUND(uurtarief42,2)</f>
        <v>0</v>
      </c>
      <c r="J21" s="63">
        <v>0</v>
      </c>
      <c r="K21" s="63">
        <v>0</v>
      </c>
      <c r="L21" s="63">
        <v>29.7</v>
      </c>
      <c r="M21" s="63">
        <v>0</v>
      </c>
      <c r="N21" s="63">
        <v>0</v>
      </c>
      <c r="O21" s="63">
        <v>0</v>
      </c>
      <c r="P21" s="63">
        <v>0</v>
      </c>
    </row>
    <row r="22" spans="1:16" x14ac:dyDescent="0.2">
      <c r="A22" s="47" t="s">
        <v>213</v>
      </c>
      <c r="B22" s="47" t="s">
        <v>9</v>
      </c>
      <c r="C22" s="47" t="s">
        <v>584</v>
      </c>
      <c r="D22" s="47" t="s">
        <v>190</v>
      </c>
      <c r="E22" s="63">
        <f t="shared" si="0"/>
        <v>1</v>
      </c>
      <c r="F22" s="63">
        <v>1</v>
      </c>
      <c r="G22" s="63">
        <f>IF(prodnorm43&gt;0,1/ROUND(prodnorm43,4),0)</f>
        <v>0</v>
      </c>
      <c r="H22" s="65">
        <f>ROUND(dagwerk43,4+2)</f>
        <v>0</v>
      </c>
      <c r="I22" s="51">
        <f>ROUND(uurtarief43,2)</f>
        <v>0</v>
      </c>
      <c r="J22" s="63">
        <v>172.6</v>
      </c>
      <c r="K22" s="63">
        <v>0</v>
      </c>
      <c r="L22" s="63">
        <v>10.5</v>
      </c>
      <c r="M22" s="63">
        <v>0</v>
      </c>
      <c r="N22" s="63">
        <v>0</v>
      </c>
      <c r="O22" s="63">
        <v>0</v>
      </c>
      <c r="P22" s="63">
        <v>190</v>
      </c>
    </row>
    <row r="23" spans="1:16" x14ac:dyDescent="0.2">
      <c r="A23" s="47" t="s">
        <v>215</v>
      </c>
      <c r="B23" s="47" t="s">
        <v>9</v>
      </c>
      <c r="C23" s="47" t="s">
        <v>584</v>
      </c>
      <c r="D23" s="47" t="s">
        <v>190</v>
      </c>
      <c r="E23" s="63">
        <f t="shared" si="0"/>
        <v>1</v>
      </c>
      <c r="F23" s="63">
        <v>1</v>
      </c>
      <c r="G23" s="63">
        <f>IF(prodnorm44&gt;0,1/ROUND(prodnorm44,4),0)</f>
        <v>0</v>
      </c>
      <c r="H23" s="65">
        <f>ROUND(dagwerk44,4+2)</f>
        <v>0</v>
      </c>
      <c r="I23" s="51">
        <f>ROUND(uurtarief44,2)</f>
        <v>0</v>
      </c>
      <c r="J23" s="63">
        <v>12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329</v>
      </c>
    </row>
    <row r="24" spans="1:16" x14ac:dyDescent="0.2">
      <c r="A24" s="47" t="s">
        <v>217</v>
      </c>
      <c r="B24" s="47" t="s">
        <v>15</v>
      </c>
      <c r="C24" s="47" t="s">
        <v>584</v>
      </c>
      <c r="D24" s="47" t="s">
        <v>190</v>
      </c>
      <c r="E24" s="63">
        <f t="shared" si="0"/>
        <v>0.2</v>
      </c>
      <c r="F24" s="63">
        <v>1</v>
      </c>
      <c r="G24" s="63">
        <f>IF(prodnorm45&gt;0,1/ROUND(prodnorm45,4),0)</f>
        <v>0</v>
      </c>
      <c r="H24" s="65">
        <f>ROUND(dagwerk45,4+2)</f>
        <v>0</v>
      </c>
      <c r="I24" s="51">
        <f>ROUND(uurtarief45,2)</f>
        <v>0</v>
      </c>
      <c r="J24" s="63">
        <v>0</v>
      </c>
      <c r="K24" s="63">
        <v>4.5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</row>
    <row r="25" spans="1:16" x14ac:dyDescent="0.2">
      <c r="A25" s="47" t="s">
        <v>217</v>
      </c>
      <c r="B25" s="47" t="s">
        <v>9</v>
      </c>
      <c r="C25" s="47" t="s">
        <v>584</v>
      </c>
      <c r="D25" s="47" t="s">
        <v>190</v>
      </c>
      <c r="E25" s="63">
        <f t="shared" si="0"/>
        <v>1</v>
      </c>
      <c r="F25" s="63">
        <v>1</v>
      </c>
      <c r="G25" s="63">
        <f>IF(prodnorm46&gt;0,1/ROUND(prodnorm46,4),0)</f>
        <v>0</v>
      </c>
      <c r="H25" s="65">
        <f>ROUND(dagwerk46,4+2)</f>
        <v>0</v>
      </c>
      <c r="I25" s="51">
        <f>ROUND(uurtarief46,2)</f>
        <v>0</v>
      </c>
      <c r="J25" s="63">
        <v>7.4</v>
      </c>
      <c r="K25" s="63">
        <v>0</v>
      </c>
      <c r="L25" s="63">
        <v>11.3</v>
      </c>
      <c r="M25" s="63">
        <v>3</v>
      </c>
      <c r="N25" s="63">
        <v>0</v>
      </c>
      <c r="O25" s="63">
        <v>0</v>
      </c>
      <c r="P25" s="63">
        <v>78</v>
      </c>
    </row>
    <row r="26" spans="1:16" x14ac:dyDescent="0.2">
      <c r="A26" s="47" t="s">
        <v>219</v>
      </c>
      <c r="B26" s="47" t="s">
        <v>15</v>
      </c>
      <c r="C26" s="47" t="s">
        <v>584</v>
      </c>
      <c r="D26" s="47" t="s">
        <v>190</v>
      </c>
      <c r="E26" s="63">
        <f t="shared" si="0"/>
        <v>0.2</v>
      </c>
      <c r="F26" s="63">
        <v>1</v>
      </c>
      <c r="G26" s="63">
        <f>IF(prodnorm47&gt;0,1/ROUND(prodnorm47,4),0)</f>
        <v>0</v>
      </c>
      <c r="H26" s="65">
        <f>ROUND(dagwerk47,4+2)</f>
        <v>0</v>
      </c>
      <c r="I26" s="51">
        <f>ROUND(uurtarief47,2)</f>
        <v>0</v>
      </c>
      <c r="J26" s="63">
        <v>0</v>
      </c>
      <c r="K26" s="63">
        <v>75.5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</row>
    <row r="27" spans="1:16" x14ac:dyDescent="0.2">
      <c r="A27" s="47" t="s">
        <v>219</v>
      </c>
      <c r="B27" s="47" t="s">
        <v>9</v>
      </c>
      <c r="C27" s="47" t="s">
        <v>584</v>
      </c>
      <c r="D27" s="47" t="s">
        <v>190</v>
      </c>
      <c r="E27" s="63">
        <f t="shared" si="0"/>
        <v>1</v>
      </c>
      <c r="F27" s="63">
        <v>1</v>
      </c>
      <c r="G27" s="63">
        <f>IF(prodnorm48&gt;0,1/ROUND(prodnorm48,4),0)</f>
        <v>0</v>
      </c>
      <c r="H27" s="65">
        <f>ROUND(dagwerk48,4+2)</f>
        <v>0</v>
      </c>
      <c r="I27" s="51">
        <f>ROUND(uurtarief48,2)</f>
        <v>0</v>
      </c>
      <c r="J27" s="63">
        <v>0</v>
      </c>
      <c r="K27" s="63">
        <v>0</v>
      </c>
      <c r="L27" s="63">
        <v>85.1</v>
      </c>
      <c r="M27" s="63">
        <v>39.21</v>
      </c>
      <c r="N27" s="63">
        <v>0</v>
      </c>
      <c r="O27" s="63">
        <v>0</v>
      </c>
      <c r="P27" s="63">
        <v>93</v>
      </c>
    </row>
    <row r="28" spans="1:16" x14ac:dyDescent="0.2">
      <c r="A28" s="47" t="s">
        <v>222</v>
      </c>
      <c r="B28" s="47" t="s">
        <v>15</v>
      </c>
      <c r="C28" s="47" t="s">
        <v>584</v>
      </c>
      <c r="D28" s="47" t="s">
        <v>190</v>
      </c>
      <c r="E28" s="63">
        <f t="shared" si="0"/>
        <v>0.2</v>
      </c>
      <c r="F28" s="63">
        <v>1</v>
      </c>
      <c r="G28" s="63">
        <f>IF(prodnorm49&gt;0,1/ROUND(prodnorm49,4),0)</f>
        <v>0</v>
      </c>
      <c r="H28" s="65">
        <f>ROUND(dagwerk49,4+2)</f>
        <v>0</v>
      </c>
      <c r="I28" s="51">
        <f>ROUND(uurtarief49,2)</f>
        <v>0</v>
      </c>
      <c r="J28" s="63">
        <v>0</v>
      </c>
      <c r="K28" s="63">
        <v>10.3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</row>
    <row r="29" spans="1:16" x14ac:dyDescent="0.2">
      <c r="A29" s="47" t="s">
        <v>222</v>
      </c>
      <c r="B29" s="47" t="s">
        <v>9</v>
      </c>
      <c r="C29" s="47" t="s">
        <v>584</v>
      </c>
      <c r="D29" s="47" t="s">
        <v>190</v>
      </c>
      <c r="E29" s="63">
        <f t="shared" si="0"/>
        <v>1</v>
      </c>
      <c r="F29" s="63">
        <v>1</v>
      </c>
      <c r="G29" s="63">
        <f>IF(prodnorm50&gt;0,1/ROUND(prodnorm50,4),0)</f>
        <v>0</v>
      </c>
      <c r="H29" s="65">
        <f>ROUND(dagwerk50,4+2)</f>
        <v>0</v>
      </c>
      <c r="I29" s="51">
        <f>ROUND(uurtarief50,2)</f>
        <v>0</v>
      </c>
      <c r="J29" s="63">
        <v>13.6</v>
      </c>
      <c r="K29" s="63">
        <v>0</v>
      </c>
      <c r="L29" s="63">
        <v>26.099999999999998</v>
      </c>
      <c r="M29" s="63">
        <v>12.02</v>
      </c>
      <c r="N29" s="63">
        <v>0</v>
      </c>
      <c r="O29" s="63">
        <v>0</v>
      </c>
      <c r="P29" s="63">
        <v>77</v>
      </c>
    </row>
    <row r="30" spans="1:16" x14ac:dyDescent="0.2">
      <c r="A30" s="47" t="s">
        <v>224</v>
      </c>
      <c r="B30" s="47" t="s">
        <v>10</v>
      </c>
      <c r="C30" s="47" t="s">
        <v>584</v>
      </c>
      <c r="D30" s="47" t="s">
        <v>190</v>
      </c>
      <c r="E30" s="63">
        <f t="shared" si="0"/>
        <v>0.8</v>
      </c>
      <c r="F30" s="63">
        <v>1</v>
      </c>
      <c r="G30" s="63">
        <f>IF(prodnorm51&gt;0,1/ROUND(prodnorm51,4),0)</f>
        <v>0</v>
      </c>
      <c r="H30" s="65">
        <f>ROUND(dagwerk51,4+2)</f>
        <v>0</v>
      </c>
      <c r="I30" s="51">
        <f>ROUND(uurtarief51,2)</f>
        <v>0</v>
      </c>
      <c r="J30" s="63">
        <v>13.6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</row>
    <row r="31" spans="1:16" x14ac:dyDescent="0.2">
      <c r="A31" s="47" t="s">
        <v>226</v>
      </c>
      <c r="B31" s="47" t="s">
        <v>15</v>
      </c>
      <c r="C31" s="47" t="s">
        <v>584</v>
      </c>
      <c r="D31" s="47" t="s">
        <v>190</v>
      </c>
      <c r="E31" s="63">
        <f t="shared" si="0"/>
        <v>0.2</v>
      </c>
      <c r="F31" s="63">
        <v>1</v>
      </c>
      <c r="G31" s="63">
        <f>IF(prodnorm52&gt;0,1/ROUND(prodnorm52,4),0)</f>
        <v>0</v>
      </c>
      <c r="H31" s="65">
        <f>ROUND(dagwerk52,4+2)</f>
        <v>0</v>
      </c>
      <c r="I31" s="51">
        <f>ROUND(uurtarief52,2)</f>
        <v>0</v>
      </c>
      <c r="J31" s="63">
        <v>0</v>
      </c>
      <c r="K31" s="63">
        <v>4.4000000000000004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</row>
    <row r="32" spans="1:16" x14ac:dyDescent="0.2">
      <c r="A32" s="47" t="s">
        <v>226</v>
      </c>
      <c r="B32" s="47" t="s">
        <v>9</v>
      </c>
      <c r="C32" s="47" t="s">
        <v>584</v>
      </c>
      <c r="D32" s="47" t="s">
        <v>190</v>
      </c>
      <c r="E32" s="63">
        <f t="shared" si="0"/>
        <v>1</v>
      </c>
      <c r="F32" s="63">
        <v>1</v>
      </c>
      <c r="G32" s="63">
        <f>IF(prodnorm53&gt;0,1/ROUND(prodnorm53,4),0)</f>
        <v>0</v>
      </c>
      <c r="H32" s="65">
        <f>ROUND(dagwerk53,4+2)</f>
        <v>0</v>
      </c>
      <c r="I32" s="51">
        <f>ROUND(uurtarief53,2)</f>
        <v>0</v>
      </c>
      <c r="J32" s="63">
        <v>3.6</v>
      </c>
      <c r="K32" s="63">
        <v>0</v>
      </c>
      <c r="L32" s="63">
        <v>6.8999999999999995</v>
      </c>
      <c r="M32" s="63">
        <v>0</v>
      </c>
      <c r="N32" s="63">
        <v>0</v>
      </c>
      <c r="O32" s="63">
        <v>0</v>
      </c>
      <c r="P32" s="63">
        <v>22</v>
      </c>
    </row>
    <row r="33" spans="1:16" x14ac:dyDescent="0.2">
      <c r="A33" s="47" t="s">
        <v>229</v>
      </c>
      <c r="B33" s="47" t="s">
        <v>15</v>
      </c>
      <c r="C33" s="47" t="s">
        <v>584</v>
      </c>
      <c r="D33" s="47" t="s">
        <v>190</v>
      </c>
      <c r="E33" s="63">
        <f t="shared" si="0"/>
        <v>0.2</v>
      </c>
      <c r="F33" s="63">
        <v>1</v>
      </c>
      <c r="G33" s="63">
        <f>IF(prodnorm54&gt;0,1/ROUND(prodnorm54,4),0)</f>
        <v>0</v>
      </c>
      <c r="H33" s="65">
        <f>ROUND(dagwerk54,4+2)</f>
        <v>0</v>
      </c>
      <c r="I33" s="51">
        <f>ROUND(uurtarief54,2)</f>
        <v>0</v>
      </c>
      <c r="J33" s="63">
        <v>0</v>
      </c>
      <c r="K33" s="63">
        <v>12.6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</row>
    <row r="34" spans="1:16" x14ac:dyDescent="0.2">
      <c r="A34" s="47" t="s">
        <v>229</v>
      </c>
      <c r="B34" s="47" t="s">
        <v>9</v>
      </c>
      <c r="C34" s="47" t="s">
        <v>584</v>
      </c>
      <c r="D34" s="47" t="s">
        <v>190</v>
      </c>
      <c r="E34" s="63">
        <f t="shared" si="0"/>
        <v>1</v>
      </c>
      <c r="F34" s="63">
        <v>1</v>
      </c>
      <c r="G34" s="63">
        <f>IF(prodnorm55&gt;0,1/ROUND(prodnorm55,4),0)</f>
        <v>0</v>
      </c>
      <c r="H34" s="65">
        <f>ROUND(dagwerk55,4+2)</f>
        <v>0</v>
      </c>
      <c r="I34" s="51">
        <f>ROUND(uurtarief55,2)</f>
        <v>0</v>
      </c>
      <c r="J34" s="63">
        <v>113.3</v>
      </c>
      <c r="K34" s="63">
        <v>0</v>
      </c>
      <c r="L34" s="63">
        <v>62.4</v>
      </c>
      <c r="M34" s="63">
        <v>48.32</v>
      </c>
      <c r="N34" s="63">
        <v>0</v>
      </c>
      <c r="O34" s="63">
        <v>0</v>
      </c>
      <c r="P34" s="63">
        <v>402</v>
      </c>
    </row>
    <row r="35" spans="1:16" x14ac:dyDescent="0.2">
      <c r="A35" s="47" t="s">
        <v>231</v>
      </c>
      <c r="B35" s="47" t="s">
        <v>15</v>
      </c>
      <c r="C35" s="47" t="s">
        <v>584</v>
      </c>
      <c r="D35" s="47" t="s">
        <v>190</v>
      </c>
      <c r="E35" s="63">
        <f t="shared" si="0"/>
        <v>0.2</v>
      </c>
      <c r="F35" s="63">
        <v>1</v>
      </c>
      <c r="G35" s="63">
        <f>IF(prodnorm56&gt;0,1/ROUND(prodnorm56,4),0)</f>
        <v>0</v>
      </c>
      <c r="H35" s="65">
        <f>ROUND(dagwerk56,4+2)</f>
        <v>0</v>
      </c>
      <c r="I35" s="51">
        <f>ROUND(uurtarief56,2)</f>
        <v>0</v>
      </c>
      <c r="J35" s="63">
        <v>0</v>
      </c>
      <c r="K35" s="63">
        <v>33.700000000000003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</row>
    <row r="36" spans="1:16" x14ac:dyDescent="0.2">
      <c r="A36" s="47" t="s">
        <v>231</v>
      </c>
      <c r="B36" s="47" t="s">
        <v>9</v>
      </c>
      <c r="C36" s="47" t="s">
        <v>584</v>
      </c>
      <c r="D36" s="47" t="s">
        <v>190</v>
      </c>
      <c r="E36" s="63">
        <f t="shared" si="0"/>
        <v>1</v>
      </c>
      <c r="F36" s="63">
        <v>1</v>
      </c>
      <c r="G36" s="63">
        <f>IF(prodnorm57&gt;0,1/ROUND(prodnorm57,4),0)</f>
        <v>0</v>
      </c>
      <c r="H36" s="65">
        <f>ROUND(dagwerk57,4+2)</f>
        <v>0</v>
      </c>
      <c r="I36" s="51">
        <f>ROUND(uurtarief57,2)</f>
        <v>0</v>
      </c>
      <c r="J36" s="63">
        <v>0</v>
      </c>
      <c r="K36" s="63">
        <v>0</v>
      </c>
      <c r="L36" s="63">
        <v>25</v>
      </c>
      <c r="M36" s="63">
        <v>0</v>
      </c>
      <c r="N36" s="63">
        <v>0</v>
      </c>
      <c r="O36" s="63">
        <v>0</v>
      </c>
      <c r="P36" s="63">
        <v>322</v>
      </c>
    </row>
    <row r="37" spans="1:16" x14ac:dyDescent="0.2">
      <c r="A37" s="47" t="s">
        <v>233</v>
      </c>
      <c r="B37" s="47" t="s">
        <v>15</v>
      </c>
      <c r="C37" s="47" t="s">
        <v>584</v>
      </c>
      <c r="D37" s="47" t="s">
        <v>190</v>
      </c>
      <c r="E37" s="63">
        <f t="shared" si="0"/>
        <v>0.2</v>
      </c>
      <c r="F37" s="63">
        <v>1</v>
      </c>
      <c r="G37" s="63">
        <f>IF(prodnorm58&gt;0,1/ROUND(prodnorm58,4),0)</f>
        <v>0</v>
      </c>
      <c r="H37" s="65">
        <f>ROUND(dagwerk58,4+2)</f>
        <v>0</v>
      </c>
      <c r="I37" s="51">
        <f>ROUND(uurtarief58,2)</f>
        <v>0</v>
      </c>
      <c r="J37" s="63">
        <v>0</v>
      </c>
      <c r="K37" s="63">
        <v>19.7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</row>
    <row r="38" spans="1:16" x14ac:dyDescent="0.2">
      <c r="A38" s="47" t="s">
        <v>235</v>
      </c>
      <c r="B38" s="47" t="s">
        <v>23</v>
      </c>
      <c r="C38" s="47" t="s">
        <v>584</v>
      </c>
      <c r="D38" s="47" t="s">
        <v>190</v>
      </c>
      <c r="E38" s="63">
        <f t="shared" si="0"/>
        <v>3.9215686274509803E-3</v>
      </c>
      <c r="F38" s="63">
        <v>1</v>
      </c>
      <c r="G38" s="63">
        <f>IF(prodnorm59&gt;0,1/ROUND(prodnorm59,4),0)</f>
        <v>0</v>
      </c>
      <c r="H38" s="65">
        <f>ROUND(dagwerk59,4+2)</f>
        <v>0</v>
      </c>
      <c r="I38" s="51">
        <f>ROUND(uurtarief59,2)</f>
        <v>0</v>
      </c>
      <c r="J38" s="63">
        <v>20.7</v>
      </c>
      <c r="K38" s="63">
        <v>98.6</v>
      </c>
      <c r="L38" s="63">
        <v>9.8000000000000007</v>
      </c>
      <c r="M38" s="63">
        <v>0</v>
      </c>
      <c r="N38" s="63">
        <v>0</v>
      </c>
      <c r="O38" s="63">
        <v>0</v>
      </c>
      <c r="P38" s="63">
        <v>336</v>
      </c>
    </row>
    <row r="39" spans="1:16" x14ac:dyDescent="0.2">
      <c r="A39" s="47" t="s">
        <v>235</v>
      </c>
      <c r="B39" s="47" t="s">
        <v>22</v>
      </c>
      <c r="C39" s="47" t="s">
        <v>584</v>
      </c>
      <c r="D39" s="47" t="s">
        <v>190</v>
      </c>
      <c r="E39" s="63">
        <f t="shared" si="0"/>
        <v>7.8431372549019607E-3</v>
      </c>
      <c r="F39" s="63">
        <v>1</v>
      </c>
      <c r="G39" s="63">
        <f>IF(prodnorm60&gt;0,1/ROUND(prodnorm60,4),0)</f>
        <v>0</v>
      </c>
      <c r="H39" s="65">
        <f>ROUND(dagwerk60,4+2)</f>
        <v>0</v>
      </c>
      <c r="I39" s="51">
        <f>ROUND(uurtarief60,2)</f>
        <v>0</v>
      </c>
      <c r="J39" s="63">
        <v>0</v>
      </c>
      <c r="K39" s="63">
        <v>0</v>
      </c>
      <c r="L39" s="63">
        <v>81.599999999999994</v>
      </c>
      <c r="M39" s="63">
        <v>0</v>
      </c>
      <c r="N39" s="63">
        <v>0</v>
      </c>
      <c r="O39" s="63">
        <v>0</v>
      </c>
      <c r="P39" s="63">
        <v>0</v>
      </c>
    </row>
    <row r="40" spans="1:16" x14ac:dyDescent="0.2">
      <c r="A40" s="47" t="s">
        <v>237</v>
      </c>
      <c r="B40" s="47" t="s">
        <v>17</v>
      </c>
      <c r="C40" s="47" t="s">
        <v>584</v>
      </c>
      <c r="D40" s="47" t="s">
        <v>190</v>
      </c>
      <c r="E40" s="63">
        <f t="shared" si="0"/>
        <v>4.7058823529411764E-2</v>
      </c>
      <c r="F40" s="63">
        <v>1</v>
      </c>
      <c r="G40" s="63">
        <f>IF(prodnorm61&gt;0,1/ROUND(prodnorm61,4),0)</f>
        <v>0</v>
      </c>
      <c r="H40" s="65">
        <f>ROUND(dagwerk61,4+2)</f>
        <v>0</v>
      </c>
      <c r="I40" s="51">
        <f>ROUND(uurtarief61,2)</f>
        <v>0</v>
      </c>
      <c r="J40" s="63">
        <v>718.90000000000009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</row>
    <row r="41" spans="1:16" x14ac:dyDescent="0.2">
      <c r="A41" s="47" t="s">
        <v>239</v>
      </c>
      <c r="B41" s="47" t="s">
        <v>15</v>
      </c>
      <c r="C41" s="47" t="s">
        <v>584</v>
      </c>
      <c r="D41" s="47" t="s">
        <v>240</v>
      </c>
      <c r="E41" s="63">
        <f t="shared" si="0"/>
        <v>0.2</v>
      </c>
      <c r="F41" s="63">
        <v>1</v>
      </c>
      <c r="G41" s="63">
        <f>ROUND(prodnorm22,4)/60</f>
        <v>0</v>
      </c>
      <c r="H41" s="65">
        <f>ROUND(dagwerk22,4+2)</f>
        <v>0</v>
      </c>
      <c r="I41" s="51">
        <f>ROUND(uurtarief22,2)</f>
        <v>0</v>
      </c>
      <c r="J41" s="63">
        <v>0</v>
      </c>
      <c r="K41" s="63">
        <v>0</v>
      </c>
      <c r="L41" s="63">
        <v>0</v>
      </c>
      <c r="M41" s="63">
        <v>1</v>
      </c>
      <c r="N41" s="63">
        <v>0</v>
      </c>
      <c r="O41" s="63">
        <v>0</v>
      </c>
      <c r="P41" s="63">
        <v>0</v>
      </c>
    </row>
    <row r="42" spans="1:16" x14ac:dyDescent="0.2">
      <c r="A42" s="47" t="s">
        <v>243</v>
      </c>
      <c r="B42" s="47" t="s">
        <v>12</v>
      </c>
      <c r="C42" s="47" t="s">
        <v>584</v>
      </c>
      <c r="D42" s="47" t="s">
        <v>240</v>
      </c>
      <c r="E42" s="63">
        <f t="shared" si="0"/>
        <v>0.58823529411764708</v>
      </c>
      <c r="F42" s="63">
        <v>1</v>
      </c>
      <c r="G42" s="63">
        <f>ROUND(prodnorm23,4)/60</f>
        <v>0</v>
      </c>
      <c r="H42" s="65">
        <f>ROUND(dagwerk23,4+2)</f>
        <v>0</v>
      </c>
      <c r="I42" s="51">
        <f>ROUND(uurtarief23,2)</f>
        <v>0</v>
      </c>
      <c r="J42" s="63">
        <v>0</v>
      </c>
      <c r="K42" s="63">
        <v>0</v>
      </c>
      <c r="L42" s="63">
        <v>0</v>
      </c>
      <c r="M42" s="63">
        <v>0</v>
      </c>
      <c r="N42" s="63">
        <v>1</v>
      </c>
      <c r="O42" s="63">
        <v>0</v>
      </c>
      <c r="P42" s="63">
        <v>0</v>
      </c>
    </row>
    <row r="43" spans="1:16" x14ac:dyDescent="0.2">
      <c r="A43" s="47" t="s">
        <v>245</v>
      </c>
      <c r="B43" s="47" t="s">
        <v>16</v>
      </c>
      <c r="C43" s="47" t="s">
        <v>584</v>
      </c>
      <c r="D43" s="47" t="s">
        <v>240</v>
      </c>
      <c r="E43" s="63">
        <f t="shared" si="0"/>
        <v>0.10196078431372549</v>
      </c>
      <c r="F43" s="63">
        <v>1</v>
      </c>
      <c r="G43" s="63">
        <f>ROUND(prodnorm24,4)/60</f>
        <v>0</v>
      </c>
      <c r="H43" s="65">
        <f>ROUND(dagwerk24,4+2)</f>
        <v>0</v>
      </c>
      <c r="I43" s="51">
        <f>ROUND(uurtarief24,2)</f>
        <v>0</v>
      </c>
      <c r="J43" s="63">
        <v>0</v>
      </c>
      <c r="K43" s="63">
        <v>0</v>
      </c>
      <c r="L43" s="63">
        <v>0</v>
      </c>
      <c r="M43" s="63">
        <v>0</v>
      </c>
      <c r="N43" s="63">
        <v>0</v>
      </c>
      <c r="O43" s="63">
        <v>1</v>
      </c>
      <c r="P43" s="63">
        <v>0</v>
      </c>
    </row>
    <row r="44" spans="1:16" x14ac:dyDescent="0.2">
      <c r="A44" s="52" t="s">
        <v>247</v>
      </c>
      <c r="B44" s="52" t="s">
        <v>15</v>
      </c>
      <c r="C44" s="52" t="s">
        <v>584</v>
      </c>
      <c r="D44" s="52" t="s">
        <v>240</v>
      </c>
      <c r="E44" s="67">
        <f t="shared" si="0"/>
        <v>0.2</v>
      </c>
      <c r="F44" s="67">
        <v>1</v>
      </c>
      <c r="G44" s="67">
        <f>ROUND(prodnorm25,4)/60</f>
        <v>0</v>
      </c>
      <c r="H44" s="116">
        <f>ROUND(dagwerk25,4+2)</f>
        <v>0</v>
      </c>
      <c r="I44" s="56">
        <f>ROUND(uurtarief25,2)</f>
        <v>0</v>
      </c>
      <c r="J44" s="67">
        <v>1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</row>
    <row r="45" spans="1:16" x14ac:dyDescent="0.2">
      <c r="A45" s="70" t="s">
        <v>249</v>
      </c>
      <c r="B45" s="71"/>
      <c r="C45" s="71"/>
      <c r="D45" s="71"/>
      <c r="E45" s="71"/>
      <c r="F45" s="71"/>
      <c r="G45" s="71"/>
      <c r="H45" s="71"/>
      <c r="I45" s="71"/>
      <c r="J45" s="117"/>
      <c r="K45" s="117"/>
      <c r="L45" s="117"/>
      <c r="M45" s="117"/>
      <c r="N45" s="117"/>
      <c r="O45" s="117"/>
      <c r="P45" s="117"/>
    </row>
    <row r="47" spans="1:16" x14ac:dyDescent="0.2">
      <c r="A47" s="77" t="s">
        <v>252</v>
      </c>
      <c r="B47" s="77" t="s">
        <v>14</v>
      </c>
      <c r="C47" s="77" t="s">
        <v>585</v>
      </c>
      <c r="D47" s="77" t="s">
        <v>240</v>
      </c>
      <c r="E47" s="78">
        <f>IF(B47="","",VLOOKUP(B47,dagsoorttabel1,2,FALSE))</f>
        <v>0.23529411764705882</v>
      </c>
      <c r="F47" s="78">
        <v>1</v>
      </c>
      <c r="G47" s="78">
        <f>ROUND(prodnorm62,4)/60</f>
        <v>0</v>
      </c>
      <c r="H47" s="111">
        <f>ROUND(dagwerk62,4+2)</f>
        <v>0</v>
      </c>
      <c r="I47" s="81">
        <f>ROUND(uurtarief62,2)</f>
        <v>0</v>
      </c>
      <c r="J47" s="78">
        <v>0</v>
      </c>
      <c r="K47" s="78">
        <v>0</v>
      </c>
      <c r="L47" s="78">
        <v>0</v>
      </c>
      <c r="M47" s="78">
        <v>0</v>
      </c>
      <c r="N47" s="78">
        <v>1</v>
      </c>
      <c r="O47" s="78">
        <v>0</v>
      </c>
      <c r="P47" s="78">
        <v>0</v>
      </c>
    </row>
    <row r="48" spans="1:16" x14ac:dyDescent="0.2">
      <c r="A48" s="70" t="s">
        <v>253</v>
      </c>
      <c r="B48" s="71"/>
      <c r="C48" s="71"/>
      <c r="D48" s="71"/>
      <c r="E48" s="71"/>
      <c r="F48" s="71"/>
      <c r="G48" s="71"/>
      <c r="H48" s="71"/>
      <c r="I48" s="71"/>
      <c r="J48" s="117"/>
      <c r="K48" s="117"/>
      <c r="L48" s="117"/>
      <c r="M48" s="117"/>
      <c r="N48" s="117"/>
      <c r="O48" s="117"/>
      <c r="P48" s="117"/>
    </row>
  </sheetData>
  <sheetProtection algorithmName="SHA-512" hashValue="164wXxAXsZeR4h2aSx7maxnWx6w6WB61CPuYmwD0Iy+isqwBQOMTFVzwL4TZArK9QcuXDl3xREToutPjR3SK7A==" saltValue="xLbReLZZ3E4FtdKNkz+dM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5252-EB92-4DCE-8D95-BA3EE2A0DE9D}">
  <dimension ref="A1:R23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08984375" customWidth="1"/>
    <col min="6" max="6" width="10.6328125" customWidth="1"/>
    <col min="7" max="14" width="12.08984375" customWidth="1"/>
    <col min="15" max="16" width="12.6328125" customWidth="1"/>
    <col min="17" max="17" width="14.6328125" customWidth="1"/>
    <col min="18" max="18" width="13.6328125" customWidth="1"/>
  </cols>
  <sheetData>
    <row r="1" spans="1:18" ht="12.75" x14ac:dyDescent="0.2">
      <c r="A1" s="1" t="str">
        <f>CONCATENATE("Bijlage F.5: ",tabeltype," objecten")</f>
        <v>Bijlage F.5: Invultabel objecten</v>
      </c>
    </row>
    <row r="3" spans="1:18" ht="51" x14ac:dyDescent="0.2">
      <c r="A3" s="31" t="s">
        <v>256</v>
      </c>
      <c r="B3" s="31" t="s">
        <v>586</v>
      </c>
      <c r="C3" s="31" t="s">
        <v>587</v>
      </c>
      <c r="D3" s="31" t="s">
        <v>588</v>
      </c>
      <c r="E3" s="31" t="s">
        <v>7</v>
      </c>
      <c r="F3" s="31" t="s">
        <v>589</v>
      </c>
      <c r="G3" s="31" t="s">
        <v>590</v>
      </c>
      <c r="H3" s="31" t="s">
        <v>591</v>
      </c>
      <c r="I3" s="31" t="s">
        <v>592</v>
      </c>
      <c r="J3" s="31" t="s">
        <v>593</v>
      </c>
      <c r="K3" s="31" t="s">
        <v>594</v>
      </c>
      <c r="L3" s="31" t="s">
        <v>595</v>
      </c>
      <c r="M3" s="31" t="s">
        <v>596</v>
      </c>
      <c r="N3" s="31" t="s">
        <v>597</v>
      </c>
      <c r="O3" s="31" t="s">
        <v>598</v>
      </c>
      <c r="P3" s="31" t="s">
        <v>187</v>
      </c>
      <c r="Q3" s="31" t="s">
        <v>188</v>
      </c>
      <c r="R3" s="31" t="s">
        <v>599</v>
      </c>
    </row>
    <row r="4" spans="1:18" ht="12.75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</row>
    <row r="5" spans="1:18" ht="12.75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</row>
    <row r="6" spans="1:18" ht="12.75" x14ac:dyDescent="0.2">
      <c r="A6" s="42" t="s">
        <v>266</v>
      </c>
      <c r="B6" s="42" t="s">
        <v>600</v>
      </c>
      <c r="C6" s="42" t="s">
        <v>601</v>
      </c>
      <c r="D6" s="42" t="s">
        <v>602</v>
      </c>
      <c r="E6" s="118" t="s">
        <v>9</v>
      </c>
      <c r="F6" s="119">
        <f t="shared" ref="F6:F12" si="0">gemuurtarief1</f>
        <v>0</v>
      </c>
      <c r="G6" s="60">
        <f>SUMPRODUCT(taakfreqtabel1,uurfactortabel1,kengetaltabel1,object1_opptabel1)*(1/VLOOKUP(E6,dagsoorttabel1,2,FALSE))</f>
        <v>0</v>
      </c>
      <c r="H6" s="60">
        <f>SUMPRODUCT(dagwerktabel1,taakfreqtabel1,uurfactortabel1,kengetaltabel1,object1_opptabel1)*(1/VLOOKUP(E6,dagsoorttabel1,2,FALSE))</f>
        <v>0</v>
      </c>
      <c r="I6" s="44"/>
      <c r="J6" s="60">
        <f t="shared" ref="J6:J12" si="1">H6+I6</f>
        <v>0</v>
      </c>
      <c r="K6" s="60">
        <f t="shared" ref="K6:K12" si="2">G6+I6</f>
        <v>0</v>
      </c>
      <c r="L6" s="46">
        <f>SUMPRODUCT(taakfreqtabel1,kengetaltabel1,tarieftabel1,object1_opptabel1)*(1/VLOOKUP(E6,dagsoorttabel1,2,FALSE))</f>
        <v>0</v>
      </c>
      <c r="M6" s="46">
        <f t="shared" ref="M6:M12" si="3">F6*I6</f>
        <v>0</v>
      </c>
      <c r="N6" s="46">
        <f t="shared" ref="N6:N12" si="4">SUM(L6:M6)</f>
        <v>0</v>
      </c>
      <c r="O6" s="60">
        <f t="shared" ref="O6:O12" si="5">J6*dagenperjaar1*VLOOKUP(E6,dagsoorttabel1,2,FALSE)</f>
        <v>0</v>
      </c>
      <c r="P6" s="60">
        <f t="shared" ref="P6:P12" si="6">K6*dagenperjaar1*VLOOKUP(E6,dagsoorttabel1,2,FALSE)</f>
        <v>0</v>
      </c>
      <c r="Q6" s="46">
        <f t="shared" ref="Q6:Q12" si="7">N6*dagenperjaar1*VLOOKUP(E6,dagsoorttabel1,2,FALSE)</f>
        <v>0</v>
      </c>
      <c r="R6" s="46">
        <f t="shared" ref="R6:R12" si="8">Q6/12</f>
        <v>0</v>
      </c>
    </row>
    <row r="7" spans="1:18" ht="12.75" x14ac:dyDescent="0.2">
      <c r="A7" s="47" t="s">
        <v>375</v>
      </c>
      <c r="B7" s="47" t="s">
        <v>603</v>
      </c>
      <c r="C7" s="47" t="s">
        <v>604</v>
      </c>
      <c r="D7" s="47" t="s">
        <v>602</v>
      </c>
      <c r="E7" s="120" t="s">
        <v>15</v>
      </c>
      <c r="F7" s="121">
        <f t="shared" si="0"/>
        <v>0</v>
      </c>
      <c r="G7" s="63">
        <f>SUMPRODUCT(taakfreqtabel1,uurfactortabel1,kengetaltabel1,object2_opptabel1)*(1/VLOOKUP(E7,dagsoorttabel1,2,FALSE))</f>
        <v>0</v>
      </c>
      <c r="H7" s="63">
        <f>SUMPRODUCT(dagwerktabel1,taakfreqtabel1,uurfactortabel1,kengetaltabel1,object2_opptabel1)*(1/VLOOKUP(E7,dagsoorttabel1,2,FALSE))</f>
        <v>0</v>
      </c>
      <c r="I7" s="49"/>
      <c r="J7" s="63">
        <f t="shared" si="1"/>
        <v>0</v>
      </c>
      <c r="K7" s="63">
        <f t="shared" si="2"/>
        <v>0</v>
      </c>
      <c r="L7" s="51">
        <f>SUMPRODUCT(taakfreqtabel1,kengetaltabel1,tarieftabel1,object2_opptabel1)*(1/VLOOKUP(E7,dagsoorttabel1,2,FALSE))</f>
        <v>0</v>
      </c>
      <c r="M7" s="51">
        <f t="shared" si="3"/>
        <v>0</v>
      </c>
      <c r="N7" s="51">
        <f t="shared" si="4"/>
        <v>0</v>
      </c>
      <c r="O7" s="63">
        <f t="shared" si="5"/>
        <v>0</v>
      </c>
      <c r="P7" s="63">
        <f t="shared" si="6"/>
        <v>0</v>
      </c>
      <c r="Q7" s="51">
        <f t="shared" si="7"/>
        <v>0</v>
      </c>
      <c r="R7" s="51">
        <f t="shared" si="8"/>
        <v>0</v>
      </c>
    </row>
    <row r="8" spans="1:18" ht="12.75" x14ac:dyDescent="0.2">
      <c r="A8" s="47" t="s">
        <v>401</v>
      </c>
      <c r="B8" s="47" t="s">
        <v>605</v>
      </c>
      <c r="C8" s="47" t="s">
        <v>606</v>
      </c>
      <c r="D8" s="47" t="s">
        <v>602</v>
      </c>
      <c r="E8" s="120" t="s">
        <v>9</v>
      </c>
      <c r="F8" s="121">
        <f t="shared" si="0"/>
        <v>0</v>
      </c>
      <c r="G8" s="63">
        <f>SUMPRODUCT(taakfreqtabel1,uurfactortabel1,kengetaltabel1,object3_opptabel1)*(1/VLOOKUP(E8,dagsoorttabel1,2,FALSE))</f>
        <v>0</v>
      </c>
      <c r="H8" s="63">
        <f>SUMPRODUCT(dagwerktabel1,taakfreqtabel1,uurfactortabel1,kengetaltabel1,object3_opptabel1)*(1/VLOOKUP(E8,dagsoorttabel1,2,FALSE))</f>
        <v>0</v>
      </c>
      <c r="I8" s="49"/>
      <c r="J8" s="63">
        <f t="shared" si="1"/>
        <v>0</v>
      </c>
      <c r="K8" s="63">
        <f t="shared" si="2"/>
        <v>0</v>
      </c>
      <c r="L8" s="51">
        <f>SUMPRODUCT(taakfreqtabel1,kengetaltabel1,tarieftabel1,object3_opptabel1)*(1/VLOOKUP(E8,dagsoorttabel1,2,FALSE))</f>
        <v>0</v>
      </c>
      <c r="M8" s="51">
        <f t="shared" si="3"/>
        <v>0</v>
      </c>
      <c r="N8" s="51">
        <f t="shared" si="4"/>
        <v>0</v>
      </c>
      <c r="O8" s="63">
        <f t="shared" si="5"/>
        <v>0</v>
      </c>
      <c r="P8" s="63">
        <f t="shared" si="6"/>
        <v>0</v>
      </c>
      <c r="Q8" s="51">
        <f t="shared" si="7"/>
        <v>0</v>
      </c>
      <c r="R8" s="51">
        <f t="shared" si="8"/>
        <v>0</v>
      </c>
    </row>
    <row r="9" spans="1:18" ht="12.75" x14ac:dyDescent="0.2">
      <c r="A9" s="47" t="s">
        <v>424</v>
      </c>
      <c r="B9" s="47" t="s">
        <v>607</v>
      </c>
      <c r="C9" s="47" t="s">
        <v>608</v>
      </c>
      <c r="D9" s="47" t="s">
        <v>602</v>
      </c>
      <c r="E9" s="120" t="s">
        <v>9</v>
      </c>
      <c r="F9" s="121">
        <f t="shared" si="0"/>
        <v>0</v>
      </c>
      <c r="G9" s="63">
        <f>SUMPRODUCT(taakfreqtabel1,uurfactortabel1,kengetaltabel1,object4_opptabel1)*(1/VLOOKUP(E9,dagsoorttabel1,2,FALSE))</f>
        <v>0</v>
      </c>
      <c r="H9" s="63">
        <f>SUMPRODUCT(dagwerktabel1,taakfreqtabel1,uurfactortabel1,kengetaltabel1,object4_opptabel1)*(1/VLOOKUP(E9,dagsoorttabel1,2,FALSE))</f>
        <v>0</v>
      </c>
      <c r="I9" s="49"/>
      <c r="J9" s="63">
        <f t="shared" si="1"/>
        <v>0</v>
      </c>
      <c r="K9" s="63">
        <f t="shared" si="2"/>
        <v>0</v>
      </c>
      <c r="L9" s="51">
        <f>SUMPRODUCT(taakfreqtabel1,kengetaltabel1,tarieftabel1,object4_opptabel1)*(1/VLOOKUP(E9,dagsoorttabel1,2,FALSE))</f>
        <v>0</v>
      </c>
      <c r="M9" s="51">
        <f t="shared" si="3"/>
        <v>0</v>
      </c>
      <c r="N9" s="51">
        <f t="shared" si="4"/>
        <v>0</v>
      </c>
      <c r="O9" s="63">
        <f t="shared" si="5"/>
        <v>0</v>
      </c>
      <c r="P9" s="63">
        <f t="shared" si="6"/>
        <v>0</v>
      </c>
      <c r="Q9" s="51">
        <f t="shared" si="7"/>
        <v>0</v>
      </c>
      <c r="R9" s="51">
        <f t="shared" si="8"/>
        <v>0</v>
      </c>
    </row>
    <row r="10" spans="1:18" ht="12.75" x14ac:dyDescent="0.2">
      <c r="A10" s="47" t="s">
        <v>439</v>
      </c>
      <c r="B10" s="47" t="s">
        <v>609</v>
      </c>
      <c r="C10" s="47" t="s">
        <v>610</v>
      </c>
      <c r="D10" s="47" t="s">
        <v>602</v>
      </c>
      <c r="E10" s="120" t="s">
        <v>12</v>
      </c>
      <c r="F10" s="121">
        <f t="shared" si="0"/>
        <v>0</v>
      </c>
      <c r="G10" s="63">
        <f>SUMPRODUCT(taakfreqtabel1,uurfactortabel1,kengetaltabel1,object5_opptabel1)*(1/VLOOKUP(E10,dagsoorttabel1,2,FALSE))</f>
        <v>0</v>
      </c>
      <c r="H10" s="63">
        <f>SUMPRODUCT(dagwerktabel1,taakfreqtabel1,uurfactortabel1,kengetaltabel1,object5_opptabel1)*(1/VLOOKUP(E10,dagsoorttabel1,2,FALSE))</f>
        <v>0</v>
      </c>
      <c r="I10" s="49"/>
      <c r="J10" s="63">
        <f t="shared" si="1"/>
        <v>0</v>
      </c>
      <c r="K10" s="63">
        <f t="shared" si="2"/>
        <v>0</v>
      </c>
      <c r="L10" s="51">
        <f>SUMPRODUCT(taakfreqtabel1,kengetaltabel1,tarieftabel1,object5_opptabel1)*(1/VLOOKUP(E10,dagsoorttabel1,2,FALSE))</f>
        <v>0</v>
      </c>
      <c r="M10" s="51">
        <f t="shared" si="3"/>
        <v>0</v>
      </c>
      <c r="N10" s="51">
        <f t="shared" si="4"/>
        <v>0</v>
      </c>
      <c r="O10" s="63">
        <f t="shared" si="5"/>
        <v>0</v>
      </c>
      <c r="P10" s="63">
        <f t="shared" si="6"/>
        <v>0</v>
      </c>
      <c r="Q10" s="51">
        <f t="shared" si="7"/>
        <v>0</v>
      </c>
      <c r="R10" s="51">
        <f t="shared" si="8"/>
        <v>0</v>
      </c>
    </row>
    <row r="11" spans="1:18" ht="12.75" x14ac:dyDescent="0.2">
      <c r="A11" s="47" t="s">
        <v>442</v>
      </c>
      <c r="B11" s="47" t="s">
        <v>611</v>
      </c>
      <c r="C11" s="47"/>
      <c r="D11" s="47" t="s">
        <v>602</v>
      </c>
      <c r="E11" s="120" t="s">
        <v>16</v>
      </c>
      <c r="F11" s="121">
        <f t="shared" si="0"/>
        <v>0</v>
      </c>
      <c r="G11" s="63">
        <f>SUMPRODUCT(taakfreqtabel1,uurfactortabel1,kengetaltabel1,object6_opptabel1)*(1/VLOOKUP(E11,dagsoorttabel1,2,FALSE))</f>
        <v>0</v>
      </c>
      <c r="H11" s="63">
        <f>SUMPRODUCT(dagwerktabel1,taakfreqtabel1,uurfactortabel1,kengetaltabel1,object6_opptabel1)*(1/VLOOKUP(E11,dagsoorttabel1,2,FALSE))</f>
        <v>0</v>
      </c>
      <c r="I11" s="49"/>
      <c r="J11" s="63">
        <f t="shared" si="1"/>
        <v>0</v>
      </c>
      <c r="K11" s="63">
        <f t="shared" si="2"/>
        <v>0</v>
      </c>
      <c r="L11" s="51">
        <f>SUMPRODUCT(taakfreqtabel1,kengetaltabel1,tarieftabel1,object6_opptabel1)*(1/VLOOKUP(E11,dagsoorttabel1,2,FALSE))</f>
        <v>0</v>
      </c>
      <c r="M11" s="51">
        <f t="shared" si="3"/>
        <v>0</v>
      </c>
      <c r="N11" s="51">
        <f t="shared" si="4"/>
        <v>0</v>
      </c>
      <c r="O11" s="63">
        <f t="shared" si="5"/>
        <v>0</v>
      </c>
      <c r="P11" s="63">
        <f t="shared" si="6"/>
        <v>0</v>
      </c>
      <c r="Q11" s="51">
        <f t="shared" si="7"/>
        <v>0</v>
      </c>
      <c r="R11" s="51">
        <f t="shared" si="8"/>
        <v>0</v>
      </c>
    </row>
    <row r="12" spans="1:18" ht="12.75" x14ac:dyDescent="0.2">
      <c r="A12" s="52" t="s">
        <v>445</v>
      </c>
      <c r="B12" s="52" t="s">
        <v>612</v>
      </c>
      <c r="C12" s="52" t="s">
        <v>613</v>
      </c>
      <c r="D12" s="52" t="s">
        <v>602</v>
      </c>
      <c r="E12" s="122" t="s">
        <v>9</v>
      </c>
      <c r="F12" s="123">
        <f t="shared" si="0"/>
        <v>0</v>
      </c>
      <c r="G12" s="67">
        <f>SUMPRODUCT(taakfreqtabel1,uurfactortabel1,kengetaltabel1,object7_opptabel1)*(1/VLOOKUP(E12,dagsoorttabel1,2,FALSE))</f>
        <v>0</v>
      </c>
      <c r="H12" s="67">
        <f>SUMPRODUCT(dagwerktabel1,taakfreqtabel1,uurfactortabel1,kengetaltabel1,object7_opptabel1)*(1/VLOOKUP(E12,dagsoorttabel1,2,FALSE))</f>
        <v>0</v>
      </c>
      <c r="I12" s="54"/>
      <c r="J12" s="67">
        <f t="shared" si="1"/>
        <v>0</v>
      </c>
      <c r="K12" s="67">
        <f t="shared" si="2"/>
        <v>0</v>
      </c>
      <c r="L12" s="56">
        <f>SUMPRODUCT(taakfreqtabel1,kengetaltabel1,tarieftabel1,object7_opptabel1)*(1/VLOOKUP(E12,dagsoorttabel1,2,FALSE))</f>
        <v>0</v>
      </c>
      <c r="M12" s="56">
        <f t="shared" si="3"/>
        <v>0</v>
      </c>
      <c r="N12" s="56">
        <f t="shared" si="4"/>
        <v>0</v>
      </c>
      <c r="O12" s="67">
        <f t="shared" si="5"/>
        <v>0</v>
      </c>
      <c r="P12" s="67">
        <f t="shared" si="6"/>
        <v>0</v>
      </c>
      <c r="Q12" s="56">
        <f t="shared" si="7"/>
        <v>0</v>
      </c>
      <c r="R12" s="56">
        <f t="shared" si="8"/>
        <v>0</v>
      </c>
    </row>
    <row r="13" spans="1:18" ht="12.75" x14ac:dyDescent="0.2">
      <c r="A13" s="70" t="s">
        <v>249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2">
        <f>SUM(O6:O12)</f>
        <v>0</v>
      </c>
      <c r="P13" s="72">
        <f>SUM(P6:P12)</f>
        <v>0</v>
      </c>
      <c r="Q13" s="73">
        <f>SUM(Q6:Q12)</f>
        <v>0</v>
      </c>
      <c r="R13" s="74">
        <f>SUM(R6:R12)</f>
        <v>0</v>
      </c>
    </row>
    <row r="14" spans="1:18" ht="12.75" x14ac:dyDescent="0.2">
      <c r="A14" s="75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6"/>
    </row>
    <row r="15" spans="1:18" ht="12.75" x14ac:dyDescent="0.2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18" ht="12.75" x14ac:dyDescent="0.2">
      <c r="A16" s="35" t="s">
        <v>251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1:18" ht="12.75" x14ac:dyDescent="0.2">
      <c r="A17" s="77" t="s">
        <v>439</v>
      </c>
      <c r="B17" s="77" t="s">
        <v>609</v>
      </c>
      <c r="C17" s="77" t="s">
        <v>610</v>
      </c>
      <c r="D17" s="77" t="s">
        <v>602</v>
      </c>
      <c r="E17" s="124" t="s">
        <v>14</v>
      </c>
      <c r="F17" s="125">
        <f>gemuurtarief4</f>
        <v>0</v>
      </c>
      <c r="G17" s="78">
        <f>SUMPRODUCT(taakfreqtabel4,uurfactortabel4,kengetaltabel4,object5_opptabel4)*(1/VLOOKUP(E17,dagsoorttabel1,2,FALSE))</f>
        <v>0</v>
      </c>
      <c r="H17" s="78">
        <f>SUMPRODUCT(dagwerktabel4,taakfreqtabel4,uurfactortabel4,kengetaltabel4,object5_opptabel4)*(1/VLOOKUP(E17,dagsoorttabel1,2,FALSE))</f>
        <v>0</v>
      </c>
      <c r="I17" s="126"/>
      <c r="J17" s="78">
        <f>H17+I17</f>
        <v>0</v>
      </c>
      <c r="K17" s="78">
        <f>G17+I17</f>
        <v>0</v>
      </c>
      <c r="L17" s="81">
        <f>SUMPRODUCT(taakfreqtabel4,kengetaltabel4,tarieftabel4,object5_opptabel4)*(1/VLOOKUP(E17,dagsoorttabel1,2,FALSE))</f>
        <v>0</v>
      </c>
      <c r="M17" s="81">
        <f>F17*I17</f>
        <v>0</v>
      </c>
      <c r="N17" s="81">
        <f>SUM(L17:M17)</f>
        <v>0</v>
      </c>
      <c r="O17" s="78">
        <f>J17*dagenperjaar1*VLOOKUP(E17,dagsoorttabel1,2,FALSE)</f>
        <v>0</v>
      </c>
      <c r="P17" s="78">
        <f>K17*dagenperjaar1*VLOOKUP(E17,dagsoorttabel1,2,FALSE)</f>
        <v>0</v>
      </c>
      <c r="Q17" s="81">
        <f>N17*dagenperjaar1*VLOOKUP(E17,dagsoorttabel1,2,FALSE)</f>
        <v>0</v>
      </c>
      <c r="R17" s="81">
        <f>Q17/12</f>
        <v>0</v>
      </c>
    </row>
    <row r="18" spans="1:18" ht="12.75" x14ac:dyDescent="0.2">
      <c r="A18" s="70" t="s">
        <v>253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>
        <f>SUM(O17:O17)</f>
        <v>0</v>
      </c>
      <c r="P18" s="72">
        <f>SUM(P17:P17)</f>
        <v>0</v>
      </c>
      <c r="Q18" s="73">
        <f>SUM(Q17:Q17)</f>
        <v>0</v>
      </c>
      <c r="R18" s="74">
        <f>SUM(R17:R17)</f>
        <v>0</v>
      </c>
    </row>
    <row r="19" spans="1:18" x14ac:dyDescent="0.2">
      <c r="A19" s="75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6"/>
    </row>
    <row r="21" spans="1:18" x14ac:dyDescent="0.2">
      <c r="A21" s="70" t="s">
        <v>614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2">
        <f>urenjaartotaalhf1+urenjaartotaalhf4</f>
        <v>0</v>
      </c>
      <c r="P21" s="72">
        <f>urenjaartotaal1+urenjaartotaal4</f>
        <v>0</v>
      </c>
      <c r="Q21" s="73">
        <f>prijsjaartotaal1+prijsjaartotaal4</f>
        <v>0</v>
      </c>
      <c r="R21" s="73">
        <f>prijsmaandtotaal1+prijsmaandtotaal4</f>
        <v>0</v>
      </c>
    </row>
    <row r="23" spans="1:18" x14ac:dyDescent="0.2">
      <c r="A23" s="70" t="s">
        <v>615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3">
        <f>Q21*1.21</f>
        <v>0</v>
      </c>
      <c r="R23" s="73">
        <f>R21*1.21</f>
        <v>0</v>
      </c>
    </row>
  </sheetData>
  <sheetProtection algorithmName="SHA-512" hashValue="W2+T/2M/gxDULjnxB5Vd57PxfhmaRA+9mW4HRsbNOPB7DIOPMPXm5DWQrABlDib7BAWBEpKrOknFsxV4lZvBVg==" saltValue="wF9VgGVjr9RJ0S6z4Nt+k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CCF8-9F45-4224-B5C1-73E2719AADF5}">
  <dimension ref="A1:I12"/>
  <sheetViews>
    <sheetView workbookViewId="0"/>
  </sheetViews>
  <sheetFormatPr defaultRowHeight="12.6" x14ac:dyDescent="0.2"/>
  <cols>
    <col min="1" max="1" width="8.6328125" customWidth="1"/>
    <col min="2" max="2" width="32.6328125" customWidth="1"/>
    <col min="3" max="3" width="20.6328125" customWidth="1"/>
    <col min="4" max="4" width="18.6328125" customWidth="1"/>
    <col min="5" max="6" width="12.6328125" customWidth="1"/>
    <col min="7" max="7" width="14.6328125" customWidth="1"/>
    <col min="8" max="9" width="13.6328125" customWidth="1"/>
  </cols>
  <sheetData>
    <row r="1" spans="1:9" ht="12.75" x14ac:dyDescent="0.2">
      <c r="A1" s="1" t="str">
        <f>CONCATENATE("Bijlage F.6: ",tabeltype," totaalblad objecten")</f>
        <v>Bijlage F.6: Invultabel totaalblad objecten</v>
      </c>
    </row>
    <row r="3" spans="1:9" ht="38.25" x14ac:dyDescent="0.2">
      <c r="A3" s="31" t="s">
        <v>256</v>
      </c>
      <c r="B3" s="31" t="s">
        <v>586</v>
      </c>
      <c r="C3" s="31" t="s">
        <v>587</v>
      </c>
      <c r="D3" s="31" t="s">
        <v>588</v>
      </c>
      <c r="E3" s="31" t="s">
        <v>598</v>
      </c>
      <c r="F3" s="31" t="s">
        <v>187</v>
      </c>
      <c r="G3" s="31" t="s">
        <v>188</v>
      </c>
      <c r="H3" s="31" t="s">
        <v>616</v>
      </c>
      <c r="I3" s="31" t="s">
        <v>617</v>
      </c>
    </row>
    <row r="4" spans="1:9" ht="12.75" x14ac:dyDescent="0.2">
      <c r="A4" s="42" t="s">
        <v>266</v>
      </c>
      <c r="B4" s="42" t="s">
        <v>600</v>
      </c>
      <c r="C4" s="42" t="s">
        <v>601</v>
      </c>
      <c r="D4" s="42" t="s">
        <v>602</v>
      </c>
      <c r="E4" s="60">
        <f>objecturenhf1_1</f>
        <v>0</v>
      </c>
      <c r="F4" s="60">
        <f>objecturen1_1</f>
        <v>0</v>
      </c>
      <c r="G4" s="46">
        <f>objectprijs1_1</f>
        <v>0</v>
      </c>
      <c r="H4" s="46">
        <f t="shared" ref="H4:H10" si="0">G4/12</f>
        <v>0</v>
      </c>
      <c r="I4" s="46">
        <f t="shared" ref="I4:I10" si="1">H4*1.21</f>
        <v>0</v>
      </c>
    </row>
    <row r="5" spans="1:9" ht="12.75" x14ac:dyDescent="0.2">
      <c r="A5" s="47" t="s">
        <v>375</v>
      </c>
      <c r="B5" s="47" t="s">
        <v>603</v>
      </c>
      <c r="C5" s="47" t="s">
        <v>604</v>
      </c>
      <c r="D5" s="47" t="s">
        <v>602</v>
      </c>
      <c r="E5" s="63">
        <f>objecturenhf2_1</f>
        <v>0</v>
      </c>
      <c r="F5" s="63">
        <f>objecturen2_1</f>
        <v>0</v>
      </c>
      <c r="G5" s="51">
        <f>objectprijs2_1</f>
        <v>0</v>
      </c>
      <c r="H5" s="51">
        <f t="shared" si="0"/>
        <v>0</v>
      </c>
      <c r="I5" s="51">
        <f t="shared" si="1"/>
        <v>0</v>
      </c>
    </row>
    <row r="6" spans="1:9" ht="12.75" x14ac:dyDescent="0.2">
      <c r="A6" s="47" t="s">
        <v>401</v>
      </c>
      <c r="B6" s="47" t="s">
        <v>605</v>
      </c>
      <c r="C6" s="47" t="s">
        <v>606</v>
      </c>
      <c r="D6" s="47" t="s">
        <v>602</v>
      </c>
      <c r="E6" s="63">
        <f>objecturenhf3_1</f>
        <v>0</v>
      </c>
      <c r="F6" s="63">
        <f>objecturen3_1</f>
        <v>0</v>
      </c>
      <c r="G6" s="51">
        <f>objectprijs3_1</f>
        <v>0</v>
      </c>
      <c r="H6" s="51">
        <f t="shared" si="0"/>
        <v>0</v>
      </c>
      <c r="I6" s="51">
        <f t="shared" si="1"/>
        <v>0</v>
      </c>
    </row>
    <row r="7" spans="1:9" ht="12.75" x14ac:dyDescent="0.2">
      <c r="A7" s="47" t="s">
        <v>424</v>
      </c>
      <c r="B7" s="47" t="s">
        <v>607</v>
      </c>
      <c r="C7" s="47" t="s">
        <v>608</v>
      </c>
      <c r="D7" s="47" t="s">
        <v>602</v>
      </c>
      <c r="E7" s="63">
        <f>objecturenhf4_1</f>
        <v>0</v>
      </c>
      <c r="F7" s="63">
        <f>objecturen4_1</f>
        <v>0</v>
      </c>
      <c r="G7" s="51">
        <f>objectprijs4_1</f>
        <v>0</v>
      </c>
      <c r="H7" s="51">
        <f t="shared" si="0"/>
        <v>0</v>
      </c>
      <c r="I7" s="51">
        <f t="shared" si="1"/>
        <v>0</v>
      </c>
    </row>
    <row r="8" spans="1:9" ht="12.75" x14ac:dyDescent="0.2">
      <c r="A8" s="47" t="s">
        <v>439</v>
      </c>
      <c r="B8" s="47" t="s">
        <v>609</v>
      </c>
      <c r="C8" s="47" t="s">
        <v>610</v>
      </c>
      <c r="D8" s="47" t="s">
        <v>602</v>
      </c>
      <c r="E8" s="63">
        <f>objecturenhf5_1+objecturenhf5_4</f>
        <v>0</v>
      </c>
      <c r="F8" s="63">
        <f>objecturen5_1+objecturen5_4</f>
        <v>0</v>
      </c>
      <c r="G8" s="51">
        <f>objectprijs5_1+objectprijs5_4</f>
        <v>0</v>
      </c>
      <c r="H8" s="51">
        <f t="shared" si="0"/>
        <v>0</v>
      </c>
      <c r="I8" s="51">
        <f t="shared" si="1"/>
        <v>0</v>
      </c>
    </row>
    <row r="9" spans="1:9" ht="12.75" x14ac:dyDescent="0.2">
      <c r="A9" s="47" t="s">
        <v>442</v>
      </c>
      <c r="B9" s="47" t="s">
        <v>611</v>
      </c>
      <c r="C9" s="47"/>
      <c r="D9" s="47" t="s">
        <v>602</v>
      </c>
      <c r="E9" s="63">
        <f>objecturenhf6_1</f>
        <v>0</v>
      </c>
      <c r="F9" s="63">
        <f>objecturen6_1</f>
        <v>0</v>
      </c>
      <c r="G9" s="51">
        <f>objectprijs6_1</f>
        <v>0</v>
      </c>
      <c r="H9" s="51">
        <f t="shared" si="0"/>
        <v>0</v>
      </c>
      <c r="I9" s="51">
        <f t="shared" si="1"/>
        <v>0</v>
      </c>
    </row>
    <row r="10" spans="1:9" ht="12.75" x14ac:dyDescent="0.2">
      <c r="A10" s="52" t="s">
        <v>445</v>
      </c>
      <c r="B10" s="52" t="s">
        <v>612</v>
      </c>
      <c r="C10" s="52" t="s">
        <v>613</v>
      </c>
      <c r="D10" s="52" t="s">
        <v>602</v>
      </c>
      <c r="E10" s="67">
        <f>objecturenhf7_1</f>
        <v>0</v>
      </c>
      <c r="F10" s="67">
        <f>objecturen7_1</f>
        <v>0</v>
      </c>
      <c r="G10" s="56">
        <f>objectprijs7_1</f>
        <v>0</v>
      </c>
      <c r="H10" s="56">
        <f t="shared" si="0"/>
        <v>0</v>
      </c>
      <c r="I10" s="56">
        <f t="shared" si="1"/>
        <v>0</v>
      </c>
    </row>
    <row r="12" spans="1:9" ht="12.75" x14ac:dyDescent="0.2">
      <c r="A12" s="70" t="s">
        <v>618</v>
      </c>
      <c r="B12" s="71"/>
      <c r="C12" s="71"/>
      <c r="D12" s="71"/>
      <c r="E12" s="72">
        <f>SUM(E4:E10)</f>
        <v>0</v>
      </c>
      <c r="F12" s="72">
        <f>SUM(F4:F10)</f>
        <v>0</v>
      </c>
      <c r="G12" s="73">
        <f>SUM(G4:G10)</f>
        <v>0</v>
      </c>
      <c r="H12" s="73">
        <f>SUM(H4:H10)</f>
        <v>0</v>
      </c>
      <c r="I12" s="73">
        <f>SUM(I4:I10)</f>
        <v>0</v>
      </c>
    </row>
  </sheetData>
  <sheetProtection algorithmName="SHA-512" hashValue="U06lh8FPsWMY/SrEKE8WWwRHyrQE6m0BtlyTGzoy0cb1S9n+X4R719JV4ym3BzI77Kd5rhnYc4O9USHsD6Klkg==" saltValue="CF+4C0Hn0ji+nz2k9h4/f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Doesburg EA 2025                                   &amp;ROpmaakdatum: 18-10-2024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563</vt:i4>
      </vt:variant>
    </vt:vector>
  </HeadingPairs>
  <TitlesOfParts>
    <vt:vector size="577" baseType="lpstr">
      <vt:lpstr>Omreken</vt:lpstr>
      <vt:lpstr>Tariefopbouw</vt:lpstr>
      <vt:lpstr>Categorienormen</vt:lpstr>
      <vt:lpstr>Regulier werk</vt:lpstr>
      <vt:lpstr>Ruimten werkdag</vt:lpstr>
      <vt:lpstr>Ruimten weekenddag</vt:lpstr>
      <vt:lpstr>Objectinformatie</vt:lpstr>
      <vt:lpstr>Objecten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weekenddag'!Afdruktitels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catdw_1_AHV_12</vt:lpstr>
      <vt:lpstr>catdw_1_BHB_1</vt:lpstr>
      <vt:lpstr>catdw_1_BHV_51</vt:lpstr>
      <vt:lpstr>catdw_1_BZB_1</vt:lpstr>
      <vt:lpstr>catdw_1_BZV_51</vt:lpstr>
      <vt:lpstr>catdw_1_CHB_1</vt:lpstr>
      <vt:lpstr>catdw_1_CHV_51</vt:lpstr>
      <vt:lpstr>catdw_1_DHB_1</vt:lpstr>
      <vt:lpstr>catdw_1_DHV_51</vt:lpstr>
      <vt:lpstr>catdw_1_EHB_1</vt:lpstr>
      <vt:lpstr>catdw_1_EHV_51</vt:lpstr>
      <vt:lpstr>catdw_1_EZB_1</vt:lpstr>
      <vt:lpstr>catdw_1_EZV_51</vt:lpstr>
      <vt:lpstr>catdw_1_IHB_1</vt:lpstr>
      <vt:lpstr>catdw_1_IHV_51</vt:lpstr>
      <vt:lpstr>catdw_1_KHB_1</vt:lpstr>
      <vt:lpstr>catdw_1_KHV_51</vt:lpstr>
      <vt:lpstr>catdw_1_LHB_1</vt:lpstr>
      <vt:lpstr>catdw_1_LHV_51</vt:lpstr>
      <vt:lpstr>catdw_1_LZB_1</vt:lpstr>
      <vt:lpstr>catdw_1_LZV_51</vt:lpstr>
      <vt:lpstr>catdw_1_OHB_1</vt:lpstr>
      <vt:lpstr>catdw_1_OHV_51</vt:lpstr>
      <vt:lpstr>catdw_1_OZB_1</vt:lpstr>
      <vt:lpstr>catdw_1_OZV_51</vt:lpstr>
      <vt:lpstr>catdw_1_PHB_1</vt:lpstr>
      <vt:lpstr>catdw_1_PHV_51</vt:lpstr>
      <vt:lpstr>catdw_1_RHB_1</vt:lpstr>
      <vt:lpstr>catdw_1_RHV_51</vt:lpstr>
      <vt:lpstr>catdw_1_SHB_1</vt:lpstr>
      <vt:lpstr>catdw_1_SHV_51</vt:lpstr>
      <vt:lpstr>catdw_1_THB_1</vt:lpstr>
      <vt:lpstr>catdw_1_THV_51</vt:lpstr>
      <vt:lpstr>catdw_1_VHB_1</vt:lpstr>
      <vt:lpstr>catdw_1_VHV_51</vt:lpstr>
      <vt:lpstr>catdw_1_VZB_1</vt:lpstr>
      <vt:lpstr>catdw_1_VZV_51</vt:lpstr>
      <vt:lpstr>catdw_1_WHB_1</vt:lpstr>
      <vt:lpstr>catdw_1_WHV_51</vt:lpstr>
      <vt:lpstr>catdw_1_XBB_1</vt:lpstr>
      <vt:lpstr>catfd_1_AHB_1</vt:lpstr>
      <vt:lpstr>catfd_1_AHV_12</vt:lpstr>
      <vt:lpstr>catfd_1_BHB_1</vt:lpstr>
      <vt:lpstr>catfd_1_BHV_51</vt:lpstr>
      <vt:lpstr>catfd_1_BZB_1</vt:lpstr>
      <vt:lpstr>catfd_1_BZV_51</vt:lpstr>
      <vt:lpstr>catfd_1_CHB_1</vt:lpstr>
      <vt:lpstr>catfd_1_CHV_51</vt:lpstr>
      <vt:lpstr>catfd_1_DHB_1</vt:lpstr>
      <vt:lpstr>catfd_1_DHV_51</vt:lpstr>
      <vt:lpstr>catfd_1_EHB_1</vt:lpstr>
      <vt:lpstr>catfd_1_EHV_51</vt:lpstr>
      <vt:lpstr>catfd_1_EZB_1</vt:lpstr>
      <vt:lpstr>catfd_1_EZV_51</vt:lpstr>
      <vt:lpstr>catfd_1_IHB_1</vt:lpstr>
      <vt:lpstr>catfd_1_IHV_51</vt:lpstr>
      <vt:lpstr>catfd_1_KHB_1</vt:lpstr>
      <vt:lpstr>catfd_1_KHV_51</vt:lpstr>
      <vt:lpstr>catfd_1_LHB_1</vt:lpstr>
      <vt:lpstr>catfd_1_LHV_51</vt:lpstr>
      <vt:lpstr>catfd_1_LZB_1</vt:lpstr>
      <vt:lpstr>catfd_1_LZV_51</vt:lpstr>
      <vt:lpstr>catfd_1_OHB_1</vt:lpstr>
      <vt:lpstr>catfd_1_OHV_51</vt:lpstr>
      <vt:lpstr>catfd_1_OZB_1</vt:lpstr>
      <vt:lpstr>catfd_1_OZV_51</vt:lpstr>
      <vt:lpstr>catfd_1_PHB_1</vt:lpstr>
      <vt:lpstr>catfd_1_PHV_51</vt:lpstr>
      <vt:lpstr>catfd_1_RHB_1</vt:lpstr>
      <vt:lpstr>catfd_1_RHV_51</vt:lpstr>
      <vt:lpstr>catfd_1_SHB_1</vt:lpstr>
      <vt:lpstr>catfd_1_SHV_51</vt:lpstr>
      <vt:lpstr>catfd_1_THB_1</vt:lpstr>
      <vt:lpstr>catfd_1_THV_51</vt:lpstr>
      <vt:lpstr>catfd_1_VHB_1</vt:lpstr>
      <vt:lpstr>catfd_1_VHV_51</vt:lpstr>
      <vt:lpstr>catfd_1_VZB_1</vt:lpstr>
      <vt:lpstr>catfd_1_VZV_51</vt:lpstr>
      <vt:lpstr>catfd_1_WHB_1</vt:lpstr>
      <vt:lpstr>catfd_1_WHV_51</vt:lpstr>
      <vt:lpstr>catfd_1_XBB_1</vt:lpstr>
      <vt:lpstr>catpn_1_AHB_1</vt:lpstr>
      <vt:lpstr>catpn_1_AHV_12</vt:lpstr>
      <vt:lpstr>catpn_1_BHB_1</vt:lpstr>
      <vt:lpstr>catpn_1_BHV_51</vt:lpstr>
      <vt:lpstr>catpn_1_BZB_1</vt:lpstr>
      <vt:lpstr>catpn_1_BZV_51</vt:lpstr>
      <vt:lpstr>catpn_1_CHB_1</vt:lpstr>
      <vt:lpstr>catpn_1_CHV_51</vt:lpstr>
      <vt:lpstr>catpn_1_DHB_1</vt:lpstr>
      <vt:lpstr>catpn_1_DHV_51</vt:lpstr>
      <vt:lpstr>catpn_1_EHB_1</vt:lpstr>
      <vt:lpstr>catpn_1_EHV_51</vt:lpstr>
      <vt:lpstr>catpn_1_EZB_1</vt:lpstr>
      <vt:lpstr>catpn_1_EZV_51</vt:lpstr>
      <vt:lpstr>catpn_1_IHB_1</vt:lpstr>
      <vt:lpstr>catpn_1_IHV_51</vt:lpstr>
      <vt:lpstr>catpn_1_KHB_1</vt:lpstr>
      <vt:lpstr>catpn_1_KHV_51</vt:lpstr>
      <vt:lpstr>catpn_1_LHB_1</vt:lpstr>
      <vt:lpstr>catpn_1_LHV_51</vt:lpstr>
      <vt:lpstr>catpn_1_LZB_1</vt:lpstr>
      <vt:lpstr>catpn_1_LZV_51</vt:lpstr>
      <vt:lpstr>catpn_1_OHB_1</vt:lpstr>
      <vt:lpstr>catpn_1_OHV_51</vt:lpstr>
      <vt:lpstr>catpn_1_OZB_1</vt:lpstr>
      <vt:lpstr>catpn_1_OZV_51</vt:lpstr>
      <vt:lpstr>catpn_1_PHB_1</vt:lpstr>
      <vt:lpstr>catpn_1_PHV_51</vt:lpstr>
      <vt:lpstr>catpn_1_RHB_1</vt:lpstr>
      <vt:lpstr>catpn_1_RHV_51</vt:lpstr>
      <vt:lpstr>catpn_1_SHB_1</vt:lpstr>
      <vt:lpstr>catpn_1_SHV_51</vt:lpstr>
      <vt:lpstr>catpn_1_THB_1</vt:lpstr>
      <vt:lpstr>catpn_1_THV_51</vt:lpstr>
      <vt:lpstr>catpn_1_VHB_1</vt:lpstr>
      <vt:lpstr>catpn_1_VHV_51</vt:lpstr>
      <vt:lpstr>catpn_1_VZB_1</vt:lpstr>
      <vt:lpstr>catpn_1_VZV_51</vt:lpstr>
      <vt:lpstr>catpn_1_WHB_1</vt:lpstr>
      <vt:lpstr>catpn_1_WHV_51</vt:lpstr>
      <vt:lpstr>catpn_1_XBB_1</vt:lpstr>
      <vt:lpstr>cattf_1_AHB_1</vt:lpstr>
      <vt:lpstr>cattf_1_AHV_12</vt:lpstr>
      <vt:lpstr>cattf_1_BHB_1</vt:lpstr>
      <vt:lpstr>cattf_1_BHV_51</vt:lpstr>
      <vt:lpstr>cattf_1_BZB_1</vt:lpstr>
      <vt:lpstr>cattf_1_BZV_51</vt:lpstr>
      <vt:lpstr>cattf_1_CHB_1</vt:lpstr>
      <vt:lpstr>cattf_1_CHV_51</vt:lpstr>
      <vt:lpstr>cattf_1_DHB_1</vt:lpstr>
      <vt:lpstr>cattf_1_DHV_51</vt:lpstr>
      <vt:lpstr>cattf_1_EHB_1</vt:lpstr>
      <vt:lpstr>cattf_1_EHV_51</vt:lpstr>
      <vt:lpstr>cattf_1_EZB_1</vt:lpstr>
      <vt:lpstr>cattf_1_EZV_51</vt:lpstr>
      <vt:lpstr>cattf_1_IHB_1</vt:lpstr>
      <vt:lpstr>cattf_1_IHV_51</vt:lpstr>
      <vt:lpstr>cattf_1_KHB_1</vt:lpstr>
      <vt:lpstr>cattf_1_KHV_51</vt:lpstr>
      <vt:lpstr>cattf_1_LHB_1</vt:lpstr>
      <vt:lpstr>cattf_1_LHV_51</vt:lpstr>
      <vt:lpstr>cattf_1_LZB_1</vt:lpstr>
      <vt:lpstr>cattf_1_LZV_51</vt:lpstr>
      <vt:lpstr>cattf_1_OHB_1</vt:lpstr>
      <vt:lpstr>cattf_1_OHV_51</vt:lpstr>
      <vt:lpstr>cattf_1_OZB_1</vt:lpstr>
      <vt:lpstr>cattf_1_OZV_51</vt:lpstr>
      <vt:lpstr>cattf_1_PHB_1</vt:lpstr>
      <vt:lpstr>cattf_1_PHV_51</vt:lpstr>
      <vt:lpstr>cattf_1_RHB_1</vt:lpstr>
      <vt:lpstr>cattf_1_RHV_51</vt:lpstr>
      <vt:lpstr>cattf_1_SHB_1</vt:lpstr>
      <vt:lpstr>cattf_1_SHV_51</vt:lpstr>
      <vt:lpstr>cattf_1_THB_1</vt:lpstr>
      <vt:lpstr>cattf_1_THV_51</vt:lpstr>
      <vt:lpstr>cattf_1_VHB_1</vt:lpstr>
      <vt:lpstr>cattf_1_VHV_51</vt:lpstr>
      <vt:lpstr>cattf_1_VZB_1</vt:lpstr>
      <vt:lpstr>cattf_1_VZV_51</vt:lpstr>
      <vt:lpstr>cattf_1_WHB_1</vt:lpstr>
      <vt:lpstr>cattf_1_WHV_51</vt:lpstr>
      <vt:lpstr>cattf_1_XBB_1</vt:lpstr>
      <vt:lpstr>dagenperjaar1</vt:lpstr>
      <vt:lpstr>dagenperweek1</vt:lpstr>
      <vt:lpstr>dagsoorttabel1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dagwerktabel1</vt:lpstr>
      <vt:lpstr>dagwerktabel4</vt:lpstr>
      <vt:lpstr>gemuurtarief1</vt:lpstr>
      <vt:lpstr>gemuurtarief4</vt:lpstr>
      <vt:lpstr>kengetaltabel1</vt:lpstr>
      <vt:lpstr>kengetaltabel4</vt:lpstr>
      <vt:lpstr>object1_gemuurtarief1</vt:lpstr>
      <vt:lpstr>object1_opptabel1</vt:lpstr>
      <vt:lpstr>object1_opptabel4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object2_opptabel4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object3_opptabel4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object4_opptabel4</vt:lpstr>
      <vt:lpstr>object4_prijsdag1</vt:lpstr>
      <vt:lpstr>object4_prijsjaar1</vt:lpstr>
      <vt:lpstr>object4_urendag1</vt:lpstr>
      <vt:lpstr>object4_urendaghf1</vt:lpstr>
      <vt:lpstr>object4_urenjaar1</vt:lpstr>
      <vt:lpstr>object5_gemuurtarief4</vt:lpstr>
      <vt:lpstr>object5_opptabel1</vt:lpstr>
      <vt:lpstr>object5_opptabel4</vt:lpstr>
      <vt:lpstr>object5_prijsdag4</vt:lpstr>
      <vt:lpstr>object5_prijsjaar4</vt:lpstr>
      <vt:lpstr>object5_urendag4</vt:lpstr>
      <vt:lpstr>object5_urendaghf4</vt:lpstr>
      <vt:lpstr>object5_urenjaar4</vt:lpstr>
      <vt:lpstr>object6_opptabel1</vt:lpstr>
      <vt:lpstr>object6_opptabel4</vt:lpstr>
      <vt:lpstr>object7_gemuurtarief1</vt:lpstr>
      <vt:lpstr>object7_opptabel1</vt:lpstr>
      <vt:lpstr>object7_opptabel4</vt:lpstr>
      <vt:lpstr>object7_prijsdag1</vt:lpstr>
      <vt:lpstr>object7_prijsjaar1</vt:lpstr>
      <vt:lpstr>object7_urendag1</vt:lpstr>
      <vt:lpstr>object7_urendaghf1</vt:lpstr>
      <vt:lpstr>object7_urenjaar1</vt:lpstr>
      <vt:lpstr>objectprijs1_1</vt:lpstr>
      <vt:lpstr>objectprijs2_1</vt:lpstr>
      <vt:lpstr>objectprijs3_1</vt:lpstr>
      <vt:lpstr>objectprijs4_1</vt:lpstr>
      <vt:lpstr>objectprijs5_1</vt:lpstr>
      <vt:lpstr>objectprijs5_4</vt:lpstr>
      <vt:lpstr>objectprijs6_1</vt:lpstr>
      <vt:lpstr>objectprijs7_1</vt:lpstr>
      <vt:lpstr>objecturen1_1</vt:lpstr>
      <vt:lpstr>objecturen2_1</vt:lpstr>
      <vt:lpstr>objecturen3_1</vt:lpstr>
      <vt:lpstr>objecturen4_1</vt:lpstr>
      <vt:lpstr>objecturen5_1</vt:lpstr>
      <vt:lpstr>objecturen5_4</vt:lpstr>
      <vt:lpstr>objecturen6_1</vt:lpstr>
      <vt:lpstr>objecturen7_1</vt:lpstr>
      <vt:lpstr>objecturenhf1_1</vt:lpstr>
      <vt:lpstr>objecturenhf2_1</vt:lpstr>
      <vt:lpstr>objecturenhf3_1</vt:lpstr>
      <vt:lpstr>objecturenhf4_1</vt:lpstr>
      <vt:lpstr>objecturenhf5_1</vt:lpstr>
      <vt:lpstr>objecturenhf5_4</vt:lpstr>
      <vt:lpstr>objecturenhf6_1</vt:lpstr>
      <vt:lpstr>objecturenhf7_1</vt:lpstr>
      <vt:lpstr>prijsdag1</vt:lpstr>
      <vt:lpstr>prijsdag4</vt:lpstr>
      <vt:lpstr>prijsjaar</vt:lpstr>
      <vt:lpstr>prijsjaar1</vt:lpstr>
      <vt:lpstr>prijsjaar4</vt:lpstr>
      <vt:lpstr>prijsjaarafroep</vt:lpstr>
      <vt:lpstr>prijsjaarafroep1</vt:lpstr>
      <vt:lpstr>prijsjaarglas</vt:lpstr>
      <vt:lpstr>prijsjaarglas1</vt:lpstr>
      <vt:lpstr>prijsjaartotaal</vt:lpstr>
      <vt:lpstr>prijsjaartotaal1</vt:lpstr>
      <vt:lpstr>prijsjaartotaal4</vt:lpstr>
      <vt:lpstr>prijsjaartotaaloverzicht</vt:lpstr>
      <vt:lpstr>prijsmaandtotaal1</vt:lpstr>
      <vt:lpstr>prijsmaandtotaal4</vt:lpstr>
      <vt:lpstr>prodnorm0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prodnorm7</vt:lpstr>
      <vt:lpstr>prodnorm8</vt:lpstr>
      <vt:lpstr>prodnorm9</vt:lpstr>
      <vt:lpstr>taakfreqtabel1</vt:lpstr>
      <vt:lpstr>taakfreqtabel4</vt:lpstr>
      <vt:lpstr>tabeltype</vt:lpstr>
      <vt:lpstr>Tariefopbouw1</vt:lpstr>
      <vt:lpstr>Tariefopbouw2</vt:lpstr>
      <vt:lpstr>Tariefopbouw3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tarieftabel1</vt:lpstr>
      <vt:lpstr>tarieftabel4</vt:lpstr>
      <vt:lpstr>TariefUitvoering1</vt:lpstr>
      <vt:lpstr>TariefUitvoering2</vt:lpstr>
      <vt:lpstr>TariefUitvoering3</vt:lpstr>
      <vt:lpstr>urendag1</vt:lpstr>
      <vt:lpstr>urendag4</vt:lpstr>
      <vt:lpstr>urenjaar</vt:lpstr>
      <vt:lpstr>urenjaar1</vt:lpstr>
      <vt:lpstr>urenjaar4</vt:lpstr>
      <vt:lpstr>urenjaartotaal</vt:lpstr>
      <vt:lpstr>urenjaartotaal1</vt:lpstr>
      <vt:lpstr>urenjaartotaal4</vt:lpstr>
      <vt:lpstr>urenjaartotaalhf</vt:lpstr>
      <vt:lpstr>urenjaartotaalhf1</vt:lpstr>
      <vt:lpstr>urenjaartotaalhf4</vt:lpstr>
      <vt:lpstr>urenjaartotaaloverzicht</vt:lpstr>
      <vt:lpstr>urenjaartotaaloverzichthf</vt:lpstr>
      <vt:lpstr>uurfactortabel1</vt:lpstr>
      <vt:lpstr>uurfactortabel4</vt:lpstr>
      <vt:lpstr>uurtarief0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2024-10-18T07:18:02Z</dcterms:created>
  <dcterms:modified xsi:type="dcterms:W3CDTF">2024-10-28T08:10:13Z</dcterms:modified>
</cp:coreProperties>
</file>