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4\Begeleiding\Beverwijk\Concept\"/>
    </mc:Choice>
  </mc:AlternateContent>
  <xr:revisionPtr revIDLastSave="0" documentId="13_ncr:1_{DD472E93-D473-4E47-99F8-FA6D533C3EF4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er 01-01-2017" sheetId="4" state="hidden" r:id="rId1"/>
    <sheet name="Per 01-01-2024" sheetId="5" r:id="rId2"/>
    <sheet name="Per 01-01-2019" sheetId="1" state="hidden" r:id="rId3"/>
    <sheet name="Socius per 01-01-2019" sheetId="2" state="hidden" r:id="rId4"/>
  </sheets>
  <definedNames>
    <definedName name="_xlnm._FilterDatabase" localSheetId="0" hidden="1">'per 01-01-2017'!$A$1:$AI$76</definedName>
    <definedName name="_xlnm._FilterDatabase" localSheetId="2" hidden="1">'Per 01-01-2019'!$A$1:$AK$74</definedName>
    <definedName name="_xlnm._FilterDatabase" localSheetId="1" hidden="1">'Per 01-01-2024'!$A$1:$AH$65</definedName>
    <definedName name="_xlnm.Print_Area" localSheetId="0">'per 01-01-2017'!$A$1:$Z$64</definedName>
    <definedName name="_xlnm.Print_Area" localSheetId="2">'Per 01-01-2019'!$A$1:$AB$65</definedName>
    <definedName name="_xlnm.Print_Area" localSheetId="1">'Per 01-01-2024'!$A$1:$P$64</definedName>
    <definedName name="_xlnm.Print_Area" localSheetId="3">'Socius per 01-01-2019'!$A$1:$I$11</definedName>
    <definedName name="_xlnm.Print_Titles" localSheetId="0">'per 01-01-2017'!$1:$4</definedName>
    <definedName name="_xlnm.Print_Titles" localSheetId="2">'Per 01-01-2019'!$1:$4</definedName>
    <definedName name="_xlnm.Print_Titles" localSheetId="1">'Per 01-01-2024'!$1:$3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" i="5" l="1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56" i="5"/>
  <c r="O57" i="5"/>
  <c r="O58" i="5"/>
  <c r="O43" i="5"/>
  <c r="O44" i="5"/>
  <c r="O45" i="5"/>
  <c r="O46" i="5"/>
  <c r="O47" i="5"/>
  <c r="O48" i="5"/>
  <c r="O49" i="5"/>
  <c r="O50" i="5"/>
  <c r="O51" i="5"/>
  <c r="O52" i="5"/>
  <c r="O53" i="5"/>
  <c r="O55" i="5"/>
  <c r="O6" i="5"/>
  <c r="N5" i="5"/>
  <c r="P5" i="5" s="1"/>
  <c r="N6" i="5"/>
  <c r="N7" i="5"/>
  <c r="P7" i="5" s="1"/>
  <c r="N8" i="5"/>
  <c r="P8" i="5" s="1"/>
  <c r="N9" i="5"/>
  <c r="P9" i="5" s="1"/>
  <c r="N10" i="5"/>
  <c r="P10" i="5" s="1"/>
  <c r="N11" i="5"/>
  <c r="N12" i="5"/>
  <c r="N13" i="5"/>
  <c r="N14" i="5"/>
  <c r="N15" i="5"/>
  <c r="N16" i="5"/>
  <c r="N17" i="5"/>
  <c r="P17" i="5" s="1"/>
  <c r="N18" i="5"/>
  <c r="P18" i="5" s="1"/>
  <c r="N19" i="5"/>
  <c r="N20" i="5"/>
  <c r="N21" i="5"/>
  <c r="N22" i="5"/>
  <c r="N23" i="5"/>
  <c r="N26" i="5"/>
  <c r="P26" i="5" s="1"/>
  <c r="N27" i="5"/>
  <c r="P27" i="5" s="1"/>
  <c r="N28" i="5"/>
  <c r="P28" i="5" s="1"/>
  <c r="N29" i="5"/>
  <c r="N30" i="5"/>
  <c r="N31" i="5"/>
  <c r="N32" i="5"/>
  <c r="N33" i="5"/>
  <c r="N34" i="5"/>
  <c r="P34" i="5" s="1"/>
  <c r="N35" i="5"/>
  <c r="P35" i="5" s="1"/>
  <c r="N36" i="5"/>
  <c r="P36" i="5" s="1"/>
  <c r="N37" i="5"/>
  <c r="N38" i="5"/>
  <c r="N39" i="5"/>
  <c r="N40" i="5"/>
  <c r="N41" i="5"/>
  <c r="P41" i="5" s="1"/>
  <c r="N42" i="5"/>
  <c r="P42" i="5" s="1"/>
  <c r="N56" i="5"/>
  <c r="P56" i="5" s="1"/>
  <c r="N57" i="5"/>
  <c r="N58" i="5"/>
  <c r="N43" i="5"/>
  <c r="N44" i="5"/>
  <c r="N45" i="5"/>
  <c r="N46" i="5"/>
  <c r="P46" i="5" s="1"/>
  <c r="N47" i="5"/>
  <c r="P47" i="5" s="1"/>
  <c r="N48" i="5"/>
  <c r="P48" i="5" s="1"/>
  <c r="N49" i="5"/>
  <c r="N50" i="5"/>
  <c r="N51" i="5"/>
  <c r="N52" i="5"/>
  <c r="N53" i="5"/>
  <c r="N54" i="5"/>
  <c r="P54" i="5" s="1"/>
  <c r="N55" i="5"/>
  <c r="P55" i="5" s="1"/>
  <c r="N4" i="5"/>
  <c r="P4" i="5" s="1"/>
  <c r="I54" i="5"/>
  <c r="J54" i="5" s="1"/>
  <c r="I53" i="5"/>
  <c r="J53" i="5" s="1"/>
  <c r="I52" i="5"/>
  <c r="J52" i="5" s="1"/>
  <c r="I51" i="5"/>
  <c r="J51" i="5" s="1"/>
  <c r="I50" i="5"/>
  <c r="J50" i="5" s="1"/>
  <c r="I49" i="5"/>
  <c r="J49" i="5" s="1"/>
  <c r="I48" i="5"/>
  <c r="J48" i="5" s="1"/>
  <c r="I47" i="5"/>
  <c r="J47" i="5" s="1"/>
  <c r="I46" i="5"/>
  <c r="J46" i="5" s="1"/>
  <c r="I45" i="5"/>
  <c r="J45" i="5" s="1"/>
  <c r="I44" i="5"/>
  <c r="J44" i="5" s="1"/>
  <c r="I43" i="5"/>
  <c r="J43" i="5" s="1"/>
  <c r="I57" i="5"/>
  <c r="J57" i="5" s="1"/>
  <c r="I58" i="5"/>
  <c r="J58" i="5" s="1"/>
  <c r="I56" i="5"/>
  <c r="J56" i="5" s="1"/>
  <c r="I37" i="5"/>
  <c r="J37" i="5" s="1"/>
  <c r="I36" i="5"/>
  <c r="J36" i="5" s="1"/>
  <c r="I35" i="5"/>
  <c r="J35" i="5" s="1"/>
  <c r="I34" i="5"/>
  <c r="J34" i="5" s="1"/>
  <c r="P14" i="5" l="1"/>
  <c r="P21" i="5"/>
  <c r="P58" i="5"/>
  <c r="P12" i="5"/>
  <c r="P29" i="5"/>
  <c r="P11" i="5"/>
  <c r="P38" i="5"/>
  <c r="P43" i="5"/>
  <c r="P37" i="5"/>
  <c r="P51" i="5"/>
  <c r="P13" i="5"/>
  <c r="P30" i="5"/>
  <c r="P49" i="5"/>
  <c r="P31" i="5"/>
  <c r="P50" i="5"/>
  <c r="P20" i="5"/>
  <c r="P19" i="5"/>
  <c r="P57" i="5"/>
  <c r="P6" i="5"/>
  <c r="P53" i="5"/>
  <c r="P45" i="5"/>
  <c r="P40" i="5"/>
  <c r="P33" i="5"/>
  <c r="P23" i="5"/>
  <c r="P16" i="5"/>
  <c r="P52" i="5"/>
  <c r="P44" i="5"/>
  <c r="P39" i="5"/>
  <c r="P32" i="5"/>
  <c r="P22" i="5"/>
  <c r="P15" i="5"/>
  <c r="I42" i="5"/>
  <c r="J42" i="5" s="1"/>
  <c r="I41" i="5"/>
  <c r="J41" i="5" s="1"/>
  <c r="I40" i="5"/>
  <c r="J40" i="5" s="1"/>
  <c r="I39" i="5"/>
  <c r="J39" i="5" s="1"/>
  <c r="I38" i="5"/>
  <c r="J38" i="5" s="1"/>
  <c r="I33" i="5" l="1"/>
  <c r="J33" i="5" s="1"/>
  <c r="I32" i="5"/>
  <c r="J32" i="5" s="1"/>
  <c r="I31" i="5"/>
  <c r="J31" i="5" s="1"/>
  <c r="I30" i="5"/>
  <c r="J30" i="5" s="1"/>
  <c r="I29" i="5"/>
  <c r="J29" i="5" s="1"/>
  <c r="I28" i="5"/>
  <c r="J28" i="5" s="1"/>
  <c r="I27" i="5"/>
  <c r="J27" i="5" s="1"/>
  <c r="I26" i="5"/>
  <c r="J26" i="5" s="1"/>
  <c r="M25" i="5"/>
  <c r="O25" i="5" s="1"/>
  <c r="L25" i="5"/>
  <c r="N25" i="5" s="1"/>
  <c r="M24" i="5"/>
  <c r="I24" i="5"/>
  <c r="J24" i="5" s="1"/>
  <c r="L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16" i="5"/>
  <c r="J16" i="5" s="1"/>
  <c r="I15" i="5"/>
  <c r="J15" i="5" s="1"/>
  <c r="I14" i="5"/>
  <c r="J14" i="5" s="1"/>
  <c r="I13" i="5"/>
  <c r="J13" i="5" s="1"/>
  <c r="I12" i="5"/>
  <c r="J12" i="5" s="1"/>
  <c r="I11" i="5"/>
  <c r="J11" i="5" s="1"/>
  <c r="I10" i="5"/>
  <c r="J10" i="5" s="1"/>
  <c r="I9" i="5"/>
  <c r="J9" i="5" s="1"/>
  <c r="I8" i="5"/>
  <c r="J8" i="5" s="1"/>
  <c r="I7" i="5"/>
  <c r="J7" i="5" s="1"/>
  <c r="I6" i="5"/>
  <c r="J6" i="5" s="1"/>
  <c r="I5" i="5"/>
  <c r="J5" i="5" s="1"/>
  <c r="I4" i="5"/>
  <c r="J4" i="5" s="1"/>
  <c r="P25" i="5" l="1"/>
  <c r="O24" i="5"/>
  <c r="O59" i="5" s="1"/>
  <c r="M59" i="5"/>
  <c r="L59" i="5"/>
  <c r="N24" i="5"/>
  <c r="N59" i="5" s="1"/>
  <c r="H59" i="5"/>
  <c r="K59" i="5"/>
  <c r="P24" i="5" l="1"/>
  <c r="P59" i="5" s="1"/>
  <c r="AA80" i="1" l="1"/>
  <c r="Y56" i="1" l="1"/>
  <c r="Z12" i="1"/>
  <c r="X54" i="1"/>
  <c r="Z54" i="1" s="1"/>
  <c r="X12" i="1"/>
  <c r="X15" i="1"/>
  <c r="Z15" i="1" s="1"/>
  <c r="X42" i="1"/>
  <c r="Z42" i="1" s="1"/>
  <c r="X53" i="1"/>
  <c r="Z53" i="1" s="1"/>
  <c r="AA54" i="1" l="1"/>
  <c r="AA53" i="1" l="1"/>
  <c r="W52" i="1"/>
  <c r="X52" i="1" l="1"/>
  <c r="Z52" i="1" s="1"/>
  <c r="AA57" i="1"/>
  <c r="AA58" i="1"/>
  <c r="U67" i="4"/>
  <c r="V67" i="4" s="1"/>
  <c r="X67" i="4" s="1"/>
  <c r="Y67" i="4" s="1"/>
  <c r="O67" i="4"/>
  <c r="P67" i="4" s="1"/>
  <c r="Q67" i="4" s="1"/>
  <c r="L67" i="4"/>
  <c r="M67" i="4" s="1"/>
  <c r="L66" i="4"/>
  <c r="M66" i="4" s="1"/>
  <c r="O66" i="4" s="1"/>
  <c r="P66" i="4" s="1"/>
  <c r="Q66" i="4" s="1"/>
  <c r="R66" i="4" s="1"/>
  <c r="T66" i="4" s="1"/>
  <c r="U66" i="4" s="1"/>
  <c r="V66" i="4" s="1"/>
  <c r="X66" i="4" s="1"/>
  <c r="Y66" i="4" s="1"/>
  <c r="Y57" i="4"/>
  <c r="Y56" i="4"/>
  <c r="W55" i="4"/>
  <c r="X54" i="4"/>
  <c r="Y54" i="4" s="1"/>
  <c r="V53" i="4"/>
  <c r="X53" i="4" s="1"/>
  <c r="Y53" i="4" s="1"/>
  <c r="L52" i="4"/>
  <c r="M52" i="4" s="1"/>
  <c r="O52" i="4" s="1"/>
  <c r="P52" i="4" s="1"/>
  <c r="Q52" i="4" s="1"/>
  <c r="R52" i="4" s="1"/>
  <c r="T52" i="4" s="1"/>
  <c r="U52" i="4" s="1"/>
  <c r="V52" i="4" s="1"/>
  <c r="X52" i="4" s="1"/>
  <c r="Y52" i="4" s="1"/>
  <c r="L51" i="4"/>
  <c r="M51" i="4" s="1"/>
  <c r="O51" i="4" s="1"/>
  <c r="P51" i="4" s="1"/>
  <c r="Q51" i="4" s="1"/>
  <c r="R51" i="4" s="1"/>
  <c r="T51" i="4" s="1"/>
  <c r="U51" i="4" s="1"/>
  <c r="V51" i="4" s="1"/>
  <c r="X51" i="4" s="1"/>
  <c r="Y51" i="4" s="1"/>
  <c r="L50" i="4"/>
  <c r="M50" i="4" s="1"/>
  <c r="O50" i="4" s="1"/>
  <c r="P50" i="4" s="1"/>
  <c r="Q50" i="4" s="1"/>
  <c r="R50" i="4" s="1"/>
  <c r="T50" i="4" s="1"/>
  <c r="U50" i="4" s="1"/>
  <c r="V50" i="4" s="1"/>
  <c r="X50" i="4" s="1"/>
  <c r="Y50" i="4" s="1"/>
  <c r="L49" i="4"/>
  <c r="M49" i="4" s="1"/>
  <c r="O49" i="4" s="1"/>
  <c r="P49" i="4" s="1"/>
  <c r="Q49" i="4" s="1"/>
  <c r="R49" i="4" s="1"/>
  <c r="T49" i="4" s="1"/>
  <c r="U49" i="4" s="1"/>
  <c r="V49" i="4" s="1"/>
  <c r="X49" i="4" s="1"/>
  <c r="Y49" i="4" s="1"/>
  <c r="M48" i="4"/>
  <c r="O48" i="4" s="1"/>
  <c r="P48" i="4" s="1"/>
  <c r="Q48" i="4" s="1"/>
  <c r="R48" i="4" s="1"/>
  <c r="T48" i="4" s="1"/>
  <c r="U48" i="4" s="1"/>
  <c r="V48" i="4" s="1"/>
  <c r="X48" i="4" s="1"/>
  <c r="Y48" i="4" s="1"/>
  <c r="L48" i="4"/>
  <c r="L47" i="4"/>
  <c r="M47" i="4" s="1"/>
  <c r="O47" i="4" s="1"/>
  <c r="P47" i="4" s="1"/>
  <c r="Q47" i="4" s="1"/>
  <c r="R47" i="4" s="1"/>
  <c r="T47" i="4" s="1"/>
  <c r="U47" i="4" s="1"/>
  <c r="V47" i="4" s="1"/>
  <c r="X47" i="4" s="1"/>
  <c r="Y47" i="4" s="1"/>
  <c r="L46" i="4"/>
  <c r="M46" i="4" s="1"/>
  <c r="O46" i="4" s="1"/>
  <c r="P46" i="4" s="1"/>
  <c r="Q46" i="4" s="1"/>
  <c r="R46" i="4" s="1"/>
  <c r="T46" i="4" s="1"/>
  <c r="U46" i="4" s="1"/>
  <c r="V46" i="4" s="1"/>
  <c r="X46" i="4" s="1"/>
  <c r="Y46" i="4" s="1"/>
  <c r="L45" i="4"/>
  <c r="M45" i="4" s="1"/>
  <c r="O45" i="4" s="1"/>
  <c r="P45" i="4" s="1"/>
  <c r="Q45" i="4" s="1"/>
  <c r="R45" i="4" s="1"/>
  <c r="T45" i="4" s="1"/>
  <c r="U45" i="4" s="1"/>
  <c r="V45" i="4" s="1"/>
  <c r="X45" i="4" s="1"/>
  <c r="Y45" i="4" s="1"/>
  <c r="L44" i="4"/>
  <c r="M44" i="4" s="1"/>
  <c r="O44" i="4" s="1"/>
  <c r="P44" i="4" s="1"/>
  <c r="Q44" i="4" s="1"/>
  <c r="R44" i="4" s="1"/>
  <c r="T44" i="4" s="1"/>
  <c r="U44" i="4" s="1"/>
  <c r="V44" i="4" s="1"/>
  <c r="X44" i="4" s="1"/>
  <c r="Y44" i="4" s="1"/>
  <c r="L43" i="4"/>
  <c r="M43" i="4" s="1"/>
  <c r="O43" i="4" s="1"/>
  <c r="P43" i="4" s="1"/>
  <c r="Q43" i="4" s="1"/>
  <c r="R43" i="4" s="1"/>
  <c r="T43" i="4" s="1"/>
  <c r="U43" i="4" s="1"/>
  <c r="V43" i="4" s="1"/>
  <c r="X43" i="4" s="1"/>
  <c r="Y43" i="4" s="1"/>
  <c r="L42" i="4"/>
  <c r="M42" i="4" s="1"/>
  <c r="O42" i="4" s="1"/>
  <c r="P42" i="4" s="1"/>
  <c r="Q42" i="4" s="1"/>
  <c r="R42" i="4" s="1"/>
  <c r="T42" i="4" s="1"/>
  <c r="U42" i="4" s="1"/>
  <c r="V42" i="4" s="1"/>
  <c r="X42" i="4" s="1"/>
  <c r="Y42" i="4" s="1"/>
  <c r="L41" i="4"/>
  <c r="M41" i="4" s="1"/>
  <c r="O41" i="4" s="1"/>
  <c r="P41" i="4" s="1"/>
  <c r="Q41" i="4" s="1"/>
  <c r="R41" i="4" s="1"/>
  <c r="T41" i="4" s="1"/>
  <c r="U41" i="4" s="1"/>
  <c r="V41" i="4" s="1"/>
  <c r="X41" i="4" s="1"/>
  <c r="Y41" i="4" s="1"/>
  <c r="U40" i="4"/>
  <c r="V40" i="4" s="1"/>
  <c r="X40" i="4" s="1"/>
  <c r="Y40" i="4" s="1"/>
  <c r="P40" i="4"/>
  <c r="Q40" i="4" s="1"/>
  <c r="O40" i="4"/>
  <c r="L40" i="4"/>
  <c r="M40" i="4" s="1"/>
  <c r="U39" i="4"/>
  <c r="V39" i="4" s="1"/>
  <c r="X39" i="4" s="1"/>
  <c r="Y39" i="4" s="1"/>
  <c r="O39" i="4"/>
  <c r="P39" i="4" s="1"/>
  <c r="Q39" i="4" s="1"/>
  <c r="L39" i="4"/>
  <c r="M39" i="4" s="1"/>
  <c r="U38" i="4"/>
  <c r="V38" i="4" s="1"/>
  <c r="X38" i="4" s="1"/>
  <c r="Y38" i="4" s="1"/>
  <c r="O38" i="4"/>
  <c r="P38" i="4" s="1"/>
  <c r="Q38" i="4" s="1"/>
  <c r="L38" i="4"/>
  <c r="M38" i="4" s="1"/>
  <c r="U37" i="4"/>
  <c r="V37" i="4" s="1"/>
  <c r="X37" i="4" s="1"/>
  <c r="Y37" i="4" s="1"/>
  <c r="O37" i="4"/>
  <c r="P37" i="4" s="1"/>
  <c r="Q37" i="4" s="1"/>
  <c r="L37" i="4"/>
  <c r="M37" i="4" s="1"/>
  <c r="U36" i="4"/>
  <c r="V36" i="4" s="1"/>
  <c r="X36" i="4" s="1"/>
  <c r="Y36" i="4" s="1"/>
  <c r="O36" i="4"/>
  <c r="P36" i="4" s="1"/>
  <c r="Q36" i="4" s="1"/>
  <c r="L36" i="4"/>
  <c r="M36" i="4" s="1"/>
  <c r="U35" i="4"/>
  <c r="V35" i="4" s="1"/>
  <c r="X35" i="4" s="1"/>
  <c r="Y35" i="4" s="1"/>
  <c r="O35" i="4"/>
  <c r="P35" i="4" s="1"/>
  <c r="Q35" i="4" s="1"/>
  <c r="L35" i="4"/>
  <c r="M35" i="4" s="1"/>
  <c r="U34" i="4"/>
  <c r="V34" i="4" s="1"/>
  <c r="X34" i="4" s="1"/>
  <c r="Y34" i="4" s="1"/>
  <c r="O34" i="4"/>
  <c r="P34" i="4" s="1"/>
  <c r="Q34" i="4" s="1"/>
  <c r="L34" i="4"/>
  <c r="M34" i="4" s="1"/>
  <c r="V33" i="4"/>
  <c r="X33" i="4" s="1"/>
  <c r="Y33" i="4" s="1"/>
  <c r="U33" i="4"/>
  <c r="O33" i="4"/>
  <c r="P33" i="4" s="1"/>
  <c r="Q33" i="4" s="1"/>
  <c r="L33" i="4"/>
  <c r="M33" i="4" s="1"/>
  <c r="U32" i="4"/>
  <c r="V32" i="4" s="1"/>
  <c r="X32" i="4" s="1"/>
  <c r="Y32" i="4" s="1"/>
  <c r="P32" i="4"/>
  <c r="Q32" i="4" s="1"/>
  <c r="O32" i="4"/>
  <c r="L32" i="4"/>
  <c r="M32" i="4" s="1"/>
  <c r="U31" i="4"/>
  <c r="V31" i="4" s="1"/>
  <c r="X31" i="4" s="1"/>
  <c r="Y31" i="4" s="1"/>
  <c r="O31" i="4"/>
  <c r="P31" i="4" s="1"/>
  <c r="Q31" i="4" s="1"/>
  <c r="L31" i="4"/>
  <c r="M31" i="4" s="1"/>
  <c r="U30" i="4"/>
  <c r="V30" i="4" s="1"/>
  <c r="X30" i="4" s="1"/>
  <c r="Y30" i="4" s="1"/>
  <c r="O30" i="4"/>
  <c r="P30" i="4" s="1"/>
  <c r="Q30" i="4" s="1"/>
  <c r="L30" i="4"/>
  <c r="M30" i="4" s="1"/>
  <c r="U29" i="4"/>
  <c r="V29" i="4" s="1"/>
  <c r="X29" i="4" s="1"/>
  <c r="Y29" i="4" s="1"/>
  <c r="U28" i="4"/>
  <c r="V28" i="4" s="1"/>
  <c r="X28" i="4" s="1"/>
  <c r="Y28" i="4" s="1"/>
  <c r="O28" i="4"/>
  <c r="P28" i="4" s="1"/>
  <c r="Q28" i="4" s="1"/>
  <c r="L28" i="4"/>
  <c r="M28" i="4" s="1"/>
  <c r="U27" i="4"/>
  <c r="V27" i="4" s="1"/>
  <c r="X27" i="4" s="1"/>
  <c r="Y27" i="4" s="1"/>
  <c r="O27" i="4"/>
  <c r="P27" i="4" s="1"/>
  <c r="Q27" i="4" s="1"/>
  <c r="L27" i="4"/>
  <c r="M27" i="4" s="1"/>
  <c r="U26" i="4"/>
  <c r="V26" i="4" s="1"/>
  <c r="X26" i="4" s="1"/>
  <c r="Y26" i="4" s="1"/>
  <c r="O26" i="4"/>
  <c r="P26" i="4" s="1"/>
  <c r="Q26" i="4" s="1"/>
  <c r="L26" i="4"/>
  <c r="M26" i="4" s="1"/>
  <c r="U25" i="4"/>
  <c r="V25" i="4" s="1"/>
  <c r="X25" i="4" s="1"/>
  <c r="Y25" i="4" s="1"/>
  <c r="O25" i="4"/>
  <c r="P25" i="4" s="1"/>
  <c r="Q25" i="4" s="1"/>
  <c r="L25" i="4"/>
  <c r="M25" i="4" s="1"/>
  <c r="U24" i="4"/>
  <c r="V24" i="4" s="1"/>
  <c r="X24" i="4" s="1"/>
  <c r="Y24" i="4" s="1"/>
  <c r="O24" i="4"/>
  <c r="P24" i="4" s="1"/>
  <c r="Q24" i="4" s="1"/>
  <c r="L24" i="4"/>
  <c r="M24" i="4" s="1"/>
  <c r="U23" i="4"/>
  <c r="V23" i="4" s="1"/>
  <c r="X23" i="4" s="1"/>
  <c r="Y23" i="4" s="1"/>
  <c r="O23" i="4"/>
  <c r="P23" i="4" s="1"/>
  <c r="Q23" i="4" s="1"/>
  <c r="L23" i="4"/>
  <c r="M23" i="4" s="1"/>
  <c r="U22" i="4"/>
  <c r="V22" i="4" s="1"/>
  <c r="X22" i="4" s="1"/>
  <c r="Y22" i="4" s="1"/>
  <c r="O22" i="4"/>
  <c r="P22" i="4" s="1"/>
  <c r="Q22" i="4" s="1"/>
  <c r="L22" i="4"/>
  <c r="M22" i="4" s="1"/>
  <c r="O21" i="4"/>
  <c r="P21" i="4" s="1"/>
  <c r="Q21" i="4" s="1"/>
  <c r="R21" i="4" s="1"/>
  <c r="T21" i="4" s="1"/>
  <c r="U21" i="4" s="1"/>
  <c r="V21" i="4" s="1"/>
  <c r="X21" i="4" s="1"/>
  <c r="Y21" i="4" s="1"/>
  <c r="U20" i="4"/>
  <c r="V20" i="4" s="1"/>
  <c r="X20" i="4" s="1"/>
  <c r="Y20" i="4" s="1"/>
  <c r="O20" i="4"/>
  <c r="P20" i="4" s="1"/>
  <c r="Q20" i="4" s="1"/>
  <c r="L20" i="4"/>
  <c r="M20" i="4" s="1"/>
  <c r="U19" i="4"/>
  <c r="V19" i="4" s="1"/>
  <c r="X19" i="4" s="1"/>
  <c r="Y19" i="4" s="1"/>
  <c r="O19" i="4"/>
  <c r="P19" i="4" s="1"/>
  <c r="Q19" i="4" s="1"/>
  <c r="L19" i="4"/>
  <c r="M19" i="4" s="1"/>
  <c r="U18" i="4"/>
  <c r="V18" i="4" s="1"/>
  <c r="X18" i="4" s="1"/>
  <c r="Y18" i="4" s="1"/>
  <c r="L18" i="4"/>
  <c r="M18" i="4" s="1"/>
  <c r="O18" i="4" s="1"/>
  <c r="P18" i="4" s="1"/>
  <c r="Q18" i="4" s="1"/>
  <c r="V17" i="4"/>
  <c r="X17" i="4" s="1"/>
  <c r="Y17" i="4" s="1"/>
  <c r="U17" i="4"/>
  <c r="L17" i="4"/>
  <c r="M17" i="4" s="1"/>
  <c r="O17" i="4" s="1"/>
  <c r="P17" i="4" s="1"/>
  <c r="Q17" i="4" s="1"/>
  <c r="U16" i="4"/>
  <c r="V16" i="4" s="1"/>
  <c r="X16" i="4" s="1"/>
  <c r="Y16" i="4" s="1"/>
  <c r="L16" i="4"/>
  <c r="M16" i="4" s="1"/>
  <c r="O16" i="4" s="1"/>
  <c r="P16" i="4" s="1"/>
  <c r="Q16" i="4" s="1"/>
  <c r="X15" i="4"/>
  <c r="Y15" i="4" s="1"/>
  <c r="O15" i="4"/>
  <c r="U14" i="4"/>
  <c r="V14" i="4" s="1"/>
  <c r="X14" i="4" s="1"/>
  <c r="Y14" i="4" s="1"/>
  <c r="P14" i="4"/>
  <c r="Q14" i="4" s="1"/>
  <c r="U13" i="4"/>
  <c r="V13" i="4" s="1"/>
  <c r="X13" i="4" s="1"/>
  <c r="Y13" i="4" s="1"/>
  <c r="O13" i="4"/>
  <c r="P13" i="4" s="1"/>
  <c r="Q13" i="4" s="1"/>
  <c r="L13" i="4"/>
  <c r="M13" i="4" s="1"/>
  <c r="X12" i="4"/>
  <c r="Y12" i="4" s="1"/>
  <c r="O12" i="4"/>
  <c r="P12" i="4" s="1"/>
  <c r="Q12" i="4" s="1"/>
  <c r="U11" i="4"/>
  <c r="V11" i="4" s="1"/>
  <c r="X11" i="4" s="1"/>
  <c r="Y11" i="4" s="1"/>
  <c r="O11" i="4"/>
  <c r="P11" i="4" s="1"/>
  <c r="Q11" i="4" s="1"/>
  <c r="V10" i="4"/>
  <c r="X10" i="4" s="1"/>
  <c r="Y10" i="4" s="1"/>
  <c r="U10" i="4"/>
  <c r="O10" i="4"/>
  <c r="P10" i="4" s="1"/>
  <c r="Q10" i="4" s="1"/>
  <c r="L10" i="4"/>
  <c r="M10" i="4" s="1"/>
  <c r="U9" i="4"/>
  <c r="V9" i="4" s="1"/>
  <c r="X9" i="4" s="1"/>
  <c r="Y9" i="4" s="1"/>
  <c r="L9" i="4"/>
  <c r="M9" i="4" s="1"/>
  <c r="O9" i="4" s="1"/>
  <c r="P9" i="4" s="1"/>
  <c r="Q9" i="4" s="1"/>
  <c r="O8" i="4"/>
  <c r="P8" i="4" s="1"/>
  <c r="Q8" i="4" s="1"/>
  <c r="R8" i="4" s="1"/>
  <c r="T8" i="4" s="1"/>
  <c r="U8" i="4" s="1"/>
  <c r="V8" i="4" s="1"/>
  <c r="X8" i="4" s="1"/>
  <c r="Y8" i="4" s="1"/>
  <c r="L8" i="4"/>
  <c r="M8" i="4" s="1"/>
  <c r="L7" i="4"/>
  <c r="M7" i="4" s="1"/>
  <c r="O7" i="4" s="1"/>
  <c r="U6" i="4"/>
  <c r="L6" i="4"/>
  <c r="M6" i="4" s="1"/>
  <c r="O6" i="4" s="1"/>
  <c r="P6" i="4" s="1"/>
  <c r="Q6" i="4" s="1"/>
  <c r="P7" i="4" l="1"/>
  <c r="O55" i="4"/>
  <c r="V6" i="4"/>
  <c r="X6" i="4" l="1"/>
  <c r="Q7" i="4"/>
  <c r="P55" i="4"/>
  <c r="R7" i="4" l="1"/>
  <c r="Q55" i="4"/>
  <c r="Y6" i="4"/>
  <c r="R55" i="4" l="1"/>
  <c r="T7" i="4"/>
  <c r="T55" i="4" l="1"/>
  <c r="U7" i="4"/>
  <c r="V7" i="4" l="1"/>
  <c r="U55" i="4"/>
  <c r="X7" i="4" l="1"/>
  <c r="V55" i="4"/>
  <c r="I59" i="5" l="1"/>
  <c r="Y7" i="4"/>
  <c r="X55" i="4"/>
  <c r="X60" i="4" s="1"/>
  <c r="AA52" i="1"/>
  <c r="J59" i="5" l="1"/>
  <c r="Y55" i="4"/>
  <c r="Y60" i="4" s="1"/>
  <c r="Y73" i="4" s="1"/>
  <c r="Y75" i="4" s="1"/>
  <c r="AA12" i="1"/>
  <c r="AA15" i="1"/>
  <c r="V51" i="1"/>
  <c r="Y76" i="4" l="1"/>
  <c r="Y77" i="4" s="1"/>
  <c r="W51" i="1"/>
  <c r="U9" i="1"/>
  <c r="U10" i="1"/>
  <c r="U11" i="1"/>
  <c r="U13" i="1"/>
  <c r="U14" i="1"/>
  <c r="U16" i="1"/>
  <c r="U17" i="1"/>
  <c r="U18" i="1"/>
  <c r="U19" i="1"/>
  <c r="U20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6" i="1"/>
  <c r="X51" i="1" l="1"/>
  <c r="Z51" i="1" s="1"/>
  <c r="AA51" i="1"/>
  <c r="V6" i="1"/>
  <c r="W6" i="1" s="1"/>
  <c r="V27" i="1"/>
  <c r="V10" i="1"/>
  <c r="V18" i="1"/>
  <c r="V16" i="1"/>
  <c r="V14" i="1"/>
  <c r="V9" i="1"/>
  <c r="V30" i="1"/>
  <c r="V28" i="1"/>
  <c r="V26" i="1"/>
  <c r="V13" i="1"/>
  <c r="V35" i="1"/>
  <c r="V33" i="1"/>
  <c r="V29" i="1"/>
  <c r="V39" i="1"/>
  <c r="V38" i="1"/>
  <c r="V11" i="1"/>
  <c r="V34" i="1"/>
  <c r="V20" i="1"/>
  <c r="V17" i="1"/>
  <c r="V37" i="1"/>
  <c r="V36" i="1"/>
  <c r="V25" i="1"/>
  <c r="V24" i="1"/>
  <c r="V23" i="1"/>
  <c r="V22" i="1"/>
  <c r="V32" i="1"/>
  <c r="V31" i="1"/>
  <c r="V19" i="1"/>
  <c r="D9" i="2"/>
  <c r="E9" i="2"/>
  <c r="F9" i="2"/>
  <c r="F11" i="2" l="1"/>
  <c r="Z66" i="1" s="1"/>
  <c r="AA66" i="1" s="1"/>
  <c r="X6" i="1"/>
  <c r="W35" i="1"/>
  <c r="W17" i="1"/>
  <c r="W36" i="1"/>
  <c r="W20" i="1"/>
  <c r="W31" i="1"/>
  <c r="W26" i="1"/>
  <c r="W34" i="1"/>
  <c r="W10" i="1"/>
  <c r="W25" i="1"/>
  <c r="W13" i="1"/>
  <c r="W28" i="1"/>
  <c r="W9" i="1"/>
  <c r="W11" i="1"/>
  <c r="W32" i="1"/>
  <c r="W18" i="1"/>
  <c r="W27" i="1"/>
  <c r="W37" i="1"/>
  <c r="W30" i="1"/>
  <c r="W19" i="1"/>
  <c r="W14" i="1"/>
  <c r="W16" i="1"/>
  <c r="W38" i="1"/>
  <c r="W22" i="1"/>
  <c r="W39" i="1"/>
  <c r="W23" i="1"/>
  <c r="W29" i="1"/>
  <c r="W24" i="1"/>
  <c r="W33" i="1"/>
  <c r="O15" i="1"/>
  <c r="Z6" i="1" l="1"/>
  <c r="X29" i="1"/>
  <c r="Z29" i="1" s="1"/>
  <c r="AA29" i="1" s="1"/>
  <c r="X16" i="1"/>
  <c r="Z16" i="1" s="1"/>
  <c r="AA16" i="1"/>
  <c r="X33" i="1"/>
  <c r="Z33" i="1" s="1"/>
  <c r="AA33" i="1" s="1"/>
  <c r="X28" i="1"/>
  <c r="Z28" i="1" s="1"/>
  <c r="AA28" i="1" s="1"/>
  <c r="X25" i="1"/>
  <c r="Z25" i="1" s="1"/>
  <c r="AA25" i="1" s="1"/>
  <c r="X11" i="1"/>
  <c r="Z11" i="1" s="1"/>
  <c r="AA11" i="1" s="1"/>
  <c r="X14" i="1"/>
  <c r="Z14" i="1" s="1"/>
  <c r="AA14" i="1" s="1"/>
  <c r="X24" i="1"/>
  <c r="Z24" i="1" s="1"/>
  <c r="AA24" i="1"/>
  <c r="X13" i="1"/>
  <c r="Z13" i="1" s="1"/>
  <c r="AA13" i="1"/>
  <c r="X9" i="1"/>
  <c r="Z9" i="1" s="1"/>
  <c r="AA9" i="1" s="1"/>
  <c r="X19" i="1"/>
  <c r="Z19" i="1" s="1"/>
  <c r="AA19" i="1" s="1"/>
  <c r="X17" i="1"/>
  <c r="Z17" i="1" s="1"/>
  <c r="AA17" i="1"/>
  <c r="X35" i="1"/>
  <c r="Z35" i="1" s="1"/>
  <c r="AA35" i="1" s="1"/>
  <c r="X27" i="1"/>
  <c r="Z27" i="1" s="1"/>
  <c r="AA27" i="1"/>
  <c r="X18" i="1"/>
  <c r="Z18" i="1" s="1"/>
  <c r="AA18" i="1"/>
  <c r="X31" i="1"/>
  <c r="Z31" i="1" s="1"/>
  <c r="AA31" i="1" s="1"/>
  <c r="X20" i="1"/>
  <c r="Z20" i="1" s="1"/>
  <c r="AA20" i="1"/>
  <c r="X36" i="1"/>
  <c r="Z36" i="1" s="1"/>
  <c r="AA36" i="1"/>
  <c r="X30" i="1"/>
  <c r="Z30" i="1" s="1"/>
  <c r="AA30" i="1" s="1"/>
  <c r="X23" i="1"/>
  <c r="Z23" i="1" s="1"/>
  <c r="AA23" i="1"/>
  <c r="X37" i="1"/>
  <c r="Z37" i="1" s="1"/>
  <c r="AA37" i="1"/>
  <c r="X39" i="1"/>
  <c r="Z39" i="1" s="1"/>
  <c r="AA39" i="1"/>
  <c r="X10" i="1"/>
  <c r="Z10" i="1" s="1"/>
  <c r="AA10" i="1"/>
  <c r="X22" i="1"/>
  <c r="Z22" i="1" s="1"/>
  <c r="AA22" i="1" s="1"/>
  <c r="X34" i="1"/>
  <c r="Z34" i="1" s="1"/>
  <c r="AA34" i="1" s="1"/>
  <c r="X38" i="1"/>
  <c r="Z38" i="1" s="1"/>
  <c r="AA38" i="1"/>
  <c r="X32" i="1"/>
  <c r="Z32" i="1" s="1"/>
  <c r="AA32" i="1" s="1"/>
  <c r="X26" i="1"/>
  <c r="Z26" i="1" s="1"/>
  <c r="AA26" i="1"/>
  <c r="AA6" i="1"/>
  <c r="O30" i="1"/>
  <c r="P30" i="1" s="1"/>
  <c r="Q30" i="1" s="1"/>
  <c r="L30" i="1"/>
  <c r="M30" i="1" s="1"/>
  <c r="O38" i="1"/>
  <c r="P38" i="1" s="1"/>
  <c r="Q38" i="1" s="1"/>
  <c r="L38" i="1"/>
  <c r="M38" i="1" s="1"/>
  <c r="O31" i="1"/>
  <c r="P31" i="1" s="1"/>
  <c r="Q31" i="1" s="1"/>
  <c r="L31" i="1"/>
  <c r="M31" i="1" s="1"/>
  <c r="O12" i="1"/>
  <c r="P12" i="1" s="1"/>
  <c r="Q12" i="1" s="1"/>
  <c r="O11" i="1"/>
  <c r="P11" i="1" s="1"/>
  <c r="Q11" i="1" s="1"/>
  <c r="O39" i="1"/>
  <c r="P39" i="1" s="1"/>
  <c r="Q39" i="1" s="1"/>
  <c r="L39" i="1"/>
  <c r="M39" i="1" s="1"/>
  <c r="O29" i="1"/>
  <c r="P29" i="1" s="1"/>
  <c r="Q29" i="1" s="1"/>
  <c r="L29" i="1"/>
  <c r="M29" i="1" s="1"/>
  <c r="O25" i="1"/>
  <c r="P25" i="1" s="1"/>
  <c r="Q25" i="1" s="1"/>
  <c r="L25" i="1"/>
  <c r="M25" i="1" s="1"/>
  <c r="O34" i="1"/>
  <c r="P34" i="1" s="1"/>
  <c r="Q34" i="1" s="1"/>
  <c r="L34" i="1"/>
  <c r="M34" i="1" s="1"/>
  <c r="O24" i="1"/>
  <c r="P24" i="1" s="1"/>
  <c r="Q24" i="1" s="1"/>
  <c r="L24" i="1"/>
  <c r="M24" i="1" s="1"/>
  <c r="O26" i="1"/>
  <c r="P26" i="1" s="1"/>
  <c r="Q26" i="1" s="1"/>
  <c r="L26" i="1"/>
  <c r="M26" i="1" s="1"/>
  <c r="O33" i="1"/>
  <c r="P33" i="1" s="1"/>
  <c r="Q33" i="1" s="1"/>
  <c r="L33" i="1"/>
  <c r="M33" i="1" s="1"/>
  <c r="O36" i="1"/>
  <c r="P36" i="1" s="1"/>
  <c r="Q36" i="1" s="1"/>
  <c r="L36" i="1"/>
  <c r="M36" i="1" s="1"/>
  <c r="O20" i="1"/>
  <c r="P20" i="1" s="1"/>
  <c r="Q20" i="1" s="1"/>
  <c r="L20" i="1"/>
  <c r="M20" i="1" s="1"/>
  <c r="O19" i="1"/>
  <c r="P19" i="1" s="1"/>
  <c r="Q19" i="1" s="1"/>
  <c r="L19" i="1"/>
  <c r="M19" i="1" s="1"/>
  <c r="O22" i="1"/>
  <c r="P22" i="1" s="1"/>
  <c r="Q22" i="1" s="1"/>
  <c r="L22" i="1"/>
  <c r="M22" i="1" s="1"/>
  <c r="O35" i="1"/>
  <c r="P35" i="1" s="1"/>
  <c r="Q35" i="1" s="1"/>
  <c r="L35" i="1"/>
  <c r="M35" i="1" s="1"/>
  <c r="O37" i="1"/>
  <c r="P37" i="1" s="1"/>
  <c r="Q37" i="1" s="1"/>
  <c r="L37" i="1"/>
  <c r="M37" i="1" s="1"/>
  <c r="O23" i="1"/>
  <c r="P23" i="1" s="1"/>
  <c r="Q23" i="1" s="1"/>
  <c r="L23" i="1"/>
  <c r="M23" i="1" s="1"/>
  <c r="O32" i="1"/>
  <c r="P32" i="1" s="1"/>
  <c r="Q32" i="1" s="1"/>
  <c r="L32" i="1"/>
  <c r="M32" i="1" s="1"/>
  <c r="L17" i="1"/>
  <c r="M17" i="1" s="1"/>
  <c r="O17" i="1" s="1"/>
  <c r="P17" i="1" s="1"/>
  <c r="Q17" i="1" s="1"/>
  <c r="L16" i="1"/>
  <c r="M16" i="1" s="1"/>
  <c r="O16" i="1" s="1"/>
  <c r="P16" i="1" s="1"/>
  <c r="Q16" i="1" s="1"/>
  <c r="L18" i="1"/>
  <c r="M18" i="1" s="1"/>
  <c r="O18" i="1" s="1"/>
  <c r="P18" i="1" s="1"/>
  <c r="Q18" i="1" s="1"/>
  <c r="O10" i="1" l="1"/>
  <c r="P10" i="1" s="1"/>
  <c r="Q10" i="1" s="1"/>
  <c r="L10" i="1"/>
  <c r="M10" i="1" s="1"/>
  <c r="L9" i="1"/>
  <c r="M9" i="1" s="1"/>
  <c r="O9" i="1" s="1"/>
  <c r="P9" i="1" s="1"/>
  <c r="Q9" i="1" s="1"/>
  <c r="O27" i="1"/>
  <c r="P27" i="1" s="1"/>
  <c r="Q27" i="1" s="1"/>
  <c r="L27" i="1"/>
  <c r="M27" i="1" s="1"/>
  <c r="L6" i="1"/>
  <c r="M6" i="1" s="1"/>
  <c r="O6" i="1" s="1"/>
  <c r="P6" i="1" s="1"/>
  <c r="Q6" i="1" s="1"/>
  <c r="O13" i="1"/>
  <c r="P13" i="1" s="1"/>
  <c r="Q13" i="1" s="1"/>
  <c r="L13" i="1"/>
  <c r="M13" i="1" s="1"/>
  <c r="P14" i="1"/>
  <c r="Q14" i="1" s="1"/>
  <c r="L7" i="1" l="1"/>
  <c r="M7" i="1" s="1"/>
  <c r="O7" i="1" s="1"/>
  <c r="P7" i="1" s="1"/>
  <c r="Q7" i="1" s="1"/>
  <c r="O8" i="1"/>
  <c r="P8" i="1" s="1"/>
  <c r="Q8" i="1" s="1"/>
  <c r="R8" i="1" s="1"/>
  <c r="O21" i="1"/>
  <c r="P21" i="1" s="1"/>
  <c r="Q21" i="1" s="1"/>
  <c r="R21" i="1" s="1"/>
  <c r="L40" i="1"/>
  <c r="M40" i="1" s="1"/>
  <c r="O40" i="1" s="1"/>
  <c r="P40" i="1" s="1"/>
  <c r="Q40" i="1" s="1"/>
  <c r="R40" i="1" s="1"/>
  <c r="L41" i="1"/>
  <c r="M41" i="1" s="1"/>
  <c r="O41" i="1" s="1"/>
  <c r="P41" i="1" s="1"/>
  <c r="Q41" i="1" s="1"/>
  <c r="R41" i="1" s="1"/>
  <c r="L42" i="1"/>
  <c r="M42" i="1" s="1"/>
  <c r="O42" i="1" s="1"/>
  <c r="P42" i="1" s="1"/>
  <c r="Q42" i="1" s="1"/>
  <c r="R42" i="1" s="1"/>
  <c r="L43" i="1"/>
  <c r="M43" i="1" s="1"/>
  <c r="O43" i="1" s="1"/>
  <c r="P43" i="1" s="1"/>
  <c r="Q43" i="1" s="1"/>
  <c r="R43" i="1" s="1"/>
  <c r="L44" i="1"/>
  <c r="M44" i="1" s="1"/>
  <c r="O44" i="1" s="1"/>
  <c r="P44" i="1" s="1"/>
  <c r="Q44" i="1" s="1"/>
  <c r="R44" i="1" s="1"/>
  <c r="L45" i="1"/>
  <c r="M45" i="1" s="1"/>
  <c r="O45" i="1" s="1"/>
  <c r="P45" i="1" s="1"/>
  <c r="Q45" i="1" s="1"/>
  <c r="R45" i="1" s="1"/>
  <c r="L46" i="1"/>
  <c r="M46" i="1" s="1"/>
  <c r="O46" i="1" s="1"/>
  <c r="P46" i="1" s="1"/>
  <c r="Q46" i="1" s="1"/>
  <c r="R46" i="1" s="1"/>
  <c r="L47" i="1"/>
  <c r="M47" i="1" s="1"/>
  <c r="O47" i="1" s="1"/>
  <c r="P47" i="1" s="1"/>
  <c r="Q47" i="1" s="1"/>
  <c r="R47" i="1" s="1"/>
  <c r="L48" i="1"/>
  <c r="M48" i="1" s="1"/>
  <c r="O48" i="1" s="1"/>
  <c r="P48" i="1" s="1"/>
  <c r="Q48" i="1" s="1"/>
  <c r="R48" i="1" s="1"/>
  <c r="L49" i="1"/>
  <c r="M49" i="1" s="1"/>
  <c r="O49" i="1" s="1"/>
  <c r="P49" i="1" s="1"/>
  <c r="Q49" i="1" s="1"/>
  <c r="R49" i="1" s="1"/>
  <c r="L50" i="1"/>
  <c r="M50" i="1" s="1"/>
  <c r="O50" i="1" s="1"/>
  <c r="P50" i="1" s="1"/>
  <c r="Q50" i="1" s="1"/>
  <c r="R50" i="1" s="1"/>
  <c r="L8" i="1"/>
  <c r="M8" i="1" s="1"/>
  <c r="T41" i="1" l="1"/>
  <c r="U41" i="1" s="1"/>
  <c r="T43" i="1"/>
  <c r="U43" i="1" s="1"/>
  <c r="T48" i="1"/>
  <c r="U48" i="1" s="1"/>
  <c r="T47" i="1"/>
  <c r="U47" i="1" s="1"/>
  <c r="T45" i="1"/>
  <c r="U45" i="1" s="1"/>
  <c r="T44" i="1"/>
  <c r="U44" i="1" s="1"/>
  <c r="T50" i="1"/>
  <c r="U50" i="1" s="1"/>
  <c r="T49" i="1"/>
  <c r="U49" i="1" s="1"/>
  <c r="T46" i="1"/>
  <c r="U46" i="1" s="1"/>
  <c r="T42" i="1"/>
  <c r="U42" i="1" s="1"/>
  <c r="T40" i="1"/>
  <c r="U40" i="1" s="1"/>
  <c r="T21" i="1"/>
  <c r="U21" i="1" s="1"/>
  <c r="T8" i="1"/>
  <c r="U8" i="1" s="1"/>
  <c r="O56" i="1"/>
  <c r="R7" i="1"/>
  <c r="V44" i="1" l="1"/>
  <c r="V8" i="1"/>
  <c r="V49" i="1"/>
  <c r="V48" i="1"/>
  <c r="V41" i="1"/>
  <c r="V50" i="1"/>
  <c r="V47" i="1"/>
  <c r="V40" i="1"/>
  <c r="V45" i="1"/>
  <c r="V21" i="1"/>
  <c r="V42" i="1"/>
  <c r="V46" i="1"/>
  <c r="V43" i="1"/>
  <c r="P56" i="1"/>
  <c r="T7" i="1"/>
  <c r="T56" i="1" s="1"/>
  <c r="R56" i="1"/>
  <c r="Q56" i="1"/>
  <c r="W45" i="1" l="1"/>
  <c r="W21" i="1"/>
  <c r="W47" i="1"/>
  <c r="W41" i="1"/>
  <c r="W46" i="1"/>
  <c r="W40" i="1"/>
  <c r="W50" i="1"/>
  <c r="AA42" i="1"/>
  <c r="W48" i="1"/>
  <c r="W49" i="1"/>
  <c r="W8" i="1"/>
  <c r="W43" i="1"/>
  <c r="W44" i="1"/>
  <c r="U7" i="1"/>
  <c r="U56" i="1" s="1"/>
  <c r="X43" i="1" l="1"/>
  <c r="Z43" i="1" s="1"/>
  <c r="AA43" i="1" s="1"/>
  <c r="X50" i="1"/>
  <c r="Z50" i="1" s="1"/>
  <c r="AA50" i="1" s="1"/>
  <c r="X40" i="1"/>
  <c r="Z40" i="1" s="1"/>
  <c r="AA40" i="1" s="1"/>
  <c r="X44" i="1"/>
  <c r="Z44" i="1" s="1"/>
  <c r="AA44" i="1" s="1"/>
  <c r="X41" i="1"/>
  <c r="Z41" i="1" s="1"/>
  <c r="AA41" i="1" s="1"/>
  <c r="X21" i="1"/>
  <c r="Z21" i="1" s="1"/>
  <c r="AA21" i="1" s="1"/>
  <c r="X46" i="1"/>
  <c r="Z46" i="1" s="1"/>
  <c r="AA46" i="1" s="1"/>
  <c r="X8" i="1"/>
  <c r="Z8" i="1" s="1"/>
  <c r="AA8" i="1"/>
  <c r="X47" i="1"/>
  <c r="Z47" i="1" s="1"/>
  <c r="AA47" i="1" s="1"/>
  <c r="X49" i="1"/>
  <c r="Z49" i="1" s="1"/>
  <c r="AA49" i="1"/>
  <c r="X48" i="1"/>
  <c r="Z48" i="1" s="1"/>
  <c r="AA48" i="1" s="1"/>
  <c r="X45" i="1"/>
  <c r="Z45" i="1" s="1"/>
  <c r="AA45" i="1" s="1"/>
  <c r="V7" i="1"/>
  <c r="V56" i="1" l="1"/>
  <c r="W7" i="1"/>
  <c r="W56" i="1" s="1"/>
  <c r="X7" i="1" l="1"/>
  <c r="Z7" i="1" l="1"/>
  <c r="Z56" i="1" s="1"/>
  <c r="X56" i="1"/>
  <c r="AA7" i="1"/>
  <c r="AA56" i="1" s="1"/>
  <c r="AA61" i="1" l="1"/>
  <c r="AA73" i="1" s="1"/>
  <c r="Z61" i="1"/>
  <c r="Z72" i="1" s="1"/>
  <c r="AA75" i="1" l="1"/>
  <c r="AA76" i="1" s="1"/>
  <c r="AA77" i="1" s="1"/>
  <c r="AA81" i="1" s="1"/>
  <c r="P61" i="5" l="1"/>
</calcChain>
</file>

<file path=xl/sharedStrings.xml><?xml version="1.0" encoding="utf-8"?>
<sst xmlns="http://schemas.openxmlformats.org/spreadsheetml/2006/main" count="1297" uniqueCount="397">
  <si>
    <t>Verzekerde bedragen</t>
  </si>
  <si>
    <t>Straat</t>
  </si>
  <si>
    <t>Bestemming</t>
  </si>
  <si>
    <t>Grootboek</t>
  </si>
  <si>
    <t>Bouw</t>
  </si>
  <si>
    <t>Overige omschrijving</t>
  </si>
  <si>
    <t>Opstal</t>
  </si>
  <si>
    <t>Inventaris</t>
  </si>
  <si>
    <t>HSB</t>
  </si>
  <si>
    <t>SH</t>
  </si>
  <si>
    <t>Dommelsingel 4a</t>
  </si>
  <si>
    <t>Elbestraat 2</t>
  </si>
  <si>
    <t>IJsselstraat 44</t>
  </si>
  <si>
    <t>Museum</t>
  </si>
  <si>
    <t>Kennemer Oudheidkamer</t>
  </si>
  <si>
    <t>Kerkstraat 37</t>
  </si>
  <si>
    <t>Horeca</t>
  </si>
  <si>
    <t>Café Camille</t>
  </si>
  <si>
    <t>Kerkstraat 37a</t>
  </si>
  <si>
    <t>Kerk met toren</t>
  </si>
  <si>
    <t>Parkeergarage</t>
  </si>
  <si>
    <t>hoek hobbesteeg</t>
  </si>
  <si>
    <t>Kantoor</t>
  </si>
  <si>
    <t>Woonhuis</t>
  </si>
  <si>
    <t>Luxemburglaan 4</t>
  </si>
  <si>
    <t>Kinderboerderij</t>
  </si>
  <si>
    <t>Animalfarm</t>
  </si>
  <si>
    <t>met schuur</t>
  </si>
  <si>
    <t>Moensplein 5</t>
  </si>
  <si>
    <t>Kinderopvang</t>
  </si>
  <si>
    <t>PUK</t>
  </si>
  <si>
    <t>Moensplein 10-10a</t>
  </si>
  <si>
    <t>Units havenkantoor</t>
  </si>
  <si>
    <t>Romerkerkweg 10</t>
  </si>
  <si>
    <t>Verenigingsgebouw</t>
  </si>
  <si>
    <t>Sint Aagtendijk 1</t>
  </si>
  <si>
    <t>Spaarnestraat 1</t>
  </si>
  <si>
    <t>Van Tijenstraat 2</t>
  </si>
  <si>
    <t>met garage</t>
  </si>
  <si>
    <t>Voorstraat 1</t>
  </si>
  <si>
    <t>Kerktoren met klok/uurwerk</t>
  </si>
  <si>
    <t>Westerhoutplein 4-5</t>
  </si>
  <si>
    <t>Arendsweg 58</t>
  </si>
  <si>
    <t xml:space="preserve">SH </t>
  </si>
  <si>
    <t>met berging</t>
  </si>
  <si>
    <t>Boeweg 56</t>
  </si>
  <si>
    <t>Creutzberglaan 54</t>
  </si>
  <si>
    <t>Grote Houtweg 71</t>
  </si>
  <si>
    <t>Heemskerkerweg 239</t>
  </si>
  <si>
    <t>Kloosterstraat 40/42</t>
  </si>
  <si>
    <t>Slooppand</t>
  </si>
  <si>
    <t>Bewoond</t>
  </si>
  <si>
    <t>Stetweg 4</t>
  </si>
  <si>
    <t>Bankenlaan 174</t>
  </si>
  <si>
    <t>Uitvaartcentrum</t>
  </si>
  <si>
    <t>Aula</t>
  </si>
  <si>
    <t>Personeelsonderkomen</t>
  </si>
  <si>
    <t>Houten onderkomen</t>
  </si>
  <si>
    <t>Velserweg 2</t>
  </si>
  <si>
    <t>Voliére</t>
  </si>
  <si>
    <t>Scheybeek</t>
  </si>
  <si>
    <t>Post WRB</t>
  </si>
  <si>
    <t>Opslagloods Reddingsbrigade</t>
  </si>
  <si>
    <t>Spoorsingel 1</t>
  </si>
  <si>
    <t>Horeca / kunstuitleen</t>
  </si>
  <si>
    <t>Wijk aan Duinerweg 4</t>
  </si>
  <si>
    <t>Hulppost brandweer</t>
  </si>
  <si>
    <t>Staal met panelen</t>
  </si>
  <si>
    <t>SSB</t>
  </si>
  <si>
    <t>Westerhoutplein 3</t>
  </si>
  <si>
    <t>Westerhoutweg 18</t>
  </si>
  <si>
    <t>Presoneelsverbl. Stallen etc</t>
  </si>
  <si>
    <t>Dreef 27</t>
  </si>
  <si>
    <t>Kuikensweg 16</t>
  </si>
  <si>
    <t>Gymlokalen</t>
  </si>
  <si>
    <t>Gymzaal</t>
  </si>
  <si>
    <t>De Dreef 27</t>
  </si>
  <si>
    <t>Opstal index 151</t>
  </si>
  <si>
    <t>loods</t>
  </si>
  <si>
    <t>Brandweerkazerne/bedrijfsgeb.</t>
  </si>
  <si>
    <t>Opstal index 162</t>
  </si>
  <si>
    <t>loods groen en grijs</t>
  </si>
  <si>
    <t xml:space="preserve">Vondellaan 40 </t>
  </si>
  <si>
    <t xml:space="preserve">Heemskerkerweg 124 </t>
  </si>
  <si>
    <t>Jan van Schie</t>
  </si>
  <si>
    <t xml:space="preserve">Werkplaats </t>
  </si>
  <si>
    <t>ontmoetingscentrum bejaarden</t>
  </si>
  <si>
    <t>Spoorsingel 67-69</t>
  </si>
  <si>
    <t>Kerkplein 1</t>
  </si>
  <si>
    <t>Kennemer Theater De Slof</t>
  </si>
  <si>
    <t>Raamveld 61-59</t>
  </si>
  <si>
    <t>John Gozeling</t>
  </si>
  <si>
    <t>Premier risque</t>
  </si>
  <si>
    <t>Budgethouder</t>
  </si>
  <si>
    <t>De Zwaanstr/Burg. Rothestr.</t>
  </si>
  <si>
    <t>onderkomen groen</t>
  </si>
  <si>
    <t>Koningstraat/Hobbesteeg</t>
  </si>
  <si>
    <t>opslag</t>
  </si>
  <si>
    <t>mij. Vastgoed</t>
  </si>
  <si>
    <t>Opstal per            01-01-2012</t>
  </si>
  <si>
    <t>Opstal per            01-01-2010</t>
  </si>
  <si>
    <t>Specificatie Gemeente Beverwijk polisnummer R105007</t>
  </si>
  <si>
    <t>Indexcijfer 113,8</t>
  </si>
  <si>
    <t>Taxatie 2009</t>
  </si>
  <si>
    <t>Totaal</t>
  </si>
  <si>
    <t>Premie</t>
  </si>
  <si>
    <t>Nieuw</t>
  </si>
  <si>
    <t>J. Hansum</t>
  </si>
  <si>
    <t>Vacature C. Veenvliet</t>
  </si>
  <si>
    <t>Geert Reniri</t>
  </si>
  <si>
    <t>Gert Geertsma</t>
  </si>
  <si>
    <t>Indexcijfer 117,8</t>
  </si>
  <si>
    <t>Reconstructiekosten</t>
  </si>
  <si>
    <t>Tamara Nieuwenburg</t>
  </si>
  <si>
    <t>Piet westgeest</t>
  </si>
  <si>
    <t>Hans groot</t>
  </si>
  <si>
    <t>Grootboeknr</t>
  </si>
  <si>
    <t>Theater etc ex bieb</t>
  </si>
  <si>
    <t>Opmerkingen</t>
  </si>
  <si>
    <t>Gebouwen per            01-01-2013</t>
  </si>
  <si>
    <t>Gebouwen per            01-01-2014</t>
  </si>
  <si>
    <t>Indexcijfer 118,8</t>
  </si>
  <si>
    <t xml:space="preserve">Heemskerkerweg 18 </t>
  </si>
  <si>
    <t>1 woning</t>
  </si>
  <si>
    <t>Opslaghuisje/ kantoor</t>
  </si>
  <si>
    <t xml:space="preserve">Westerhoutplein 1a </t>
  </si>
  <si>
    <t>Elzenlaan 1</t>
  </si>
  <si>
    <t>Kerktoren</t>
  </si>
  <si>
    <t>Cultureel centrum</t>
  </si>
  <si>
    <t>Hindoe + verenigingsgebouw</t>
  </si>
  <si>
    <t>Leegstaande peuterspeelzaal</t>
  </si>
  <si>
    <t>Parallelweg 136</t>
  </si>
  <si>
    <t>loods gemeentelijke diensten</t>
  </si>
  <si>
    <t>Noorderkade 1 / 50</t>
  </si>
  <si>
    <t>Noorderwijkweg 2</t>
  </si>
  <si>
    <t>HIC</t>
  </si>
  <si>
    <t>Specificatie Socius Maatschappelijke Dienstverleners</t>
  </si>
  <si>
    <t>Geesterduinweg 5, kamer 5</t>
  </si>
  <si>
    <t>Plein 1945, nr 10</t>
  </si>
  <si>
    <t>Adres</t>
  </si>
  <si>
    <t>Plaats</t>
  </si>
  <si>
    <t>Huurdersbelang</t>
  </si>
  <si>
    <t>Electronica</t>
  </si>
  <si>
    <t>Bouwaard</t>
  </si>
  <si>
    <t>Bijz.</t>
  </si>
  <si>
    <t>Heemskerk</t>
  </si>
  <si>
    <t>kantoor</t>
  </si>
  <si>
    <t>Castricum</t>
  </si>
  <si>
    <t>3 werkplekkern en 1 ruimte</t>
  </si>
  <si>
    <t>Beverwijk</t>
  </si>
  <si>
    <t>is kleiner in omvang geworden, vleugel is afgestoten van huur. Ik weet niet in hoeverre deze wijziging is doorgevoerd.</t>
  </si>
  <si>
    <t>Ijmuiden</t>
  </si>
  <si>
    <t>Zie bijgevoegde tekeningen. Dit wordt een pand gedeeld met andere (gesubsidieerde) gebruikers.</t>
  </si>
  <si>
    <t>oa vluchtelingenwerk en stichting welzijn velsen</t>
  </si>
  <si>
    <t>Postcode</t>
  </si>
  <si>
    <t>Taxatie</t>
  </si>
  <si>
    <t>#1</t>
  </si>
  <si>
    <t>#1 getaxeerd door ATMP diverse data 2015, rapportnummer 2015.02.0375.000-O</t>
  </si>
  <si>
    <t>#2 getaxeerd door ATMP diverse data 2015, rapportnummer 2015.02.0375.000-I</t>
  </si>
  <si>
    <t>#1 #2</t>
  </si>
  <si>
    <t>#2</t>
  </si>
  <si>
    <t xml:space="preserve">inventaris € 5.000,00 aan vogels </t>
  </si>
  <si>
    <t>incl. € 11.250,00 aan dieren</t>
  </si>
  <si>
    <t>incl Kees Delfsweg 141</t>
  </si>
  <si>
    <t>(incl Noordewijkweg 2A (leegstand)</t>
  </si>
  <si>
    <t>voor index</t>
  </si>
  <si>
    <t>Gebouwen per            01-01-2016</t>
  </si>
  <si>
    <t>Indexcijfer 121,0</t>
  </si>
  <si>
    <t>1946 TL</t>
  </si>
  <si>
    <t>Gebouwen per            01-01-2017</t>
  </si>
  <si>
    <t>Indexcijfer 123,1</t>
  </si>
  <si>
    <t>Belgiëlaan 2</t>
  </si>
  <si>
    <t>Stichting Welschap</t>
  </si>
  <si>
    <t>Grandcafe en notaris</t>
  </si>
  <si>
    <t>verkocht per maart 2017</t>
  </si>
  <si>
    <t>Radio Beverwijk</t>
  </si>
  <si>
    <t>Verzamelgebouw</t>
  </si>
  <si>
    <t>Groenelaan 69</t>
  </si>
  <si>
    <t>Grebbestraat 27</t>
  </si>
  <si>
    <t>Mutaties 2017</t>
  </si>
  <si>
    <t>1944 VC</t>
  </si>
  <si>
    <r>
      <t xml:space="preserve">klopt deze waarde?? </t>
    </r>
    <r>
      <rPr>
        <sz val="8"/>
        <color rgb="FF00B050"/>
        <rFont val="Arial"/>
        <family val="2"/>
      </rPr>
      <t>Door u doorgegeven begin 2012</t>
    </r>
  </si>
  <si>
    <t>Mutatie 2017</t>
  </si>
  <si>
    <t xml:space="preserve">Annie Palmenlaan </t>
  </si>
  <si>
    <t>1943 NK</t>
  </si>
  <si>
    <t>Portacabin</t>
  </si>
  <si>
    <t>unit in binnentuin</t>
  </si>
  <si>
    <t>Indexcijfer 125,8</t>
  </si>
  <si>
    <t>Gebouwen per            01-01-2018</t>
  </si>
  <si>
    <t>Gebouwen per            01-01-2019</t>
  </si>
  <si>
    <t>Mutaties</t>
  </si>
  <si>
    <t>wordt verbouwd momenteel</t>
  </si>
  <si>
    <t>Fietsenkelder</t>
  </si>
  <si>
    <t>Stationsplein</t>
  </si>
  <si>
    <t>bedrag is fictief/toevoegen</t>
  </si>
  <si>
    <t>inv. Eind sept '19 eruit en naar Parallelweg</t>
  </si>
  <si>
    <t>kdv</t>
  </si>
  <si>
    <t>Kinderdagverblijf</t>
  </si>
  <si>
    <t>niet leegstaand!</t>
  </si>
  <si>
    <t>Staat leeg</t>
  </si>
  <si>
    <t>inventaris kan eruit</t>
  </si>
  <si>
    <t>Woz waarde is € 148,000, u kunt herbouww aanhouden van € 75,000</t>
  </si>
  <si>
    <t>Indexcijfer 134,2</t>
  </si>
  <si>
    <t>socius</t>
  </si>
  <si>
    <t>Indexcijfer 144,3</t>
  </si>
  <si>
    <t>Burgemeester Nielenplein 6</t>
  </si>
  <si>
    <t>Trijntje Kemp-Haanstraat 37</t>
  </si>
  <si>
    <t>Totaal verzekerde som</t>
  </si>
  <si>
    <t>Mutaties 2019</t>
  </si>
  <si>
    <t xml:space="preserve">verz.bedrag is veel te hoog. </t>
  </si>
  <si>
    <t>Anjelierenlaan 6-8</t>
  </si>
  <si>
    <t>1943 DA</t>
  </si>
  <si>
    <t>Büllerlaan 2</t>
  </si>
  <si>
    <t>1945 SR</t>
  </si>
  <si>
    <t>Bullerlaan 4</t>
  </si>
  <si>
    <t>De Dalen 1</t>
  </si>
  <si>
    <t>1945 NC</t>
  </si>
  <si>
    <t>Dorpsduinen 12-14</t>
  </si>
  <si>
    <t>1949 EG</t>
  </si>
  <si>
    <t>Wijk aan Zee</t>
  </si>
  <si>
    <t>1947 ZB</t>
  </si>
  <si>
    <t>Laan van Blois 100</t>
  </si>
  <si>
    <t>1943 MN</t>
  </si>
  <si>
    <t>Laan van Blois 193</t>
  </si>
  <si>
    <t>1943 MH</t>
  </si>
  <si>
    <t>1943 DM 1943 GE</t>
  </si>
  <si>
    <t>Drechtstraat 9</t>
  </si>
  <si>
    <t>1946 AZ</t>
  </si>
  <si>
    <t>v.d. Hoopstraat 54</t>
  </si>
  <si>
    <t>1945 TT</t>
  </si>
  <si>
    <t>Wilgenhoflaan 2</t>
  </si>
  <si>
    <t>1944 TD</t>
  </si>
  <si>
    <t>Varenhof 1</t>
  </si>
  <si>
    <t>1948 DE</t>
  </si>
  <si>
    <t>Jan van Woudenlaan 1, 2,6,8,10,12</t>
  </si>
  <si>
    <t>P.Cheeuwenlaan 6</t>
  </si>
  <si>
    <t>1948 DD</t>
  </si>
  <si>
    <t>P.Cheeuwenlaan 8</t>
  </si>
  <si>
    <t>KBS "De Anjelier"</t>
  </si>
  <si>
    <t>KBS "De Vrijheit"</t>
  </si>
  <si>
    <t>KBS "De Sleutelbloem"</t>
  </si>
  <si>
    <t>BS "Montessorieschool"</t>
  </si>
  <si>
    <t>PC Bethel met berging/stalling</t>
  </si>
  <si>
    <t>T. Kompas</t>
  </si>
  <si>
    <t>OBS "De Sterrekijker"</t>
  </si>
  <si>
    <t>KBS "De Wilgeroos"</t>
  </si>
  <si>
    <t>bso</t>
  </si>
  <si>
    <t>MFA Waterwijk</t>
  </si>
  <si>
    <t>Indexcijfer 151,5</t>
  </si>
  <si>
    <t xml:space="preserve">De Zeester </t>
  </si>
  <si>
    <t xml:space="preserve">KBS "Panta Rhei" </t>
  </si>
  <si>
    <t>semi permanent</t>
  </si>
  <si>
    <t>Sporthal</t>
  </si>
  <si>
    <t>niet leegstaand</t>
  </si>
  <si>
    <t>1942 HK</t>
  </si>
  <si>
    <t>1944 JG</t>
  </si>
  <si>
    <t>1943 NW</t>
  </si>
  <si>
    <t>1943 MR</t>
  </si>
  <si>
    <t>1943 AA</t>
  </si>
  <si>
    <t>1949 BC</t>
  </si>
  <si>
    <t>1946 TT</t>
  </si>
  <si>
    <t>1943 DD</t>
  </si>
  <si>
    <t>1946 XH</t>
  </si>
  <si>
    <t>1943 LL</t>
  </si>
  <si>
    <t>P.Cheeuwenlaan 2</t>
  </si>
  <si>
    <t>1946 RN</t>
  </si>
  <si>
    <t>1941 HD</t>
  </si>
  <si>
    <t>1941 GC</t>
  </si>
  <si>
    <t>1941 BP</t>
  </si>
  <si>
    <t>1941 EL</t>
  </si>
  <si>
    <t>1946 SJ</t>
  </si>
  <si>
    <t>1942 ER</t>
  </si>
  <si>
    <t>1948 NR</t>
  </si>
  <si>
    <t>1943 DK</t>
  </si>
  <si>
    <t>1948 NN</t>
  </si>
  <si>
    <t>1944 SK</t>
  </si>
  <si>
    <t>1942 EZ</t>
  </si>
  <si>
    <t>1947 KW</t>
  </si>
  <si>
    <t>1946 AV</t>
  </si>
  <si>
    <t>1947 LA</t>
  </si>
  <si>
    <t>1948 LB</t>
  </si>
  <si>
    <t>1942 LD</t>
  </si>
  <si>
    <t>1949 BG</t>
  </si>
  <si>
    <t>Zonnepanelen</t>
  </si>
  <si>
    <t>BMI</t>
  </si>
  <si>
    <t>X</t>
  </si>
  <si>
    <t>Indexcijfer 159,8</t>
  </si>
  <si>
    <t>unit in binnenduin</t>
  </si>
  <si>
    <t>Kennemer Theater/ De Slof</t>
  </si>
  <si>
    <t xml:space="preserve">ontmoetingscentrum </t>
  </si>
  <si>
    <t xml:space="preserve">(incl Noordewijkweg 2A (leegstand) check juiste adres bij taxatie </t>
  </si>
  <si>
    <t>Gymzaal + IKC Ijmond</t>
  </si>
  <si>
    <t>per 01-01-2022</t>
  </si>
  <si>
    <t xml:space="preserve">Gebouwen </t>
  </si>
  <si>
    <t>per 01-01-2020</t>
  </si>
  <si>
    <t>per 01-01-2021</t>
  </si>
  <si>
    <t>per 01-01-2023</t>
  </si>
  <si>
    <t>Indexcijfer 124,0</t>
  </si>
  <si>
    <t>Indexcijfer 122,3</t>
  </si>
  <si>
    <t>#2 getaxeerd door ATMP 15-12-2020, rapportnummer 2020.09.20375.001-O</t>
  </si>
  <si>
    <t>#2, #3</t>
  </si>
  <si>
    <t>#3</t>
  </si>
  <si>
    <t>groen en grijs opslag</t>
  </si>
  <si>
    <t>#3 getaxeerd door ATMP 15-12-2020, rapportnummer 2020.09.20375.001-I</t>
  </si>
  <si>
    <t>check juiste adres bij taxatie!!</t>
  </si>
  <si>
    <t>2023.01.20375.001-O</t>
  </si>
  <si>
    <t>2023.01.20375.002-O</t>
  </si>
  <si>
    <t>2023.01.20375.003-O</t>
  </si>
  <si>
    <t>2023.01.20375.003-I</t>
  </si>
  <si>
    <t>2023.01.20375.004-O</t>
  </si>
  <si>
    <t>2023.01.20375.004-I</t>
  </si>
  <si>
    <t>2023.01.20375.005-O</t>
  </si>
  <si>
    <t>2023.01.20375.009-O</t>
  </si>
  <si>
    <t>2023.01.20375.010-O</t>
  </si>
  <si>
    <t>2023.01.20375.010-I</t>
  </si>
  <si>
    <t>2023.01.20375.011-O</t>
  </si>
  <si>
    <t>2023.01.20375.012-O</t>
  </si>
  <si>
    <t>2023.01.20375.012-I</t>
  </si>
  <si>
    <t>2023.01.20375.018-O</t>
  </si>
  <si>
    <t>2023.01.20375.019-O</t>
  </si>
  <si>
    <t>2023.01.20375.020-O</t>
  </si>
  <si>
    <t>2023.01.20375.021-O</t>
  </si>
  <si>
    <t>2023.01.20375.022-O</t>
  </si>
  <si>
    <t>2023.01.20375.024-O</t>
  </si>
  <si>
    <t>2023.01.20375.024-I</t>
  </si>
  <si>
    <t>2023.01.20375.025-O</t>
  </si>
  <si>
    <t>2023.01.20375.026-O</t>
  </si>
  <si>
    <t>2023.01.20375.027-O</t>
  </si>
  <si>
    <t>2023.01.20375.028-O</t>
  </si>
  <si>
    <t>2023.01.20375.028-I</t>
  </si>
  <si>
    <t>2023.01.20375.029-O</t>
  </si>
  <si>
    <t>2023.01.20375.030-O</t>
  </si>
  <si>
    <t>2023.01.20375.031-O</t>
  </si>
  <si>
    <t>2023.01.20375.032-O</t>
  </si>
  <si>
    <t>2023.01.20375.033-O</t>
  </si>
  <si>
    <t>2023.01.20375.034-O</t>
  </si>
  <si>
    <t>2023.01.20375.034-I</t>
  </si>
  <si>
    <t>2023.01.20375.035-O</t>
  </si>
  <si>
    <t>2023.01.20375.036-O</t>
  </si>
  <si>
    <t>2023.01.20375.036-I</t>
  </si>
  <si>
    <t>2023.01.20375.037-O</t>
  </si>
  <si>
    <t>2023.01.20375.037-I</t>
  </si>
  <si>
    <t>2023.01.20375.039-O</t>
  </si>
  <si>
    <t>2023.01.20375.040-O</t>
  </si>
  <si>
    <t>2023.01.20375.041-O</t>
  </si>
  <si>
    <t>2023.01.20375.043-O</t>
  </si>
  <si>
    <t>2023.01.20375.043-I</t>
  </si>
  <si>
    <t>2023.01.20375.046-O</t>
  </si>
  <si>
    <t>2023.01.20375.056-O</t>
  </si>
  <si>
    <t>2023.01.20375.056-I</t>
  </si>
  <si>
    <t>2023.01.20375.048-O</t>
  </si>
  <si>
    <t>2023.01.20375.049-O</t>
  </si>
  <si>
    <t>2023.01.20375.049-I</t>
  </si>
  <si>
    <t>2023.01.20375.050-O</t>
  </si>
  <si>
    <t>2023.01.20375.050-I</t>
  </si>
  <si>
    <t>2023.01.20375.051-O</t>
  </si>
  <si>
    <t>2023.01.20375.052-O</t>
  </si>
  <si>
    <t>2023.01.20375.052-I</t>
  </si>
  <si>
    <t>2023.01.20375.053-O</t>
  </si>
  <si>
    <t>2023.01.20375.053-I</t>
  </si>
  <si>
    <t>2023.01.20375.057-O</t>
  </si>
  <si>
    <t>2023.01.20375.057-I</t>
  </si>
  <si>
    <t>2023.01.20375.058-O</t>
  </si>
  <si>
    <t>2023.01.20375.058-I</t>
  </si>
  <si>
    <t>2023.01.20375.060-O</t>
  </si>
  <si>
    <t>2023.01.20375.060-I</t>
  </si>
  <si>
    <t>2023.01.20375.061-O</t>
  </si>
  <si>
    <t>2023.01.20375.061-I</t>
  </si>
  <si>
    <t>2023.01.20375.062-I</t>
  </si>
  <si>
    <t>2023.01.20375.063-I</t>
  </si>
  <si>
    <t>2023.01.20375.064-O</t>
  </si>
  <si>
    <t>2023.01.20375.064-I</t>
  </si>
  <si>
    <t>2023.01.20375.065-O</t>
  </si>
  <si>
    <t>2023.01.20375.067-O</t>
  </si>
  <si>
    <t>2023.01.20375.068-I</t>
  </si>
  <si>
    <t>2023.01.20375.069-I</t>
  </si>
  <si>
    <t>2023.01.20375.071-I</t>
  </si>
  <si>
    <t>O</t>
  </si>
  <si>
    <t>O + I</t>
  </si>
  <si>
    <t>I</t>
  </si>
  <si>
    <t>KDV</t>
  </si>
  <si>
    <t xml:space="preserve">Noorderwijkweg 92 
Populierenlaan 41 </t>
  </si>
  <si>
    <t>Westerhoutweg(SSBP-terrein)</t>
  </si>
  <si>
    <t>11 semi permanente sanitaire-units</t>
  </si>
  <si>
    <t>per 01-01-2024</t>
  </si>
  <si>
    <t>Indexcijfer 124,4</t>
  </si>
  <si>
    <t>Indexcijfer 128,4</t>
  </si>
  <si>
    <t>Hoflanderweg 45 en 45a</t>
  </si>
  <si>
    <t xml:space="preserve">Landhuis </t>
  </si>
  <si>
    <t>Castor-college</t>
  </si>
  <si>
    <t xml:space="preserve">Kantoor </t>
  </si>
  <si>
    <t>Semi permanent Castor College</t>
  </si>
  <si>
    <t xml:space="preserve">OBS "'Sparkel" </t>
  </si>
  <si>
    <t>Leegsstand</t>
  </si>
  <si>
    <t>Bijzondere doelgroep</t>
  </si>
  <si>
    <t>nee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</si>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</sst>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&quot;€&quot;\ #,##0.00_-;&quot;€&quot;\ #,##0.00\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€&quot;\ #,##0.00_-"/>
    <numFmt numFmtId="168" formatCode="#,##0.000_-"/>
    <numFmt numFmtId="169" formatCode="&quot;€&quot;\ #,##0.00"/>
    <numFmt numFmtId="170" formatCode="_ [$€-413]\ * #,##0.00_ ;_ [$€-413]\ * \-#,##0.00_ ;_ [$€-413]\ * &quot;-&quot;??_ ;_ @_ "/>
    <numFmt numFmtId="171" formatCode="_-&quot;€&quot;\ * #,##0_-;_-&quot;€&quot;\ * #,##0\-;_-&quot;€&quot;\ * &quot;-&quot;_-;_-@_-"/>
  </numFmts>
  <fonts count="41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Tahoma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8"/>
      <color indexed="10"/>
      <name val="Arial"/>
      <family val="2"/>
    </font>
    <font>
      <b/>
      <sz val="8"/>
      <color indexed="8"/>
      <name val="Tahoma"/>
      <family val="2"/>
    </font>
    <font>
      <sz val="9"/>
      <color indexed="8"/>
      <name val="Tahoma"/>
      <family val="2"/>
    </font>
    <font>
      <sz val="8"/>
      <color indexed="8"/>
      <name val="Tahoma"/>
      <family val="2"/>
    </font>
    <font>
      <sz val="9"/>
      <color indexed="11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b/>
      <sz val="8"/>
      <name val="Tahoma"/>
      <family val="2"/>
    </font>
    <font>
      <sz val="9"/>
      <name val="Tahoma"/>
      <family val="2"/>
    </font>
    <font>
      <sz val="8"/>
      <color rgb="FFFF0000"/>
      <name val="Arial"/>
      <family val="2"/>
    </font>
    <font>
      <sz val="8"/>
      <color rgb="FFFF0000"/>
      <name val="Tahoma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8"/>
      <color theme="4"/>
      <name val="Arial"/>
      <family val="2"/>
    </font>
    <font>
      <b/>
      <sz val="9"/>
      <color indexed="8"/>
      <name val="Tahoma"/>
      <family val="2"/>
    </font>
    <font>
      <sz val="8"/>
      <color rgb="FF00B050"/>
      <name val="Arial"/>
      <family val="2"/>
    </font>
    <font>
      <sz val="8"/>
      <color theme="4"/>
      <name val="Tahoma"/>
      <family val="2"/>
    </font>
    <font>
      <sz val="9"/>
      <color theme="4"/>
      <name val="Arial"/>
      <family val="2"/>
    </font>
    <font>
      <b/>
      <sz val="8"/>
      <color theme="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4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7ADA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9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225">
    <xf numFmtId="0" fontId="0" fillId="0" borderId="0" xfId="0"/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7" fontId="4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7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167" fontId="7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167" fontId="10" fillId="0" borderId="0" xfId="0" applyNumberFormat="1" applyFont="1"/>
    <xf numFmtId="167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167" fontId="6" fillId="0" borderId="0" xfId="0" applyNumberFormat="1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5" fontId="4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7" fillId="0" borderId="0" xfId="2" applyFont="1" applyBorder="1" applyAlignment="1">
      <alignment horizontal="center"/>
    </xf>
    <xf numFmtId="166" fontId="7" fillId="0" borderId="0" xfId="1" applyFont="1" applyBorder="1" applyAlignment="1">
      <alignment horizontal="center"/>
    </xf>
    <xf numFmtId="164" fontId="7" fillId="0" borderId="0" xfId="2" applyNumberFormat="1" applyFont="1" applyBorder="1"/>
    <xf numFmtId="168" fontId="4" fillId="0" borderId="0" xfId="0" applyNumberFormat="1" applyFont="1" applyAlignment="1">
      <alignment horizontal="center"/>
    </xf>
    <xf numFmtId="165" fontId="6" fillId="0" borderId="1" xfId="0" applyNumberFormat="1" applyFont="1" applyBorder="1"/>
    <xf numFmtId="165" fontId="8" fillId="0" borderId="0" xfId="0" applyNumberFormat="1" applyFont="1"/>
    <xf numFmtId="0" fontId="12" fillId="0" borderId="0" xfId="0" applyFont="1"/>
    <xf numFmtId="165" fontId="12" fillId="0" borderId="0" xfId="0" applyNumberFormat="1" applyFont="1"/>
    <xf numFmtId="167" fontId="10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/>
    <xf numFmtId="168" fontId="14" fillId="0" borderId="0" xfId="0" applyNumberFormat="1" applyFont="1" applyAlignment="1">
      <alignment horizontal="center"/>
    </xf>
    <xf numFmtId="0" fontId="17" fillId="0" borderId="0" xfId="0" applyFont="1"/>
    <xf numFmtId="0" fontId="13" fillId="0" borderId="0" xfId="0" applyFont="1"/>
    <xf numFmtId="0" fontId="18" fillId="0" borderId="0" xfId="0" applyFont="1"/>
    <xf numFmtId="0" fontId="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167" fontId="5" fillId="2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44" fontId="6" fillId="0" borderId="0" xfId="0" applyNumberFormat="1" applyFont="1"/>
    <xf numFmtId="0" fontId="4" fillId="2" borderId="0" xfId="0" applyFont="1" applyFill="1"/>
    <xf numFmtId="0" fontId="5" fillId="2" borderId="0" xfId="4" applyFont="1" applyFill="1"/>
    <xf numFmtId="0" fontId="0" fillId="2" borderId="0" xfId="0" applyFill="1"/>
    <xf numFmtId="169" fontId="5" fillId="2" borderId="0" xfId="4" applyNumberFormat="1" applyFont="1" applyFill="1"/>
    <xf numFmtId="165" fontId="5" fillId="0" borderId="0" xfId="0" applyNumberFormat="1" applyFont="1"/>
    <xf numFmtId="165" fontId="4" fillId="0" borderId="0" xfId="0" applyNumberFormat="1" applyFont="1"/>
    <xf numFmtId="0" fontId="11" fillId="0" borderId="0" xfId="0" applyFont="1"/>
    <xf numFmtId="167" fontId="11" fillId="0" borderId="0" xfId="0" applyNumberFormat="1" applyFont="1"/>
    <xf numFmtId="165" fontId="11" fillId="0" borderId="0" xfId="2" applyFont="1" applyFill="1" applyBorder="1" applyAlignment="1">
      <alignment horizontal="center"/>
    </xf>
    <xf numFmtId="166" fontId="11" fillId="0" borderId="0" xfId="1" applyFont="1" applyFill="1" applyBorder="1" applyAlignment="1">
      <alignment horizontal="center"/>
    </xf>
    <xf numFmtId="44" fontId="7" fillId="0" borderId="0" xfId="0" applyNumberFormat="1" applyFont="1"/>
    <xf numFmtId="165" fontId="7" fillId="0" borderId="0" xfId="2" applyFont="1" applyFill="1" applyBorder="1"/>
    <xf numFmtId="165" fontId="7" fillId="0" borderId="0" xfId="2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165" fontId="9" fillId="0" borderId="0" xfId="0" applyNumberFormat="1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5" fontId="22" fillId="0" borderId="0" xfId="0" applyNumberFormat="1" applyFont="1" applyAlignment="1">
      <alignment horizontal="right"/>
    </xf>
    <xf numFmtId="165" fontId="22" fillId="0" borderId="0" xfId="0" applyNumberFormat="1" applyFont="1"/>
    <xf numFmtId="167" fontId="22" fillId="0" borderId="0" xfId="0" applyNumberFormat="1" applyFont="1"/>
    <xf numFmtId="0" fontId="24" fillId="0" borderId="0" xfId="0" applyFont="1"/>
    <xf numFmtId="167" fontId="24" fillId="0" borderId="0" xfId="0" applyNumberFormat="1" applyFont="1"/>
    <xf numFmtId="0" fontId="25" fillId="0" borderId="0" xfId="0" applyFont="1"/>
    <xf numFmtId="167" fontId="25" fillId="0" borderId="0" xfId="0" applyNumberFormat="1" applyFont="1"/>
    <xf numFmtId="165" fontId="25" fillId="0" borderId="0" xfId="2" applyFont="1" applyFill="1" applyBorder="1" applyAlignment="1">
      <alignment horizontal="center"/>
    </xf>
    <xf numFmtId="166" fontId="25" fillId="0" borderId="0" xfId="1" applyFont="1" applyFill="1" applyBorder="1" applyAlignment="1">
      <alignment horizontal="center"/>
    </xf>
    <xf numFmtId="44" fontId="9" fillId="0" borderId="0" xfId="0" applyNumberFormat="1" applyFont="1"/>
    <xf numFmtId="170" fontId="7" fillId="0" borderId="0" xfId="2" applyNumberFormat="1" applyFont="1" applyBorder="1"/>
    <xf numFmtId="170" fontId="7" fillId="0" borderId="0" xfId="0" applyNumberFormat="1" applyFont="1"/>
    <xf numFmtId="10" fontId="7" fillId="0" borderId="0" xfId="9" applyNumberFormat="1" applyFont="1" applyBorder="1"/>
    <xf numFmtId="170" fontId="7" fillId="0" borderId="2" xfId="2" applyNumberFormat="1" applyFont="1" applyBorder="1"/>
    <xf numFmtId="170" fontId="7" fillId="0" borderId="2" xfId="0" applyNumberFormat="1" applyFont="1" applyBorder="1"/>
    <xf numFmtId="165" fontId="10" fillId="0" borderId="2" xfId="0" applyNumberFormat="1" applyFont="1" applyBorder="1" applyAlignment="1">
      <alignment horizontal="right"/>
    </xf>
    <xf numFmtId="165" fontId="9" fillId="0" borderId="2" xfId="0" applyNumberFormat="1" applyFont="1" applyBorder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/>
    </xf>
    <xf numFmtId="167" fontId="8" fillId="3" borderId="0" xfId="0" applyNumberFormat="1" applyFont="1" applyFill="1" applyAlignment="1">
      <alignment horizontal="right"/>
    </xf>
    <xf numFmtId="167" fontId="12" fillId="3" borderId="0" xfId="0" applyNumberFormat="1" applyFont="1" applyFill="1" applyAlignment="1">
      <alignment horizontal="right"/>
    </xf>
    <xf numFmtId="167" fontId="5" fillId="3" borderId="0" xfId="0" applyNumberFormat="1" applyFont="1" applyFill="1" applyAlignment="1">
      <alignment horizontal="right"/>
    </xf>
    <xf numFmtId="167" fontId="8" fillId="3" borderId="0" xfId="0" applyNumberFormat="1" applyFont="1" applyFill="1"/>
    <xf numFmtId="165" fontId="8" fillId="3" borderId="0" xfId="2" applyFont="1" applyFill="1" applyBorder="1"/>
    <xf numFmtId="0" fontId="10" fillId="0" borderId="0" xfId="0" applyFont="1" applyAlignment="1">
      <alignment vertical="center"/>
    </xf>
    <xf numFmtId="165" fontId="10" fillId="0" borderId="2" xfId="0" applyNumberFormat="1" applyFont="1" applyBorder="1"/>
    <xf numFmtId="167" fontId="29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10" fillId="0" borderId="0" xfId="0" applyNumberFormat="1" applyFont="1" applyAlignment="1">
      <alignment horizontal="left"/>
    </xf>
    <xf numFmtId="167" fontId="27" fillId="0" borderId="0" xfId="0" applyNumberFormat="1" applyFont="1" applyAlignment="1">
      <alignment horizontal="left" wrapText="1"/>
    </xf>
    <xf numFmtId="167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70" fontId="10" fillId="0" borderId="0" xfId="2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7" fontId="5" fillId="0" borderId="0" xfId="0" applyNumberFormat="1" applyFont="1" applyAlignment="1">
      <alignment horizontal="center"/>
    </xf>
    <xf numFmtId="167" fontId="27" fillId="0" borderId="0" xfId="0" applyNumberFormat="1" applyFont="1"/>
    <xf numFmtId="0" fontId="27" fillId="0" borderId="0" xfId="0" applyFont="1"/>
    <xf numFmtId="0" fontId="2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67" fontId="27" fillId="0" borderId="0" xfId="0" applyNumberFormat="1" applyFont="1" applyAlignment="1">
      <alignment horizontal="right"/>
    </xf>
    <xf numFmtId="170" fontId="27" fillId="0" borderId="0" xfId="2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/>
    </xf>
    <xf numFmtId="165" fontId="31" fillId="0" borderId="0" xfId="0" applyNumberFormat="1" applyFont="1"/>
    <xf numFmtId="165" fontId="27" fillId="0" borderId="0" xfId="0" applyNumberFormat="1" applyFont="1"/>
    <xf numFmtId="167" fontId="31" fillId="0" borderId="0" xfId="0" applyNumberFormat="1" applyFont="1"/>
    <xf numFmtId="0" fontId="31" fillId="0" borderId="0" xfId="0" applyFont="1"/>
    <xf numFmtId="0" fontId="32" fillId="0" borderId="0" xfId="0" applyFont="1"/>
    <xf numFmtId="0" fontId="9" fillId="0" borderId="0" xfId="4" applyFont="1"/>
    <xf numFmtId="165" fontId="12" fillId="0" borderId="1" xfId="0" applyNumberFormat="1" applyFont="1" applyBorder="1"/>
    <xf numFmtId="0" fontId="9" fillId="0" borderId="0" xfId="4" applyFont="1" applyAlignment="1">
      <alignment vertical="top"/>
    </xf>
    <xf numFmtId="165" fontId="9" fillId="0" borderId="0" xfId="2" applyFont="1" applyAlignment="1">
      <alignment vertical="top"/>
    </xf>
    <xf numFmtId="165" fontId="9" fillId="0" borderId="0" xfId="2" applyFont="1" applyFill="1" applyAlignment="1">
      <alignment vertical="top"/>
    </xf>
    <xf numFmtId="0" fontId="9" fillId="0" borderId="0" xfId="4" applyFont="1" applyAlignment="1">
      <alignment vertical="top" wrapText="1"/>
    </xf>
    <xf numFmtId="0" fontId="9" fillId="0" borderId="0" xfId="0" applyFont="1" applyAlignment="1">
      <alignment vertical="top"/>
    </xf>
    <xf numFmtId="165" fontId="12" fillId="0" borderId="3" xfId="2" applyFont="1" applyFill="1" applyBorder="1" applyAlignment="1">
      <alignment vertical="top"/>
    </xf>
    <xf numFmtId="0" fontId="33" fillId="3" borderId="0" xfId="0" applyFont="1" applyFill="1"/>
    <xf numFmtId="0" fontId="34" fillId="4" borderId="0" xfId="0" applyFont="1" applyFill="1" applyAlignment="1">
      <alignment horizontal="center"/>
    </xf>
    <xf numFmtId="0" fontId="35" fillId="4" borderId="0" xfId="0" applyFont="1" applyFill="1" applyAlignment="1">
      <alignment horizontal="center"/>
    </xf>
    <xf numFmtId="167" fontId="19" fillId="0" borderId="0" xfId="0" applyNumberFormat="1" applyFont="1" applyAlignment="1">
      <alignment horizontal="right"/>
    </xf>
    <xf numFmtId="167" fontId="19" fillId="0" borderId="0" xfId="0" applyNumberFormat="1" applyFont="1"/>
    <xf numFmtId="167" fontId="36" fillId="0" borderId="0" xfId="0" applyNumberFormat="1" applyFont="1"/>
    <xf numFmtId="44" fontId="19" fillId="0" borderId="0" xfId="0" applyNumberFormat="1" applyFont="1"/>
    <xf numFmtId="0" fontId="36" fillId="0" borderId="0" xfId="0" applyFont="1"/>
    <xf numFmtId="49" fontId="36" fillId="0" borderId="0" xfId="0" applyNumberFormat="1" applyFont="1"/>
    <xf numFmtId="0" fontId="11" fillId="0" borderId="0" xfId="0" applyFont="1" applyAlignment="1">
      <alignment horizontal="center"/>
    </xf>
    <xf numFmtId="165" fontId="34" fillId="0" borderId="0" xfId="0" applyNumberFormat="1" applyFont="1" applyAlignment="1">
      <alignment horizontal="right"/>
    </xf>
    <xf numFmtId="44" fontId="11" fillId="0" borderId="0" xfId="0" applyNumberFormat="1" applyFont="1"/>
    <xf numFmtId="165" fontId="11" fillId="0" borderId="0" xfId="2" applyFont="1" applyFill="1" applyBorder="1"/>
    <xf numFmtId="0" fontId="37" fillId="0" borderId="0" xfId="0" applyFont="1"/>
    <xf numFmtId="165" fontId="11" fillId="0" borderId="0" xfId="2" applyFont="1" applyBorder="1" applyAlignment="1">
      <alignment horizontal="center"/>
    </xf>
    <xf numFmtId="166" fontId="11" fillId="0" borderId="0" xfId="1" applyFont="1" applyBorder="1" applyAlignment="1">
      <alignment horizontal="center"/>
    </xf>
    <xf numFmtId="0" fontId="38" fillId="0" borderId="0" xfId="0" applyFont="1"/>
    <xf numFmtId="165" fontId="19" fillId="0" borderId="0" xfId="0" applyNumberFormat="1" applyFont="1" applyAlignment="1">
      <alignment horizontal="right"/>
    </xf>
    <xf numFmtId="0" fontId="34" fillId="0" borderId="0" xfId="0" applyFont="1"/>
    <xf numFmtId="165" fontId="34" fillId="0" borderId="0" xfId="0" applyNumberFormat="1" applyFont="1"/>
    <xf numFmtId="167" fontId="11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5" fontId="39" fillId="0" borderId="4" xfId="0" applyNumberFormat="1" applyFont="1" applyBorder="1" applyAlignment="1">
      <alignment horizontal="right"/>
    </xf>
    <xf numFmtId="0" fontId="39" fillId="0" borderId="4" xfId="0" applyFont="1" applyBorder="1"/>
    <xf numFmtId="165" fontId="39" fillId="0" borderId="4" xfId="0" applyNumberFormat="1" applyFont="1" applyBorder="1" applyAlignment="1">
      <alignment horizontal="left" vertical="top"/>
    </xf>
    <xf numFmtId="167" fontId="39" fillId="0" borderId="4" xfId="0" applyNumberFormat="1" applyFont="1" applyBorder="1" applyAlignment="1">
      <alignment horizontal="right"/>
    </xf>
    <xf numFmtId="171" fontId="39" fillId="0" borderId="4" xfId="5" applyNumberFormat="1" applyFont="1" applyBorder="1" applyAlignment="1">
      <alignment vertical="center"/>
    </xf>
    <xf numFmtId="170" fontId="39" fillId="0" borderId="4" xfId="2" applyNumberFormat="1" applyFont="1" applyBorder="1" applyAlignment="1">
      <alignment horizontal="center" vertical="top"/>
    </xf>
    <xf numFmtId="170" fontId="34" fillId="4" borderId="0" xfId="2" applyNumberFormat="1" applyFont="1" applyFill="1" applyBorder="1" applyAlignment="1">
      <alignment horizontal="center"/>
    </xf>
    <xf numFmtId="170" fontId="39" fillId="0" borderId="4" xfId="2" applyNumberFormat="1" applyFont="1" applyBorder="1" applyAlignment="1">
      <alignment horizontal="center"/>
    </xf>
    <xf numFmtId="170" fontId="34" fillId="0" borderId="0" xfId="2" applyNumberFormat="1" applyFont="1" applyBorder="1" applyAlignment="1">
      <alignment horizontal="center"/>
    </xf>
    <xf numFmtId="170" fontId="11" fillId="0" borderId="0" xfId="2" applyNumberFormat="1" applyFont="1" applyBorder="1" applyAlignment="1">
      <alignment horizontal="center"/>
    </xf>
    <xf numFmtId="44" fontId="34" fillId="4" borderId="0" xfId="2" applyNumberFormat="1" applyFont="1" applyFill="1" applyBorder="1" applyAlignment="1">
      <alignment horizontal="left" wrapText="1"/>
    </xf>
    <xf numFmtId="44" fontId="39" fillId="0" borderId="4" xfId="2" applyNumberFormat="1" applyFont="1" applyBorder="1" applyAlignment="1">
      <alignment horizontal="left"/>
    </xf>
    <xf numFmtId="44" fontId="39" fillId="0" borderId="4" xfId="2" applyNumberFormat="1" applyFont="1" applyBorder="1" applyAlignment="1">
      <alignment vertical="top"/>
    </xf>
    <xf numFmtId="44" fontId="11" fillId="0" borderId="0" xfId="2" applyNumberFormat="1" applyFont="1" applyBorder="1" applyAlignment="1">
      <alignment horizontal="left"/>
    </xf>
    <xf numFmtId="44" fontId="19" fillId="0" borderId="0" xfId="2" applyNumberFormat="1" applyFont="1" applyBorder="1" applyAlignment="1">
      <alignment horizontal="left"/>
    </xf>
    <xf numFmtId="44" fontId="34" fillId="4" borderId="0" xfId="0" applyNumberFormat="1" applyFont="1" applyFill="1" applyAlignment="1">
      <alignment horizontal="left" wrapText="1"/>
    </xf>
    <xf numFmtId="44" fontId="39" fillId="0" borderId="4" xfId="0" applyNumberFormat="1" applyFont="1" applyBorder="1" applyAlignment="1">
      <alignment horizontal="left"/>
    </xf>
    <xf numFmtId="44" fontId="39" fillId="0" borderId="4" xfId="0" applyNumberFormat="1" applyFont="1" applyBorder="1" applyAlignment="1">
      <alignment horizontal="left" vertical="top"/>
    </xf>
    <xf numFmtId="44" fontId="11" fillId="0" borderId="0" xfId="0" applyNumberFormat="1" applyFont="1" applyAlignment="1">
      <alignment horizontal="left"/>
    </xf>
    <xf numFmtId="44" fontId="19" fillId="0" borderId="0" xfId="0" applyNumberFormat="1" applyFont="1" applyAlignment="1">
      <alignment horizontal="left"/>
    </xf>
    <xf numFmtId="44" fontId="34" fillId="4" borderId="0" xfId="2" applyNumberFormat="1" applyFont="1" applyFill="1" applyBorder="1" applyAlignment="1"/>
    <xf numFmtId="44" fontId="34" fillId="4" borderId="0" xfId="2" applyNumberFormat="1" applyFont="1" applyFill="1" applyBorder="1" applyAlignment="1">
      <alignment wrapText="1"/>
    </xf>
    <xf numFmtId="44" fontId="39" fillId="0" borderId="4" xfId="2" applyNumberFormat="1" applyFont="1" applyBorder="1" applyAlignment="1"/>
    <xf numFmtId="44" fontId="39" fillId="0" borderId="4" xfId="2" applyNumberFormat="1" applyFont="1" applyFill="1" applyBorder="1" applyAlignment="1"/>
    <xf numFmtId="44" fontId="39" fillId="0" borderId="4" xfId="2" applyNumberFormat="1" applyFont="1" applyFill="1" applyBorder="1" applyAlignment="1">
      <alignment vertical="top"/>
    </xf>
    <xf numFmtId="44" fontId="34" fillId="0" borderId="0" xfId="2" applyNumberFormat="1" applyFont="1" applyBorder="1" applyAlignment="1"/>
    <xf numFmtId="44" fontId="11" fillId="0" borderId="0" xfId="2" applyNumberFormat="1" applyFont="1" applyBorder="1" applyAlignment="1"/>
    <xf numFmtId="44" fontId="11" fillId="0" borderId="1" xfId="2" applyNumberFormat="1" applyFont="1" applyBorder="1" applyAlignment="1"/>
    <xf numFmtId="167" fontId="36" fillId="0" borderId="0" xfId="0" applyNumberFormat="1" applyFont="1" applyAlignment="1">
      <alignment horizontal="left" vertical="top"/>
    </xf>
    <xf numFmtId="167" fontId="36" fillId="0" borderId="0" xfId="0" applyNumberFormat="1" applyFont="1" applyAlignment="1">
      <alignment vertical="top"/>
    </xf>
    <xf numFmtId="167" fontId="40" fillId="0" borderId="0" xfId="0" applyNumberFormat="1" applyFont="1"/>
    <xf numFmtId="0" fontId="19" fillId="0" borderId="4" xfId="0" applyFont="1" applyBorder="1"/>
    <xf numFmtId="0" fontId="19" fillId="0" borderId="4" xfId="0" applyFont="1" applyBorder="1" applyAlignment="1">
      <alignment horizontal="center"/>
    </xf>
    <xf numFmtId="167" fontId="19" fillId="0" borderId="4" xfId="0" applyNumberFormat="1" applyFont="1" applyBorder="1"/>
    <xf numFmtId="0" fontId="19" fillId="0" borderId="4" xfId="0" applyFont="1" applyBorder="1" applyAlignment="1">
      <alignment horizontal="left" vertical="top"/>
    </xf>
    <xf numFmtId="0" fontId="19" fillId="0" borderId="4" xfId="0" applyFont="1" applyBorder="1" applyAlignment="1">
      <alignment vertical="top"/>
    </xf>
    <xf numFmtId="0" fontId="19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top" wrapText="1"/>
    </xf>
    <xf numFmtId="44" fontId="34" fillId="4" borderId="0" xfId="2" applyNumberFormat="1" applyFont="1" applyFill="1" applyBorder="1" applyAlignment="1">
      <alignment horizontal="left"/>
    </xf>
    <xf numFmtId="0" fontId="39" fillId="0" borderId="4" xfId="0" applyFont="1" applyBorder="1" applyAlignment="1">
      <alignment vertical="top"/>
    </xf>
    <xf numFmtId="0" fontId="25" fillId="0" borderId="4" xfId="0" applyFont="1" applyBorder="1"/>
    <xf numFmtId="44" fontId="25" fillId="0" borderId="4" xfId="2" applyNumberFormat="1" applyFont="1" applyFill="1" applyBorder="1" applyAlignment="1"/>
    <xf numFmtId="44" fontId="25" fillId="0" borderId="4" xfId="0" applyNumberFormat="1" applyFont="1" applyBorder="1" applyAlignment="1">
      <alignment horizontal="left"/>
    </xf>
    <xf numFmtId="44" fontId="25" fillId="0" borderId="4" xfId="2" applyNumberFormat="1" applyFont="1" applyBorder="1" applyAlignment="1">
      <alignment horizontal="left"/>
    </xf>
    <xf numFmtId="44" fontId="25" fillId="0" borderId="4" xfId="2" applyNumberFormat="1" applyFont="1" applyBorder="1" applyAlignment="1"/>
    <xf numFmtId="170" fontId="25" fillId="0" borderId="4" xfId="2" applyNumberFormat="1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71" fontId="39" fillId="0" borderId="0" xfId="5" applyNumberFormat="1" applyFont="1" applyBorder="1" applyAlignment="1">
      <alignment vertical="center"/>
    </xf>
    <xf numFmtId="44" fontId="39" fillId="0" borderId="0" xfId="2" applyNumberFormat="1" applyFont="1" applyBorder="1" applyAlignment="1">
      <alignment horizontal="left" vertical="top"/>
    </xf>
    <xf numFmtId="44" fontId="39" fillId="0" borderId="0" xfId="2" applyNumberFormat="1" applyFont="1" applyBorder="1" applyAlignment="1">
      <alignment horizontal="left"/>
    </xf>
    <xf numFmtId="44" fontId="39" fillId="0" borderId="0" xfId="2" applyNumberFormat="1" applyFont="1" applyBorder="1" applyAlignment="1">
      <alignment vertical="top"/>
    </xf>
    <xf numFmtId="44" fontId="39" fillId="0" borderId="0" xfId="2" applyNumberFormat="1" applyFont="1" applyBorder="1" applyAlignment="1"/>
    <xf numFmtId="170" fontId="39" fillId="0" borderId="0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44" fontId="25" fillId="0" borderId="4" xfId="2" applyNumberFormat="1" applyFont="1" applyBorder="1" applyAlignment="1">
      <alignment horizontal="left" vertical="top"/>
    </xf>
    <xf numFmtId="44" fontId="25" fillId="0" borderId="4" xfId="2" applyNumberFormat="1" applyFont="1" applyFill="1" applyBorder="1" applyAlignment="1">
      <alignment horizontal="left"/>
    </xf>
    <xf numFmtId="170" fontId="25" fillId="0" borderId="4" xfId="2" applyNumberFormat="1" applyFont="1" applyFill="1" applyBorder="1" applyAlignment="1">
      <alignment horizontal="center"/>
    </xf>
    <xf numFmtId="167" fontId="25" fillId="0" borderId="4" xfId="0" applyNumberFormat="1" applyFont="1" applyBorder="1" applyAlignment="1">
      <alignment horizontal="right"/>
    </xf>
    <xf numFmtId="44" fontId="39" fillId="0" borderId="4" xfId="2" applyNumberFormat="1" applyFont="1" applyBorder="1" applyAlignment="1">
      <alignment horizontal="left" vertical="top"/>
    </xf>
    <xf numFmtId="44" fontId="19" fillId="0" borderId="4" xfId="2" applyNumberFormat="1" applyFont="1" applyFill="1" applyBorder="1" applyAlignment="1"/>
    <xf numFmtId="0" fontId="19" fillId="3" borderId="4" xfId="0" applyFont="1" applyFill="1" applyBorder="1"/>
    <xf numFmtId="0" fontId="19" fillId="3" borderId="4" xfId="0" applyFont="1" applyFill="1" applyBorder="1" applyAlignment="1">
      <alignment vertical="center"/>
    </xf>
    <xf numFmtId="167" fontId="5" fillId="2" borderId="0" xfId="0" applyNumberFormat="1" applyFont="1" applyFill="1" applyAlignment="1">
      <alignment horizontal="center" textRotation="90" wrapText="1"/>
    </xf>
    <xf numFmtId="167" fontId="34" fillId="4" borderId="0" xfId="0" applyNumberFormat="1" applyFont="1" applyFill="1" applyAlignment="1">
      <alignment horizontal="center" textRotation="90"/>
    </xf>
    <xf numFmtId="44" fontId="39" fillId="0" borderId="4" xfId="2" applyNumberFormat="1" applyFont="1" applyBorder="1" applyAlignment="1">
      <alignment horizontal="left" vertical="top"/>
    </xf>
  </cellXfs>
  <cellStyles count="10">
    <cellStyle name="Euro" xfId="5" xr:uid="{00000000-0005-0000-0000-000000000000}"/>
    <cellStyle name="Euro 2" xfId="6" xr:uid="{00000000-0005-0000-0000-000001000000}"/>
    <cellStyle name="Komma" xfId="1" builtinId="3"/>
    <cellStyle name="Komma 2" xfId="7" xr:uid="{00000000-0005-0000-0000-000003000000}"/>
    <cellStyle name="Procent" xfId="9" builtinId="5"/>
    <cellStyle name="Standaard" xfId="0" builtinId="0"/>
    <cellStyle name="Standaard 2" xfId="4" xr:uid="{00000000-0005-0000-0000-000006000000}"/>
    <cellStyle name="Standaard 3" xfId="3" xr:uid="{00000000-0005-0000-0000-000007000000}"/>
    <cellStyle name="Valuta" xfId="2" builtinId="4"/>
    <cellStyle name="Valuta 2" xfId="8" xr:uid="{00000000-0005-0000-0000-000009000000}"/>
  </cellStyles>
  <dxfs count="0"/>
  <tableStyles count="0" defaultTableStyle="TableStyleMedium9" defaultPivotStyle="PivotStyleLight16"/>
  <colors>
    <mruColors>
      <color rgb="FFB7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0"/>
  <sheetViews>
    <sheetView view="pageBreakPreview" zoomScaleNormal="100" zoomScaleSheetLayoutView="100" workbookViewId="0">
      <pane ySplit="5" topLeftCell="A6" activePane="bottomLeft" state="frozen"/>
      <selection pane="bottomLeft" activeCell="C75" sqref="C75"/>
    </sheetView>
  </sheetViews>
  <sheetFormatPr defaultColWidth="9" defaultRowHeight="11.4" x14ac:dyDescent="0.2"/>
  <cols>
    <col min="1" max="1" width="19.5" style="8" bestFit="1" customWidth="1"/>
    <col min="2" max="2" width="7.3984375" style="8" bestFit="1" customWidth="1"/>
    <col min="3" max="3" width="15.3984375" style="8" customWidth="1"/>
    <col min="4" max="4" width="15.19921875" style="8" bestFit="1" customWidth="1"/>
    <col min="5" max="5" width="4.59765625" style="10" hidden="1" customWidth="1"/>
    <col min="6" max="7" width="11.59765625" style="40" hidden="1" customWidth="1"/>
    <col min="8" max="9" width="21" style="40" hidden="1" customWidth="1"/>
    <col min="10" max="10" width="20.09765625" style="8" customWidth="1"/>
    <col min="11" max="11" width="16.3984375" style="11" hidden="1" customWidth="1"/>
    <col min="12" max="13" width="12.69921875" style="11" hidden="1" customWidth="1"/>
    <col min="14" max="14" width="18.5" style="12" hidden="1" customWidth="1"/>
    <col min="15" max="18" width="13.3984375" style="12" hidden="1" customWidth="1"/>
    <col min="19" max="19" width="4.5" style="38" bestFit="1" customWidth="1"/>
    <col min="20" max="21" width="13.3984375" style="12" hidden="1" customWidth="1"/>
    <col min="22" max="22" width="13.3984375" style="12" customWidth="1"/>
    <col min="23" max="23" width="12.3984375" style="13" bestFit="1" customWidth="1"/>
    <col min="24" max="24" width="15" style="13" customWidth="1"/>
    <col min="25" max="25" width="13.3984375" style="13" customWidth="1"/>
    <col min="26" max="26" width="23" style="8" bestFit="1" customWidth="1"/>
    <col min="27" max="27" width="3.59765625" style="8" customWidth="1"/>
    <col min="28" max="28" width="12.69921875" style="8" bestFit="1" customWidth="1"/>
    <col min="29" max="29" width="10.09765625" style="8" bestFit="1" customWidth="1"/>
    <col min="30" max="30" width="10" style="8" bestFit="1" customWidth="1"/>
    <col min="31" max="16384" width="9" style="8"/>
  </cols>
  <sheetData>
    <row r="1" spans="1:35" x14ac:dyDescent="0.2">
      <c r="A1" s="1" t="s">
        <v>101</v>
      </c>
      <c r="B1" s="1"/>
      <c r="C1" s="1"/>
      <c r="D1" s="2"/>
      <c r="E1" s="3"/>
      <c r="F1" s="39"/>
      <c r="G1" s="39"/>
      <c r="H1" s="39"/>
      <c r="I1" s="39"/>
      <c r="J1" s="2"/>
      <c r="K1" s="4" t="s">
        <v>0</v>
      </c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6"/>
      <c r="X1" s="6"/>
      <c r="Y1" s="6"/>
      <c r="Z1" s="7"/>
    </row>
    <row r="2" spans="1:35" x14ac:dyDescent="0.2">
      <c r="A2" s="1"/>
      <c r="B2" s="1"/>
      <c r="C2" s="1"/>
      <c r="D2" s="2"/>
      <c r="E2" s="3"/>
      <c r="F2" s="39"/>
      <c r="G2" s="39"/>
      <c r="H2" s="39"/>
      <c r="I2" s="39"/>
      <c r="J2" s="2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7"/>
    </row>
    <row r="3" spans="1:35" ht="21" customHeight="1" x14ac:dyDescent="0.25">
      <c r="A3" s="48" t="s">
        <v>1</v>
      </c>
      <c r="B3" s="48" t="s">
        <v>154</v>
      </c>
      <c r="C3" s="48" t="s">
        <v>140</v>
      </c>
      <c r="D3" s="48" t="s">
        <v>2</v>
      </c>
      <c r="E3" s="48" t="s">
        <v>4</v>
      </c>
      <c r="F3" s="68"/>
      <c r="G3" s="68" t="s">
        <v>106</v>
      </c>
      <c r="H3" s="68" t="s">
        <v>93</v>
      </c>
      <c r="I3" s="68"/>
      <c r="J3" s="48" t="s">
        <v>5</v>
      </c>
      <c r="K3" s="50" t="s">
        <v>6</v>
      </c>
      <c r="L3" s="50" t="s">
        <v>77</v>
      </c>
      <c r="M3" s="50" t="s">
        <v>80</v>
      </c>
      <c r="N3" s="51" t="s">
        <v>103</v>
      </c>
      <c r="O3" s="52" t="s">
        <v>100</v>
      </c>
      <c r="P3" s="52" t="s">
        <v>99</v>
      </c>
      <c r="Q3" s="52" t="s">
        <v>119</v>
      </c>
      <c r="R3" s="52" t="s">
        <v>120</v>
      </c>
      <c r="S3" s="222" t="s">
        <v>155</v>
      </c>
      <c r="T3" s="52" t="s">
        <v>166</v>
      </c>
      <c r="U3" s="52" t="s">
        <v>166</v>
      </c>
      <c r="V3" s="52" t="s">
        <v>169</v>
      </c>
      <c r="W3" s="51" t="s">
        <v>7</v>
      </c>
      <c r="X3" s="51" t="s">
        <v>104</v>
      </c>
      <c r="Y3" s="51" t="s">
        <v>105</v>
      </c>
      <c r="Z3" s="48" t="s">
        <v>118</v>
      </c>
      <c r="AA3" s="9"/>
    </row>
    <row r="4" spans="1:35" ht="21" customHeight="1" x14ac:dyDescent="0.25">
      <c r="A4" s="48"/>
      <c r="B4" s="48"/>
      <c r="C4" s="48"/>
      <c r="D4" s="48"/>
      <c r="E4" s="48"/>
      <c r="F4" s="68" t="s">
        <v>3</v>
      </c>
      <c r="G4" s="68" t="s">
        <v>116</v>
      </c>
      <c r="H4" s="68" t="s">
        <v>106</v>
      </c>
      <c r="I4" s="68"/>
      <c r="J4" s="48"/>
      <c r="K4" s="50"/>
      <c r="L4" s="50"/>
      <c r="M4" s="50"/>
      <c r="N4" s="50"/>
      <c r="O4" s="52"/>
      <c r="P4" s="52" t="s">
        <v>102</v>
      </c>
      <c r="Q4" s="52" t="s">
        <v>111</v>
      </c>
      <c r="R4" s="52" t="s">
        <v>121</v>
      </c>
      <c r="S4" s="222"/>
      <c r="T4" s="52" t="s">
        <v>165</v>
      </c>
      <c r="U4" s="52" t="s">
        <v>167</v>
      </c>
      <c r="V4" s="52" t="s">
        <v>170</v>
      </c>
      <c r="W4" s="52"/>
      <c r="X4" s="51"/>
      <c r="Y4" s="51"/>
      <c r="Z4" s="48"/>
      <c r="AA4" s="9"/>
    </row>
    <row r="5" spans="1:35" ht="13.8" x14ac:dyDescent="0.25">
      <c r="A5" s="20"/>
      <c r="B5" s="20"/>
      <c r="C5" s="20"/>
      <c r="D5" s="20"/>
      <c r="E5" s="69"/>
      <c r="F5" s="70"/>
      <c r="G5" s="70">
        <v>2014</v>
      </c>
      <c r="H5" s="71"/>
      <c r="I5" s="71"/>
      <c r="J5" s="20"/>
      <c r="K5" s="12"/>
      <c r="L5" s="12"/>
      <c r="M5" s="12"/>
      <c r="W5" s="19"/>
      <c r="X5" s="19"/>
      <c r="Y5" s="19"/>
      <c r="Z5" s="20"/>
    </row>
    <row r="6" spans="1:35" s="20" customFormat="1" x14ac:dyDescent="0.2">
      <c r="A6" s="14" t="s">
        <v>70</v>
      </c>
      <c r="B6" s="14"/>
      <c r="C6" s="14"/>
      <c r="D6" s="14" t="s">
        <v>25</v>
      </c>
      <c r="E6" s="15" t="s">
        <v>9</v>
      </c>
      <c r="F6" s="41">
        <v>714069001</v>
      </c>
      <c r="G6" s="41"/>
      <c r="H6" s="41" t="s">
        <v>91</v>
      </c>
      <c r="I6" s="41" t="s">
        <v>113</v>
      </c>
      <c r="J6" s="14" t="s">
        <v>71</v>
      </c>
      <c r="K6" s="16">
        <v>700000</v>
      </c>
      <c r="L6" s="16">
        <f t="shared" ref="L6" si="0" xml:space="preserve"> K6*151/148</f>
        <v>714189.18918918923</v>
      </c>
      <c r="M6" s="16">
        <f t="shared" ref="M6:M10" si="1">(L6*162/151)</f>
        <v>766216.21621621621</v>
      </c>
      <c r="N6" s="16"/>
      <c r="O6" s="16">
        <f>M6*(163/162)</f>
        <v>770945.94594594592</v>
      </c>
      <c r="P6" s="16">
        <f>ROUND(O6/110.6*113.8,0)</f>
        <v>793252</v>
      </c>
      <c r="Q6" s="16">
        <f>ROUND(P6/113.8*117.8,0)</f>
        <v>821134</v>
      </c>
      <c r="S6" s="14" t="s">
        <v>159</v>
      </c>
      <c r="T6" s="16">
        <v>1028500</v>
      </c>
      <c r="U6" s="16">
        <f>ROUND(T6/120.2*121,0)</f>
        <v>1035345</v>
      </c>
      <c r="V6" s="16">
        <f>ROUND(U6/120.2*121,0)</f>
        <v>1042236</v>
      </c>
      <c r="W6" s="17">
        <v>187550</v>
      </c>
      <c r="X6" s="17">
        <f xml:space="preserve"> V6+W6</f>
        <v>1229786</v>
      </c>
      <c r="Y6" s="17">
        <f>ROUND(X6*0.42/1000,2)</f>
        <v>516.51</v>
      </c>
      <c r="Z6" s="18" t="s">
        <v>162</v>
      </c>
      <c r="AA6" s="19"/>
    </row>
    <row r="7" spans="1:35" s="20" customFormat="1" x14ac:dyDescent="0.2">
      <c r="A7" s="14" t="s">
        <v>70</v>
      </c>
      <c r="B7" s="14"/>
      <c r="C7" s="14"/>
      <c r="D7" s="14" t="s">
        <v>25</v>
      </c>
      <c r="E7" s="15" t="s">
        <v>9</v>
      </c>
      <c r="F7" s="41">
        <v>714069001</v>
      </c>
      <c r="G7" s="41"/>
      <c r="H7" s="41" t="s">
        <v>91</v>
      </c>
      <c r="I7" s="41" t="s">
        <v>113</v>
      </c>
      <c r="J7" s="14" t="s">
        <v>71</v>
      </c>
      <c r="K7" s="16">
        <v>700000</v>
      </c>
      <c r="L7" s="16">
        <f xml:space="preserve"> K7*151/148</f>
        <v>714189.18918918923</v>
      </c>
      <c r="M7" s="16">
        <f t="shared" si="1"/>
        <v>766216.21621621621</v>
      </c>
      <c r="N7" s="16"/>
      <c r="O7" s="16">
        <f>M7*(163/162)</f>
        <v>770945.94594594592</v>
      </c>
      <c r="P7" s="16">
        <f t="shared" ref="P7:P8" si="2">ROUND(O7/110.6*113.8,0)</f>
        <v>793252</v>
      </c>
      <c r="Q7" s="16">
        <f t="shared" ref="Q7:Q8" si="3">ROUND(P7/113.8*117.8,0)</f>
        <v>821134</v>
      </c>
      <c r="R7" s="16">
        <f t="shared" ref="R7:R8" si="4">ROUND(Q7/117.8*118.8,0)</f>
        <v>828105</v>
      </c>
      <c r="S7" s="16"/>
      <c r="T7" s="16">
        <f t="shared" ref="T7:T8" si="5">ROUND(R7/118.8*120.2,0)</f>
        <v>837864</v>
      </c>
      <c r="U7" s="16">
        <f t="shared" ref="U7:V52" si="6">ROUND(T7/120.2*121,0)</f>
        <v>843440</v>
      </c>
      <c r="V7" s="16">
        <f t="shared" si="6"/>
        <v>849054</v>
      </c>
      <c r="W7" s="17">
        <v>55600</v>
      </c>
      <c r="X7" s="17">
        <f t="shared" ref="X7:X54" si="7" xml:space="preserve"> V7+W7</f>
        <v>904654</v>
      </c>
      <c r="Y7" s="17">
        <f t="shared" ref="Y7:Y54" si="8">ROUND(X7*0.42/1000,2)</f>
        <v>379.95</v>
      </c>
      <c r="Z7" s="79"/>
      <c r="AA7" s="19"/>
    </row>
    <row r="8" spans="1:35" s="20" customFormat="1" x14ac:dyDescent="0.2">
      <c r="A8" s="14" t="s">
        <v>94</v>
      </c>
      <c r="B8" s="14"/>
      <c r="C8" s="14"/>
      <c r="D8" s="14" t="s">
        <v>61</v>
      </c>
      <c r="E8" s="15" t="s">
        <v>8</v>
      </c>
      <c r="F8" s="41">
        <v>714068014</v>
      </c>
      <c r="G8" s="41"/>
      <c r="H8" s="41" t="s">
        <v>91</v>
      </c>
      <c r="I8" s="41" t="s">
        <v>113</v>
      </c>
      <c r="J8" s="14" t="s">
        <v>62</v>
      </c>
      <c r="K8" s="16">
        <v>35400</v>
      </c>
      <c r="L8" s="16">
        <f xml:space="preserve"> K8*151/148</f>
        <v>36117.567567567567</v>
      </c>
      <c r="M8" s="16">
        <f t="shared" si="1"/>
        <v>38748.648648648646</v>
      </c>
      <c r="N8" s="16">
        <v>175000</v>
      </c>
      <c r="O8" s="16">
        <f>N8*(163/162)</f>
        <v>176080.24691358025</v>
      </c>
      <c r="P8" s="16">
        <f t="shared" si="2"/>
        <v>181175</v>
      </c>
      <c r="Q8" s="16">
        <f t="shared" si="3"/>
        <v>187543</v>
      </c>
      <c r="R8" s="16">
        <f t="shared" si="4"/>
        <v>189135</v>
      </c>
      <c r="S8" s="16"/>
      <c r="T8" s="16">
        <f t="shared" si="5"/>
        <v>191364</v>
      </c>
      <c r="U8" s="16">
        <f t="shared" si="6"/>
        <v>192638</v>
      </c>
      <c r="V8" s="16">
        <f t="shared" si="6"/>
        <v>193920</v>
      </c>
      <c r="W8" s="17"/>
      <c r="X8" s="17">
        <f t="shared" si="7"/>
        <v>193920</v>
      </c>
      <c r="Y8" s="17">
        <f t="shared" si="8"/>
        <v>81.45</v>
      </c>
      <c r="Z8" s="18"/>
      <c r="AA8" s="19"/>
    </row>
    <row r="9" spans="1:35" s="20" customFormat="1" x14ac:dyDescent="0.2">
      <c r="A9" s="14" t="s">
        <v>53</v>
      </c>
      <c r="B9" s="14"/>
      <c r="C9" s="14"/>
      <c r="D9" s="14" t="s">
        <v>56</v>
      </c>
      <c r="E9" s="15" t="s">
        <v>8</v>
      </c>
      <c r="F9" s="41">
        <v>714096005</v>
      </c>
      <c r="G9" s="41"/>
      <c r="H9" s="41" t="s">
        <v>91</v>
      </c>
      <c r="I9" s="41" t="s">
        <v>113</v>
      </c>
      <c r="J9" s="14" t="s">
        <v>57</v>
      </c>
      <c r="K9" s="16">
        <v>99300</v>
      </c>
      <c r="L9" s="16">
        <f xml:space="preserve"> K9*151/148</f>
        <v>101312.83783783784</v>
      </c>
      <c r="M9" s="16">
        <f t="shared" si="1"/>
        <v>108693.24324324325</v>
      </c>
      <c r="N9" s="16"/>
      <c r="O9" s="16">
        <f>M9*(163/162)</f>
        <v>109364.1891891892</v>
      </c>
      <c r="P9" s="16">
        <f>ROUND(O9/110.6*113.8,0)</f>
        <v>112528</v>
      </c>
      <c r="Q9" s="16">
        <f>ROUND(P9/113.8*117.8,0)</f>
        <v>116483</v>
      </c>
      <c r="S9" s="14" t="s">
        <v>159</v>
      </c>
      <c r="T9" s="16">
        <v>152460</v>
      </c>
      <c r="U9" s="16">
        <f t="shared" si="6"/>
        <v>153475</v>
      </c>
      <c r="V9" s="16">
        <f t="shared" si="6"/>
        <v>154496</v>
      </c>
      <c r="W9" s="17">
        <v>50820</v>
      </c>
      <c r="X9" s="17">
        <f t="shared" si="7"/>
        <v>205316</v>
      </c>
      <c r="Y9" s="17">
        <f t="shared" si="8"/>
        <v>86.23</v>
      </c>
      <c r="Z9" s="18"/>
      <c r="AA9" s="19"/>
    </row>
    <row r="10" spans="1:35" s="20" customFormat="1" x14ac:dyDescent="0.2">
      <c r="A10" s="14" t="s">
        <v>53</v>
      </c>
      <c r="B10" s="14"/>
      <c r="C10" s="14"/>
      <c r="D10" s="14" t="s">
        <v>54</v>
      </c>
      <c r="E10" s="15" t="s">
        <v>9</v>
      </c>
      <c r="F10" s="41">
        <v>714096005</v>
      </c>
      <c r="G10" s="41"/>
      <c r="H10" s="41" t="s">
        <v>91</v>
      </c>
      <c r="I10" s="41" t="s">
        <v>113</v>
      </c>
      <c r="J10" s="14" t="s">
        <v>55</v>
      </c>
      <c r="K10" s="16">
        <v>734000</v>
      </c>
      <c r="L10" s="16">
        <f xml:space="preserve"> K10*151/148</f>
        <v>748878.37837837834</v>
      </c>
      <c r="M10" s="16">
        <f t="shared" si="1"/>
        <v>803432.43243243243</v>
      </c>
      <c r="N10" s="16">
        <v>1200000</v>
      </c>
      <c r="O10" s="16">
        <f>N10*(163/162)</f>
        <v>1207407.4074074074</v>
      </c>
      <c r="P10" s="16">
        <f>ROUND(O10/110.6*113.8,0)</f>
        <v>1242341</v>
      </c>
      <c r="Q10" s="16">
        <f>ROUND(P10/113.8*117.8,0)</f>
        <v>1286009</v>
      </c>
      <c r="S10" s="14" t="s">
        <v>159</v>
      </c>
      <c r="T10" s="16">
        <v>998250</v>
      </c>
      <c r="U10" s="16">
        <f t="shared" si="6"/>
        <v>1004894</v>
      </c>
      <c r="V10" s="16">
        <f t="shared" si="6"/>
        <v>1011582</v>
      </c>
      <c r="W10" s="17">
        <v>181500</v>
      </c>
      <c r="X10" s="17">
        <f t="shared" si="7"/>
        <v>1193082</v>
      </c>
      <c r="Y10" s="17">
        <f t="shared" si="8"/>
        <v>501.09</v>
      </c>
      <c r="Z10" s="18"/>
      <c r="AA10" s="19"/>
      <c r="AB10" s="8"/>
    </row>
    <row r="11" spans="1:35" x14ac:dyDescent="0.2">
      <c r="A11" s="14" t="s">
        <v>131</v>
      </c>
      <c r="B11" s="14"/>
      <c r="C11" s="14"/>
      <c r="D11" s="14" t="s">
        <v>78</v>
      </c>
      <c r="E11" s="15" t="s">
        <v>9</v>
      </c>
      <c r="F11" s="41">
        <v>714067001</v>
      </c>
      <c r="G11" s="41"/>
      <c r="H11" s="41" t="s">
        <v>91</v>
      </c>
      <c r="I11" s="41" t="s">
        <v>113</v>
      </c>
      <c r="J11" s="14" t="s">
        <v>132</v>
      </c>
      <c r="K11" s="16"/>
      <c r="L11" s="16">
        <v>52500</v>
      </c>
      <c r="M11" s="16">
        <v>25033.11</v>
      </c>
      <c r="N11" s="16">
        <v>166111.111</v>
      </c>
      <c r="O11" s="16">
        <f>N11*(163/162)</f>
        <v>167136.48822839506</v>
      </c>
      <c r="P11" s="16">
        <f>ROUND(O11/110.6*113.8,0)</f>
        <v>171972</v>
      </c>
      <c r="Q11" s="16">
        <f>ROUND(P11/113.8*117.8,0)</f>
        <v>178017</v>
      </c>
      <c r="R11" s="20"/>
      <c r="S11" s="14" t="s">
        <v>159</v>
      </c>
      <c r="T11" s="16">
        <v>659450</v>
      </c>
      <c r="U11" s="16">
        <f t="shared" si="6"/>
        <v>663839</v>
      </c>
      <c r="V11" s="16">
        <f t="shared" si="6"/>
        <v>668257</v>
      </c>
      <c r="W11" s="17">
        <v>229900</v>
      </c>
      <c r="X11" s="17">
        <f t="shared" si="7"/>
        <v>898157</v>
      </c>
      <c r="Y11" s="17">
        <f t="shared" si="8"/>
        <v>377.23</v>
      </c>
      <c r="Z11" s="18"/>
      <c r="AA11" s="13"/>
    </row>
    <row r="12" spans="1:35" x14ac:dyDescent="0.2">
      <c r="A12" s="14"/>
      <c r="B12" s="14"/>
      <c r="C12" s="14"/>
      <c r="D12" s="14"/>
      <c r="E12" s="15" t="s">
        <v>9</v>
      </c>
      <c r="F12" s="41">
        <v>713030001</v>
      </c>
      <c r="G12" s="41"/>
      <c r="H12" s="41" t="s">
        <v>91</v>
      </c>
      <c r="I12" s="41" t="s">
        <v>113</v>
      </c>
      <c r="J12" s="14" t="s">
        <v>81</v>
      </c>
      <c r="K12" s="16"/>
      <c r="L12" s="16"/>
      <c r="M12" s="16">
        <v>25033.11</v>
      </c>
      <c r="N12" s="16">
        <v>166111.10999999999</v>
      </c>
      <c r="O12" s="16">
        <f>N12*(163/162)</f>
        <v>167136.4872222222</v>
      </c>
      <c r="P12" s="16">
        <f>ROUND(O12/110.6*113.8,0)</f>
        <v>171972</v>
      </c>
      <c r="Q12" s="16">
        <f>ROUND(P12/113.8*117.8,0)</f>
        <v>178017</v>
      </c>
      <c r="R12" s="20"/>
      <c r="S12" s="14" t="s">
        <v>160</v>
      </c>
      <c r="T12" s="16"/>
      <c r="U12" s="16"/>
      <c r="V12" s="16"/>
      <c r="W12" s="17">
        <v>229900</v>
      </c>
      <c r="X12" s="17">
        <f t="shared" si="7"/>
        <v>229900</v>
      </c>
      <c r="Y12" s="17">
        <f t="shared" si="8"/>
        <v>96.56</v>
      </c>
      <c r="Z12" s="18"/>
      <c r="AA12" s="13"/>
      <c r="AB12" s="20"/>
    </row>
    <row r="13" spans="1:35" x14ac:dyDescent="0.2">
      <c r="A13" s="14" t="s">
        <v>58</v>
      </c>
      <c r="B13" s="14"/>
      <c r="C13" s="14"/>
      <c r="D13" s="14" t="s">
        <v>59</v>
      </c>
      <c r="E13" s="15" t="s">
        <v>9</v>
      </c>
      <c r="F13" s="41">
        <v>714069004</v>
      </c>
      <c r="G13" s="41"/>
      <c r="H13" s="41" t="s">
        <v>91</v>
      </c>
      <c r="I13" s="41" t="s">
        <v>113</v>
      </c>
      <c r="J13" s="14" t="s">
        <v>60</v>
      </c>
      <c r="K13" s="16">
        <v>37400</v>
      </c>
      <c r="L13" s="16">
        <f xml:space="preserve"> K13*151/148</f>
        <v>38158.108108108107</v>
      </c>
      <c r="M13" s="16">
        <f>(L13*162/151)</f>
        <v>40937.837837837833</v>
      </c>
      <c r="N13" s="16">
        <v>145000</v>
      </c>
      <c r="O13" s="16">
        <f>N13*(163/162)</f>
        <v>145895.06172839506</v>
      </c>
      <c r="P13" s="16">
        <f t="shared" ref="P13" si="9">ROUND(O13/110.6*113.8,0)</f>
        <v>150116</v>
      </c>
      <c r="Q13" s="16">
        <f t="shared" ref="Q13" si="10">ROUND(P13/113.8*117.8,0)</f>
        <v>155392</v>
      </c>
      <c r="R13" s="20"/>
      <c r="S13" s="14" t="s">
        <v>156</v>
      </c>
      <c r="T13" s="16">
        <v>181500</v>
      </c>
      <c r="U13" s="16">
        <f t="shared" si="6"/>
        <v>182708</v>
      </c>
      <c r="V13" s="16">
        <f t="shared" si="6"/>
        <v>183924</v>
      </c>
      <c r="W13" s="17">
        <v>5000</v>
      </c>
      <c r="X13" s="17">
        <f t="shared" si="7"/>
        <v>188924</v>
      </c>
      <c r="Y13" s="17">
        <f t="shared" si="8"/>
        <v>79.349999999999994</v>
      </c>
      <c r="Z13" s="18" t="s">
        <v>161</v>
      </c>
      <c r="AA13" s="13"/>
    </row>
    <row r="14" spans="1:35" s="20" customFormat="1" x14ac:dyDescent="0.2">
      <c r="A14" s="14" t="s">
        <v>58</v>
      </c>
      <c r="B14" s="14"/>
      <c r="C14" s="14"/>
      <c r="D14" s="14" t="s">
        <v>124</v>
      </c>
      <c r="E14" s="15"/>
      <c r="F14" s="41">
        <v>714067001</v>
      </c>
      <c r="G14" s="41"/>
      <c r="H14" s="41" t="s">
        <v>91</v>
      </c>
      <c r="I14" s="41" t="s">
        <v>113</v>
      </c>
      <c r="J14" s="14" t="s">
        <v>95</v>
      </c>
      <c r="K14" s="16"/>
      <c r="L14" s="16"/>
      <c r="M14" s="16"/>
      <c r="N14" s="16"/>
      <c r="O14" s="16">
        <v>80000</v>
      </c>
      <c r="P14" s="16">
        <f>ROUND(O14/110.6*113.8,0)</f>
        <v>82315</v>
      </c>
      <c r="Q14" s="16">
        <f>ROUND(P14/113.8*117.8,0)</f>
        <v>85208</v>
      </c>
      <c r="S14" s="14" t="s">
        <v>156</v>
      </c>
      <c r="T14" s="16">
        <v>78650</v>
      </c>
      <c r="U14" s="16">
        <f t="shared" si="6"/>
        <v>79173</v>
      </c>
      <c r="V14" s="16">
        <f t="shared" si="6"/>
        <v>79700</v>
      </c>
      <c r="W14" s="17">
        <v>5000</v>
      </c>
      <c r="X14" s="17">
        <f t="shared" si="7"/>
        <v>84700</v>
      </c>
      <c r="Y14" s="17">
        <f t="shared" si="8"/>
        <v>35.57</v>
      </c>
      <c r="Z14" s="18"/>
      <c r="AA14" s="19"/>
    </row>
    <row r="15" spans="1:35" x14ac:dyDescent="0.2">
      <c r="A15" s="14" t="s">
        <v>87</v>
      </c>
      <c r="B15" s="14"/>
      <c r="C15" s="14"/>
      <c r="D15" s="14" t="s">
        <v>85</v>
      </c>
      <c r="E15" s="15" t="s">
        <v>9</v>
      </c>
      <c r="F15" s="41">
        <v>713030001</v>
      </c>
      <c r="G15" s="41"/>
      <c r="H15" s="41" t="s">
        <v>91</v>
      </c>
      <c r="I15" s="41" t="s">
        <v>113</v>
      </c>
      <c r="J15" s="14" t="s">
        <v>84</v>
      </c>
      <c r="K15" s="16"/>
      <c r="L15" s="16"/>
      <c r="M15" s="16"/>
      <c r="N15" s="16"/>
      <c r="O15" s="16">
        <f>M15*(163/162)</f>
        <v>0</v>
      </c>
      <c r="P15" s="16"/>
      <c r="Q15" s="16"/>
      <c r="R15" s="20"/>
      <c r="S15" s="14" t="s">
        <v>160</v>
      </c>
      <c r="T15" s="16"/>
      <c r="U15" s="16"/>
      <c r="V15" s="16"/>
      <c r="W15" s="17">
        <v>217800</v>
      </c>
      <c r="X15" s="17">
        <f t="shared" si="7"/>
        <v>217800</v>
      </c>
      <c r="Y15" s="17">
        <f t="shared" si="8"/>
        <v>91.48</v>
      </c>
      <c r="Z15" s="18"/>
      <c r="AA15" s="13"/>
    </row>
    <row r="16" spans="1:35" s="61" customFormat="1" ht="13.2" x14ac:dyDescent="0.25">
      <c r="A16" s="14" t="s">
        <v>72</v>
      </c>
      <c r="B16" s="14"/>
      <c r="C16" s="14"/>
      <c r="D16" s="14" t="s">
        <v>74</v>
      </c>
      <c r="E16" s="15" t="s">
        <v>9</v>
      </c>
      <c r="F16" s="41">
        <v>713044001</v>
      </c>
      <c r="G16" s="41"/>
      <c r="H16" s="41" t="s">
        <v>107</v>
      </c>
      <c r="I16" s="41" t="s">
        <v>114</v>
      </c>
      <c r="J16" s="18" t="s">
        <v>76</v>
      </c>
      <c r="K16" s="17">
        <v>520000</v>
      </c>
      <c r="L16" s="16">
        <f t="shared" ref="L16:L20" si="11" xml:space="preserve"> K16*151/148</f>
        <v>530540.54054054059</v>
      </c>
      <c r="M16" s="16">
        <f>(L16*162/151)</f>
        <v>569189.18918918923</v>
      </c>
      <c r="N16" s="16"/>
      <c r="O16" s="16">
        <f>M16*(163/162)</f>
        <v>572702.70270270272</v>
      </c>
      <c r="P16" s="16">
        <f t="shared" ref="P16:P28" si="12">ROUND(O16/110.6*113.8,0)</f>
        <v>589273</v>
      </c>
      <c r="Q16" s="16">
        <f t="shared" ref="Q16:Q28" si="13">ROUND(P16/113.8*117.8,0)</f>
        <v>609986</v>
      </c>
      <c r="R16" s="72"/>
      <c r="S16" s="14" t="s">
        <v>159</v>
      </c>
      <c r="T16" s="16">
        <v>798600</v>
      </c>
      <c r="U16" s="16">
        <f t="shared" si="6"/>
        <v>803915</v>
      </c>
      <c r="V16" s="16">
        <f t="shared" si="6"/>
        <v>809266</v>
      </c>
      <c r="W16" s="17">
        <v>90750</v>
      </c>
      <c r="X16" s="17">
        <f t="shared" si="7"/>
        <v>900016</v>
      </c>
      <c r="Y16" s="17">
        <f t="shared" si="8"/>
        <v>378.01</v>
      </c>
      <c r="Z16" s="18"/>
      <c r="AA16" s="62"/>
      <c r="AB16" s="8"/>
      <c r="AC16" s="63"/>
      <c r="AD16" s="63"/>
      <c r="AE16" s="63"/>
      <c r="AF16" s="63"/>
      <c r="AG16" s="64"/>
      <c r="AH16" s="62"/>
      <c r="AI16" s="62"/>
    </row>
    <row r="17" spans="1:35" s="61" customFormat="1" ht="13.2" x14ac:dyDescent="0.25">
      <c r="A17" s="14" t="s">
        <v>73</v>
      </c>
      <c r="B17" s="14"/>
      <c r="C17" s="14"/>
      <c r="D17" s="14" t="s">
        <v>74</v>
      </c>
      <c r="E17" s="15" t="s">
        <v>9</v>
      </c>
      <c r="F17" s="41">
        <v>713044001</v>
      </c>
      <c r="G17" s="41"/>
      <c r="H17" s="41" t="s">
        <v>107</v>
      </c>
      <c r="I17" s="41" t="s">
        <v>114</v>
      </c>
      <c r="J17" s="18" t="s">
        <v>73</v>
      </c>
      <c r="K17" s="17">
        <v>520000</v>
      </c>
      <c r="L17" s="16">
        <f t="shared" si="11"/>
        <v>530540.54054054059</v>
      </c>
      <c r="M17" s="16">
        <f>(L17*162/151)</f>
        <v>569189.18918918923</v>
      </c>
      <c r="N17" s="16"/>
      <c r="O17" s="16">
        <f>M17*(163/162)</f>
        <v>572702.70270270272</v>
      </c>
      <c r="P17" s="16">
        <f t="shared" si="12"/>
        <v>589273</v>
      </c>
      <c r="Q17" s="16">
        <f t="shared" si="13"/>
        <v>609986</v>
      </c>
      <c r="R17" s="72"/>
      <c r="S17" s="14" t="s">
        <v>159</v>
      </c>
      <c r="T17" s="16">
        <v>798600</v>
      </c>
      <c r="U17" s="16">
        <f t="shared" si="6"/>
        <v>803915</v>
      </c>
      <c r="V17" s="16">
        <f t="shared" si="6"/>
        <v>809266</v>
      </c>
      <c r="W17" s="17">
        <v>82280</v>
      </c>
      <c r="X17" s="17">
        <f t="shared" si="7"/>
        <v>891546</v>
      </c>
      <c r="Y17" s="17">
        <f t="shared" si="8"/>
        <v>374.45</v>
      </c>
      <c r="Z17" s="18"/>
      <c r="AA17" s="62"/>
      <c r="AB17" s="20"/>
      <c r="AC17" s="63"/>
      <c r="AD17" s="63"/>
      <c r="AE17" s="63"/>
      <c r="AF17" s="63"/>
      <c r="AG17" s="64"/>
      <c r="AH17" s="62"/>
      <c r="AI17" s="62"/>
    </row>
    <row r="18" spans="1:35" s="61" customFormat="1" ht="13.2" x14ac:dyDescent="0.25">
      <c r="A18" s="14" t="s">
        <v>126</v>
      </c>
      <c r="B18" s="14"/>
      <c r="C18" s="14"/>
      <c r="D18" s="14" t="s">
        <v>75</v>
      </c>
      <c r="E18" s="15" t="s">
        <v>9</v>
      </c>
      <c r="F18" s="41">
        <v>713044001</v>
      </c>
      <c r="G18" s="41"/>
      <c r="H18" s="41" t="s">
        <v>107</v>
      </c>
      <c r="I18" s="41" t="s">
        <v>114</v>
      </c>
      <c r="J18" s="18" t="s">
        <v>126</v>
      </c>
      <c r="K18" s="17">
        <v>1560000</v>
      </c>
      <c r="L18" s="16">
        <f t="shared" si="11"/>
        <v>1591621.6216216215</v>
      </c>
      <c r="M18" s="16">
        <f>(L18*162/151)</f>
        <v>1707567.5675675676</v>
      </c>
      <c r="N18" s="16"/>
      <c r="O18" s="16">
        <f>M18*(163/162)</f>
        <v>1718108.1081081082</v>
      </c>
      <c r="P18" s="16">
        <f t="shared" si="12"/>
        <v>1767818</v>
      </c>
      <c r="Q18" s="16">
        <f t="shared" si="13"/>
        <v>1829956</v>
      </c>
      <c r="R18" s="72"/>
      <c r="S18" s="14" t="s">
        <v>159</v>
      </c>
      <c r="T18" s="16">
        <v>1948100</v>
      </c>
      <c r="U18" s="16">
        <f t="shared" si="6"/>
        <v>1961066</v>
      </c>
      <c r="V18" s="16">
        <f t="shared" si="6"/>
        <v>1974118</v>
      </c>
      <c r="W18" s="17">
        <v>151250</v>
      </c>
      <c r="X18" s="17">
        <f t="shared" si="7"/>
        <v>2125368</v>
      </c>
      <c r="Y18" s="17">
        <f t="shared" si="8"/>
        <v>892.65</v>
      </c>
      <c r="Z18" s="18"/>
      <c r="AA18" s="62"/>
      <c r="AB18" s="20"/>
      <c r="AC18" s="63"/>
      <c r="AD18" s="63"/>
      <c r="AE18" s="63"/>
      <c r="AF18" s="63"/>
      <c r="AG18" s="64"/>
      <c r="AH18" s="62"/>
      <c r="AI18" s="62"/>
    </row>
    <row r="19" spans="1:35" x14ac:dyDescent="0.2">
      <c r="A19" s="14" t="s">
        <v>69</v>
      </c>
      <c r="B19" s="14"/>
      <c r="C19" s="14"/>
      <c r="D19" s="14" t="s">
        <v>34</v>
      </c>
      <c r="E19" s="15" t="s">
        <v>9</v>
      </c>
      <c r="F19" s="41">
        <v>713079004</v>
      </c>
      <c r="G19" s="41"/>
      <c r="H19" s="41" t="s">
        <v>108</v>
      </c>
      <c r="I19" s="41" t="s">
        <v>115</v>
      </c>
      <c r="J19" s="14" t="s">
        <v>86</v>
      </c>
      <c r="K19" s="16">
        <v>398200</v>
      </c>
      <c r="L19" s="16">
        <f t="shared" si="11"/>
        <v>406271.6216216216</v>
      </c>
      <c r="M19" s="16">
        <f>(L19*162/151)</f>
        <v>435867.56756756757</v>
      </c>
      <c r="N19" s="16">
        <v>630000</v>
      </c>
      <c r="O19" s="16">
        <f>N19*(163/162)</f>
        <v>633888.88888888888</v>
      </c>
      <c r="P19" s="16">
        <f t="shared" si="12"/>
        <v>652229</v>
      </c>
      <c r="Q19" s="16">
        <f t="shared" si="13"/>
        <v>675154</v>
      </c>
      <c r="R19" s="20"/>
      <c r="S19" s="14" t="s">
        <v>156</v>
      </c>
      <c r="T19" s="16">
        <v>701800</v>
      </c>
      <c r="U19" s="16">
        <f t="shared" si="6"/>
        <v>706471</v>
      </c>
      <c r="V19" s="16">
        <f t="shared" si="6"/>
        <v>711173</v>
      </c>
      <c r="W19" s="17"/>
      <c r="X19" s="17">
        <f t="shared" si="7"/>
        <v>711173</v>
      </c>
      <c r="Y19" s="17">
        <f t="shared" si="8"/>
        <v>298.69</v>
      </c>
      <c r="Z19" s="18"/>
      <c r="AA19" s="13"/>
    </row>
    <row r="20" spans="1:35" x14ac:dyDescent="0.2">
      <c r="A20" s="14" t="s">
        <v>41</v>
      </c>
      <c r="B20" s="14"/>
      <c r="C20" s="14"/>
      <c r="D20" s="14" t="s">
        <v>64</v>
      </c>
      <c r="E20" s="15" t="s">
        <v>9</v>
      </c>
      <c r="F20" s="41">
        <v>713051002</v>
      </c>
      <c r="G20" s="41"/>
      <c r="H20" s="41" t="s">
        <v>108</v>
      </c>
      <c r="I20" s="41" t="s">
        <v>115</v>
      </c>
      <c r="J20" s="14" t="s">
        <v>173</v>
      </c>
      <c r="K20" s="16">
        <v>4082800</v>
      </c>
      <c r="L20" s="16">
        <f t="shared" si="11"/>
        <v>4165559.4594594594</v>
      </c>
      <c r="M20" s="16">
        <f t="shared" ref="M20" si="14">(L20*162/151)</f>
        <v>4469010.8108108109</v>
      </c>
      <c r="N20" s="16">
        <v>5980000</v>
      </c>
      <c r="O20" s="16">
        <f>N20*(163/162)</f>
        <v>6016913.5802469142</v>
      </c>
      <c r="P20" s="16">
        <f t="shared" si="12"/>
        <v>6191001</v>
      </c>
      <c r="Q20" s="16">
        <f t="shared" si="13"/>
        <v>6408611</v>
      </c>
      <c r="R20" s="20"/>
      <c r="S20" s="14" t="s">
        <v>156</v>
      </c>
      <c r="T20" s="16">
        <v>5929000</v>
      </c>
      <c r="U20" s="16">
        <f t="shared" si="6"/>
        <v>5968461</v>
      </c>
      <c r="V20" s="16">
        <f t="shared" si="6"/>
        <v>6008185</v>
      </c>
      <c r="W20" s="17"/>
      <c r="X20" s="17">
        <f t="shared" si="7"/>
        <v>6008185</v>
      </c>
      <c r="Y20" s="17">
        <f t="shared" si="8"/>
        <v>2523.44</v>
      </c>
      <c r="Z20" s="18"/>
      <c r="AA20" s="13"/>
      <c r="AB20" s="20"/>
    </row>
    <row r="21" spans="1:35" x14ac:dyDescent="0.2">
      <c r="A21" s="14" t="s">
        <v>88</v>
      </c>
      <c r="B21" s="14"/>
      <c r="C21" s="14"/>
      <c r="D21" s="14" t="s">
        <v>117</v>
      </c>
      <c r="E21" s="15" t="s">
        <v>9</v>
      </c>
      <c r="F21" s="41">
        <v>713069003</v>
      </c>
      <c r="G21" s="41"/>
      <c r="H21" s="41" t="s">
        <v>107</v>
      </c>
      <c r="I21" s="41" t="s">
        <v>114</v>
      </c>
      <c r="J21" s="14" t="s">
        <v>89</v>
      </c>
      <c r="K21" s="28"/>
      <c r="L21" s="28"/>
      <c r="M21" s="28"/>
      <c r="N21" s="16">
        <v>10285000</v>
      </c>
      <c r="O21" s="16">
        <f t="shared" ref="O21:O22" si="15">N21*(163/162)</f>
        <v>10348487.654320989</v>
      </c>
      <c r="P21" s="16">
        <f t="shared" si="12"/>
        <v>10647901</v>
      </c>
      <c r="Q21" s="16">
        <f t="shared" si="13"/>
        <v>11022168</v>
      </c>
      <c r="R21" s="16">
        <f t="shared" ref="R21" si="16">ROUND(Q21/117.8*118.8,0)</f>
        <v>11115735</v>
      </c>
      <c r="S21" s="16"/>
      <c r="T21" s="16">
        <f t="shared" ref="T21" si="17">ROUND(R21/118.8*120.2,0)</f>
        <v>11246729</v>
      </c>
      <c r="U21" s="16">
        <f t="shared" si="6"/>
        <v>11321582</v>
      </c>
      <c r="V21" s="16">
        <f t="shared" si="6"/>
        <v>11396934</v>
      </c>
      <c r="W21" s="73"/>
      <c r="X21" s="17">
        <f t="shared" si="7"/>
        <v>11396934</v>
      </c>
      <c r="Y21" s="17">
        <f t="shared" si="8"/>
        <v>4786.71</v>
      </c>
      <c r="Z21" s="20"/>
    </row>
    <row r="22" spans="1:35" x14ac:dyDescent="0.2">
      <c r="A22" s="14" t="s">
        <v>31</v>
      </c>
      <c r="B22" s="14"/>
      <c r="C22" s="14"/>
      <c r="D22" s="14" t="s">
        <v>29</v>
      </c>
      <c r="E22" s="15" t="s">
        <v>9</v>
      </c>
      <c r="F22" s="41">
        <v>713085001</v>
      </c>
      <c r="G22" s="41"/>
      <c r="H22" s="41" t="s">
        <v>108</v>
      </c>
      <c r="I22" s="41" t="s">
        <v>115</v>
      </c>
      <c r="J22" s="14" t="s">
        <v>30</v>
      </c>
      <c r="K22" s="16">
        <v>259600</v>
      </c>
      <c r="L22" s="16">
        <f xml:space="preserve"> K22*151/148</f>
        <v>264862.16216216219</v>
      </c>
      <c r="M22" s="16">
        <f>(L22*162/151)</f>
        <v>284156.7567567568</v>
      </c>
      <c r="N22" s="16">
        <v>515000</v>
      </c>
      <c r="O22" s="16">
        <f t="shared" si="15"/>
        <v>518179.01234567905</v>
      </c>
      <c r="P22" s="16">
        <f t="shared" si="12"/>
        <v>533172</v>
      </c>
      <c r="Q22" s="16">
        <f t="shared" si="13"/>
        <v>551913</v>
      </c>
      <c r="R22" s="20"/>
      <c r="S22" s="14" t="s">
        <v>156</v>
      </c>
      <c r="T22" s="16">
        <v>665500</v>
      </c>
      <c r="U22" s="16">
        <f t="shared" si="6"/>
        <v>669929</v>
      </c>
      <c r="V22" s="16">
        <f t="shared" si="6"/>
        <v>674388</v>
      </c>
      <c r="W22" s="17"/>
      <c r="X22" s="17">
        <f t="shared" si="7"/>
        <v>674388</v>
      </c>
      <c r="Y22" s="17">
        <f t="shared" si="8"/>
        <v>283.24</v>
      </c>
      <c r="Z22" s="18"/>
      <c r="AA22" s="13"/>
      <c r="AB22" s="20"/>
    </row>
    <row r="23" spans="1:35" x14ac:dyDescent="0.2">
      <c r="A23" s="14" t="s">
        <v>28</v>
      </c>
      <c r="B23" s="14"/>
      <c r="C23" s="14"/>
      <c r="D23" s="14" t="s">
        <v>29</v>
      </c>
      <c r="E23" s="15" t="s">
        <v>9</v>
      </c>
      <c r="F23" s="41">
        <v>713085001</v>
      </c>
      <c r="G23" s="41"/>
      <c r="H23" s="41" t="s">
        <v>108</v>
      </c>
      <c r="I23" s="41" t="s">
        <v>115</v>
      </c>
      <c r="J23" s="14" t="s">
        <v>30</v>
      </c>
      <c r="K23" s="16">
        <v>1556500</v>
      </c>
      <c r="L23" s="16">
        <f xml:space="preserve"> K23*151/148</f>
        <v>1588050.6756756757</v>
      </c>
      <c r="M23" s="16">
        <f>(L23*162/151)</f>
        <v>1703736.4864864866</v>
      </c>
      <c r="N23" s="16">
        <v>2175000</v>
      </c>
      <c r="O23" s="16">
        <f>N23*(163/162)</f>
        <v>2188425.9259259258</v>
      </c>
      <c r="P23" s="16">
        <f t="shared" si="12"/>
        <v>2251744</v>
      </c>
      <c r="Q23" s="16">
        <f t="shared" si="13"/>
        <v>2330891</v>
      </c>
      <c r="R23" s="20"/>
      <c r="S23" s="14" t="s">
        <v>156</v>
      </c>
      <c r="T23" s="16">
        <v>2504700</v>
      </c>
      <c r="U23" s="16">
        <f t="shared" si="6"/>
        <v>2521370</v>
      </c>
      <c r="V23" s="16">
        <f t="shared" si="6"/>
        <v>2538151</v>
      </c>
      <c r="W23" s="17"/>
      <c r="X23" s="17">
        <f t="shared" si="7"/>
        <v>2538151</v>
      </c>
      <c r="Y23" s="17">
        <f t="shared" si="8"/>
        <v>1066.02</v>
      </c>
      <c r="Z23" s="18"/>
      <c r="AA23" s="13"/>
      <c r="AB23" s="20"/>
    </row>
    <row r="24" spans="1:35" x14ac:dyDescent="0.2">
      <c r="A24" s="14" t="s">
        <v>11</v>
      </c>
      <c r="B24" s="14"/>
      <c r="C24" s="14"/>
      <c r="D24" s="14" t="s">
        <v>128</v>
      </c>
      <c r="E24" s="15" t="s">
        <v>8</v>
      </c>
      <c r="F24" s="41">
        <v>713086001</v>
      </c>
      <c r="G24" s="41"/>
      <c r="H24" s="41" t="s">
        <v>108</v>
      </c>
      <c r="I24" s="41" t="s">
        <v>115</v>
      </c>
      <c r="J24" s="14" t="s">
        <v>129</v>
      </c>
      <c r="K24" s="16">
        <v>115900</v>
      </c>
      <c r="L24" s="16">
        <f xml:space="preserve"> K24*151/148</f>
        <v>118249.32432432432</v>
      </c>
      <c r="M24" s="16">
        <f t="shared" ref="M24" si="18">(L24*162/151)</f>
        <v>126863.51351351351</v>
      </c>
      <c r="N24" s="16">
        <v>260000</v>
      </c>
      <c r="O24" s="16">
        <f>N24*(163/162)</f>
        <v>261604.93827160494</v>
      </c>
      <c r="P24" s="16">
        <f t="shared" si="12"/>
        <v>269174</v>
      </c>
      <c r="Q24" s="16">
        <f t="shared" si="13"/>
        <v>278635</v>
      </c>
      <c r="R24" s="20"/>
      <c r="S24" s="14" t="s">
        <v>156</v>
      </c>
      <c r="T24" s="16">
        <v>127050</v>
      </c>
      <c r="U24" s="16">
        <f t="shared" si="6"/>
        <v>127896</v>
      </c>
      <c r="V24" s="16">
        <f t="shared" si="6"/>
        <v>128747</v>
      </c>
      <c r="W24" s="78"/>
      <c r="X24" s="17">
        <f t="shared" si="7"/>
        <v>128747</v>
      </c>
      <c r="Y24" s="17">
        <f t="shared" si="8"/>
        <v>54.07</v>
      </c>
      <c r="Z24" s="79"/>
      <c r="AA24" s="13"/>
      <c r="AB24" s="86"/>
    </row>
    <row r="25" spans="1:35" x14ac:dyDescent="0.2">
      <c r="A25" s="14" t="s">
        <v>10</v>
      </c>
      <c r="B25" s="14"/>
      <c r="C25" s="14"/>
      <c r="D25" s="14" t="s">
        <v>98</v>
      </c>
      <c r="E25" s="15" t="s">
        <v>9</v>
      </c>
      <c r="F25" s="41">
        <v>713086001</v>
      </c>
      <c r="G25" s="41"/>
      <c r="H25" s="41" t="s">
        <v>108</v>
      </c>
      <c r="I25" s="41" t="s">
        <v>115</v>
      </c>
      <c r="J25" s="14" t="s">
        <v>130</v>
      </c>
      <c r="K25" s="16">
        <v>85400</v>
      </c>
      <c r="L25" s="16">
        <f t="shared" ref="L25" si="19" xml:space="preserve"> K25*151/148</f>
        <v>87131.08108108108</v>
      </c>
      <c r="M25" s="16">
        <f>(L25*162/151)</f>
        <v>93478.378378378373</v>
      </c>
      <c r="N25" s="16">
        <v>280000</v>
      </c>
      <c r="O25" s="16">
        <f t="shared" ref="O25" si="20">N25*(163/162)</f>
        <v>281728.39506172843</v>
      </c>
      <c r="P25" s="16">
        <f t="shared" si="12"/>
        <v>289880</v>
      </c>
      <c r="Q25" s="16">
        <f t="shared" si="13"/>
        <v>300069</v>
      </c>
      <c r="R25" s="20"/>
      <c r="S25" s="14" t="s">
        <v>156</v>
      </c>
      <c r="T25" s="16">
        <v>326700</v>
      </c>
      <c r="U25" s="16">
        <f t="shared" si="6"/>
        <v>328874</v>
      </c>
      <c r="V25" s="16">
        <f t="shared" si="6"/>
        <v>331063</v>
      </c>
      <c r="W25" s="17"/>
      <c r="X25" s="17">
        <f t="shared" si="7"/>
        <v>331063</v>
      </c>
      <c r="Y25" s="17">
        <f t="shared" si="8"/>
        <v>139.05000000000001</v>
      </c>
      <c r="Z25" s="18"/>
      <c r="AA25" s="13"/>
      <c r="AB25" s="20"/>
    </row>
    <row r="26" spans="1:35" s="80" customFormat="1" x14ac:dyDescent="0.2">
      <c r="A26" s="14" t="s">
        <v>37</v>
      </c>
      <c r="B26" s="14"/>
      <c r="C26" s="14"/>
      <c r="D26" s="14" t="s">
        <v>34</v>
      </c>
      <c r="E26" s="15" t="s">
        <v>9</v>
      </c>
      <c r="F26" s="41">
        <v>713086001</v>
      </c>
      <c r="G26" s="41"/>
      <c r="H26" s="41" t="s">
        <v>108</v>
      </c>
      <c r="I26" s="41" t="s">
        <v>115</v>
      </c>
      <c r="J26" s="14"/>
      <c r="K26" s="16">
        <v>77500</v>
      </c>
      <c r="L26" s="16">
        <f xml:space="preserve"> K26*151/148</f>
        <v>79070.945945945947</v>
      </c>
      <c r="M26" s="16">
        <f>(L26*162/151)</f>
        <v>84831.08108108108</v>
      </c>
      <c r="N26" s="16">
        <v>430000</v>
      </c>
      <c r="O26" s="16">
        <f>N26*(163/162)</f>
        <v>432654.32098765433</v>
      </c>
      <c r="P26" s="16">
        <f t="shared" si="12"/>
        <v>445172</v>
      </c>
      <c r="Q26" s="16">
        <f t="shared" si="13"/>
        <v>460820</v>
      </c>
      <c r="R26" s="20"/>
      <c r="S26" s="14" t="s">
        <v>156</v>
      </c>
      <c r="T26" s="16">
        <v>471900</v>
      </c>
      <c r="U26" s="16">
        <f t="shared" si="6"/>
        <v>475041</v>
      </c>
      <c r="V26" s="16">
        <f t="shared" si="6"/>
        <v>478203</v>
      </c>
      <c r="W26" s="17">
        <v>24400</v>
      </c>
      <c r="X26" s="17">
        <f t="shared" si="7"/>
        <v>502603</v>
      </c>
      <c r="Y26" s="17">
        <f t="shared" si="8"/>
        <v>211.09</v>
      </c>
      <c r="Z26" s="104" t="s">
        <v>182</v>
      </c>
      <c r="AA26" s="81"/>
    </row>
    <row r="27" spans="1:35" x14ac:dyDescent="0.2">
      <c r="A27" s="14" t="s">
        <v>24</v>
      </c>
      <c r="B27" s="14"/>
      <c r="C27" s="14"/>
      <c r="D27" s="14" t="s">
        <v>25</v>
      </c>
      <c r="E27" s="15" t="s">
        <v>9</v>
      </c>
      <c r="F27" s="41">
        <v>713084002</v>
      </c>
      <c r="G27" s="41"/>
      <c r="H27" s="41" t="s">
        <v>108</v>
      </c>
      <c r="I27" s="41" t="s">
        <v>115</v>
      </c>
      <c r="J27" s="14" t="s">
        <v>26</v>
      </c>
      <c r="K27" s="16">
        <v>200300</v>
      </c>
      <c r="L27" s="16">
        <f xml:space="preserve"> K27*151/148</f>
        <v>204360.13513513515</v>
      </c>
      <c r="M27" s="16">
        <f>(L27*162/151)</f>
        <v>219247.29729729731</v>
      </c>
      <c r="N27" s="16">
        <v>830000</v>
      </c>
      <c r="O27" s="16">
        <f>N27*(163/162)</f>
        <v>835123.45679012348</v>
      </c>
      <c r="P27" s="16">
        <f t="shared" si="12"/>
        <v>859286</v>
      </c>
      <c r="Q27" s="16">
        <f t="shared" si="13"/>
        <v>889489</v>
      </c>
      <c r="R27" s="20"/>
      <c r="S27" s="14" t="s">
        <v>156</v>
      </c>
      <c r="T27" s="16">
        <v>981310</v>
      </c>
      <c r="U27" s="16">
        <f t="shared" si="6"/>
        <v>987841</v>
      </c>
      <c r="V27" s="16">
        <f t="shared" si="6"/>
        <v>994416</v>
      </c>
      <c r="W27" s="17"/>
      <c r="X27" s="17">
        <f t="shared" si="7"/>
        <v>994416</v>
      </c>
      <c r="Y27" s="17">
        <f t="shared" si="8"/>
        <v>417.65</v>
      </c>
      <c r="Z27" s="18"/>
      <c r="AA27" s="13"/>
    </row>
    <row r="28" spans="1:35" x14ac:dyDescent="0.2">
      <c r="A28" s="14" t="s">
        <v>125</v>
      </c>
      <c r="B28" s="14"/>
      <c r="C28" s="14"/>
      <c r="D28" s="14" t="s">
        <v>13</v>
      </c>
      <c r="E28" s="15" t="s">
        <v>9</v>
      </c>
      <c r="F28" s="41">
        <v>713051004</v>
      </c>
      <c r="G28" s="41"/>
      <c r="H28" s="41" t="s">
        <v>108</v>
      </c>
      <c r="I28" s="41" t="s">
        <v>115</v>
      </c>
      <c r="J28" s="14" t="s">
        <v>14</v>
      </c>
      <c r="K28" s="16">
        <v>765200</v>
      </c>
      <c r="L28" s="16">
        <f xml:space="preserve"> K28*151/148</f>
        <v>780710.81081081077</v>
      </c>
      <c r="M28" s="16">
        <f>(L28*162/151)</f>
        <v>837583.78378378379</v>
      </c>
      <c r="N28" s="16">
        <v>1655000</v>
      </c>
      <c r="O28" s="16">
        <f>N28*(163/162)</f>
        <v>1665216.0493827162</v>
      </c>
      <c r="P28" s="16">
        <f t="shared" si="12"/>
        <v>1713396</v>
      </c>
      <c r="Q28" s="16">
        <f t="shared" si="13"/>
        <v>1773621</v>
      </c>
      <c r="R28" s="20"/>
      <c r="S28" s="14" t="s">
        <v>156</v>
      </c>
      <c r="T28" s="16">
        <v>2256650</v>
      </c>
      <c r="U28" s="16">
        <f t="shared" si="6"/>
        <v>2271669</v>
      </c>
      <c r="V28" s="16">
        <f t="shared" si="6"/>
        <v>2286788</v>
      </c>
      <c r="W28" s="17"/>
      <c r="X28" s="17">
        <f t="shared" si="7"/>
        <v>2286788</v>
      </c>
      <c r="Y28" s="17">
        <f t="shared" si="8"/>
        <v>960.45</v>
      </c>
      <c r="Z28" s="18" t="s">
        <v>164</v>
      </c>
      <c r="AA28" s="13"/>
    </row>
    <row r="29" spans="1:35" x14ac:dyDescent="0.2">
      <c r="A29" s="14" t="s">
        <v>134</v>
      </c>
      <c r="B29" s="14"/>
      <c r="C29" s="14"/>
      <c r="D29" s="14" t="s">
        <v>13</v>
      </c>
      <c r="E29" s="15"/>
      <c r="F29" s="41"/>
      <c r="G29" s="41"/>
      <c r="H29" s="41"/>
      <c r="I29" s="41"/>
      <c r="J29" s="14" t="s">
        <v>135</v>
      </c>
      <c r="K29" s="16"/>
      <c r="L29" s="16"/>
      <c r="M29" s="16"/>
      <c r="N29" s="16"/>
      <c r="O29" s="16"/>
      <c r="P29" s="16"/>
      <c r="Q29" s="16"/>
      <c r="R29" s="16"/>
      <c r="S29" s="16"/>
      <c r="T29" s="16">
        <v>150000</v>
      </c>
      <c r="U29" s="16">
        <f t="shared" si="6"/>
        <v>150998</v>
      </c>
      <c r="V29" s="16">
        <f t="shared" si="6"/>
        <v>152003</v>
      </c>
      <c r="W29" s="17"/>
      <c r="X29" s="17">
        <f t="shared" si="7"/>
        <v>152003</v>
      </c>
      <c r="Y29" s="17">
        <f t="shared" si="8"/>
        <v>63.84</v>
      </c>
      <c r="Z29" s="18"/>
      <c r="AA29" s="13"/>
    </row>
    <row r="30" spans="1:35" x14ac:dyDescent="0.2">
      <c r="A30" s="14" t="s">
        <v>12</v>
      </c>
      <c r="B30" s="14"/>
      <c r="C30" s="14"/>
      <c r="D30" s="14" t="s">
        <v>97</v>
      </c>
      <c r="E30" s="15" t="s">
        <v>9</v>
      </c>
      <c r="F30" s="41">
        <v>713051004</v>
      </c>
      <c r="G30" s="41"/>
      <c r="H30" s="41" t="s">
        <v>108</v>
      </c>
      <c r="I30" s="41" t="s">
        <v>115</v>
      </c>
      <c r="J30" s="74" t="s">
        <v>14</v>
      </c>
      <c r="K30" s="16">
        <v>85400</v>
      </c>
      <c r="L30" s="16">
        <f t="shared" ref="L30:L52" si="21" xml:space="preserve"> K30*151/148</f>
        <v>87131.08108108108</v>
      </c>
      <c r="M30" s="16">
        <f>(L30*162/151)</f>
        <v>93478.378378378373</v>
      </c>
      <c r="N30" s="16">
        <v>270000</v>
      </c>
      <c r="O30" s="16">
        <f>N30*(163/162)</f>
        <v>271666.66666666669</v>
      </c>
      <c r="P30" s="16">
        <f t="shared" ref="P30:P52" si="22">ROUND(O30/110.6*113.8,0)</f>
        <v>279527</v>
      </c>
      <c r="Q30" s="16">
        <f t="shared" ref="Q30:Q52" si="23">ROUND(P30/113.8*117.8,0)</f>
        <v>289352</v>
      </c>
      <c r="R30" s="20"/>
      <c r="S30" s="14" t="s">
        <v>156</v>
      </c>
      <c r="T30" s="16">
        <v>304920</v>
      </c>
      <c r="U30" s="16">
        <f t="shared" si="6"/>
        <v>306949</v>
      </c>
      <c r="V30" s="16">
        <f t="shared" si="6"/>
        <v>308992</v>
      </c>
      <c r="W30" s="17"/>
      <c r="X30" s="17">
        <f t="shared" si="7"/>
        <v>308992</v>
      </c>
      <c r="Y30" s="17">
        <f t="shared" si="8"/>
        <v>129.78</v>
      </c>
      <c r="Z30" s="18"/>
      <c r="AA30" s="13"/>
    </row>
    <row r="31" spans="1:35" s="20" customFormat="1" x14ac:dyDescent="0.2">
      <c r="A31" s="14" t="s">
        <v>96</v>
      </c>
      <c r="B31" s="14"/>
      <c r="C31" s="14"/>
      <c r="D31" s="14" t="s">
        <v>20</v>
      </c>
      <c r="E31" s="15" t="s">
        <v>9</v>
      </c>
      <c r="F31" s="41">
        <v>731032045</v>
      </c>
      <c r="G31" s="41"/>
      <c r="H31" s="41" t="s">
        <v>110</v>
      </c>
      <c r="I31" s="41" t="s">
        <v>110</v>
      </c>
      <c r="J31" s="14" t="s">
        <v>21</v>
      </c>
      <c r="K31" s="16">
        <v>745200</v>
      </c>
      <c r="L31" s="16">
        <f t="shared" si="21"/>
        <v>760305.40540540544</v>
      </c>
      <c r="M31" s="16">
        <f>(L31*162/151)</f>
        <v>815691.89189189184</v>
      </c>
      <c r="N31" s="16">
        <v>930000</v>
      </c>
      <c r="O31" s="16">
        <f>N31*(163/162)</f>
        <v>935740.74074074079</v>
      </c>
      <c r="P31" s="16">
        <f t="shared" si="22"/>
        <v>962815</v>
      </c>
      <c r="Q31" s="16">
        <f t="shared" si="23"/>
        <v>996657</v>
      </c>
      <c r="S31" s="14" t="s">
        <v>156</v>
      </c>
      <c r="T31" s="16">
        <v>1403600</v>
      </c>
      <c r="U31" s="16">
        <f t="shared" si="6"/>
        <v>1412942</v>
      </c>
      <c r="V31" s="16">
        <f t="shared" si="6"/>
        <v>1422346</v>
      </c>
      <c r="W31" s="17"/>
      <c r="X31" s="17">
        <f t="shared" si="7"/>
        <v>1422346</v>
      </c>
      <c r="Y31" s="17">
        <f t="shared" si="8"/>
        <v>597.39</v>
      </c>
      <c r="Z31" s="18"/>
      <c r="AA31" s="19"/>
    </row>
    <row r="32" spans="1:35" x14ac:dyDescent="0.2">
      <c r="A32" s="14" t="s">
        <v>63</v>
      </c>
      <c r="B32" s="14"/>
      <c r="C32" s="14"/>
      <c r="D32" s="14" t="s">
        <v>22</v>
      </c>
      <c r="E32" s="15" t="s">
        <v>9</v>
      </c>
      <c r="F32" s="41">
        <v>500614001</v>
      </c>
      <c r="G32" s="41"/>
      <c r="H32" s="41" t="s">
        <v>109</v>
      </c>
      <c r="I32" s="41" t="s">
        <v>114</v>
      </c>
      <c r="J32" s="14" t="s">
        <v>79</v>
      </c>
      <c r="K32" s="16">
        <v>1824700</v>
      </c>
      <c r="L32" s="16">
        <f t="shared" si="21"/>
        <v>1861687.1621621621</v>
      </c>
      <c r="M32" s="16">
        <f>(L32*162/151)</f>
        <v>1997306.7567567569</v>
      </c>
      <c r="N32" s="16">
        <v>3465000</v>
      </c>
      <c r="O32" s="16">
        <f t="shared" ref="O32" si="24">N32*(163/162)</f>
        <v>3486388.888888889</v>
      </c>
      <c r="P32" s="16">
        <f t="shared" si="22"/>
        <v>3587261</v>
      </c>
      <c r="Q32" s="16">
        <f t="shared" si="23"/>
        <v>3713351</v>
      </c>
      <c r="R32" s="20"/>
      <c r="S32" s="14" t="s">
        <v>159</v>
      </c>
      <c r="T32" s="16">
        <v>3926450</v>
      </c>
      <c r="U32" s="16">
        <f t="shared" si="6"/>
        <v>3952583</v>
      </c>
      <c r="V32" s="16">
        <f t="shared" si="6"/>
        <v>3978890</v>
      </c>
      <c r="W32" s="17">
        <v>229900</v>
      </c>
      <c r="X32" s="17">
        <f t="shared" si="7"/>
        <v>4208790</v>
      </c>
      <c r="Y32" s="17">
        <f t="shared" si="8"/>
        <v>1767.69</v>
      </c>
      <c r="Z32" s="18"/>
      <c r="AA32" s="13"/>
    </row>
    <row r="33" spans="1:28" x14ac:dyDescent="0.2">
      <c r="A33" s="14" t="s">
        <v>33</v>
      </c>
      <c r="B33" s="14"/>
      <c r="C33" s="14"/>
      <c r="D33" s="14" t="s">
        <v>34</v>
      </c>
      <c r="E33" s="15" t="s">
        <v>9</v>
      </c>
      <c r="F33" s="41">
        <v>713037012</v>
      </c>
      <c r="G33" s="41"/>
      <c r="H33" s="41" t="s">
        <v>107</v>
      </c>
      <c r="I33" s="41" t="s">
        <v>114</v>
      </c>
      <c r="J33" s="14"/>
      <c r="K33" s="16">
        <v>1138500</v>
      </c>
      <c r="L33" s="16">
        <f t="shared" si="21"/>
        <v>1161577.7027027027</v>
      </c>
      <c r="M33" s="16">
        <f t="shared" ref="M33" si="25">(L33*162/151)</f>
        <v>1246195.945945946</v>
      </c>
      <c r="N33" s="16">
        <v>1330000</v>
      </c>
      <c r="O33" s="16">
        <f>N33*(163/162)</f>
        <v>1338209.8765432099</v>
      </c>
      <c r="P33" s="16">
        <f t="shared" si="22"/>
        <v>1376928</v>
      </c>
      <c r="Q33" s="16">
        <f t="shared" si="23"/>
        <v>1425326</v>
      </c>
      <c r="R33" s="20"/>
      <c r="S33" s="14" t="s">
        <v>156</v>
      </c>
      <c r="T33" s="16">
        <v>2432100</v>
      </c>
      <c r="U33" s="16">
        <f t="shared" si="6"/>
        <v>2448287</v>
      </c>
      <c r="V33" s="16">
        <f t="shared" si="6"/>
        <v>2464582</v>
      </c>
      <c r="W33" s="17"/>
      <c r="X33" s="17">
        <f t="shared" si="7"/>
        <v>2464582</v>
      </c>
      <c r="Y33" s="17">
        <f t="shared" si="8"/>
        <v>1035.1199999999999</v>
      </c>
      <c r="Z33" s="18" t="s">
        <v>163</v>
      </c>
      <c r="AA33" s="13"/>
    </row>
    <row r="34" spans="1:28" x14ac:dyDescent="0.2">
      <c r="A34" s="14" t="s">
        <v>65</v>
      </c>
      <c r="B34" s="14"/>
      <c r="C34" s="14"/>
      <c r="D34" s="14" t="s">
        <v>66</v>
      </c>
      <c r="E34" s="15" t="s">
        <v>68</v>
      </c>
      <c r="F34" s="41">
        <v>713037012</v>
      </c>
      <c r="G34" s="41"/>
      <c r="H34" s="41" t="s">
        <v>107</v>
      </c>
      <c r="I34" s="41" t="s">
        <v>114</v>
      </c>
      <c r="J34" s="14" t="s">
        <v>67</v>
      </c>
      <c r="K34" s="16">
        <v>297600</v>
      </c>
      <c r="L34" s="16">
        <f t="shared" si="21"/>
        <v>303632.43243243243</v>
      </c>
      <c r="M34" s="16">
        <f>(L34*162/151)</f>
        <v>325751.35135135136</v>
      </c>
      <c r="N34" s="16">
        <v>265000</v>
      </c>
      <c r="O34" s="16">
        <f t="shared" ref="O34" si="26">N34*(163/162)</f>
        <v>266635.80246913579</v>
      </c>
      <c r="P34" s="16">
        <f t="shared" si="22"/>
        <v>274350</v>
      </c>
      <c r="Q34" s="16">
        <f t="shared" si="23"/>
        <v>283993</v>
      </c>
      <c r="R34" s="20"/>
      <c r="S34" s="14" t="s">
        <v>156</v>
      </c>
      <c r="T34" s="16">
        <v>235950</v>
      </c>
      <c r="U34" s="16">
        <f t="shared" si="6"/>
        <v>237520</v>
      </c>
      <c r="V34" s="16">
        <f t="shared" si="6"/>
        <v>239101</v>
      </c>
      <c r="W34" s="17"/>
      <c r="X34" s="17">
        <f t="shared" si="7"/>
        <v>239101</v>
      </c>
      <c r="Y34" s="17">
        <f t="shared" si="8"/>
        <v>100.42</v>
      </c>
      <c r="Z34" s="18"/>
      <c r="AA34" s="13"/>
      <c r="AB34" s="20"/>
    </row>
    <row r="35" spans="1:28" x14ac:dyDescent="0.2">
      <c r="A35" s="14" t="s">
        <v>36</v>
      </c>
      <c r="B35" s="14"/>
      <c r="C35" s="14"/>
      <c r="D35" s="14" t="s">
        <v>22</v>
      </c>
      <c r="E35" s="15" t="s">
        <v>9</v>
      </c>
      <c r="F35" s="41">
        <v>713037012</v>
      </c>
      <c r="G35" s="41"/>
      <c r="H35" s="41" t="s">
        <v>107</v>
      </c>
      <c r="I35" s="41" t="s">
        <v>114</v>
      </c>
      <c r="J35" s="14" t="s">
        <v>175</v>
      </c>
      <c r="K35" s="16">
        <v>122200</v>
      </c>
      <c r="L35" s="16">
        <f t="shared" si="21"/>
        <v>124677.02702702703</v>
      </c>
      <c r="M35" s="16">
        <f>(L35*162/151)</f>
        <v>133759.45945945947</v>
      </c>
      <c r="N35" s="16">
        <v>350000</v>
      </c>
      <c r="O35" s="16">
        <f>N35*(163/162)</f>
        <v>352160.49382716051</v>
      </c>
      <c r="P35" s="16">
        <f t="shared" si="22"/>
        <v>362350</v>
      </c>
      <c r="Q35" s="16">
        <f t="shared" si="23"/>
        <v>375086</v>
      </c>
      <c r="R35" s="20"/>
      <c r="S35" s="14" t="s">
        <v>156</v>
      </c>
      <c r="T35" s="16">
        <v>423500</v>
      </c>
      <c r="U35" s="16">
        <f t="shared" si="6"/>
        <v>426319</v>
      </c>
      <c r="V35" s="16">
        <f t="shared" si="6"/>
        <v>429156</v>
      </c>
      <c r="W35" s="17"/>
      <c r="X35" s="17">
        <f t="shared" si="7"/>
        <v>429156</v>
      </c>
      <c r="Y35" s="17">
        <f t="shared" si="8"/>
        <v>180.25</v>
      </c>
      <c r="Z35" s="18"/>
      <c r="AA35" s="13"/>
    </row>
    <row r="36" spans="1:28" x14ac:dyDescent="0.2">
      <c r="A36" s="14" t="s">
        <v>15</v>
      </c>
      <c r="B36" s="14"/>
      <c r="C36" s="14"/>
      <c r="D36" s="14" t="s">
        <v>16</v>
      </c>
      <c r="E36" s="15" t="s">
        <v>9</v>
      </c>
      <c r="F36" s="41">
        <v>713037012</v>
      </c>
      <c r="G36" s="41"/>
      <c r="H36" s="41" t="s">
        <v>107</v>
      </c>
      <c r="I36" s="41" t="s">
        <v>114</v>
      </c>
      <c r="J36" s="14" t="s">
        <v>17</v>
      </c>
      <c r="K36" s="16">
        <v>167300</v>
      </c>
      <c r="L36" s="16">
        <f t="shared" si="21"/>
        <v>170691.21621621621</v>
      </c>
      <c r="M36" s="16">
        <f>(L36*162/151)</f>
        <v>183125.67567567568</v>
      </c>
      <c r="N36" s="16">
        <v>480000</v>
      </c>
      <c r="O36" s="16">
        <f>N36*(163/162)</f>
        <v>482962.96296296298</v>
      </c>
      <c r="P36" s="16">
        <f t="shared" si="22"/>
        <v>496937</v>
      </c>
      <c r="Q36" s="16">
        <f t="shared" si="23"/>
        <v>514404</v>
      </c>
      <c r="R36" s="20"/>
      <c r="S36" s="14" t="s">
        <v>156</v>
      </c>
      <c r="T36" s="16">
        <v>653400</v>
      </c>
      <c r="U36" s="16">
        <f t="shared" si="6"/>
        <v>657749</v>
      </c>
      <c r="V36" s="16">
        <f t="shared" si="6"/>
        <v>662127</v>
      </c>
      <c r="W36" s="17"/>
      <c r="X36" s="17">
        <f t="shared" si="7"/>
        <v>662127</v>
      </c>
      <c r="Y36" s="17">
        <f t="shared" si="8"/>
        <v>278.08999999999997</v>
      </c>
      <c r="Z36" s="18"/>
      <c r="AA36" s="13"/>
    </row>
    <row r="37" spans="1:28" x14ac:dyDescent="0.2">
      <c r="A37" s="14" t="s">
        <v>90</v>
      </c>
      <c r="B37" s="14"/>
      <c r="C37" s="14"/>
      <c r="D37" s="14" t="s">
        <v>176</v>
      </c>
      <c r="E37" s="15" t="s">
        <v>9</v>
      </c>
      <c r="F37" s="41">
        <v>713037012</v>
      </c>
      <c r="G37" s="41"/>
      <c r="H37" s="41" t="s">
        <v>107</v>
      </c>
      <c r="I37" s="41" t="s">
        <v>114</v>
      </c>
      <c r="J37" s="14"/>
      <c r="K37" s="16">
        <v>192500</v>
      </c>
      <c r="L37" s="16">
        <f t="shared" si="21"/>
        <v>196402.02702702704</v>
      </c>
      <c r="M37" s="16">
        <f>(L37*162/151)</f>
        <v>210709.45945945947</v>
      </c>
      <c r="N37" s="16">
        <v>1405000</v>
      </c>
      <c r="O37" s="16">
        <f>N37*(163/162)</f>
        <v>1413672.8395061728</v>
      </c>
      <c r="P37" s="16">
        <f t="shared" si="22"/>
        <v>1454575</v>
      </c>
      <c r="Q37" s="16">
        <f t="shared" si="23"/>
        <v>1505702</v>
      </c>
      <c r="R37" s="20"/>
      <c r="S37" s="14" t="s">
        <v>156</v>
      </c>
      <c r="T37" s="16">
        <v>1403600</v>
      </c>
      <c r="U37" s="16">
        <f t="shared" si="6"/>
        <v>1412942</v>
      </c>
      <c r="V37" s="16">
        <f t="shared" si="6"/>
        <v>1422346</v>
      </c>
      <c r="W37" s="17"/>
      <c r="X37" s="17">
        <f t="shared" si="7"/>
        <v>1422346</v>
      </c>
      <c r="Y37" s="17">
        <f t="shared" si="8"/>
        <v>597.39</v>
      </c>
      <c r="Z37" s="18"/>
      <c r="AA37" s="13"/>
    </row>
    <row r="38" spans="1:28" x14ac:dyDescent="0.2">
      <c r="A38" s="14" t="s">
        <v>18</v>
      </c>
      <c r="B38" s="14"/>
      <c r="C38" s="14"/>
      <c r="D38" s="14" t="s">
        <v>127</v>
      </c>
      <c r="E38" s="15" t="s">
        <v>9</v>
      </c>
      <c r="F38" s="41">
        <v>713066001</v>
      </c>
      <c r="G38" s="41"/>
      <c r="H38" s="41" t="s">
        <v>107</v>
      </c>
      <c r="I38" s="41" t="s">
        <v>114</v>
      </c>
      <c r="J38" s="14"/>
      <c r="K38" s="16">
        <v>2332100</v>
      </c>
      <c r="L38" s="16">
        <f t="shared" si="21"/>
        <v>2379372.2972972975</v>
      </c>
      <c r="M38" s="16">
        <f t="shared" ref="M38:M52" si="27">(L38*162/151)</f>
        <v>2552704.0540540544</v>
      </c>
      <c r="N38" s="16">
        <v>4730000</v>
      </c>
      <c r="O38" s="16">
        <f>N38*(163/162)</f>
        <v>4759197.5308641978</v>
      </c>
      <c r="P38" s="16">
        <f t="shared" si="22"/>
        <v>4896896</v>
      </c>
      <c r="Q38" s="16">
        <f t="shared" si="23"/>
        <v>5069019</v>
      </c>
      <c r="R38" s="20"/>
      <c r="S38" s="14" t="s">
        <v>156</v>
      </c>
      <c r="T38" s="16">
        <v>8736200</v>
      </c>
      <c r="U38" s="16">
        <f t="shared" si="6"/>
        <v>8794344</v>
      </c>
      <c r="V38" s="16">
        <f t="shared" si="6"/>
        <v>8852875</v>
      </c>
      <c r="W38" s="17"/>
      <c r="X38" s="17">
        <f t="shared" si="7"/>
        <v>8852875</v>
      </c>
      <c r="Y38" s="17">
        <f t="shared" si="8"/>
        <v>3718.21</v>
      </c>
      <c r="Z38" s="18"/>
      <c r="AA38" s="13"/>
      <c r="AB38" s="20"/>
    </row>
    <row r="39" spans="1:28" x14ac:dyDescent="0.2">
      <c r="A39" s="14" t="s">
        <v>39</v>
      </c>
      <c r="B39" s="14"/>
      <c r="C39" s="14"/>
      <c r="D39" s="14" t="s">
        <v>19</v>
      </c>
      <c r="E39" s="15" t="s">
        <v>9</v>
      </c>
      <c r="F39" s="41">
        <v>713066001</v>
      </c>
      <c r="G39" s="41"/>
      <c r="H39" s="41" t="s">
        <v>107</v>
      </c>
      <c r="I39" s="41" t="s">
        <v>114</v>
      </c>
      <c r="J39" s="14" t="s">
        <v>40</v>
      </c>
      <c r="K39" s="16">
        <v>446200</v>
      </c>
      <c r="L39" s="16">
        <f t="shared" si="21"/>
        <v>455244.59459459462</v>
      </c>
      <c r="M39" s="16">
        <f t="shared" si="27"/>
        <v>488408.10810810811</v>
      </c>
      <c r="N39" s="16">
        <v>1385000</v>
      </c>
      <c r="O39" s="16">
        <f t="shared" ref="O39:O40" si="28">N39*(163/162)</f>
        <v>1393549.3827160494</v>
      </c>
      <c r="P39" s="16">
        <f t="shared" si="22"/>
        <v>1433869</v>
      </c>
      <c r="Q39" s="16">
        <f t="shared" si="23"/>
        <v>1484269</v>
      </c>
      <c r="R39" s="20"/>
      <c r="S39" s="14" t="s">
        <v>156</v>
      </c>
      <c r="T39" s="16">
        <v>2420000</v>
      </c>
      <c r="U39" s="16">
        <f t="shared" si="6"/>
        <v>2436106</v>
      </c>
      <c r="V39" s="16">
        <f t="shared" si="6"/>
        <v>2452320</v>
      </c>
      <c r="W39" s="17"/>
      <c r="X39" s="17">
        <f t="shared" si="7"/>
        <v>2452320</v>
      </c>
      <c r="Y39" s="17">
        <f t="shared" si="8"/>
        <v>1029.97</v>
      </c>
      <c r="Z39" s="18"/>
      <c r="AA39" s="13"/>
    </row>
    <row r="40" spans="1:28" x14ac:dyDescent="0.2">
      <c r="A40" s="14" t="s">
        <v>133</v>
      </c>
      <c r="B40" s="14"/>
      <c r="C40" s="14"/>
      <c r="D40" s="14" t="s">
        <v>22</v>
      </c>
      <c r="E40" s="15" t="s">
        <v>8</v>
      </c>
      <c r="F40" s="41">
        <v>713033001</v>
      </c>
      <c r="G40" s="41"/>
      <c r="H40" s="41" t="s">
        <v>107</v>
      </c>
      <c r="I40" s="41" t="s">
        <v>114</v>
      </c>
      <c r="J40" s="14" t="s">
        <v>32</v>
      </c>
      <c r="K40" s="16">
        <v>25800</v>
      </c>
      <c r="L40" s="16">
        <f t="shared" si="21"/>
        <v>26322.972972972973</v>
      </c>
      <c r="M40" s="16">
        <f t="shared" si="27"/>
        <v>28240.54054054054</v>
      </c>
      <c r="N40" s="16">
        <v>50000</v>
      </c>
      <c r="O40" s="16">
        <f t="shared" si="28"/>
        <v>50308.641975308645</v>
      </c>
      <c r="P40" s="16">
        <f t="shared" si="22"/>
        <v>51764</v>
      </c>
      <c r="Q40" s="16">
        <f t="shared" si="23"/>
        <v>53583</v>
      </c>
      <c r="R40" s="20"/>
      <c r="S40" s="14" t="s">
        <v>159</v>
      </c>
      <c r="T40" s="16">
        <v>54450</v>
      </c>
      <c r="U40" s="16">
        <f t="shared" si="6"/>
        <v>54812</v>
      </c>
      <c r="V40" s="16">
        <f t="shared" si="6"/>
        <v>55177</v>
      </c>
      <c r="W40" s="17">
        <v>32670</v>
      </c>
      <c r="X40" s="17">
        <f t="shared" si="7"/>
        <v>87847</v>
      </c>
      <c r="Y40" s="17">
        <f t="shared" si="8"/>
        <v>36.9</v>
      </c>
      <c r="Z40" s="18"/>
      <c r="AA40" s="13"/>
      <c r="AB40" s="20"/>
    </row>
    <row r="41" spans="1:28" x14ac:dyDescent="0.2">
      <c r="A41" s="14" t="s">
        <v>177</v>
      </c>
      <c r="B41" s="14"/>
      <c r="C41" s="14"/>
      <c r="D41" s="14" t="s">
        <v>23</v>
      </c>
      <c r="E41" s="15" t="s">
        <v>9</v>
      </c>
      <c r="F41" s="41">
        <v>713037011</v>
      </c>
      <c r="G41" s="41"/>
      <c r="H41" s="41" t="s">
        <v>107</v>
      </c>
      <c r="I41" s="41" t="s">
        <v>114</v>
      </c>
      <c r="J41" s="14"/>
      <c r="K41" s="16">
        <v>256100</v>
      </c>
      <c r="L41" s="16">
        <f t="shared" si="21"/>
        <v>261291.21621621621</v>
      </c>
      <c r="M41" s="16">
        <f t="shared" si="27"/>
        <v>280325.67567567568</v>
      </c>
      <c r="N41" s="16"/>
      <c r="O41" s="16">
        <f t="shared" ref="O41:O52" si="29">M41*(163/162)</f>
        <v>282056.08108108107</v>
      </c>
      <c r="P41" s="16">
        <f t="shared" si="22"/>
        <v>290217</v>
      </c>
      <c r="Q41" s="16">
        <f t="shared" si="23"/>
        <v>300418</v>
      </c>
      <c r="R41" s="16">
        <f t="shared" ref="R41:R52" si="30">ROUND(Q41/117.8*118.8,0)</f>
        <v>302968</v>
      </c>
      <c r="S41" s="16"/>
      <c r="T41" s="16">
        <f t="shared" ref="T41:T52" si="31">ROUND(R41/118.8*120.2,0)</f>
        <v>306538</v>
      </c>
      <c r="U41" s="16">
        <f t="shared" si="6"/>
        <v>308578</v>
      </c>
      <c r="V41" s="16">
        <f t="shared" si="6"/>
        <v>310632</v>
      </c>
      <c r="W41" s="17"/>
      <c r="X41" s="17">
        <f t="shared" si="7"/>
        <v>310632</v>
      </c>
      <c r="Y41" s="17">
        <f t="shared" si="8"/>
        <v>130.47</v>
      </c>
      <c r="Z41" s="18"/>
      <c r="AA41" s="13"/>
    </row>
    <row r="42" spans="1:28" x14ac:dyDescent="0.2">
      <c r="A42" s="14" t="s">
        <v>82</v>
      </c>
      <c r="B42" s="14"/>
      <c r="C42" s="14"/>
      <c r="D42" s="14" t="s">
        <v>23</v>
      </c>
      <c r="E42" s="15" t="s">
        <v>9</v>
      </c>
      <c r="F42" s="41">
        <v>713037011</v>
      </c>
      <c r="G42" s="41"/>
      <c r="H42" s="41" t="s">
        <v>107</v>
      </c>
      <c r="I42" s="41" t="s">
        <v>114</v>
      </c>
      <c r="J42" s="14" t="s">
        <v>38</v>
      </c>
      <c r="K42" s="16">
        <v>112700</v>
      </c>
      <c r="L42" s="16">
        <f t="shared" si="21"/>
        <v>114984.45945945945</v>
      </c>
      <c r="M42" s="16">
        <f t="shared" si="27"/>
        <v>123360.8108108108</v>
      </c>
      <c r="N42" s="16"/>
      <c r="O42" s="16">
        <f t="shared" si="29"/>
        <v>124122.29729729729</v>
      </c>
      <c r="P42" s="16">
        <f t="shared" si="22"/>
        <v>127714</v>
      </c>
      <c r="Q42" s="16">
        <f t="shared" si="23"/>
        <v>132203</v>
      </c>
      <c r="R42" s="16">
        <f t="shared" si="30"/>
        <v>133325</v>
      </c>
      <c r="S42" s="16"/>
      <c r="T42" s="16">
        <f t="shared" si="31"/>
        <v>134896</v>
      </c>
      <c r="U42" s="16">
        <f t="shared" si="6"/>
        <v>135794</v>
      </c>
      <c r="V42" s="16">
        <f t="shared" si="6"/>
        <v>136698</v>
      </c>
      <c r="W42" s="17"/>
      <c r="X42" s="17">
        <f t="shared" si="7"/>
        <v>136698</v>
      </c>
      <c r="Y42" s="17">
        <f t="shared" si="8"/>
        <v>57.41</v>
      </c>
      <c r="Z42" s="18"/>
      <c r="AA42" s="13"/>
    </row>
    <row r="43" spans="1:28" s="110" customFormat="1" ht="20.399999999999999" x14ac:dyDescent="0.2">
      <c r="A43" s="105" t="s">
        <v>49</v>
      </c>
      <c r="B43" s="105"/>
      <c r="C43" s="105"/>
      <c r="D43" s="105" t="s">
        <v>50</v>
      </c>
      <c r="E43" s="105" t="s">
        <v>9</v>
      </c>
      <c r="F43" s="106">
        <v>713037011</v>
      </c>
      <c r="G43" s="106"/>
      <c r="H43" s="106" t="s">
        <v>107</v>
      </c>
      <c r="I43" s="106" t="s">
        <v>114</v>
      </c>
      <c r="J43" s="105" t="s">
        <v>51</v>
      </c>
      <c r="K43" s="107">
        <v>3500</v>
      </c>
      <c r="L43" s="107">
        <f t="shared" si="21"/>
        <v>3570.9459459459458</v>
      </c>
      <c r="M43" s="107">
        <f t="shared" si="27"/>
        <v>3831.0810810810808</v>
      </c>
      <c r="N43" s="107"/>
      <c r="O43" s="107">
        <f t="shared" si="29"/>
        <v>3854.7297297297296</v>
      </c>
      <c r="P43" s="107">
        <f t="shared" si="22"/>
        <v>3966</v>
      </c>
      <c r="Q43" s="107">
        <f t="shared" si="23"/>
        <v>4105</v>
      </c>
      <c r="R43" s="107">
        <f t="shared" si="30"/>
        <v>4140</v>
      </c>
      <c r="S43" s="107"/>
      <c r="T43" s="107">
        <f t="shared" si="31"/>
        <v>4189</v>
      </c>
      <c r="U43" s="107">
        <f t="shared" si="6"/>
        <v>4217</v>
      </c>
      <c r="V43" s="107">
        <f t="shared" si="6"/>
        <v>4245</v>
      </c>
      <c r="W43" s="107"/>
      <c r="X43" s="107">
        <f t="shared" si="7"/>
        <v>4245</v>
      </c>
      <c r="Y43" s="107">
        <f t="shared" si="8"/>
        <v>1.78</v>
      </c>
      <c r="Z43" s="108" t="s">
        <v>181</v>
      </c>
      <c r="AA43" s="109"/>
    </row>
    <row r="44" spans="1:28" x14ac:dyDescent="0.2">
      <c r="A44" s="14" t="s">
        <v>52</v>
      </c>
      <c r="B44" s="14"/>
      <c r="C44" s="14"/>
      <c r="D44" s="14" t="s">
        <v>23</v>
      </c>
      <c r="E44" s="15" t="s">
        <v>9</v>
      </c>
      <c r="F44" s="41">
        <v>713037011</v>
      </c>
      <c r="G44" s="41"/>
      <c r="H44" s="41" t="s">
        <v>107</v>
      </c>
      <c r="I44" s="41" t="s">
        <v>114</v>
      </c>
      <c r="J44" s="14"/>
      <c r="K44" s="16">
        <v>62200</v>
      </c>
      <c r="L44" s="16">
        <f t="shared" si="21"/>
        <v>63460.810810810814</v>
      </c>
      <c r="M44" s="16">
        <f t="shared" si="27"/>
        <v>68083.783783783787</v>
      </c>
      <c r="N44" s="16"/>
      <c r="O44" s="16">
        <f t="shared" si="29"/>
        <v>68504.054054054053</v>
      </c>
      <c r="P44" s="16">
        <f t="shared" si="22"/>
        <v>70486</v>
      </c>
      <c r="Q44" s="16">
        <f t="shared" si="23"/>
        <v>72964</v>
      </c>
      <c r="R44" s="16">
        <f t="shared" si="30"/>
        <v>73583</v>
      </c>
      <c r="S44" s="16"/>
      <c r="T44" s="16">
        <f t="shared" si="31"/>
        <v>74450</v>
      </c>
      <c r="U44" s="16">
        <f t="shared" si="6"/>
        <v>74946</v>
      </c>
      <c r="V44" s="16">
        <f t="shared" si="6"/>
        <v>75445</v>
      </c>
      <c r="W44" s="17"/>
      <c r="X44" s="17">
        <f t="shared" si="7"/>
        <v>75445</v>
      </c>
      <c r="Y44" s="17">
        <f t="shared" si="8"/>
        <v>31.69</v>
      </c>
      <c r="Z44" s="18"/>
      <c r="AA44" s="13"/>
    </row>
    <row r="45" spans="1:28" x14ac:dyDescent="0.2">
      <c r="A45" s="14" t="s">
        <v>48</v>
      </c>
      <c r="B45" s="14"/>
      <c r="C45" s="14"/>
      <c r="D45" s="14" t="s">
        <v>23</v>
      </c>
      <c r="E45" s="15" t="s">
        <v>9</v>
      </c>
      <c r="F45" s="41">
        <v>713037011</v>
      </c>
      <c r="G45" s="41"/>
      <c r="H45" s="41" t="s">
        <v>107</v>
      </c>
      <c r="I45" s="41" t="s">
        <v>114</v>
      </c>
      <c r="J45" s="14"/>
      <c r="K45" s="16">
        <v>85400</v>
      </c>
      <c r="L45" s="16">
        <f t="shared" si="21"/>
        <v>87131.08108108108</v>
      </c>
      <c r="M45" s="16">
        <f t="shared" si="27"/>
        <v>93478.378378378373</v>
      </c>
      <c r="N45" s="16"/>
      <c r="O45" s="16">
        <f t="shared" si="29"/>
        <v>94055.4054054054</v>
      </c>
      <c r="P45" s="16">
        <f t="shared" si="22"/>
        <v>96777</v>
      </c>
      <c r="Q45" s="16">
        <f t="shared" si="23"/>
        <v>100179</v>
      </c>
      <c r="R45" s="16">
        <f t="shared" si="30"/>
        <v>101029</v>
      </c>
      <c r="S45" s="16"/>
      <c r="T45" s="16">
        <f t="shared" si="31"/>
        <v>102220</v>
      </c>
      <c r="U45" s="16">
        <f t="shared" si="6"/>
        <v>102900</v>
      </c>
      <c r="V45" s="16">
        <f t="shared" si="6"/>
        <v>103585</v>
      </c>
      <c r="W45" s="17"/>
      <c r="X45" s="17">
        <f t="shared" si="7"/>
        <v>103585</v>
      </c>
      <c r="Y45" s="17">
        <f t="shared" si="8"/>
        <v>43.51</v>
      </c>
      <c r="Z45" s="18"/>
      <c r="AA45" s="13"/>
    </row>
    <row r="46" spans="1:28" x14ac:dyDescent="0.2">
      <c r="A46" s="14" t="s">
        <v>83</v>
      </c>
      <c r="B46" s="14"/>
      <c r="C46" s="14"/>
      <c r="D46" s="14" t="s">
        <v>23</v>
      </c>
      <c r="E46" s="15" t="s">
        <v>9</v>
      </c>
      <c r="F46" s="41">
        <v>713037011</v>
      </c>
      <c r="G46" s="41"/>
      <c r="H46" s="41" t="s">
        <v>107</v>
      </c>
      <c r="I46" s="41" t="s">
        <v>114</v>
      </c>
      <c r="J46" s="14"/>
      <c r="K46" s="16">
        <v>127200</v>
      </c>
      <c r="L46" s="16">
        <f t="shared" si="21"/>
        <v>129778.37837837837</v>
      </c>
      <c r="M46" s="16">
        <f t="shared" si="27"/>
        <v>139232.43243243243</v>
      </c>
      <c r="N46" s="16"/>
      <c r="O46" s="16">
        <f t="shared" si="29"/>
        <v>140091.89189189189</v>
      </c>
      <c r="P46" s="16">
        <f t="shared" si="22"/>
        <v>144145</v>
      </c>
      <c r="Q46" s="16">
        <f t="shared" si="23"/>
        <v>149212</v>
      </c>
      <c r="R46" s="16">
        <f t="shared" si="30"/>
        <v>150479</v>
      </c>
      <c r="S46" s="16"/>
      <c r="T46" s="16">
        <f t="shared" si="31"/>
        <v>152252</v>
      </c>
      <c r="U46" s="16">
        <f t="shared" si="6"/>
        <v>153265</v>
      </c>
      <c r="V46" s="16">
        <f t="shared" si="6"/>
        <v>154285</v>
      </c>
      <c r="W46" s="17"/>
      <c r="X46" s="17">
        <f t="shared" si="7"/>
        <v>154285</v>
      </c>
      <c r="Y46" s="17">
        <f t="shared" si="8"/>
        <v>64.8</v>
      </c>
      <c r="Z46" s="18"/>
      <c r="AA46" s="13"/>
    </row>
    <row r="47" spans="1:28" x14ac:dyDescent="0.2">
      <c r="A47" s="14" t="s">
        <v>122</v>
      </c>
      <c r="B47" s="14"/>
      <c r="C47" s="14"/>
      <c r="D47" s="14" t="s">
        <v>23</v>
      </c>
      <c r="E47" s="15" t="s">
        <v>9</v>
      </c>
      <c r="F47" s="41">
        <v>713037011</v>
      </c>
      <c r="G47" s="41"/>
      <c r="H47" s="41" t="s">
        <v>107</v>
      </c>
      <c r="I47" s="41" t="s">
        <v>114</v>
      </c>
      <c r="J47" s="14" t="s">
        <v>123</v>
      </c>
      <c r="K47" s="16">
        <v>143200</v>
      </c>
      <c r="L47" s="16">
        <f t="shared" si="21"/>
        <v>146102.70270270269</v>
      </c>
      <c r="M47" s="16">
        <f t="shared" si="27"/>
        <v>156745.94594594595</v>
      </c>
      <c r="N47" s="16"/>
      <c r="O47" s="16">
        <f t="shared" si="29"/>
        <v>157713.51351351352</v>
      </c>
      <c r="P47" s="16">
        <f t="shared" si="22"/>
        <v>162277</v>
      </c>
      <c r="Q47" s="16">
        <f t="shared" si="23"/>
        <v>167981</v>
      </c>
      <c r="R47" s="16">
        <f t="shared" si="30"/>
        <v>169407</v>
      </c>
      <c r="S47" s="16"/>
      <c r="T47" s="16">
        <f t="shared" si="31"/>
        <v>171403</v>
      </c>
      <c r="U47" s="16">
        <f t="shared" si="6"/>
        <v>172544</v>
      </c>
      <c r="V47" s="16">
        <f t="shared" si="6"/>
        <v>173692</v>
      </c>
      <c r="W47" s="17"/>
      <c r="X47" s="17">
        <f t="shared" si="7"/>
        <v>173692</v>
      </c>
      <c r="Y47" s="17">
        <f t="shared" si="8"/>
        <v>72.95</v>
      </c>
      <c r="Z47" s="18"/>
      <c r="AA47" s="13"/>
    </row>
    <row r="48" spans="1:28" x14ac:dyDescent="0.2">
      <c r="A48" s="14" t="s">
        <v>47</v>
      </c>
      <c r="B48" s="14"/>
      <c r="C48" s="14"/>
      <c r="D48" s="14" t="s">
        <v>23</v>
      </c>
      <c r="E48" s="15" t="s">
        <v>9</v>
      </c>
      <c r="F48" s="41">
        <v>713037011</v>
      </c>
      <c r="G48" s="41"/>
      <c r="H48" s="41" t="s">
        <v>107</v>
      </c>
      <c r="I48" s="41" t="s">
        <v>114</v>
      </c>
      <c r="J48" s="14"/>
      <c r="K48" s="16">
        <v>52200</v>
      </c>
      <c r="L48" s="16">
        <f t="shared" si="21"/>
        <v>53258.108108108107</v>
      </c>
      <c r="M48" s="16">
        <f t="shared" si="27"/>
        <v>57137.837837837833</v>
      </c>
      <c r="N48" s="16"/>
      <c r="O48" s="16">
        <f t="shared" si="29"/>
        <v>57490.54054054054</v>
      </c>
      <c r="P48" s="16">
        <f t="shared" si="22"/>
        <v>59154</v>
      </c>
      <c r="Q48" s="16">
        <f t="shared" si="23"/>
        <v>61233</v>
      </c>
      <c r="R48" s="16">
        <f t="shared" si="30"/>
        <v>61753</v>
      </c>
      <c r="S48" s="16"/>
      <c r="T48" s="16">
        <f t="shared" si="31"/>
        <v>62481</v>
      </c>
      <c r="U48" s="16">
        <f t="shared" si="6"/>
        <v>62897</v>
      </c>
      <c r="V48" s="16">
        <f t="shared" si="6"/>
        <v>63316</v>
      </c>
      <c r="W48" s="17"/>
      <c r="X48" s="17">
        <f t="shared" si="7"/>
        <v>63316</v>
      </c>
      <c r="Y48" s="17">
        <f t="shared" si="8"/>
        <v>26.59</v>
      </c>
      <c r="Z48" s="18"/>
      <c r="AA48" s="13"/>
    </row>
    <row r="49" spans="1:35" s="80" customFormat="1" x14ac:dyDescent="0.2">
      <c r="A49" s="14" t="s">
        <v>46</v>
      </c>
      <c r="B49" s="14"/>
      <c r="C49" s="14"/>
      <c r="D49" s="14" t="s">
        <v>23</v>
      </c>
      <c r="E49" s="15" t="s">
        <v>9</v>
      </c>
      <c r="F49" s="41">
        <v>713037011</v>
      </c>
      <c r="G49" s="41"/>
      <c r="H49" s="41" t="s">
        <v>107</v>
      </c>
      <c r="I49" s="41" t="s">
        <v>114</v>
      </c>
      <c r="J49" s="14"/>
      <c r="K49" s="16">
        <v>93200</v>
      </c>
      <c r="L49" s="16">
        <f t="shared" si="21"/>
        <v>95089.189189189186</v>
      </c>
      <c r="M49" s="16">
        <f t="shared" si="27"/>
        <v>102016.21621621621</v>
      </c>
      <c r="N49" s="16"/>
      <c r="O49" s="16">
        <f t="shared" si="29"/>
        <v>102645.94594594595</v>
      </c>
      <c r="P49" s="16">
        <f t="shared" si="22"/>
        <v>105616</v>
      </c>
      <c r="Q49" s="16">
        <f t="shared" si="23"/>
        <v>109328</v>
      </c>
      <c r="R49" s="16">
        <f t="shared" si="30"/>
        <v>110256</v>
      </c>
      <c r="S49" s="16"/>
      <c r="T49" s="16">
        <f t="shared" si="31"/>
        <v>111555</v>
      </c>
      <c r="U49" s="16">
        <f t="shared" si="6"/>
        <v>112297</v>
      </c>
      <c r="V49" s="16">
        <f t="shared" si="6"/>
        <v>113044</v>
      </c>
      <c r="W49" s="17"/>
      <c r="X49" s="17">
        <f t="shared" si="7"/>
        <v>113044</v>
      </c>
      <c r="Y49" s="17">
        <f t="shared" si="8"/>
        <v>47.48</v>
      </c>
      <c r="Z49" s="104" t="s">
        <v>182</v>
      </c>
      <c r="AA49" s="81"/>
    </row>
    <row r="50" spans="1:35" x14ac:dyDescent="0.2">
      <c r="A50" s="14" t="s">
        <v>45</v>
      </c>
      <c r="B50" s="14"/>
      <c r="C50" s="14"/>
      <c r="D50" s="14" t="s">
        <v>23</v>
      </c>
      <c r="E50" s="15" t="s">
        <v>9</v>
      </c>
      <c r="F50" s="41">
        <v>713037011</v>
      </c>
      <c r="G50" s="41"/>
      <c r="H50" s="41" t="s">
        <v>107</v>
      </c>
      <c r="I50" s="41" t="s">
        <v>114</v>
      </c>
      <c r="J50" s="14"/>
      <c r="K50" s="16">
        <v>43000</v>
      </c>
      <c r="L50" s="16">
        <f t="shared" si="21"/>
        <v>43871.62162162162</v>
      </c>
      <c r="M50" s="16">
        <f t="shared" si="27"/>
        <v>47067.567567567567</v>
      </c>
      <c r="N50" s="16"/>
      <c r="O50" s="16">
        <f t="shared" si="29"/>
        <v>47358.108108108107</v>
      </c>
      <c r="P50" s="16">
        <f t="shared" si="22"/>
        <v>48728</v>
      </c>
      <c r="Q50" s="16">
        <f t="shared" si="23"/>
        <v>50441</v>
      </c>
      <c r="R50" s="16">
        <f t="shared" si="30"/>
        <v>50869</v>
      </c>
      <c r="S50" s="16"/>
      <c r="T50" s="16">
        <f t="shared" si="31"/>
        <v>51468</v>
      </c>
      <c r="U50" s="16">
        <f t="shared" si="6"/>
        <v>51811</v>
      </c>
      <c r="V50" s="16">
        <f t="shared" si="6"/>
        <v>52156</v>
      </c>
      <c r="W50" s="17"/>
      <c r="X50" s="17">
        <f t="shared" si="7"/>
        <v>52156</v>
      </c>
      <c r="Y50" s="17">
        <f t="shared" si="8"/>
        <v>21.91</v>
      </c>
      <c r="Z50" s="18"/>
      <c r="AA50" s="13"/>
    </row>
    <row r="51" spans="1:35" x14ac:dyDescent="0.2">
      <c r="A51" s="14" t="s">
        <v>42</v>
      </c>
      <c r="B51" s="14"/>
      <c r="C51" s="14"/>
      <c r="D51" s="14" t="s">
        <v>23</v>
      </c>
      <c r="E51" s="15" t="s">
        <v>43</v>
      </c>
      <c r="F51" s="41">
        <v>713037011</v>
      </c>
      <c r="G51" s="41"/>
      <c r="H51" s="41" t="s">
        <v>107</v>
      </c>
      <c r="I51" s="41" t="s">
        <v>114</v>
      </c>
      <c r="J51" s="14" t="s">
        <v>44</v>
      </c>
      <c r="K51" s="16">
        <v>146700</v>
      </c>
      <c r="L51" s="16">
        <f t="shared" si="21"/>
        <v>149673.64864864864</v>
      </c>
      <c r="M51" s="16">
        <f t="shared" si="27"/>
        <v>160577.02702702704</v>
      </c>
      <c r="N51" s="16"/>
      <c r="O51" s="16">
        <f t="shared" si="29"/>
        <v>161568.24324324325</v>
      </c>
      <c r="P51" s="16">
        <f t="shared" si="22"/>
        <v>166243</v>
      </c>
      <c r="Q51" s="16">
        <f t="shared" si="23"/>
        <v>172086</v>
      </c>
      <c r="R51" s="16">
        <f t="shared" si="30"/>
        <v>173547</v>
      </c>
      <c r="S51" s="16"/>
      <c r="T51" s="16">
        <f t="shared" si="31"/>
        <v>175592</v>
      </c>
      <c r="U51" s="16">
        <f t="shared" si="6"/>
        <v>176761</v>
      </c>
      <c r="V51" s="16">
        <f t="shared" si="6"/>
        <v>177937</v>
      </c>
      <c r="W51" s="17"/>
      <c r="X51" s="17">
        <f t="shared" si="7"/>
        <v>177937</v>
      </c>
      <c r="Y51" s="17">
        <f t="shared" si="8"/>
        <v>74.73</v>
      </c>
      <c r="Z51" s="18"/>
      <c r="AA51" s="13"/>
    </row>
    <row r="52" spans="1:35" x14ac:dyDescent="0.2">
      <c r="A52" s="14" t="s">
        <v>35</v>
      </c>
      <c r="B52" s="14"/>
      <c r="C52" s="14"/>
      <c r="D52" s="14" t="s">
        <v>23</v>
      </c>
      <c r="E52" s="15" t="s">
        <v>9</v>
      </c>
      <c r="F52" s="41">
        <v>713037001</v>
      </c>
      <c r="G52" s="41"/>
      <c r="H52" s="41" t="s">
        <v>107</v>
      </c>
      <c r="I52" s="41" t="s">
        <v>114</v>
      </c>
      <c r="J52" s="14" t="s">
        <v>27</v>
      </c>
      <c r="K52" s="16">
        <v>60100</v>
      </c>
      <c r="L52" s="16">
        <f t="shared" si="21"/>
        <v>61318.24324324324</v>
      </c>
      <c r="M52" s="16">
        <f t="shared" si="27"/>
        <v>65785.135135135133</v>
      </c>
      <c r="N52" s="16"/>
      <c r="O52" s="16">
        <f t="shared" si="29"/>
        <v>66191.216216216213</v>
      </c>
      <c r="P52" s="16">
        <f t="shared" si="22"/>
        <v>68106</v>
      </c>
      <c r="Q52" s="16">
        <f t="shared" si="23"/>
        <v>70500</v>
      </c>
      <c r="R52" s="16">
        <f t="shared" si="30"/>
        <v>71098</v>
      </c>
      <c r="S52" s="16"/>
      <c r="T52" s="16">
        <f t="shared" si="31"/>
        <v>71936</v>
      </c>
      <c r="U52" s="16">
        <f t="shared" si="6"/>
        <v>72415</v>
      </c>
      <c r="V52" s="16">
        <f t="shared" si="6"/>
        <v>72897</v>
      </c>
      <c r="W52" s="73"/>
      <c r="X52" s="17">
        <f t="shared" si="7"/>
        <v>72897</v>
      </c>
      <c r="Y52" s="17">
        <f t="shared" si="8"/>
        <v>30.62</v>
      </c>
      <c r="Z52" s="18"/>
      <c r="AA52" s="13"/>
    </row>
    <row r="53" spans="1:35" x14ac:dyDescent="0.2">
      <c r="A53" s="14" t="s">
        <v>171</v>
      </c>
      <c r="B53" s="14" t="s">
        <v>168</v>
      </c>
      <c r="C53" s="14" t="s">
        <v>149</v>
      </c>
      <c r="D53" s="14" t="s">
        <v>172</v>
      </c>
      <c r="E53" s="15"/>
      <c r="F53" s="41"/>
      <c r="G53" s="41"/>
      <c r="H53" s="41"/>
      <c r="I53" s="41"/>
      <c r="J53" s="14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>
        <v>1565198</v>
      </c>
      <c r="V53" s="16">
        <f t="shared" ref="V53" si="32">ROUND(U53/120.2*121,0)</f>
        <v>1575615</v>
      </c>
      <c r="W53" s="73"/>
      <c r="X53" s="17">
        <f t="shared" si="7"/>
        <v>1575615</v>
      </c>
      <c r="Y53" s="17">
        <f t="shared" si="8"/>
        <v>661.76</v>
      </c>
      <c r="Z53" s="18"/>
      <c r="AA53" s="13"/>
    </row>
    <row r="54" spans="1:35" s="20" customFormat="1" x14ac:dyDescent="0.2">
      <c r="A54" s="14" t="s">
        <v>178</v>
      </c>
      <c r="B54" s="102" t="s">
        <v>180</v>
      </c>
      <c r="C54" s="102" t="s">
        <v>149</v>
      </c>
      <c r="D54" s="14" t="s">
        <v>176</v>
      </c>
      <c r="E54" s="15"/>
      <c r="F54" s="41"/>
      <c r="G54" s="41"/>
      <c r="H54" s="41"/>
      <c r="I54" s="41"/>
      <c r="J54" s="14"/>
      <c r="K54" s="16"/>
      <c r="L54" s="16"/>
      <c r="M54" s="16"/>
      <c r="N54" s="16"/>
      <c r="O54" s="16"/>
      <c r="P54" s="16"/>
      <c r="Q54" s="92"/>
      <c r="R54" s="92"/>
      <c r="S54" s="92"/>
      <c r="T54" s="92"/>
      <c r="U54" s="92"/>
      <c r="V54" s="92">
        <v>1872936</v>
      </c>
      <c r="W54" s="93">
        <v>291395</v>
      </c>
      <c r="X54" s="103">
        <f t="shared" si="7"/>
        <v>2164331</v>
      </c>
      <c r="Y54" s="103">
        <f t="shared" si="8"/>
        <v>909.02</v>
      </c>
      <c r="Z54" s="18"/>
      <c r="AA54" s="19"/>
    </row>
    <row r="55" spans="1:35" x14ac:dyDescent="0.2">
      <c r="A55" s="7"/>
      <c r="B55" s="7"/>
      <c r="C55" s="7"/>
      <c r="D55" s="7"/>
      <c r="E55" s="21"/>
      <c r="H55" s="42"/>
      <c r="I55" s="42"/>
      <c r="J55" s="7"/>
      <c r="K55" s="27"/>
      <c r="L55" s="27"/>
      <c r="M55" s="27"/>
      <c r="N55" s="29"/>
      <c r="O55" s="29">
        <f>SUM(O7:O52)</f>
        <v>44925847.416558385</v>
      </c>
      <c r="P55" s="29">
        <f>SUM(P7:P52)</f>
        <v>46225691</v>
      </c>
      <c r="Q55" s="29">
        <f>SUM(Q7:Q52)</f>
        <v>47850494</v>
      </c>
      <c r="R55" s="29">
        <f>SUM(R7:R52)</f>
        <v>13535429</v>
      </c>
      <c r="S55" s="29"/>
      <c r="T55" s="29">
        <f t="shared" ref="T55:W55" si="33">SUM(T6:T54)</f>
        <v>56447827</v>
      </c>
      <c r="U55" s="29">
        <f>SUM(U6:U54)</f>
        <v>58388716</v>
      </c>
      <c r="V55" s="29">
        <f>SUM(V6:V54)</f>
        <v>60650265</v>
      </c>
      <c r="W55" s="29">
        <f t="shared" si="33"/>
        <v>2065715</v>
      </c>
      <c r="X55" s="29">
        <f>SUM(X6:X54)</f>
        <v>62715980</v>
      </c>
      <c r="Y55" s="29">
        <f>SUM(Y6:Y54)</f>
        <v>26340.709999999992</v>
      </c>
      <c r="AB55" s="65"/>
      <c r="AC55" s="66"/>
      <c r="AD55" s="66"/>
    </row>
    <row r="56" spans="1:35" x14ac:dyDescent="0.2">
      <c r="A56" s="7" t="s">
        <v>92</v>
      </c>
      <c r="B56" s="7"/>
      <c r="C56" s="7"/>
      <c r="D56" s="7"/>
      <c r="E56" s="21"/>
      <c r="J56" s="7"/>
      <c r="K56" s="22"/>
      <c r="L56" s="22"/>
      <c r="M56" s="22"/>
      <c r="N56" s="16"/>
      <c r="O56" s="38"/>
      <c r="P56" s="38"/>
      <c r="Q56" s="38"/>
      <c r="R56" s="38"/>
      <c r="T56" s="38"/>
      <c r="U56" s="38"/>
      <c r="V56" s="38"/>
      <c r="W56" s="23"/>
      <c r="X56" s="23">
        <v>2500000</v>
      </c>
      <c r="Y56" s="23">
        <f>X56*0.00042</f>
        <v>1050</v>
      </c>
      <c r="AC56" s="26"/>
      <c r="AD56" s="65"/>
    </row>
    <row r="57" spans="1:35" x14ac:dyDescent="0.2">
      <c r="A57" s="7" t="s">
        <v>112</v>
      </c>
      <c r="B57" s="7"/>
      <c r="C57" s="7"/>
      <c r="D57" s="7"/>
      <c r="E57" s="21"/>
      <c r="F57" s="43"/>
      <c r="G57" s="43"/>
      <c r="J57" s="24"/>
      <c r="K57" s="23"/>
      <c r="L57" s="22"/>
      <c r="M57" s="22"/>
      <c r="N57" s="16"/>
      <c r="O57" s="7"/>
      <c r="P57" s="7"/>
      <c r="Q57" s="7"/>
      <c r="R57" s="7"/>
      <c r="S57" s="7"/>
      <c r="T57" s="54"/>
      <c r="U57" s="54"/>
      <c r="V57" s="54"/>
      <c r="W57" s="23"/>
      <c r="X57" s="23">
        <v>1500000</v>
      </c>
      <c r="Y57" s="23">
        <f>X57*0.00042</f>
        <v>630</v>
      </c>
      <c r="Z57" s="13"/>
      <c r="AA57" s="13"/>
      <c r="AB57" s="10"/>
      <c r="AC57" s="26"/>
      <c r="AD57" s="67"/>
      <c r="AE57" s="30"/>
      <c r="AF57" s="30"/>
      <c r="AG57" s="31"/>
      <c r="AH57" s="13"/>
      <c r="AI57" s="13"/>
    </row>
    <row r="58" spans="1:35" x14ac:dyDescent="0.2">
      <c r="A58" s="7"/>
      <c r="B58" s="7"/>
      <c r="C58" s="7"/>
      <c r="D58" s="7"/>
      <c r="E58" s="21"/>
      <c r="F58" s="43"/>
      <c r="G58" s="43"/>
      <c r="J58" s="24"/>
      <c r="K58" s="23"/>
      <c r="L58" s="22"/>
      <c r="M58" s="22"/>
      <c r="N58" s="16"/>
      <c r="O58" s="7"/>
      <c r="P58" s="7"/>
      <c r="Q58" s="7"/>
      <c r="R58" s="7"/>
      <c r="S58" s="7"/>
      <c r="T58" s="7"/>
      <c r="U58" s="7"/>
      <c r="V58" s="7"/>
      <c r="W58" s="23"/>
      <c r="X58" s="23"/>
      <c r="Y58" s="23"/>
      <c r="Z58" s="13"/>
      <c r="AA58" s="13"/>
      <c r="AB58" s="10"/>
      <c r="AC58" s="67"/>
      <c r="AD58" s="67"/>
      <c r="AE58" s="30"/>
      <c r="AF58" s="30"/>
      <c r="AG58" s="31"/>
      <c r="AH58" s="13"/>
      <c r="AI58" s="13"/>
    </row>
    <row r="59" spans="1:35" x14ac:dyDescent="0.2">
      <c r="A59" s="46"/>
      <c r="B59" s="46"/>
      <c r="C59" s="46"/>
      <c r="D59" s="7"/>
      <c r="E59" s="21"/>
      <c r="F59" s="43"/>
      <c r="G59" s="43"/>
      <c r="J59" s="24"/>
      <c r="K59" s="23"/>
      <c r="L59" s="22"/>
      <c r="M59" s="22"/>
      <c r="N59" s="16"/>
      <c r="O59" s="7"/>
      <c r="P59" s="7"/>
      <c r="Q59" s="7"/>
      <c r="R59" s="7"/>
      <c r="S59" s="7"/>
      <c r="T59" s="7"/>
      <c r="U59" s="7"/>
      <c r="V59" s="7"/>
      <c r="W59" s="23"/>
      <c r="X59" s="23"/>
      <c r="Y59" s="23"/>
      <c r="Z59" s="13"/>
      <c r="AA59" s="13"/>
      <c r="AB59" s="10"/>
      <c r="AC59" s="67"/>
      <c r="AD59" s="67"/>
      <c r="AE59" s="30"/>
      <c r="AF59" s="30"/>
      <c r="AG59" s="31"/>
      <c r="AH59" s="13"/>
      <c r="AI59" s="13"/>
    </row>
    <row r="60" spans="1:35" ht="12" thickBot="1" x14ac:dyDescent="0.25">
      <c r="A60" s="47"/>
      <c r="B60" s="47"/>
      <c r="C60" s="47"/>
      <c r="D60" s="7"/>
      <c r="E60" s="21"/>
      <c r="F60" s="42"/>
      <c r="G60" s="42"/>
      <c r="H60" s="43"/>
      <c r="I60" s="43"/>
      <c r="J60" s="7"/>
      <c r="K60" s="22"/>
      <c r="L60" s="22"/>
      <c r="M60" s="22"/>
      <c r="N60" s="16"/>
      <c r="O60" s="16"/>
      <c r="P60" s="16"/>
      <c r="Q60" s="16"/>
      <c r="R60" s="16"/>
      <c r="S60" s="16"/>
      <c r="T60" s="16"/>
      <c r="U60" s="16"/>
      <c r="V60" s="16"/>
      <c r="W60" s="23"/>
      <c r="X60" s="34">
        <f>SUM(X55:X57)</f>
        <v>66715980</v>
      </c>
      <c r="Y60" s="34">
        <f>SUM(Y55:Y57)</f>
        <v>28020.709999999992</v>
      </c>
      <c r="Z60" s="24"/>
      <c r="AA60" s="13"/>
      <c r="AB60" s="65"/>
      <c r="AC60" s="66"/>
    </row>
    <row r="61" spans="1:35" ht="12.6" thickTop="1" x14ac:dyDescent="0.25">
      <c r="D61" s="35"/>
      <c r="H61" s="42"/>
      <c r="I61" s="42"/>
      <c r="K61" s="25"/>
      <c r="L61" s="25"/>
      <c r="M61" s="25"/>
      <c r="N61" s="28"/>
      <c r="O61" s="28"/>
      <c r="P61" s="28"/>
      <c r="Q61" s="28"/>
      <c r="R61" s="28"/>
      <c r="S61" s="16"/>
      <c r="T61" s="28"/>
      <c r="U61" s="28"/>
      <c r="V61" s="28"/>
      <c r="W61" s="26"/>
      <c r="X61" s="26"/>
      <c r="Y61" s="26"/>
      <c r="Z61" s="13"/>
      <c r="AA61" s="32"/>
      <c r="AC61" s="65"/>
    </row>
    <row r="62" spans="1:35" ht="12" x14ac:dyDescent="0.25">
      <c r="A62" s="14" t="s">
        <v>157</v>
      </c>
      <c r="B62" s="36"/>
      <c r="C62" s="36"/>
      <c r="D62" s="37"/>
      <c r="K62" s="25"/>
      <c r="L62" s="25"/>
      <c r="M62" s="25"/>
      <c r="N62" s="28"/>
      <c r="O62" s="28"/>
      <c r="P62" s="28"/>
      <c r="Q62" s="28"/>
      <c r="R62" s="28"/>
      <c r="S62" s="16"/>
      <c r="T62" s="28"/>
      <c r="U62" s="28"/>
      <c r="V62" s="28"/>
      <c r="W62" s="26"/>
      <c r="X62" s="26"/>
      <c r="Y62" s="26"/>
      <c r="AC62" s="65"/>
    </row>
    <row r="63" spans="1:35" x14ac:dyDescent="0.2">
      <c r="A63" s="14" t="s">
        <v>158</v>
      </c>
      <c r="B63" s="45"/>
      <c r="C63" s="45"/>
      <c r="D63" s="33"/>
      <c r="E63" s="21"/>
      <c r="F63" s="44"/>
      <c r="G63" s="44"/>
      <c r="J63" s="7"/>
      <c r="K63" s="22"/>
      <c r="L63" s="22"/>
      <c r="M63" s="22"/>
      <c r="N63" s="16"/>
      <c r="O63" s="16"/>
      <c r="P63" s="16"/>
      <c r="Q63" s="16"/>
      <c r="R63" s="16"/>
      <c r="S63" s="16"/>
      <c r="T63" s="16"/>
      <c r="U63" s="16"/>
      <c r="V63" s="16"/>
      <c r="W63" s="23"/>
      <c r="X63" s="23"/>
      <c r="Y63" s="23"/>
      <c r="Z63" s="7"/>
      <c r="AC63" s="65"/>
    </row>
    <row r="65" spans="1:35" ht="12" x14ac:dyDescent="0.25">
      <c r="A65" s="94" t="s">
        <v>179</v>
      </c>
      <c r="B65" s="94"/>
      <c r="C65" s="94"/>
      <c r="D65" s="94"/>
      <c r="E65" s="95"/>
      <c r="F65" s="96"/>
      <c r="G65" s="96"/>
      <c r="H65" s="96"/>
      <c r="I65" s="96"/>
      <c r="J65" s="94"/>
      <c r="K65" s="97"/>
      <c r="L65" s="97"/>
      <c r="M65" s="97"/>
      <c r="N65" s="98"/>
      <c r="O65" s="98"/>
      <c r="P65" s="98"/>
      <c r="Q65" s="98"/>
      <c r="R65" s="98"/>
      <c r="S65" s="99"/>
      <c r="T65" s="98"/>
      <c r="U65" s="98"/>
      <c r="V65" s="98"/>
      <c r="W65" s="100"/>
      <c r="X65" s="100"/>
      <c r="Y65" s="101"/>
      <c r="Z65" s="94"/>
    </row>
    <row r="66" spans="1:35" x14ac:dyDescent="0.2">
      <c r="A66" s="74" t="s">
        <v>46</v>
      </c>
      <c r="B66" s="74"/>
      <c r="C66" s="74"/>
      <c r="D66" s="74" t="s">
        <v>23</v>
      </c>
      <c r="E66" s="75" t="s">
        <v>9</v>
      </c>
      <c r="F66" s="76">
        <v>713037011</v>
      </c>
      <c r="G66" s="76"/>
      <c r="H66" s="76" t="s">
        <v>107</v>
      </c>
      <c r="I66" s="76" t="s">
        <v>114</v>
      </c>
      <c r="J66" s="74"/>
      <c r="K66" s="77">
        <v>93200</v>
      </c>
      <c r="L66" s="77">
        <f t="shared" ref="L66" si="34" xml:space="preserve"> K66*151/148</f>
        <v>95089.189189189186</v>
      </c>
      <c r="M66" s="77">
        <f t="shared" ref="M66" si="35">(L66*162/151)</f>
        <v>102016.21621621621</v>
      </c>
      <c r="N66" s="77"/>
      <c r="O66" s="77">
        <f t="shared" ref="O66" si="36">M66*(163/162)</f>
        <v>102645.94594594595</v>
      </c>
      <c r="P66" s="77">
        <f t="shared" ref="P66:P67" si="37">ROUND(O66/110.6*113.8,0)</f>
        <v>105616</v>
      </c>
      <c r="Q66" s="77">
        <f t="shared" ref="Q66:Q67" si="38">ROUND(P66/113.8*117.8,0)</f>
        <v>109328</v>
      </c>
      <c r="R66" s="77">
        <f t="shared" ref="R66" si="39">ROUND(Q66/117.8*118.8,0)</f>
        <v>110256</v>
      </c>
      <c r="S66" s="77"/>
      <c r="T66" s="77">
        <f t="shared" ref="T66" si="40">ROUND(R66/118.8*120.2,0)</f>
        <v>111555</v>
      </c>
      <c r="U66" s="77">
        <f t="shared" ref="U66:V67" si="41">ROUND(T66/120.2*121,0)</f>
        <v>112297</v>
      </c>
      <c r="V66" s="77">
        <f t="shared" si="41"/>
        <v>113044</v>
      </c>
      <c r="W66" s="78"/>
      <c r="X66" s="78">
        <f t="shared" ref="X66:X67" si="42" xml:space="preserve"> V66+W66</f>
        <v>113044</v>
      </c>
      <c r="Y66" s="78">
        <f t="shared" ref="Y66:Y67" si="43">ROUND(X66*0.42/1000,2)</f>
        <v>47.48</v>
      </c>
      <c r="Z66" s="79" t="s">
        <v>174</v>
      </c>
    </row>
    <row r="67" spans="1:35" x14ac:dyDescent="0.2">
      <c r="A67" s="74" t="s">
        <v>37</v>
      </c>
      <c r="B67" s="74"/>
      <c r="C67" s="74"/>
      <c r="D67" s="74" t="s">
        <v>34</v>
      </c>
      <c r="E67" s="75" t="s">
        <v>9</v>
      </c>
      <c r="F67" s="76">
        <v>713086001</v>
      </c>
      <c r="G67" s="76"/>
      <c r="H67" s="76" t="s">
        <v>108</v>
      </c>
      <c r="I67" s="76" t="s">
        <v>115</v>
      </c>
      <c r="J67" s="74"/>
      <c r="K67" s="77">
        <v>77500</v>
      </c>
      <c r="L67" s="77">
        <f xml:space="preserve"> K67*151/148</f>
        <v>79070.945945945947</v>
      </c>
      <c r="M67" s="77">
        <f>(L67*162/151)</f>
        <v>84831.08108108108</v>
      </c>
      <c r="N67" s="77">
        <v>430000</v>
      </c>
      <c r="O67" s="77">
        <f>N67*(163/162)</f>
        <v>432654.32098765433</v>
      </c>
      <c r="P67" s="77">
        <f t="shared" si="37"/>
        <v>445172</v>
      </c>
      <c r="Q67" s="77">
        <f t="shared" si="38"/>
        <v>460820</v>
      </c>
      <c r="R67" s="80"/>
      <c r="S67" s="74" t="s">
        <v>156</v>
      </c>
      <c r="T67" s="77">
        <v>471900</v>
      </c>
      <c r="U67" s="77">
        <f t="shared" si="41"/>
        <v>475041</v>
      </c>
      <c r="V67" s="77">
        <f t="shared" si="41"/>
        <v>478203</v>
      </c>
      <c r="W67" s="78">
        <v>24400</v>
      </c>
      <c r="X67" s="78">
        <f t="shared" si="42"/>
        <v>502603</v>
      </c>
      <c r="Y67" s="78">
        <f t="shared" si="43"/>
        <v>211.09</v>
      </c>
      <c r="Z67" s="79" t="s">
        <v>174</v>
      </c>
    </row>
    <row r="69" spans="1:35" s="82" customFormat="1" ht="13.2" x14ac:dyDescent="0.25">
      <c r="A69" s="74"/>
      <c r="B69" s="74"/>
      <c r="C69" s="74"/>
      <c r="D69" s="74"/>
      <c r="E69" s="75"/>
      <c r="F69" s="76"/>
      <c r="G69" s="76"/>
      <c r="H69" s="76"/>
      <c r="I69" s="76"/>
      <c r="J69" s="79"/>
      <c r="K69" s="78"/>
      <c r="L69" s="77"/>
      <c r="M69" s="77"/>
      <c r="N69" s="77"/>
      <c r="O69" s="77"/>
      <c r="P69" s="77"/>
      <c r="Q69" s="77"/>
      <c r="S69" s="74"/>
      <c r="T69" s="77"/>
      <c r="U69" s="77"/>
      <c r="V69" s="16"/>
      <c r="W69" s="78"/>
      <c r="X69" s="78"/>
      <c r="Y69" s="78"/>
      <c r="Z69" s="79"/>
      <c r="AA69" s="83"/>
      <c r="AB69" s="80"/>
      <c r="AC69" s="84"/>
      <c r="AD69" s="84"/>
      <c r="AE69" s="84"/>
      <c r="AF69" s="84"/>
      <c r="AG69" s="85"/>
      <c r="AH69" s="83"/>
      <c r="AI69" s="83"/>
    </row>
    <row r="71" spans="1:35" x14ac:dyDescent="0.2">
      <c r="Y71" s="87"/>
    </row>
    <row r="72" spans="1:35" x14ac:dyDescent="0.2">
      <c r="Y72" s="87">
        <v>314.02</v>
      </c>
    </row>
    <row r="73" spans="1:35" x14ac:dyDescent="0.2">
      <c r="Y73" s="87">
        <f>Y60+Y72</f>
        <v>28334.729999999992</v>
      </c>
    </row>
    <row r="74" spans="1:35" x14ac:dyDescent="0.2">
      <c r="Y74" s="90">
        <v>33428.379999999997</v>
      </c>
    </row>
    <row r="75" spans="1:35" x14ac:dyDescent="0.2">
      <c r="Y75" s="87">
        <f>Y73-Y74</f>
        <v>-5093.6500000000051</v>
      </c>
    </row>
    <row r="76" spans="1:35" x14ac:dyDescent="0.2">
      <c r="Y76" s="90">
        <f>Y75*21%</f>
        <v>-1069.666500000001</v>
      </c>
    </row>
    <row r="77" spans="1:35" x14ac:dyDescent="0.2">
      <c r="W77" s="89"/>
      <c r="Y77" s="88">
        <f>Y75+Y76</f>
        <v>-6163.3165000000063</v>
      </c>
    </row>
    <row r="78" spans="1:35" x14ac:dyDescent="0.2">
      <c r="W78" s="89"/>
      <c r="Y78" s="91"/>
    </row>
    <row r="79" spans="1:35" x14ac:dyDescent="0.2">
      <c r="W79" s="89"/>
      <c r="Y79" s="88"/>
    </row>
    <row r="80" spans="1:35" x14ac:dyDescent="0.2">
      <c r="W80" s="89"/>
    </row>
  </sheetData>
  <mergeCells count="1">
    <mergeCell ref="S3:S4"/>
  </mergeCells>
  <pageMargins left="0.74803149606299213" right="0.35433070866141736" top="1.7716535433070868" bottom="0.59055118110236227" header="0.27559055118110237" footer="0.19685039370078741"/>
  <pageSetup paperSize="9" scale="66" fitToHeight="2" orientation="landscape" r:id="rId1"/>
  <headerFooter alignWithMargins="0">
    <oddFooter>&amp;L&amp;8&amp;F - &amp;A&amp;C&amp;8&amp;P&amp;R&amp;8&amp;D</oddFooter>
  </headerFooter>
  <rowBreaks count="1" manualBreakCount="1">
    <brk id="43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70"/>
  <sheetViews>
    <sheetView tabSelected="1" zoomScaleNormal="100" zoomScaleSheetLayoutView="100" workbookViewId="0">
      <pane ySplit="3" topLeftCell="A4" activePane="bottomLeft" state="frozen"/>
      <selection pane="bottomLeft" activeCell="W58" sqref="W58"/>
    </sheetView>
  </sheetViews>
  <sheetFormatPr defaultColWidth="9" defaultRowHeight="13.2" x14ac:dyDescent="0.25"/>
  <cols>
    <col min="1" max="1" width="28.59765625" style="61" customWidth="1"/>
    <col min="2" max="2" width="8.09765625" style="61" bestFit="1" customWidth="1"/>
    <col min="3" max="3" width="10.3984375" style="61" bestFit="1" customWidth="1"/>
    <col min="4" max="4" width="29.5" style="61" bestFit="1" customWidth="1"/>
    <col min="5" max="5" width="5.3984375" style="143" bestFit="1" customWidth="1"/>
    <col min="6" max="6" width="24.09765625" style="61" bestFit="1" customWidth="1"/>
    <col min="7" max="7" width="5.3984375" style="137" bestFit="1" customWidth="1"/>
    <col min="8" max="8" width="14.5" style="176" hidden="1" customWidth="1"/>
    <col min="9" max="10" width="14.5" style="171" hidden="1" customWidth="1"/>
    <col min="11" max="11" width="13.59765625" style="183" hidden="1" customWidth="1"/>
    <col min="12" max="13" width="14.5" style="183" hidden="1" customWidth="1"/>
    <col min="14" max="15" width="14.5" style="183" customWidth="1"/>
    <col min="16" max="16" width="14.5" style="183" bestFit="1" customWidth="1"/>
    <col min="17" max="17" width="14.5" style="183" customWidth="1"/>
    <col min="18" max="18" width="16.5" style="183" bestFit="1" customWidth="1"/>
    <col min="19" max="19" width="15.59765625" style="183" bestFit="1" customWidth="1"/>
    <col min="20" max="21" width="14.5" style="183" customWidth="1"/>
    <col min="22" max="22" width="19.3984375" style="183" bestFit="1" customWidth="1"/>
    <col min="23" max="24" width="14.5" style="166" customWidth="1"/>
    <col min="25" max="25" width="26.59765625" style="61" bestFit="1" customWidth="1"/>
    <col min="26" max="26" width="3.59765625" style="61" customWidth="1"/>
    <col min="27" max="27" width="12.69921875" style="61" bestFit="1" customWidth="1"/>
    <col min="28" max="28" width="10.09765625" style="61" bestFit="1" customWidth="1"/>
    <col min="29" max="29" width="10" style="61" bestFit="1" customWidth="1"/>
    <col min="30" max="16384" width="9" style="61"/>
  </cols>
  <sheetData>
    <row r="1" spans="1:34" x14ac:dyDescent="0.25">
      <c r="A1" s="135" t="s">
        <v>1</v>
      </c>
      <c r="B1" s="135" t="s">
        <v>154</v>
      </c>
      <c r="C1" s="135" t="s">
        <v>140</v>
      </c>
      <c r="D1" s="135" t="s">
        <v>2</v>
      </c>
      <c r="E1" s="135" t="s">
        <v>4</v>
      </c>
      <c r="F1" s="135" t="s">
        <v>5</v>
      </c>
      <c r="G1" s="223" t="s">
        <v>155</v>
      </c>
      <c r="H1" s="167" t="s">
        <v>293</v>
      </c>
      <c r="I1" s="167" t="s">
        <v>293</v>
      </c>
      <c r="J1" s="167" t="s">
        <v>293</v>
      </c>
      <c r="K1" s="177" t="s">
        <v>7</v>
      </c>
      <c r="L1" s="167" t="s">
        <v>293</v>
      </c>
      <c r="M1" s="177" t="s">
        <v>7</v>
      </c>
      <c r="N1" s="167" t="s">
        <v>293</v>
      </c>
      <c r="O1" s="177" t="s">
        <v>7</v>
      </c>
      <c r="P1" s="177" t="s">
        <v>104</v>
      </c>
      <c r="Q1" s="177"/>
      <c r="R1" s="177"/>
      <c r="S1" s="177"/>
      <c r="T1" s="177"/>
      <c r="U1" s="177"/>
      <c r="V1" s="177"/>
      <c r="W1" s="163"/>
      <c r="X1" s="163"/>
      <c r="Y1" s="135" t="s">
        <v>118</v>
      </c>
      <c r="Z1" s="136"/>
    </row>
    <row r="2" spans="1:34" x14ac:dyDescent="0.25">
      <c r="A2" s="135"/>
      <c r="B2" s="135"/>
      <c r="C2" s="135"/>
      <c r="D2" s="135"/>
      <c r="E2" s="135"/>
      <c r="F2" s="135"/>
      <c r="G2" s="223"/>
      <c r="H2" s="167" t="s">
        <v>294</v>
      </c>
      <c r="I2" s="167" t="s">
        <v>295</v>
      </c>
      <c r="J2" s="167" t="s">
        <v>292</v>
      </c>
      <c r="K2" s="177"/>
      <c r="L2" s="167" t="s">
        <v>296</v>
      </c>
      <c r="M2" s="167" t="s">
        <v>296</v>
      </c>
      <c r="N2" s="167" t="s">
        <v>384</v>
      </c>
      <c r="O2" s="167" t="s">
        <v>384</v>
      </c>
      <c r="P2" s="177"/>
      <c r="Q2" s="177"/>
      <c r="R2" s="177"/>
      <c r="S2" s="177"/>
      <c r="T2" s="177"/>
      <c r="U2" s="177"/>
      <c r="V2" s="177"/>
      <c r="W2" s="163"/>
      <c r="X2" s="163"/>
      <c r="Y2" s="135"/>
      <c r="Z2" s="136"/>
    </row>
    <row r="3" spans="1:34" x14ac:dyDescent="0.25">
      <c r="A3" s="135"/>
      <c r="B3" s="135"/>
      <c r="C3" s="135"/>
      <c r="D3" s="135"/>
      <c r="E3" s="135"/>
      <c r="F3" s="135"/>
      <c r="G3" s="223"/>
      <c r="H3" s="172" t="s">
        <v>204</v>
      </c>
      <c r="I3" s="167" t="s">
        <v>248</v>
      </c>
      <c r="J3" s="167" t="s">
        <v>286</v>
      </c>
      <c r="K3" s="178"/>
      <c r="L3" s="197" t="s">
        <v>297</v>
      </c>
      <c r="M3" s="197" t="s">
        <v>298</v>
      </c>
      <c r="N3" s="197" t="s">
        <v>386</v>
      </c>
      <c r="O3" s="197" t="s">
        <v>385</v>
      </c>
      <c r="P3" s="177"/>
      <c r="Q3" s="177"/>
      <c r="R3" s="177"/>
      <c r="S3" s="177"/>
      <c r="T3" s="177"/>
      <c r="U3" s="177" t="s">
        <v>393</v>
      </c>
      <c r="V3" s="177" t="s">
        <v>394</v>
      </c>
      <c r="W3" s="163" t="s">
        <v>283</v>
      </c>
      <c r="X3" s="163" t="s">
        <v>284</v>
      </c>
      <c r="Y3" s="135"/>
      <c r="Z3" s="136"/>
    </row>
    <row r="4" spans="1:34" s="72" customFormat="1" x14ac:dyDescent="0.25">
      <c r="A4" s="188" t="s">
        <v>183</v>
      </c>
      <c r="B4" s="188" t="s">
        <v>184</v>
      </c>
      <c r="C4" s="188" t="s">
        <v>149</v>
      </c>
      <c r="D4" s="188" t="s">
        <v>185</v>
      </c>
      <c r="E4" s="189"/>
      <c r="F4" s="188" t="s">
        <v>287</v>
      </c>
      <c r="G4" s="160"/>
      <c r="H4" s="173">
        <v>22941</v>
      </c>
      <c r="I4" s="168">
        <f t="shared" ref="I4:I8" si="0">ROUND(H4/144.3*151.5,0)</f>
        <v>24086</v>
      </c>
      <c r="J4" s="168">
        <f>ROUND(I4/151.5*159.8,0)</f>
        <v>25406</v>
      </c>
      <c r="K4" s="179"/>
      <c r="L4" s="202">
        <v>36300</v>
      </c>
      <c r="M4" s="202"/>
      <c r="N4" s="168">
        <f>ROUND(L4/124*128.4,0)</f>
        <v>37588</v>
      </c>
      <c r="O4" s="202"/>
      <c r="P4" s="179">
        <f>N4+O4</f>
        <v>37588</v>
      </c>
      <c r="Q4" s="189" t="s">
        <v>377</v>
      </c>
      <c r="R4" s="188" t="s">
        <v>305</v>
      </c>
      <c r="S4" s="188"/>
      <c r="T4" s="179"/>
      <c r="U4" s="179"/>
      <c r="V4" s="179"/>
      <c r="W4" s="164"/>
      <c r="X4" s="164"/>
      <c r="Y4" s="138"/>
      <c r="Z4" s="138"/>
    </row>
    <row r="5" spans="1:34" s="72" customFormat="1" x14ac:dyDescent="0.25">
      <c r="A5" s="188" t="s">
        <v>42</v>
      </c>
      <c r="B5" s="188" t="s">
        <v>255</v>
      </c>
      <c r="C5" s="188" t="s">
        <v>149</v>
      </c>
      <c r="D5" s="188" t="s">
        <v>23</v>
      </c>
      <c r="E5" s="189" t="s">
        <v>43</v>
      </c>
      <c r="F5" s="188" t="s">
        <v>44</v>
      </c>
      <c r="G5" s="157"/>
      <c r="H5" s="173">
        <v>208581</v>
      </c>
      <c r="I5" s="168">
        <f t="shared" si="0"/>
        <v>218988</v>
      </c>
      <c r="J5" s="168">
        <f t="shared" ref="J5:J8" si="1">ROUND(I5/151.5*159.8,0)</f>
        <v>230985</v>
      </c>
      <c r="K5" s="179"/>
      <c r="L5" s="202">
        <v>562650</v>
      </c>
      <c r="M5" s="202"/>
      <c r="N5" s="168">
        <f t="shared" ref="N5:N54" si="2">ROUND(L5/124*128.4,0)</f>
        <v>582615</v>
      </c>
      <c r="O5" s="202"/>
      <c r="P5" s="179">
        <f t="shared" ref="P5:P55" si="3">N5+O5</f>
        <v>582615</v>
      </c>
      <c r="Q5" s="189" t="s">
        <v>377</v>
      </c>
      <c r="R5" s="188" t="s">
        <v>306</v>
      </c>
      <c r="S5" s="188"/>
      <c r="T5" s="179"/>
      <c r="U5" s="179"/>
      <c r="V5" s="179"/>
      <c r="W5" s="164"/>
      <c r="X5" s="164"/>
      <c r="Y5" s="138"/>
      <c r="Z5" s="62"/>
      <c r="AA5" s="61"/>
      <c r="AB5" s="61"/>
      <c r="AC5" s="61"/>
      <c r="AD5" s="61"/>
      <c r="AE5" s="61"/>
      <c r="AF5" s="61"/>
      <c r="AG5" s="61"/>
      <c r="AH5" s="61"/>
    </row>
    <row r="6" spans="1:34" s="72" customFormat="1" x14ac:dyDescent="0.25">
      <c r="A6" s="188" t="s">
        <v>53</v>
      </c>
      <c r="B6" s="188" t="s">
        <v>256</v>
      </c>
      <c r="C6" s="188" t="s">
        <v>149</v>
      </c>
      <c r="D6" s="188" t="s">
        <v>56</v>
      </c>
      <c r="E6" s="189" t="s">
        <v>8</v>
      </c>
      <c r="F6" s="188" t="s">
        <v>57</v>
      </c>
      <c r="G6" s="158"/>
      <c r="H6" s="173">
        <v>181103</v>
      </c>
      <c r="I6" s="168">
        <f t="shared" si="0"/>
        <v>190139</v>
      </c>
      <c r="J6" s="168">
        <f t="shared" si="1"/>
        <v>200556</v>
      </c>
      <c r="K6" s="180">
        <v>50820</v>
      </c>
      <c r="L6" s="202">
        <v>217800</v>
      </c>
      <c r="M6" s="202">
        <v>114950</v>
      </c>
      <c r="N6" s="168">
        <f t="shared" si="2"/>
        <v>225528</v>
      </c>
      <c r="O6" s="168">
        <f>ROUND(M6/122.3*124.4,0)</f>
        <v>116924</v>
      </c>
      <c r="P6" s="179">
        <f t="shared" si="3"/>
        <v>342452</v>
      </c>
      <c r="Q6" s="189" t="s">
        <v>378</v>
      </c>
      <c r="R6" s="188" t="s">
        <v>307</v>
      </c>
      <c r="S6" s="188" t="s">
        <v>308</v>
      </c>
      <c r="T6" s="179"/>
      <c r="U6" s="179"/>
      <c r="V6" s="179"/>
      <c r="W6" s="164"/>
      <c r="X6" s="164"/>
      <c r="Y6" s="138"/>
      <c r="Z6" s="138"/>
    </row>
    <row r="7" spans="1:34" s="72" customFormat="1" x14ac:dyDescent="0.25">
      <c r="A7" s="188" t="s">
        <v>53</v>
      </c>
      <c r="B7" s="188" t="s">
        <v>256</v>
      </c>
      <c r="C7" s="188" t="s">
        <v>149</v>
      </c>
      <c r="D7" s="188" t="s">
        <v>54</v>
      </c>
      <c r="E7" s="189" t="s">
        <v>9</v>
      </c>
      <c r="F7" s="188" t="s">
        <v>55</v>
      </c>
      <c r="G7" s="158"/>
      <c r="H7" s="173">
        <v>1585794</v>
      </c>
      <c r="I7" s="168">
        <f t="shared" si="0"/>
        <v>1664919</v>
      </c>
      <c r="J7" s="168">
        <f t="shared" si="1"/>
        <v>1756132</v>
      </c>
      <c r="K7" s="180">
        <v>181500</v>
      </c>
      <c r="L7" s="202">
        <v>1881550</v>
      </c>
      <c r="M7" s="202">
        <v>248050</v>
      </c>
      <c r="N7" s="168">
        <f t="shared" si="2"/>
        <v>1948315</v>
      </c>
      <c r="O7" s="168">
        <f t="shared" ref="O7:O55" si="4">ROUND(M7/122.3*124.4,0)</f>
        <v>252309</v>
      </c>
      <c r="P7" s="179">
        <f t="shared" si="3"/>
        <v>2200624</v>
      </c>
      <c r="Q7" s="189" t="s">
        <v>378</v>
      </c>
      <c r="R7" s="188" t="s">
        <v>309</v>
      </c>
      <c r="S7" s="188" t="s">
        <v>310</v>
      </c>
      <c r="T7" s="179"/>
      <c r="U7" s="179"/>
      <c r="V7" s="179"/>
      <c r="W7" s="164"/>
      <c r="X7" s="164"/>
      <c r="Y7" s="139"/>
      <c r="Z7" s="138"/>
      <c r="AA7" s="61"/>
    </row>
    <row r="8" spans="1:34" s="72" customFormat="1" x14ac:dyDescent="0.25">
      <c r="A8" s="188" t="s">
        <v>171</v>
      </c>
      <c r="B8" s="188" t="s">
        <v>168</v>
      </c>
      <c r="C8" s="188" t="s">
        <v>149</v>
      </c>
      <c r="D8" s="188" t="s">
        <v>172</v>
      </c>
      <c r="E8" s="189"/>
      <c r="F8" s="188"/>
      <c r="G8" s="157"/>
      <c r="H8" s="173">
        <v>1846965</v>
      </c>
      <c r="I8" s="168">
        <f t="shared" si="0"/>
        <v>1939121</v>
      </c>
      <c r="J8" s="168">
        <f t="shared" si="1"/>
        <v>2045357</v>
      </c>
      <c r="K8" s="179"/>
      <c r="L8" s="202">
        <v>2002550</v>
      </c>
      <c r="M8" s="202"/>
      <c r="N8" s="168">
        <f t="shared" si="2"/>
        <v>2073608</v>
      </c>
      <c r="O8" s="168">
        <f t="shared" si="4"/>
        <v>0</v>
      </c>
      <c r="P8" s="179">
        <f t="shared" si="3"/>
        <v>2073608</v>
      </c>
      <c r="Q8" s="189" t="s">
        <v>377</v>
      </c>
      <c r="R8" s="188" t="s">
        <v>311</v>
      </c>
      <c r="S8" s="188"/>
      <c r="T8" s="179"/>
      <c r="U8" s="179"/>
      <c r="V8" s="179"/>
      <c r="W8" s="164"/>
      <c r="X8" s="164"/>
      <c r="Y8" s="138"/>
      <c r="Z8" s="62"/>
      <c r="AA8" s="61"/>
      <c r="AB8" s="61"/>
      <c r="AC8" s="61"/>
      <c r="AD8" s="61"/>
      <c r="AE8" s="61"/>
      <c r="AF8" s="61"/>
      <c r="AG8" s="61"/>
      <c r="AH8" s="61"/>
    </row>
    <row r="9" spans="1:34" s="72" customFormat="1" x14ac:dyDescent="0.25">
      <c r="A9" s="188" t="s">
        <v>10</v>
      </c>
      <c r="B9" s="188" t="s">
        <v>260</v>
      </c>
      <c r="C9" s="188" t="s">
        <v>149</v>
      </c>
      <c r="D9" s="188" t="s">
        <v>380</v>
      </c>
      <c r="E9" s="189" t="s">
        <v>9</v>
      </c>
      <c r="F9" s="188" t="s">
        <v>197</v>
      </c>
      <c r="G9" s="158"/>
      <c r="H9" s="173">
        <v>388078</v>
      </c>
      <c r="I9" s="168">
        <f t="shared" ref="I9:I13" si="5">ROUND(H9/144.3*151.5,0)</f>
        <v>407442</v>
      </c>
      <c r="J9" s="168">
        <f t="shared" ref="J9:J13" si="6">ROUND(I9/151.5*159.8,0)</f>
        <v>429764</v>
      </c>
      <c r="K9" s="180"/>
      <c r="L9" s="202">
        <v>508200</v>
      </c>
      <c r="M9" s="202"/>
      <c r="N9" s="168">
        <f t="shared" si="2"/>
        <v>526233</v>
      </c>
      <c r="O9" s="168">
        <f t="shared" si="4"/>
        <v>0</v>
      </c>
      <c r="P9" s="179">
        <f t="shared" si="3"/>
        <v>526233</v>
      </c>
      <c r="Q9" s="189" t="s">
        <v>377</v>
      </c>
      <c r="R9" s="188" t="s">
        <v>312</v>
      </c>
      <c r="S9" s="188"/>
      <c r="T9" s="179"/>
      <c r="U9" s="179"/>
      <c r="V9" s="179"/>
      <c r="W9" s="164"/>
      <c r="X9" s="164"/>
      <c r="Y9" s="139" t="s">
        <v>198</v>
      </c>
      <c r="Z9" s="139"/>
      <c r="AA9" s="141"/>
      <c r="AB9" s="141"/>
      <c r="AC9" s="141"/>
      <c r="AD9" s="141"/>
      <c r="AE9" s="141"/>
      <c r="AF9" s="141"/>
      <c r="AG9" s="141"/>
      <c r="AH9" s="141"/>
    </row>
    <row r="10" spans="1:34" x14ac:dyDescent="0.25">
      <c r="A10" s="188" t="s">
        <v>72</v>
      </c>
      <c r="B10" s="188" t="s">
        <v>261</v>
      </c>
      <c r="C10" s="188" t="s">
        <v>149</v>
      </c>
      <c r="D10" s="188" t="s">
        <v>74</v>
      </c>
      <c r="E10" s="189" t="s">
        <v>9</v>
      </c>
      <c r="F10" s="190" t="s">
        <v>76</v>
      </c>
      <c r="G10" s="158"/>
      <c r="H10" s="173">
        <v>948636</v>
      </c>
      <c r="I10" s="168">
        <f t="shared" si="5"/>
        <v>995969</v>
      </c>
      <c r="J10" s="168">
        <f t="shared" si="6"/>
        <v>1050534</v>
      </c>
      <c r="K10" s="180">
        <v>90750</v>
      </c>
      <c r="L10" s="202">
        <v>992200</v>
      </c>
      <c r="M10" s="202">
        <v>114950</v>
      </c>
      <c r="N10" s="168">
        <f t="shared" si="2"/>
        <v>1027407</v>
      </c>
      <c r="O10" s="168">
        <f t="shared" si="4"/>
        <v>116924</v>
      </c>
      <c r="P10" s="179">
        <f t="shared" si="3"/>
        <v>1144331</v>
      </c>
      <c r="Q10" s="189" t="s">
        <v>378</v>
      </c>
      <c r="R10" s="188" t="s">
        <v>313</v>
      </c>
      <c r="S10" s="188" t="s">
        <v>314</v>
      </c>
      <c r="T10" s="179"/>
      <c r="U10" s="179" t="s">
        <v>395</v>
      </c>
      <c r="V10" s="179" t="s">
        <v>395</v>
      </c>
      <c r="W10" s="164" t="s">
        <v>395</v>
      </c>
      <c r="X10" s="164" t="s">
        <v>395</v>
      </c>
      <c r="Y10" s="138"/>
      <c r="Z10" s="62"/>
      <c r="AB10" s="63"/>
      <c r="AC10" s="63"/>
      <c r="AD10" s="63"/>
      <c r="AE10" s="63"/>
      <c r="AF10" s="64"/>
      <c r="AG10" s="62"/>
      <c r="AH10" s="62"/>
    </row>
    <row r="11" spans="1:34" x14ac:dyDescent="0.25">
      <c r="A11" s="188" t="s">
        <v>11</v>
      </c>
      <c r="B11" s="188" t="s">
        <v>262</v>
      </c>
      <c r="C11" s="188" t="s">
        <v>149</v>
      </c>
      <c r="D11" s="188" t="s">
        <v>128</v>
      </c>
      <c r="E11" s="189" t="s">
        <v>8</v>
      </c>
      <c r="F11" s="188" t="s">
        <v>129</v>
      </c>
      <c r="G11" s="158"/>
      <c r="H11" s="173">
        <v>150919</v>
      </c>
      <c r="I11" s="168">
        <f t="shared" si="5"/>
        <v>158449</v>
      </c>
      <c r="J11" s="168">
        <f t="shared" si="6"/>
        <v>167130</v>
      </c>
      <c r="K11" s="180"/>
      <c r="L11" s="202">
        <v>369050</v>
      </c>
      <c r="M11" s="202"/>
      <c r="N11" s="168">
        <f t="shared" si="2"/>
        <v>382145</v>
      </c>
      <c r="O11" s="168">
        <f t="shared" si="4"/>
        <v>0</v>
      </c>
      <c r="P11" s="179">
        <f t="shared" si="3"/>
        <v>382145</v>
      </c>
      <c r="Q11" s="189" t="s">
        <v>377</v>
      </c>
      <c r="R11" s="188" t="s">
        <v>315</v>
      </c>
      <c r="S11" s="188"/>
      <c r="T11" s="179"/>
      <c r="U11" s="179"/>
      <c r="V11" s="179"/>
      <c r="W11" s="164"/>
      <c r="X11" s="164"/>
      <c r="Y11" s="83"/>
      <c r="Z11" s="62"/>
      <c r="AA11" s="140"/>
    </row>
    <row r="12" spans="1:34" x14ac:dyDescent="0.25">
      <c r="A12" s="188" t="s">
        <v>126</v>
      </c>
      <c r="B12" s="188" t="s">
        <v>263</v>
      </c>
      <c r="C12" s="188" t="s">
        <v>149</v>
      </c>
      <c r="D12" s="188" t="s">
        <v>75</v>
      </c>
      <c r="E12" s="189" t="s">
        <v>9</v>
      </c>
      <c r="F12" s="190" t="s">
        <v>126</v>
      </c>
      <c r="G12" s="158"/>
      <c r="H12" s="173">
        <v>2314096</v>
      </c>
      <c r="I12" s="168">
        <f t="shared" si="5"/>
        <v>2429560</v>
      </c>
      <c r="J12" s="168">
        <f t="shared" si="6"/>
        <v>2562665</v>
      </c>
      <c r="K12" s="180">
        <v>151250</v>
      </c>
      <c r="L12" s="202">
        <v>2528900</v>
      </c>
      <c r="M12" s="202">
        <v>205700</v>
      </c>
      <c r="N12" s="168">
        <f t="shared" si="2"/>
        <v>2618635</v>
      </c>
      <c r="O12" s="168">
        <f t="shared" si="4"/>
        <v>209232</v>
      </c>
      <c r="P12" s="179">
        <f t="shared" si="3"/>
        <v>2827867</v>
      </c>
      <c r="Q12" s="189" t="s">
        <v>378</v>
      </c>
      <c r="R12" s="188" t="s">
        <v>316</v>
      </c>
      <c r="S12" s="188" t="s">
        <v>317</v>
      </c>
      <c r="T12" s="179"/>
      <c r="U12" s="179" t="s">
        <v>395</v>
      </c>
      <c r="V12" s="179" t="s">
        <v>395</v>
      </c>
      <c r="W12" s="164" t="s">
        <v>395</v>
      </c>
      <c r="X12" s="164" t="s">
        <v>395</v>
      </c>
      <c r="Y12" s="138"/>
      <c r="Z12" s="62"/>
      <c r="AA12" s="72"/>
      <c r="AB12" s="63"/>
      <c r="AC12" s="63"/>
      <c r="AD12" s="63"/>
      <c r="AE12" s="63"/>
      <c r="AF12" s="64"/>
      <c r="AG12" s="62"/>
      <c r="AH12" s="62"/>
    </row>
    <row r="13" spans="1:34" s="141" customFormat="1" x14ac:dyDescent="0.25">
      <c r="A13" s="188" t="s">
        <v>12</v>
      </c>
      <c r="B13" s="188" t="s">
        <v>265</v>
      </c>
      <c r="C13" s="188" t="s">
        <v>149</v>
      </c>
      <c r="D13" s="188" t="s">
        <v>124</v>
      </c>
      <c r="E13" s="189" t="s">
        <v>9</v>
      </c>
      <c r="F13" s="188" t="s">
        <v>199</v>
      </c>
      <c r="G13" s="158"/>
      <c r="H13" s="173">
        <v>362206</v>
      </c>
      <c r="I13" s="168">
        <f t="shared" si="5"/>
        <v>380279</v>
      </c>
      <c r="J13" s="168">
        <f t="shared" si="6"/>
        <v>401113</v>
      </c>
      <c r="K13" s="180"/>
      <c r="L13" s="202">
        <v>363000</v>
      </c>
      <c r="M13" s="202"/>
      <c r="N13" s="168">
        <f t="shared" si="2"/>
        <v>375881</v>
      </c>
      <c r="O13" s="168">
        <f t="shared" si="4"/>
        <v>0</v>
      </c>
      <c r="P13" s="179">
        <f t="shared" si="3"/>
        <v>375881</v>
      </c>
      <c r="Q13" s="189" t="s">
        <v>377</v>
      </c>
      <c r="R13" s="188" t="s">
        <v>318</v>
      </c>
      <c r="S13" s="188"/>
      <c r="T13" s="179"/>
      <c r="U13" s="179"/>
      <c r="V13" s="179"/>
      <c r="W13" s="164"/>
      <c r="X13" s="164"/>
      <c r="Y13" s="139"/>
      <c r="Z13" s="139"/>
    </row>
    <row r="14" spans="1:34" x14ac:dyDescent="0.25">
      <c r="A14" s="188" t="s">
        <v>88</v>
      </c>
      <c r="B14" s="188" t="s">
        <v>266</v>
      </c>
      <c r="C14" s="188" t="s">
        <v>149</v>
      </c>
      <c r="D14" s="188" t="s">
        <v>117</v>
      </c>
      <c r="E14" s="189" t="s">
        <v>9</v>
      </c>
      <c r="F14" s="188" t="s">
        <v>288</v>
      </c>
      <c r="G14" s="157"/>
      <c r="H14" s="173">
        <v>13359688</v>
      </c>
      <c r="I14" s="168">
        <f t="shared" ref="I14:I16" si="7">ROUND(H14/144.3*151.5,0)</f>
        <v>14026284</v>
      </c>
      <c r="J14" s="168">
        <f t="shared" ref="J14:J17" si="8">ROUND(I14/151.5*159.8,0)</f>
        <v>14794721</v>
      </c>
      <c r="K14" s="180"/>
      <c r="L14" s="202">
        <v>18755000</v>
      </c>
      <c r="M14" s="202"/>
      <c r="N14" s="168">
        <f t="shared" si="2"/>
        <v>19420500</v>
      </c>
      <c r="O14" s="168">
        <f t="shared" si="4"/>
        <v>0</v>
      </c>
      <c r="P14" s="179">
        <f t="shared" si="3"/>
        <v>19420500</v>
      </c>
      <c r="Q14" s="189" t="s">
        <v>377</v>
      </c>
      <c r="R14" s="188" t="s">
        <v>319</v>
      </c>
      <c r="S14" s="188"/>
      <c r="T14" s="179"/>
      <c r="U14" s="179"/>
      <c r="V14" s="179"/>
      <c r="W14" s="164"/>
      <c r="X14" s="164" t="s">
        <v>285</v>
      </c>
      <c r="Y14" s="72"/>
    </row>
    <row r="15" spans="1:34" x14ac:dyDescent="0.25">
      <c r="A15" s="188" t="s">
        <v>15</v>
      </c>
      <c r="B15" s="188" t="s">
        <v>267</v>
      </c>
      <c r="C15" s="188" t="s">
        <v>149</v>
      </c>
      <c r="D15" s="188" t="s">
        <v>16</v>
      </c>
      <c r="E15" s="189" t="s">
        <v>9</v>
      </c>
      <c r="F15" s="188" t="s">
        <v>17</v>
      </c>
      <c r="G15" s="158"/>
      <c r="H15" s="173">
        <v>776158</v>
      </c>
      <c r="I15" s="168">
        <f t="shared" si="7"/>
        <v>814885</v>
      </c>
      <c r="J15" s="168">
        <f t="shared" si="8"/>
        <v>859529</v>
      </c>
      <c r="K15" s="180"/>
      <c r="L15" s="202">
        <v>798600</v>
      </c>
      <c r="M15" s="202"/>
      <c r="N15" s="168">
        <f t="shared" si="2"/>
        <v>826937</v>
      </c>
      <c r="O15" s="168">
        <f t="shared" si="4"/>
        <v>0</v>
      </c>
      <c r="P15" s="179">
        <f t="shared" si="3"/>
        <v>826937</v>
      </c>
      <c r="Q15" s="189" t="s">
        <v>377</v>
      </c>
      <c r="R15" s="188" t="s">
        <v>320</v>
      </c>
      <c r="S15" s="188"/>
      <c r="T15" s="179"/>
      <c r="U15" s="179"/>
      <c r="V15" s="179"/>
      <c r="W15" s="164"/>
      <c r="X15" s="164"/>
      <c r="Y15" s="138"/>
      <c r="Z15" s="62"/>
    </row>
    <row r="16" spans="1:34" x14ac:dyDescent="0.25">
      <c r="A16" s="188" t="s">
        <v>18</v>
      </c>
      <c r="B16" s="188" t="s">
        <v>267</v>
      </c>
      <c r="C16" s="188" t="s">
        <v>149</v>
      </c>
      <c r="D16" s="188" t="s">
        <v>127</v>
      </c>
      <c r="E16" s="189" t="s">
        <v>9</v>
      </c>
      <c r="F16" s="188"/>
      <c r="G16" s="158"/>
      <c r="H16" s="173">
        <v>10377497</v>
      </c>
      <c r="I16" s="168">
        <f t="shared" si="7"/>
        <v>10895293</v>
      </c>
      <c r="J16" s="168">
        <f t="shared" si="8"/>
        <v>11492197</v>
      </c>
      <c r="K16" s="180"/>
      <c r="L16" s="202">
        <v>8935850</v>
      </c>
      <c r="M16" s="202"/>
      <c r="N16" s="168">
        <f t="shared" si="2"/>
        <v>9252929</v>
      </c>
      <c r="O16" s="168">
        <f t="shared" si="4"/>
        <v>0</v>
      </c>
      <c r="P16" s="179">
        <f t="shared" si="3"/>
        <v>9252929</v>
      </c>
      <c r="Q16" s="189" t="s">
        <v>377</v>
      </c>
      <c r="R16" s="188" t="s">
        <v>321</v>
      </c>
      <c r="S16" s="188"/>
      <c r="T16" s="179"/>
      <c r="U16" s="179"/>
      <c r="V16" s="179"/>
      <c r="W16" s="164"/>
      <c r="X16" s="164"/>
      <c r="Y16" s="138"/>
      <c r="Z16" s="62"/>
      <c r="AA16" s="72"/>
    </row>
    <row r="17" spans="1:34" s="141" customFormat="1" x14ac:dyDescent="0.25">
      <c r="A17" s="191" t="s">
        <v>49</v>
      </c>
      <c r="B17" s="191" t="s">
        <v>268</v>
      </c>
      <c r="C17" s="192" t="s">
        <v>149</v>
      </c>
      <c r="D17" s="191" t="s">
        <v>50</v>
      </c>
      <c r="E17" s="193" t="s">
        <v>9</v>
      </c>
      <c r="F17" s="191" t="s">
        <v>51</v>
      </c>
      <c r="G17" s="159"/>
      <c r="H17" s="174">
        <v>75000</v>
      </c>
      <c r="I17" s="218">
        <f>H17</f>
        <v>75000</v>
      </c>
      <c r="J17" s="168">
        <f t="shared" si="8"/>
        <v>79109</v>
      </c>
      <c r="K17" s="169"/>
      <c r="L17" s="202">
        <v>435600</v>
      </c>
      <c r="M17" s="202"/>
      <c r="N17" s="168">
        <f t="shared" si="2"/>
        <v>451057</v>
      </c>
      <c r="O17" s="168">
        <f t="shared" si="4"/>
        <v>0</v>
      </c>
      <c r="P17" s="179">
        <f t="shared" si="3"/>
        <v>451057</v>
      </c>
      <c r="Q17" s="189" t="s">
        <v>377</v>
      </c>
      <c r="R17" s="188" t="s">
        <v>322</v>
      </c>
      <c r="S17" s="188"/>
      <c r="T17" s="179"/>
      <c r="U17" s="179"/>
      <c r="V17" s="179"/>
      <c r="W17" s="162"/>
      <c r="X17" s="162"/>
      <c r="Y17" s="185" t="s">
        <v>201</v>
      </c>
      <c r="Z17" s="154"/>
      <c r="AA17" s="155"/>
      <c r="AB17" s="155"/>
      <c r="AC17" s="155"/>
      <c r="AD17" s="155"/>
      <c r="AE17" s="155"/>
      <c r="AF17" s="155"/>
      <c r="AG17" s="155"/>
      <c r="AH17" s="155"/>
    </row>
    <row r="18" spans="1:34" x14ac:dyDescent="0.25">
      <c r="A18" s="188" t="s">
        <v>73</v>
      </c>
      <c r="B18" s="188" t="s">
        <v>269</v>
      </c>
      <c r="C18" s="188" t="s">
        <v>149</v>
      </c>
      <c r="D18" s="188" t="s">
        <v>74</v>
      </c>
      <c r="E18" s="189" t="s">
        <v>9</v>
      </c>
      <c r="F18" s="190" t="s">
        <v>73</v>
      </c>
      <c r="G18" s="158"/>
      <c r="H18" s="173">
        <v>948636</v>
      </c>
      <c r="I18" s="168">
        <f t="shared" ref="I18:I23" si="9">ROUND(H18/144.3*151.5,0)</f>
        <v>995969</v>
      </c>
      <c r="J18" s="168">
        <f t="shared" ref="J18:J23" si="10">ROUND(I18/151.5*159.8,0)</f>
        <v>1050534</v>
      </c>
      <c r="K18" s="180">
        <v>82280</v>
      </c>
      <c r="L18" s="202">
        <v>992200</v>
      </c>
      <c r="M18" s="202">
        <v>108900</v>
      </c>
      <c r="N18" s="168">
        <f t="shared" si="2"/>
        <v>1027407</v>
      </c>
      <c r="O18" s="168">
        <f t="shared" si="4"/>
        <v>110770</v>
      </c>
      <c r="P18" s="179">
        <f t="shared" si="3"/>
        <v>1138177</v>
      </c>
      <c r="Q18" s="189" t="s">
        <v>378</v>
      </c>
      <c r="R18" s="188" t="s">
        <v>323</v>
      </c>
      <c r="S18" s="188" t="s">
        <v>324</v>
      </c>
      <c r="T18" s="179"/>
      <c r="U18" s="179" t="s">
        <v>395</v>
      </c>
      <c r="V18" s="179" t="s">
        <v>395</v>
      </c>
      <c r="W18" s="164" t="s">
        <v>395</v>
      </c>
      <c r="X18" s="164" t="s">
        <v>395</v>
      </c>
      <c r="Y18" s="138"/>
      <c r="Z18" s="62"/>
      <c r="AA18" s="72"/>
      <c r="AB18" s="63"/>
      <c r="AC18" s="63"/>
      <c r="AD18" s="63"/>
      <c r="AE18" s="63"/>
      <c r="AF18" s="64"/>
      <c r="AG18" s="62"/>
      <c r="AH18" s="62"/>
    </row>
    <row r="19" spans="1:34" x14ac:dyDescent="0.25">
      <c r="A19" s="188" t="s">
        <v>24</v>
      </c>
      <c r="B19" s="188" t="s">
        <v>270</v>
      </c>
      <c r="C19" s="188" t="s">
        <v>149</v>
      </c>
      <c r="D19" s="188" t="s">
        <v>25</v>
      </c>
      <c r="E19" s="189" t="s">
        <v>9</v>
      </c>
      <c r="F19" s="188" t="s">
        <v>26</v>
      </c>
      <c r="G19" s="158"/>
      <c r="H19" s="173">
        <v>1165672</v>
      </c>
      <c r="I19" s="168">
        <f t="shared" si="9"/>
        <v>1223834</v>
      </c>
      <c r="J19" s="168">
        <f t="shared" si="10"/>
        <v>1290882</v>
      </c>
      <c r="K19" s="180"/>
      <c r="L19" s="202">
        <v>1179750</v>
      </c>
      <c r="M19" s="202"/>
      <c r="N19" s="168">
        <f t="shared" si="2"/>
        <v>1221612</v>
      </c>
      <c r="O19" s="168">
        <f t="shared" si="4"/>
        <v>0</v>
      </c>
      <c r="P19" s="179">
        <f t="shared" si="3"/>
        <v>1221612</v>
      </c>
      <c r="Q19" s="189" t="s">
        <v>377</v>
      </c>
      <c r="R19" s="188" t="s">
        <v>325</v>
      </c>
      <c r="S19" s="188"/>
      <c r="T19" s="179"/>
      <c r="U19" s="179"/>
      <c r="V19" s="179"/>
      <c r="W19" s="164"/>
      <c r="X19" s="164"/>
      <c r="Y19" s="138"/>
      <c r="Z19" s="62"/>
    </row>
    <row r="20" spans="1:34" x14ac:dyDescent="0.25">
      <c r="A20" s="188" t="s">
        <v>31</v>
      </c>
      <c r="B20" s="188" t="s">
        <v>271</v>
      </c>
      <c r="C20" s="188" t="s">
        <v>149</v>
      </c>
      <c r="D20" s="188" t="s">
        <v>29</v>
      </c>
      <c r="E20" s="189" t="s">
        <v>9</v>
      </c>
      <c r="F20" s="188" t="s">
        <v>30</v>
      </c>
      <c r="G20" s="158"/>
      <c r="H20" s="173">
        <v>790530</v>
      </c>
      <c r="I20" s="168">
        <f t="shared" si="9"/>
        <v>829974</v>
      </c>
      <c r="J20" s="168">
        <f t="shared" si="10"/>
        <v>875445</v>
      </c>
      <c r="K20" s="180"/>
      <c r="L20" s="202">
        <v>847000</v>
      </c>
      <c r="M20" s="202"/>
      <c r="N20" s="168">
        <f t="shared" si="2"/>
        <v>877055</v>
      </c>
      <c r="O20" s="168">
        <f t="shared" si="4"/>
        <v>0</v>
      </c>
      <c r="P20" s="179">
        <f t="shared" si="3"/>
        <v>877055</v>
      </c>
      <c r="Q20" s="189" t="s">
        <v>377</v>
      </c>
      <c r="R20" s="188" t="s">
        <v>326</v>
      </c>
      <c r="S20" s="188"/>
      <c r="T20" s="179"/>
      <c r="U20" s="179"/>
      <c r="V20" s="179"/>
      <c r="W20" s="164"/>
      <c r="X20" s="164"/>
      <c r="Y20" s="138"/>
      <c r="Z20" s="62"/>
      <c r="AA20" s="72"/>
    </row>
    <row r="21" spans="1:34" x14ac:dyDescent="0.25">
      <c r="A21" s="188" t="s">
        <v>28</v>
      </c>
      <c r="B21" s="188" t="s">
        <v>271</v>
      </c>
      <c r="C21" s="188" t="s">
        <v>149</v>
      </c>
      <c r="D21" s="188" t="s">
        <v>29</v>
      </c>
      <c r="E21" s="189" t="s">
        <v>9</v>
      </c>
      <c r="F21" s="188" t="s">
        <v>30</v>
      </c>
      <c r="G21" s="158"/>
      <c r="H21" s="173">
        <v>2975265</v>
      </c>
      <c r="I21" s="168">
        <f t="shared" si="9"/>
        <v>3123719</v>
      </c>
      <c r="J21" s="168">
        <f t="shared" si="10"/>
        <v>3294853</v>
      </c>
      <c r="K21" s="180"/>
      <c r="L21" s="202">
        <v>2940300</v>
      </c>
      <c r="M21" s="202"/>
      <c r="N21" s="168">
        <f t="shared" si="2"/>
        <v>3044633</v>
      </c>
      <c r="O21" s="168">
        <f t="shared" si="4"/>
        <v>0</v>
      </c>
      <c r="P21" s="179">
        <f t="shared" si="3"/>
        <v>3044633</v>
      </c>
      <c r="Q21" s="189" t="s">
        <v>377</v>
      </c>
      <c r="R21" s="188" t="s">
        <v>327</v>
      </c>
      <c r="S21" s="188"/>
      <c r="T21" s="179"/>
      <c r="U21" s="179"/>
      <c r="V21" s="179"/>
      <c r="W21" s="164"/>
      <c r="X21" s="164"/>
      <c r="Y21" s="138"/>
      <c r="Z21" s="62"/>
      <c r="AA21" s="72"/>
    </row>
    <row r="22" spans="1:34" x14ac:dyDescent="0.25">
      <c r="A22" s="188" t="s">
        <v>133</v>
      </c>
      <c r="B22" s="188" t="s">
        <v>272</v>
      </c>
      <c r="C22" s="188" t="s">
        <v>149</v>
      </c>
      <c r="D22" s="188" t="s">
        <v>22</v>
      </c>
      <c r="E22" s="189" t="s">
        <v>8</v>
      </c>
      <c r="F22" s="188" t="s">
        <v>32</v>
      </c>
      <c r="G22" s="158"/>
      <c r="H22" s="173">
        <v>64679</v>
      </c>
      <c r="I22" s="168">
        <f t="shared" si="9"/>
        <v>67906</v>
      </c>
      <c r="J22" s="168">
        <f t="shared" si="10"/>
        <v>71626</v>
      </c>
      <c r="K22" s="180">
        <v>32670</v>
      </c>
      <c r="L22" s="202">
        <v>90750</v>
      </c>
      <c r="M22" s="202">
        <v>60500</v>
      </c>
      <c r="N22" s="168">
        <f t="shared" si="2"/>
        <v>93970</v>
      </c>
      <c r="O22" s="168">
        <f t="shared" si="4"/>
        <v>61539</v>
      </c>
      <c r="P22" s="179">
        <f t="shared" si="3"/>
        <v>155509</v>
      </c>
      <c r="Q22" s="189" t="s">
        <v>378</v>
      </c>
      <c r="R22" s="188" t="s">
        <v>328</v>
      </c>
      <c r="S22" s="188" t="s">
        <v>329</v>
      </c>
      <c r="T22" s="179"/>
      <c r="U22" s="179"/>
      <c r="V22" s="179"/>
      <c r="W22" s="164"/>
      <c r="X22" s="164"/>
      <c r="Y22" s="138"/>
      <c r="Z22" s="62"/>
      <c r="AA22" s="72"/>
    </row>
    <row r="23" spans="1:34" x14ac:dyDescent="0.25">
      <c r="A23" s="188" t="s">
        <v>134</v>
      </c>
      <c r="B23" s="188" t="s">
        <v>273</v>
      </c>
      <c r="C23" s="188" t="s">
        <v>149</v>
      </c>
      <c r="D23" s="188" t="s">
        <v>13</v>
      </c>
      <c r="E23" s="189"/>
      <c r="F23" s="188" t="s">
        <v>135</v>
      </c>
      <c r="G23" s="157"/>
      <c r="H23" s="173">
        <v>178180</v>
      </c>
      <c r="I23" s="168">
        <f t="shared" si="9"/>
        <v>187070</v>
      </c>
      <c r="J23" s="168">
        <f t="shared" si="10"/>
        <v>197319</v>
      </c>
      <c r="K23" s="180"/>
      <c r="L23" s="202">
        <v>363000</v>
      </c>
      <c r="M23" s="202"/>
      <c r="N23" s="168">
        <f t="shared" si="2"/>
        <v>375881</v>
      </c>
      <c r="O23" s="168">
        <f t="shared" si="4"/>
        <v>0</v>
      </c>
      <c r="P23" s="179">
        <f t="shared" si="3"/>
        <v>375881</v>
      </c>
      <c r="Q23" s="189" t="s">
        <v>377</v>
      </c>
      <c r="R23" s="188" t="s">
        <v>330</v>
      </c>
      <c r="S23" s="188"/>
      <c r="T23" s="179"/>
      <c r="U23" s="179"/>
      <c r="V23" s="179"/>
      <c r="W23" s="164"/>
      <c r="X23" s="164"/>
      <c r="Y23" s="187" t="s">
        <v>304</v>
      </c>
      <c r="Z23" s="62"/>
    </row>
    <row r="24" spans="1:34" s="82" customFormat="1" x14ac:dyDescent="0.25">
      <c r="A24" s="188" t="s">
        <v>131</v>
      </c>
      <c r="B24" s="188" t="s">
        <v>274</v>
      </c>
      <c r="C24" s="188" t="s">
        <v>149</v>
      </c>
      <c r="D24" s="188" t="s">
        <v>78</v>
      </c>
      <c r="E24" s="189" t="s">
        <v>9</v>
      </c>
      <c r="F24" s="188" t="s">
        <v>132</v>
      </c>
      <c r="G24" s="188" t="s">
        <v>300</v>
      </c>
      <c r="H24" s="201">
        <v>689700</v>
      </c>
      <c r="I24" s="215">
        <f>H24</f>
        <v>689700</v>
      </c>
      <c r="J24" s="215">
        <f>ROUND(I24/151.5*159.8,0)</f>
        <v>727486</v>
      </c>
      <c r="K24" s="200">
        <v>399300</v>
      </c>
      <c r="L24" s="215">
        <f>ROUND(J24/159.8*174,0)</f>
        <v>792131</v>
      </c>
      <c r="M24" s="215">
        <f>ROUND(K24/131.5*147.3,0)</f>
        <v>447277</v>
      </c>
      <c r="N24" s="168">
        <f t="shared" si="2"/>
        <v>820239</v>
      </c>
      <c r="O24" s="168">
        <f t="shared" si="4"/>
        <v>454957</v>
      </c>
      <c r="P24" s="179">
        <f t="shared" si="3"/>
        <v>1275196</v>
      </c>
      <c r="Q24" s="189" t="s">
        <v>378</v>
      </c>
      <c r="R24" s="219"/>
      <c r="S24" s="219"/>
      <c r="T24" s="200"/>
      <c r="U24" s="200"/>
      <c r="V24" s="200"/>
      <c r="W24" s="216"/>
      <c r="X24" s="216"/>
      <c r="Y24" s="83" t="s">
        <v>209</v>
      </c>
      <c r="Z24" s="83"/>
    </row>
    <row r="25" spans="1:34" s="82" customFormat="1" x14ac:dyDescent="0.25">
      <c r="A25" s="188" t="s">
        <v>131</v>
      </c>
      <c r="B25" s="188" t="s">
        <v>274</v>
      </c>
      <c r="C25" s="188" t="s">
        <v>149</v>
      </c>
      <c r="D25" s="188" t="s">
        <v>78</v>
      </c>
      <c r="E25" s="189" t="s">
        <v>9</v>
      </c>
      <c r="F25" s="188" t="s">
        <v>302</v>
      </c>
      <c r="G25" s="188" t="s">
        <v>301</v>
      </c>
      <c r="H25" s="201"/>
      <c r="I25" s="215"/>
      <c r="J25" s="215"/>
      <c r="K25" s="200">
        <v>423500</v>
      </c>
      <c r="L25" s="215">
        <f>ROUND(J25/159.8*174,0)</f>
        <v>0</v>
      </c>
      <c r="M25" s="215">
        <f>ROUND(K25/131.5*147.3,0)</f>
        <v>474384</v>
      </c>
      <c r="N25" s="168">
        <f t="shared" si="2"/>
        <v>0</v>
      </c>
      <c r="O25" s="168">
        <f t="shared" si="4"/>
        <v>482530</v>
      </c>
      <c r="P25" s="179">
        <f t="shared" si="3"/>
        <v>482530</v>
      </c>
      <c r="Q25" s="189" t="s">
        <v>379</v>
      </c>
      <c r="R25" s="219"/>
      <c r="S25" s="219"/>
      <c r="T25" s="200"/>
      <c r="U25" s="200"/>
      <c r="V25" s="200"/>
      <c r="W25" s="216"/>
      <c r="X25" s="216"/>
      <c r="Y25" s="83"/>
      <c r="Z25" s="83"/>
    </row>
    <row r="26" spans="1:34" x14ac:dyDescent="0.25">
      <c r="A26" s="188" t="s">
        <v>90</v>
      </c>
      <c r="B26" s="188" t="s">
        <v>275</v>
      </c>
      <c r="C26" s="188" t="s">
        <v>149</v>
      </c>
      <c r="D26" s="188" t="s">
        <v>176</v>
      </c>
      <c r="E26" s="189" t="s">
        <v>9</v>
      </c>
      <c r="F26" s="188"/>
      <c r="G26" s="158"/>
      <c r="H26" s="173">
        <v>1667299</v>
      </c>
      <c r="I26" s="168">
        <f t="shared" ref="I26:I36" si="11">ROUND(H26/144.3*151.5,0)</f>
        <v>1750491</v>
      </c>
      <c r="J26" s="168">
        <f t="shared" ref="J26:J36" si="12">ROUND(I26/151.5*159.8,0)</f>
        <v>1846392</v>
      </c>
      <c r="K26" s="180"/>
      <c r="L26" s="202">
        <v>1839200</v>
      </c>
      <c r="M26" s="202"/>
      <c r="N26" s="168">
        <f t="shared" si="2"/>
        <v>1904462</v>
      </c>
      <c r="O26" s="168">
        <f t="shared" si="4"/>
        <v>0</v>
      </c>
      <c r="P26" s="179">
        <f t="shared" si="3"/>
        <v>1904462</v>
      </c>
      <c r="Q26" s="189" t="s">
        <v>377</v>
      </c>
      <c r="R26" s="188" t="s">
        <v>331</v>
      </c>
      <c r="S26" s="188"/>
      <c r="T26" s="179"/>
      <c r="U26" s="179"/>
      <c r="V26" s="179"/>
      <c r="W26" s="164"/>
      <c r="X26" s="164"/>
      <c r="Y26" s="138"/>
      <c r="Z26" s="62"/>
    </row>
    <row r="27" spans="1:34" x14ac:dyDescent="0.25">
      <c r="A27" s="188" t="s">
        <v>33</v>
      </c>
      <c r="B27" s="188" t="s">
        <v>276</v>
      </c>
      <c r="C27" s="188" t="s">
        <v>149</v>
      </c>
      <c r="D27" s="188" t="s">
        <v>34</v>
      </c>
      <c r="E27" s="189" t="s">
        <v>9</v>
      </c>
      <c r="F27" s="138"/>
      <c r="G27" s="158"/>
      <c r="H27" s="173">
        <v>2889027</v>
      </c>
      <c r="I27" s="168">
        <f t="shared" si="11"/>
        <v>3033178</v>
      </c>
      <c r="J27" s="168">
        <f t="shared" si="12"/>
        <v>3199352</v>
      </c>
      <c r="K27" s="180"/>
      <c r="L27" s="202">
        <v>955900</v>
      </c>
      <c r="M27" s="202"/>
      <c r="N27" s="168">
        <f t="shared" si="2"/>
        <v>989819</v>
      </c>
      <c r="O27" s="168">
        <f t="shared" si="4"/>
        <v>0</v>
      </c>
      <c r="P27" s="179">
        <f t="shared" si="3"/>
        <v>989819</v>
      </c>
      <c r="Q27" s="189" t="s">
        <v>377</v>
      </c>
      <c r="R27" s="188" t="s">
        <v>332</v>
      </c>
      <c r="S27" s="188"/>
      <c r="T27" s="179"/>
      <c r="U27" s="179"/>
      <c r="V27" s="179"/>
      <c r="W27" s="164"/>
      <c r="X27" s="164"/>
      <c r="Y27" s="138" t="s">
        <v>163</v>
      </c>
      <c r="Z27" s="62"/>
    </row>
    <row r="28" spans="1:34" x14ac:dyDescent="0.25">
      <c r="A28" s="188" t="s">
        <v>35</v>
      </c>
      <c r="B28" s="188" t="s">
        <v>277</v>
      </c>
      <c r="C28" s="188" t="s">
        <v>149</v>
      </c>
      <c r="D28" s="188" t="s">
        <v>23</v>
      </c>
      <c r="E28" s="189" t="s">
        <v>9</v>
      </c>
      <c r="F28" s="188" t="s">
        <v>27</v>
      </c>
      <c r="G28" s="157"/>
      <c r="H28" s="173">
        <v>85451</v>
      </c>
      <c r="I28" s="168">
        <f t="shared" si="11"/>
        <v>89715</v>
      </c>
      <c r="J28" s="168">
        <f t="shared" si="12"/>
        <v>94630</v>
      </c>
      <c r="K28" s="179"/>
      <c r="L28" s="202">
        <v>399300</v>
      </c>
      <c r="M28" s="202"/>
      <c r="N28" s="168">
        <f t="shared" si="2"/>
        <v>413469</v>
      </c>
      <c r="O28" s="168">
        <f t="shared" si="4"/>
        <v>0</v>
      </c>
      <c r="P28" s="179">
        <f t="shared" si="3"/>
        <v>413469</v>
      </c>
      <c r="Q28" s="189" t="s">
        <v>377</v>
      </c>
      <c r="R28" s="188" t="s">
        <v>333</v>
      </c>
      <c r="S28" s="188"/>
      <c r="T28" s="179"/>
      <c r="U28" s="179"/>
      <c r="V28" s="179"/>
      <c r="W28" s="164"/>
      <c r="X28" s="164"/>
      <c r="Y28" s="138"/>
      <c r="Z28" s="62"/>
    </row>
    <row r="29" spans="1:34" x14ac:dyDescent="0.25">
      <c r="A29" s="188" t="s">
        <v>36</v>
      </c>
      <c r="B29" s="188" t="s">
        <v>278</v>
      </c>
      <c r="C29" s="188" t="s">
        <v>149</v>
      </c>
      <c r="D29" s="188" t="s">
        <v>22</v>
      </c>
      <c r="E29" s="189" t="s">
        <v>9</v>
      </c>
      <c r="F29" s="188" t="s">
        <v>175</v>
      </c>
      <c r="G29" s="158"/>
      <c r="H29" s="173">
        <v>503064</v>
      </c>
      <c r="I29" s="168">
        <f t="shared" si="11"/>
        <v>528165</v>
      </c>
      <c r="J29" s="168">
        <f t="shared" si="12"/>
        <v>557101</v>
      </c>
      <c r="K29" s="180"/>
      <c r="L29" s="202">
        <v>592900</v>
      </c>
      <c r="M29" s="202"/>
      <c r="N29" s="168">
        <f t="shared" si="2"/>
        <v>613938</v>
      </c>
      <c r="O29" s="168">
        <f t="shared" si="4"/>
        <v>0</v>
      </c>
      <c r="P29" s="179">
        <f t="shared" si="3"/>
        <v>613938</v>
      </c>
      <c r="Q29" s="189" t="s">
        <v>377</v>
      </c>
      <c r="R29" s="188" t="s">
        <v>334</v>
      </c>
      <c r="S29" s="188"/>
      <c r="T29" s="179"/>
      <c r="U29" s="179"/>
      <c r="V29" s="179"/>
      <c r="W29" s="164"/>
      <c r="X29" s="164"/>
      <c r="Y29" s="138"/>
      <c r="Z29" s="62"/>
    </row>
    <row r="30" spans="1:34" s="155" customFormat="1" x14ac:dyDescent="0.25">
      <c r="A30" s="188" t="s">
        <v>63</v>
      </c>
      <c r="B30" s="188" t="s">
        <v>279</v>
      </c>
      <c r="C30" s="188" t="s">
        <v>149</v>
      </c>
      <c r="D30" s="188" t="s">
        <v>22</v>
      </c>
      <c r="E30" s="189" t="s">
        <v>9</v>
      </c>
      <c r="F30" s="188" t="s">
        <v>79</v>
      </c>
      <c r="G30" s="158"/>
      <c r="H30" s="173">
        <v>4664125</v>
      </c>
      <c r="I30" s="168">
        <f t="shared" si="11"/>
        <v>4896846</v>
      </c>
      <c r="J30" s="168">
        <f t="shared" si="12"/>
        <v>5165122</v>
      </c>
      <c r="K30" s="180">
        <v>229900</v>
      </c>
      <c r="L30" s="202">
        <v>4416500</v>
      </c>
      <c r="M30" s="202">
        <v>326700</v>
      </c>
      <c r="N30" s="168">
        <f t="shared" si="2"/>
        <v>4573215</v>
      </c>
      <c r="O30" s="168">
        <f t="shared" si="4"/>
        <v>332310</v>
      </c>
      <c r="P30" s="179">
        <f t="shared" si="3"/>
        <v>4905525</v>
      </c>
      <c r="Q30" s="189" t="s">
        <v>378</v>
      </c>
      <c r="R30" s="188" t="s">
        <v>335</v>
      </c>
      <c r="S30" s="188" t="s">
        <v>336</v>
      </c>
      <c r="T30" s="179"/>
      <c r="U30" s="179"/>
      <c r="V30" s="179"/>
      <c r="W30" s="164"/>
      <c r="X30" s="164" t="s">
        <v>285</v>
      </c>
      <c r="Y30" s="138"/>
      <c r="Z30" s="62"/>
      <c r="AA30" s="61"/>
      <c r="AB30" s="61"/>
      <c r="AC30" s="61"/>
      <c r="AD30" s="61"/>
      <c r="AE30" s="61"/>
      <c r="AF30" s="61"/>
      <c r="AG30" s="61"/>
      <c r="AH30" s="61"/>
    </row>
    <row r="31" spans="1:34" x14ac:dyDescent="0.25">
      <c r="A31" s="188" t="s">
        <v>193</v>
      </c>
      <c r="B31" s="188" t="s">
        <v>280</v>
      </c>
      <c r="C31" s="188" t="s">
        <v>149</v>
      </c>
      <c r="D31" s="188" t="s">
        <v>192</v>
      </c>
      <c r="E31" s="189"/>
      <c r="F31" s="188"/>
      <c r="G31" s="160"/>
      <c r="H31" s="173">
        <v>573529</v>
      </c>
      <c r="I31" s="168">
        <f t="shared" si="11"/>
        <v>602146</v>
      </c>
      <c r="J31" s="168">
        <f t="shared" si="12"/>
        <v>635135</v>
      </c>
      <c r="K31" s="179"/>
      <c r="L31" s="202">
        <v>2722500</v>
      </c>
      <c r="M31" s="202"/>
      <c r="N31" s="168">
        <f t="shared" si="2"/>
        <v>2819105</v>
      </c>
      <c r="O31" s="168">
        <f t="shared" si="4"/>
        <v>0</v>
      </c>
      <c r="P31" s="179">
        <f t="shared" si="3"/>
        <v>2819105</v>
      </c>
      <c r="Q31" s="189" t="s">
        <v>377</v>
      </c>
      <c r="R31" s="188" t="s">
        <v>337</v>
      </c>
      <c r="S31" s="188"/>
      <c r="T31" s="179"/>
      <c r="U31" s="179"/>
      <c r="V31" s="179"/>
      <c r="W31" s="164"/>
      <c r="X31" s="164" t="s">
        <v>285</v>
      </c>
      <c r="Y31" s="139" t="s">
        <v>194</v>
      </c>
      <c r="Z31" s="139"/>
      <c r="AA31" s="141"/>
      <c r="AB31" s="141"/>
      <c r="AC31" s="141"/>
      <c r="AD31" s="141"/>
      <c r="AE31" s="141"/>
      <c r="AF31" s="141"/>
      <c r="AG31" s="141"/>
      <c r="AH31" s="141"/>
    </row>
    <row r="32" spans="1:34" x14ac:dyDescent="0.25">
      <c r="A32" s="188" t="s">
        <v>58</v>
      </c>
      <c r="B32" s="188" t="s">
        <v>281</v>
      </c>
      <c r="C32" s="188" t="s">
        <v>149</v>
      </c>
      <c r="D32" s="188" t="s">
        <v>59</v>
      </c>
      <c r="E32" s="189" t="s">
        <v>9</v>
      </c>
      <c r="F32" s="188" t="s">
        <v>60</v>
      </c>
      <c r="G32" s="158"/>
      <c r="H32" s="173">
        <v>215598</v>
      </c>
      <c r="I32" s="168">
        <f t="shared" si="11"/>
        <v>226355</v>
      </c>
      <c r="J32" s="168">
        <f t="shared" si="12"/>
        <v>238756</v>
      </c>
      <c r="K32" s="180">
        <v>5000</v>
      </c>
      <c r="L32" s="202">
        <v>326700</v>
      </c>
      <c r="M32" s="202">
        <v>18150</v>
      </c>
      <c r="N32" s="168">
        <f t="shared" si="2"/>
        <v>338293</v>
      </c>
      <c r="O32" s="168">
        <f t="shared" si="4"/>
        <v>18462</v>
      </c>
      <c r="P32" s="179">
        <f t="shared" si="3"/>
        <v>356755</v>
      </c>
      <c r="Q32" s="189" t="s">
        <v>378</v>
      </c>
      <c r="R32" s="188" t="s">
        <v>338</v>
      </c>
      <c r="S32" s="188" t="s">
        <v>339</v>
      </c>
      <c r="T32" s="179"/>
      <c r="U32" s="179"/>
      <c r="V32" s="179"/>
      <c r="W32" s="164"/>
      <c r="X32" s="164"/>
      <c r="Y32" s="138" t="s">
        <v>161</v>
      </c>
      <c r="Z32" s="62"/>
    </row>
    <row r="33" spans="1:34" x14ac:dyDescent="0.25">
      <c r="A33" s="188" t="s">
        <v>58</v>
      </c>
      <c r="B33" s="188" t="s">
        <v>281</v>
      </c>
      <c r="C33" s="188" t="s">
        <v>149</v>
      </c>
      <c r="D33" s="188" t="s">
        <v>124</v>
      </c>
      <c r="E33" s="189"/>
      <c r="F33" s="188" t="s">
        <v>95</v>
      </c>
      <c r="G33" s="158"/>
      <c r="H33" s="173">
        <v>93425</v>
      </c>
      <c r="I33" s="168">
        <f t="shared" si="11"/>
        <v>98087</v>
      </c>
      <c r="J33" s="168">
        <f t="shared" si="12"/>
        <v>103461</v>
      </c>
      <c r="K33" s="180">
        <v>5000</v>
      </c>
      <c r="L33" s="202">
        <v>139150</v>
      </c>
      <c r="M33" s="202">
        <v>0</v>
      </c>
      <c r="N33" s="168">
        <f t="shared" si="2"/>
        <v>144088</v>
      </c>
      <c r="O33" s="168">
        <f t="shared" si="4"/>
        <v>0</v>
      </c>
      <c r="P33" s="179">
        <f t="shared" si="3"/>
        <v>144088</v>
      </c>
      <c r="Q33" s="189" t="s">
        <v>377</v>
      </c>
      <c r="R33" s="188" t="s">
        <v>340</v>
      </c>
      <c r="S33" s="188" t="s">
        <v>341</v>
      </c>
      <c r="T33" s="179"/>
      <c r="U33" s="179"/>
      <c r="V33" s="179"/>
      <c r="W33" s="164"/>
      <c r="X33" s="164"/>
      <c r="Y33" s="138"/>
      <c r="Z33" s="138"/>
      <c r="AA33" s="72"/>
      <c r="AB33" s="72"/>
      <c r="AC33" s="72"/>
      <c r="AD33" s="72"/>
      <c r="AE33" s="72"/>
      <c r="AF33" s="72"/>
      <c r="AG33" s="72"/>
      <c r="AH33" s="72"/>
    </row>
    <row r="34" spans="1:34" x14ac:dyDescent="0.25">
      <c r="A34" s="188" t="s">
        <v>125</v>
      </c>
      <c r="B34" s="188" t="s">
        <v>258</v>
      </c>
      <c r="C34" s="188" t="s">
        <v>149</v>
      </c>
      <c r="D34" s="188" t="s">
        <v>13</v>
      </c>
      <c r="E34" s="189" t="s">
        <v>9</v>
      </c>
      <c r="F34" s="188" t="s">
        <v>14</v>
      </c>
      <c r="G34" s="158"/>
      <c r="H34" s="173">
        <v>2680613</v>
      </c>
      <c r="I34" s="168">
        <f t="shared" si="11"/>
        <v>2814365</v>
      </c>
      <c r="J34" s="168">
        <f t="shared" si="12"/>
        <v>2968551</v>
      </c>
      <c r="K34" s="180"/>
      <c r="L34" s="202">
        <v>2728550</v>
      </c>
      <c r="M34" s="202"/>
      <c r="N34" s="168">
        <f t="shared" si="2"/>
        <v>2825370</v>
      </c>
      <c r="O34" s="168">
        <f t="shared" si="4"/>
        <v>0</v>
      </c>
      <c r="P34" s="179">
        <f t="shared" si="3"/>
        <v>2825370</v>
      </c>
      <c r="Q34" s="189" t="s">
        <v>377</v>
      </c>
      <c r="R34" s="188" t="s">
        <v>342</v>
      </c>
      <c r="S34" s="188"/>
      <c r="T34" s="179"/>
      <c r="U34" s="179"/>
      <c r="V34" s="179"/>
      <c r="W34" s="164"/>
      <c r="X34" s="164"/>
      <c r="Y34" s="187" t="s">
        <v>290</v>
      </c>
      <c r="Z34" s="62"/>
    </row>
    <row r="35" spans="1:34" x14ac:dyDescent="0.25">
      <c r="A35" s="188" t="s">
        <v>69</v>
      </c>
      <c r="B35" s="188" t="s">
        <v>258</v>
      </c>
      <c r="C35" s="188" t="s">
        <v>149</v>
      </c>
      <c r="D35" s="188" t="s">
        <v>34</v>
      </c>
      <c r="E35" s="189" t="s">
        <v>9</v>
      </c>
      <c r="F35" s="188" t="s">
        <v>289</v>
      </c>
      <c r="G35" s="158"/>
      <c r="H35" s="173">
        <v>833649</v>
      </c>
      <c r="I35" s="168">
        <f t="shared" si="11"/>
        <v>875245</v>
      </c>
      <c r="J35" s="168">
        <f t="shared" si="12"/>
        <v>923196</v>
      </c>
      <c r="K35" s="180"/>
      <c r="L35" s="202">
        <v>828850</v>
      </c>
      <c r="M35" s="202"/>
      <c r="N35" s="168">
        <f t="shared" si="2"/>
        <v>858261</v>
      </c>
      <c r="O35" s="168">
        <f t="shared" si="4"/>
        <v>0</v>
      </c>
      <c r="P35" s="179">
        <f t="shared" si="3"/>
        <v>858261</v>
      </c>
      <c r="Q35" s="189" t="s">
        <v>377</v>
      </c>
      <c r="R35" s="188" t="s">
        <v>343</v>
      </c>
      <c r="S35" s="188"/>
      <c r="T35" s="179"/>
      <c r="U35" s="179"/>
      <c r="V35" s="179"/>
      <c r="W35" s="164"/>
      <c r="X35" s="164"/>
      <c r="Y35" s="138"/>
      <c r="Z35" s="62"/>
    </row>
    <row r="36" spans="1:34" x14ac:dyDescent="0.25">
      <c r="A36" s="188" t="s">
        <v>41</v>
      </c>
      <c r="B36" s="188" t="s">
        <v>258</v>
      </c>
      <c r="C36" s="188" t="s">
        <v>149</v>
      </c>
      <c r="D36" s="220" t="s">
        <v>388</v>
      </c>
      <c r="E36" s="189" t="s">
        <v>9</v>
      </c>
      <c r="F36" s="188" t="s">
        <v>173</v>
      </c>
      <c r="G36" s="158"/>
      <c r="H36" s="173">
        <v>7042901</v>
      </c>
      <c r="I36" s="168">
        <f t="shared" si="11"/>
        <v>7394314</v>
      </c>
      <c r="J36" s="168">
        <f t="shared" si="12"/>
        <v>7799415</v>
      </c>
      <c r="K36" s="180"/>
      <c r="L36" s="202">
        <v>7278150</v>
      </c>
      <c r="M36" s="202"/>
      <c r="N36" s="168">
        <f t="shared" si="2"/>
        <v>7536407</v>
      </c>
      <c r="O36" s="168">
        <f t="shared" si="4"/>
        <v>0</v>
      </c>
      <c r="P36" s="179">
        <f t="shared" si="3"/>
        <v>7536407</v>
      </c>
      <c r="Q36" s="189" t="s">
        <v>377</v>
      </c>
      <c r="R36" s="188" t="s">
        <v>344</v>
      </c>
      <c r="S36" s="188"/>
      <c r="T36" s="179"/>
      <c r="U36" s="179"/>
      <c r="V36" s="179"/>
      <c r="W36" s="164"/>
      <c r="X36" s="164" t="s">
        <v>285</v>
      </c>
      <c r="Y36" s="138"/>
      <c r="Z36" s="62"/>
      <c r="AA36" s="72"/>
    </row>
    <row r="37" spans="1:34" x14ac:dyDescent="0.25">
      <c r="A37" s="188" t="s">
        <v>70</v>
      </c>
      <c r="B37" s="188" t="s">
        <v>254</v>
      </c>
      <c r="C37" s="188" t="s">
        <v>149</v>
      </c>
      <c r="D37" s="188" t="s">
        <v>25</v>
      </c>
      <c r="E37" s="189" t="s">
        <v>9</v>
      </c>
      <c r="F37" s="188" t="s">
        <v>71</v>
      </c>
      <c r="G37" s="158"/>
      <c r="H37" s="173">
        <v>1221727</v>
      </c>
      <c r="I37" s="168">
        <f t="shared" ref="I37" si="13">ROUND(H37/144.3*151.5,0)</f>
        <v>1282686</v>
      </c>
      <c r="J37" s="168">
        <f t="shared" ref="J37" si="14">ROUND(I37/151.5*159.8,0)</f>
        <v>1352959</v>
      </c>
      <c r="K37" s="179">
        <v>187550</v>
      </c>
      <c r="L37" s="202">
        <v>1675850</v>
      </c>
      <c r="M37" s="202">
        <v>235950</v>
      </c>
      <c r="N37" s="168">
        <f t="shared" si="2"/>
        <v>1735316</v>
      </c>
      <c r="O37" s="168">
        <f t="shared" si="4"/>
        <v>240001</v>
      </c>
      <c r="P37" s="179">
        <f t="shared" si="3"/>
        <v>1975317</v>
      </c>
      <c r="Q37" s="189" t="s">
        <v>378</v>
      </c>
      <c r="R37" s="188" t="s">
        <v>345</v>
      </c>
      <c r="S37" s="188" t="s">
        <v>346</v>
      </c>
      <c r="T37" s="179"/>
      <c r="U37" s="179"/>
      <c r="V37" s="179"/>
      <c r="W37" s="164" t="s">
        <v>285</v>
      </c>
      <c r="X37" s="164"/>
      <c r="Y37" s="138" t="s">
        <v>162</v>
      </c>
      <c r="Z37" s="138"/>
      <c r="AA37" s="72"/>
      <c r="AB37" s="72"/>
      <c r="AC37" s="72"/>
      <c r="AD37" s="72"/>
      <c r="AE37" s="72"/>
      <c r="AF37" s="72"/>
      <c r="AG37" s="72"/>
      <c r="AH37" s="72"/>
    </row>
    <row r="38" spans="1:34" x14ac:dyDescent="0.25">
      <c r="A38" s="194" t="s">
        <v>210</v>
      </c>
      <c r="B38" s="194" t="s">
        <v>211</v>
      </c>
      <c r="C38" s="194" t="s">
        <v>149</v>
      </c>
      <c r="D38" s="194" t="s">
        <v>238</v>
      </c>
      <c r="E38" s="195" t="s">
        <v>9</v>
      </c>
      <c r="F38" s="194"/>
      <c r="G38" s="158"/>
      <c r="H38" s="218">
        <v>5302005</v>
      </c>
      <c r="I38" s="168">
        <f t="shared" ref="I38:I42" si="15">ROUND(H38/144.3*151.5,0)</f>
        <v>5566554</v>
      </c>
      <c r="J38" s="168">
        <f t="shared" ref="J38:J42" si="16">ROUND(I38/151.5*159.8,0)</f>
        <v>5871520</v>
      </c>
      <c r="K38" s="169">
        <v>877250</v>
      </c>
      <c r="L38" s="202">
        <v>5445000</v>
      </c>
      <c r="M38" s="202">
        <v>1149500</v>
      </c>
      <c r="N38" s="168">
        <f t="shared" si="2"/>
        <v>5638210</v>
      </c>
      <c r="O38" s="168">
        <f t="shared" si="4"/>
        <v>1169238</v>
      </c>
      <c r="P38" s="179">
        <f t="shared" si="3"/>
        <v>6807448</v>
      </c>
      <c r="Q38" s="189" t="s">
        <v>378</v>
      </c>
      <c r="R38" s="188" t="s">
        <v>351</v>
      </c>
      <c r="S38" s="188" t="s">
        <v>352</v>
      </c>
      <c r="T38" s="179"/>
      <c r="U38" s="179"/>
      <c r="V38" s="179"/>
      <c r="W38" s="164"/>
      <c r="X38" s="164"/>
      <c r="Y38" s="139"/>
    </row>
    <row r="39" spans="1:34" x14ac:dyDescent="0.25">
      <c r="A39" s="194" t="s">
        <v>212</v>
      </c>
      <c r="B39" s="194" t="s">
        <v>213</v>
      </c>
      <c r="C39" s="194" t="s">
        <v>149</v>
      </c>
      <c r="D39" s="221" t="s">
        <v>389</v>
      </c>
      <c r="E39" s="195" t="s">
        <v>9</v>
      </c>
      <c r="F39" s="194"/>
      <c r="G39" s="158"/>
      <c r="H39" s="218">
        <v>21825375</v>
      </c>
      <c r="I39" s="168">
        <f t="shared" si="15"/>
        <v>22914375</v>
      </c>
      <c r="J39" s="168">
        <f t="shared" si="16"/>
        <v>24169750</v>
      </c>
      <c r="K39" s="169">
        <v>4114000</v>
      </c>
      <c r="L39" s="202">
        <v>23958000</v>
      </c>
      <c r="M39" s="202">
        <v>5336100</v>
      </c>
      <c r="N39" s="168">
        <f t="shared" si="2"/>
        <v>24808123</v>
      </c>
      <c r="O39" s="168">
        <f t="shared" si="4"/>
        <v>5427726</v>
      </c>
      <c r="P39" s="179">
        <f t="shared" si="3"/>
        <v>30235849</v>
      </c>
      <c r="Q39" s="189" t="s">
        <v>378</v>
      </c>
      <c r="R39" s="188" t="s">
        <v>353</v>
      </c>
      <c r="S39" s="188" t="s">
        <v>354</v>
      </c>
      <c r="T39" s="179"/>
      <c r="U39" s="179" t="s">
        <v>395</v>
      </c>
      <c r="V39" s="179" t="s">
        <v>395</v>
      </c>
      <c r="W39" s="164" t="s">
        <v>396</v>
      </c>
      <c r="X39" s="164" t="s">
        <v>396</v>
      </c>
      <c r="Y39" s="139"/>
    </row>
    <row r="40" spans="1:34" x14ac:dyDescent="0.25">
      <c r="A40" s="194" t="s">
        <v>214</v>
      </c>
      <c r="B40" s="194" t="s">
        <v>213</v>
      </c>
      <c r="C40" s="194" t="s">
        <v>149</v>
      </c>
      <c r="D40" s="221" t="s">
        <v>390</v>
      </c>
      <c r="E40" s="195"/>
      <c r="F40" s="194"/>
      <c r="G40" s="161"/>
      <c r="H40" s="218">
        <v>182198</v>
      </c>
      <c r="I40" s="168">
        <f t="shared" si="15"/>
        <v>191289</v>
      </c>
      <c r="J40" s="168">
        <f t="shared" si="16"/>
        <v>201769</v>
      </c>
      <c r="K40" s="169"/>
      <c r="L40" s="202">
        <v>356950</v>
      </c>
      <c r="M40" s="202"/>
      <c r="N40" s="168">
        <f t="shared" si="2"/>
        <v>369616</v>
      </c>
      <c r="O40" s="168">
        <f t="shared" si="4"/>
        <v>0</v>
      </c>
      <c r="P40" s="179">
        <f t="shared" si="3"/>
        <v>369616</v>
      </c>
      <c r="Q40" s="189" t="s">
        <v>377</v>
      </c>
      <c r="R40" s="188" t="s">
        <v>355</v>
      </c>
      <c r="S40" s="188"/>
      <c r="T40" s="179"/>
      <c r="U40" s="179"/>
      <c r="V40" s="179"/>
      <c r="W40" s="164"/>
      <c r="X40" s="164"/>
      <c r="Y40" s="139"/>
    </row>
    <row r="41" spans="1:34" x14ac:dyDescent="0.25">
      <c r="A41" s="194" t="s">
        <v>212</v>
      </c>
      <c r="B41" s="194" t="s">
        <v>213</v>
      </c>
      <c r="C41" s="194" t="s">
        <v>149</v>
      </c>
      <c r="D41" s="221" t="s">
        <v>391</v>
      </c>
      <c r="E41" s="195"/>
      <c r="F41" s="194"/>
      <c r="G41" s="161"/>
      <c r="H41" s="218">
        <v>1700505</v>
      </c>
      <c r="I41" s="168">
        <f t="shared" si="15"/>
        <v>1785353</v>
      </c>
      <c r="J41" s="168">
        <f t="shared" si="16"/>
        <v>1883164</v>
      </c>
      <c r="K41" s="169">
        <v>136000</v>
      </c>
      <c r="L41" s="202">
        <v>2420000</v>
      </c>
      <c r="M41" s="202">
        <v>393250</v>
      </c>
      <c r="N41" s="168">
        <f t="shared" si="2"/>
        <v>2505871</v>
      </c>
      <c r="O41" s="168">
        <f t="shared" si="4"/>
        <v>400002</v>
      </c>
      <c r="P41" s="179">
        <f t="shared" si="3"/>
        <v>2905873</v>
      </c>
      <c r="Q41" s="189" t="s">
        <v>378</v>
      </c>
      <c r="R41" s="188" t="s">
        <v>356</v>
      </c>
      <c r="S41" s="188" t="s">
        <v>357</v>
      </c>
      <c r="T41" s="179"/>
      <c r="U41" s="179" t="s">
        <v>395</v>
      </c>
      <c r="V41" s="179" t="s">
        <v>395</v>
      </c>
      <c r="W41" s="164" t="s">
        <v>395</v>
      </c>
      <c r="X41" s="164" t="s">
        <v>395</v>
      </c>
      <c r="Y41" s="139"/>
    </row>
    <row r="42" spans="1:34" x14ac:dyDescent="0.25">
      <c r="A42" s="194" t="s">
        <v>215</v>
      </c>
      <c r="B42" s="194" t="s">
        <v>216</v>
      </c>
      <c r="C42" s="194" t="s">
        <v>149</v>
      </c>
      <c r="D42" s="194" t="s">
        <v>291</v>
      </c>
      <c r="E42" s="195" t="s">
        <v>9</v>
      </c>
      <c r="F42" s="194"/>
      <c r="G42" s="158"/>
      <c r="H42" s="218">
        <v>4561176</v>
      </c>
      <c r="I42" s="168">
        <f t="shared" si="15"/>
        <v>4788761</v>
      </c>
      <c r="J42" s="168">
        <f t="shared" si="16"/>
        <v>5051116</v>
      </c>
      <c r="K42" s="169">
        <v>1028500</v>
      </c>
      <c r="L42" s="202">
        <v>4870250</v>
      </c>
      <c r="M42" s="202">
        <v>1125300</v>
      </c>
      <c r="N42" s="168">
        <f t="shared" si="2"/>
        <v>5043065</v>
      </c>
      <c r="O42" s="168">
        <f t="shared" si="4"/>
        <v>1144622</v>
      </c>
      <c r="P42" s="179">
        <f t="shared" si="3"/>
        <v>6187687</v>
      </c>
      <c r="Q42" s="189" t="s">
        <v>378</v>
      </c>
      <c r="R42" s="188" t="s">
        <v>358</v>
      </c>
      <c r="S42" s="188" t="s">
        <v>359</v>
      </c>
      <c r="T42" s="179"/>
      <c r="U42" s="179" t="s">
        <v>395</v>
      </c>
      <c r="V42" s="179" t="s">
        <v>395</v>
      </c>
      <c r="W42" s="164" t="s">
        <v>395</v>
      </c>
      <c r="X42" s="164" t="s">
        <v>396</v>
      </c>
      <c r="Y42" s="139"/>
    </row>
    <row r="43" spans="1:34" x14ac:dyDescent="0.25">
      <c r="A43" s="194" t="s">
        <v>387</v>
      </c>
      <c r="B43" s="194" t="s">
        <v>220</v>
      </c>
      <c r="C43" s="194" t="s">
        <v>149</v>
      </c>
      <c r="D43" s="194" t="s">
        <v>240</v>
      </c>
      <c r="E43" s="195" t="s">
        <v>9</v>
      </c>
      <c r="F43" s="194"/>
      <c r="G43" s="158"/>
      <c r="H43" s="218">
        <v>5483580</v>
      </c>
      <c r="I43" s="168">
        <f t="shared" ref="I43:I54" si="17">ROUND(H43/144.3*151.5,0)</f>
        <v>5757189</v>
      </c>
      <c r="J43" s="168">
        <f t="shared" ref="J43:J54" si="18">ROUND(I43/151.5*159.8,0)</f>
        <v>6072599</v>
      </c>
      <c r="K43" s="169">
        <v>825000</v>
      </c>
      <c r="L43" s="202">
        <v>5717250</v>
      </c>
      <c r="M43" s="202">
        <v>1125300</v>
      </c>
      <c r="N43" s="168">
        <f t="shared" si="2"/>
        <v>5920120</v>
      </c>
      <c r="O43" s="168">
        <f t="shared" si="4"/>
        <v>1144622</v>
      </c>
      <c r="P43" s="179">
        <f t="shared" si="3"/>
        <v>7064742</v>
      </c>
      <c r="Q43" s="189" t="s">
        <v>378</v>
      </c>
      <c r="R43" s="188" t="s">
        <v>360</v>
      </c>
      <c r="S43" s="188" t="s">
        <v>361</v>
      </c>
      <c r="T43" s="179"/>
      <c r="U43" s="179" t="s">
        <v>395</v>
      </c>
      <c r="V43" s="179" t="s">
        <v>395</v>
      </c>
      <c r="W43" s="164" t="s">
        <v>395</v>
      </c>
      <c r="X43" s="164" t="s">
        <v>396</v>
      </c>
      <c r="Y43" s="139"/>
    </row>
    <row r="44" spans="1:34" x14ac:dyDescent="0.25">
      <c r="A44" s="194" t="s">
        <v>221</v>
      </c>
      <c r="B44" s="194" t="s">
        <v>222</v>
      </c>
      <c r="C44" s="194" t="s">
        <v>149</v>
      </c>
      <c r="D44" s="194" t="s">
        <v>241</v>
      </c>
      <c r="E44" s="195" t="s">
        <v>9</v>
      </c>
      <c r="F44" s="194"/>
      <c r="G44" s="158"/>
      <c r="H44" s="218">
        <v>3558879</v>
      </c>
      <c r="I44" s="168">
        <f t="shared" si="17"/>
        <v>3736453</v>
      </c>
      <c r="J44" s="168">
        <f t="shared" si="18"/>
        <v>3941156</v>
      </c>
      <c r="K44" s="169">
        <v>514250</v>
      </c>
      <c r="L44" s="202">
        <v>3726800</v>
      </c>
      <c r="M44" s="202">
        <v>931700</v>
      </c>
      <c r="N44" s="168">
        <f t="shared" si="2"/>
        <v>3859041</v>
      </c>
      <c r="O44" s="168">
        <f t="shared" si="4"/>
        <v>947698</v>
      </c>
      <c r="P44" s="179">
        <f t="shared" si="3"/>
        <v>4806739</v>
      </c>
      <c r="Q44" s="189" t="s">
        <v>378</v>
      </c>
      <c r="R44" s="188" t="s">
        <v>362</v>
      </c>
      <c r="S44" s="188" t="s">
        <v>363</v>
      </c>
      <c r="T44" s="179"/>
      <c r="U44" s="179" t="s">
        <v>395</v>
      </c>
      <c r="V44" s="179" t="s">
        <v>395</v>
      </c>
      <c r="W44" s="164" t="s">
        <v>395</v>
      </c>
      <c r="X44" s="164" t="s">
        <v>396</v>
      </c>
      <c r="Y44" s="139"/>
    </row>
    <row r="45" spans="1:34" x14ac:dyDescent="0.25">
      <c r="A45" s="194" t="s">
        <v>223</v>
      </c>
      <c r="B45" s="194" t="s">
        <v>224</v>
      </c>
      <c r="C45" s="194" t="s">
        <v>149</v>
      </c>
      <c r="D45" s="221" t="s">
        <v>392</v>
      </c>
      <c r="E45" s="195" t="s">
        <v>9</v>
      </c>
      <c r="F45" s="194"/>
      <c r="G45" s="158"/>
      <c r="H45" s="218">
        <v>3965609</v>
      </c>
      <c r="I45" s="168">
        <f t="shared" si="17"/>
        <v>4163477</v>
      </c>
      <c r="J45" s="168">
        <f t="shared" si="18"/>
        <v>4391575</v>
      </c>
      <c r="K45" s="169">
        <v>707850</v>
      </c>
      <c r="L45" s="202">
        <v>4489100</v>
      </c>
      <c r="M45" s="202">
        <v>883300</v>
      </c>
      <c r="N45" s="168">
        <f t="shared" si="2"/>
        <v>4648391</v>
      </c>
      <c r="O45" s="168">
        <f t="shared" si="4"/>
        <v>898467</v>
      </c>
      <c r="P45" s="179">
        <f t="shared" si="3"/>
        <v>5546858</v>
      </c>
      <c r="Q45" s="189" t="s">
        <v>378</v>
      </c>
      <c r="R45" s="188" t="s">
        <v>364</v>
      </c>
      <c r="S45" s="188" t="s">
        <v>365</v>
      </c>
      <c r="T45" s="179"/>
      <c r="U45" s="179" t="s">
        <v>395</v>
      </c>
      <c r="V45" s="179" t="s">
        <v>395</v>
      </c>
      <c r="W45" s="164" t="s">
        <v>395</v>
      </c>
      <c r="X45" s="164" t="s">
        <v>396</v>
      </c>
      <c r="Y45" s="139"/>
    </row>
    <row r="46" spans="1:34" s="156" customFormat="1" ht="26.4" x14ac:dyDescent="0.25">
      <c r="A46" s="196" t="s">
        <v>381</v>
      </c>
      <c r="B46" s="196" t="s">
        <v>225</v>
      </c>
      <c r="C46" s="192" t="s">
        <v>149</v>
      </c>
      <c r="D46" s="192" t="s">
        <v>242</v>
      </c>
      <c r="E46" s="193" t="s">
        <v>9</v>
      </c>
      <c r="F46" s="192"/>
      <c r="G46" s="198"/>
      <c r="H46" s="218">
        <v>3340988</v>
      </c>
      <c r="I46" s="218">
        <f t="shared" si="17"/>
        <v>3507690</v>
      </c>
      <c r="J46" s="218">
        <f t="shared" si="18"/>
        <v>3699860</v>
      </c>
      <c r="K46" s="169">
        <v>677600</v>
      </c>
      <c r="L46" s="214">
        <v>4622200</v>
      </c>
      <c r="M46" s="214">
        <v>943800</v>
      </c>
      <c r="N46" s="168">
        <f t="shared" si="2"/>
        <v>4786214</v>
      </c>
      <c r="O46" s="168">
        <f t="shared" si="4"/>
        <v>960006</v>
      </c>
      <c r="P46" s="179">
        <f t="shared" si="3"/>
        <v>5746220</v>
      </c>
      <c r="Q46" s="189" t="s">
        <v>378</v>
      </c>
      <c r="R46" s="188" t="s">
        <v>366</v>
      </c>
      <c r="S46" s="188" t="s">
        <v>367</v>
      </c>
      <c r="T46" s="169"/>
      <c r="U46" s="169" t="s">
        <v>395</v>
      </c>
      <c r="V46" s="169" t="s">
        <v>395</v>
      </c>
      <c r="W46" s="162" t="s">
        <v>395</v>
      </c>
      <c r="X46" s="162" t="s">
        <v>396</v>
      </c>
      <c r="Y46" s="186"/>
    </row>
    <row r="47" spans="1:34" x14ac:dyDescent="0.25">
      <c r="A47" s="194" t="s">
        <v>226</v>
      </c>
      <c r="B47" s="194" t="s">
        <v>227</v>
      </c>
      <c r="C47" s="194" t="s">
        <v>149</v>
      </c>
      <c r="D47" s="194" t="s">
        <v>243</v>
      </c>
      <c r="E47" s="195" t="s">
        <v>9</v>
      </c>
      <c r="F47" s="194"/>
      <c r="G47" s="161"/>
      <c r="H47" s="218"/>
      <c r="I47" s="168">
        <f t="shared" si="17"/>
        <v>0</v>
      </c>
      <c r="J47" s="168">
        <f t="shared" si="18"/>
        <v>0</v>
      </c>
      <c r="K47" s="169">
        <v>544500</v>
      </c>
      <c r="L47" s="202"/>
      <c r="M47" s="202">
        <v>798600</v>
      </c>
      <c r="N47" s="168">
        <f t="shared" si="2"/>
        <v>0</v>
      </c>
      <c r="O47" s="168">
        <f t="shared" si="4"/>
        <v>812313</v>
      </c>
      <c r="P47" s="179">
        <f t="shared" si="3"/>
        <v>812313</v>
      </c>
      <c r="Q47" s="189" t="s">
        <v>379</v>
      </c>
      <c r="R47" s="188"/>
      <c r="S47" s="188" t="s">
        <v>368</v>
      </c>
      <c r="T47" s="179"/>
      <c r="U47" s="179" t="s">
        <v>395</v>
      </c>
      <c r="V47" s="179" t="s">
        <v>395</v>
      </c>
      <c r="W47" s="164" t="s">
        <v>395</v>
      </c>
      <c r="X47" s="164" t="s">
        <v>396</v>
      </c>
      <c r="Y47" s="139"/>
    </row>
    <row r="48" spans="1:34" x14ac:dyDescent="0.25">
      <c r="A48" s="194" t="s">
        <v>228</v>
      </c>
      <c r="B48" s="194" t="s">
        <v>229</v>
      </c>
      <c r="C48" s="194" t="s">
        <v>149</v>
      </c>
      <c r="D48" s="194" t="s">
        <v>244</v>
      </c>
      <c r="E48" s="195" t="s">
        <v>9</v>
      </c>
      <c r="F48" s="194"/>
      <c r="G48" s="161"/>
      <c r="H48" s="218"/>
      <c r="I48" s="168">
        <f t="shared" si="17"/>
        <v>0</v>
      </c>
      <c r="J48" s="168">
        <f t="shared" si="18"/>
        <v>0</v>
      </c>
      <c r="K48" s="169">
        <v>786500</v>
      </c>
      <c r="L48" s="202"/>
      <c r="M48" s="202">
        <v>992200</v>
      </c>
      <c r="N48" s="168">
        <f t="shared" si="2"/>
        <v>0</v>
      </c>
      <c r="O48" s="168">
        <f t="shared" si="4"/>
        <v>1009237</v>
      </c>
      <c r="P48" s="179">
        <f t="shared" si="3"/>
        <v>1009237</v>
      </c>
      <c r="Q48" s="189" t="s">
        <v>379</v>
      </c>
      <c r="R48" s="188"/>
      <c r="S48" s="188" t="s">
        <v>369</v>
      </c>
      <c r="T48" s="179"/>
      <c r="U48" s="179" t="s">
        <v>395</v>
      </c>
      <c r="V48" s="179" t="s">
        <v>395</v>
      </c>
      <c r="W48" s="164" t="s">
        <v>395</v>
      </c>
      <c r="X48" s="164" t="s">
        <v>396</v>
      </c>
      <c r="Y48" s="139"/>
    </row>
    <row r="49" spans="1:34" x14ac:dyDescent="0.25">
      <c r="A49" s="194" t="s">
        <v>230</v>
      </c>
      <c r="B49" s="194" t="s">
        <v>231</v>
      </c>
      <c r="C49" s="194" t="s">
        <v>149</v>
      </c>
      <c r="D49" s="194" t="s">
        <v>245</v>
      </c>
      <c r="E49" s="195" t="s">
        <v>9</v>
      </c>
      <c r="F49" s="194"/>
      <c r="G49" s="158"/>
      <c r="H49" s="218">
        <v>2178907</v>
      </c>
      <c r="I49" s="168">
        <f t="shared" si="17"/>
        <v>2287626</v>
      </c>
      <c r="J49" s="168">
        <f t="shared" si="18"/>
        <v>2412955</v>
      </c>
      <c r="K49" s="169">
        <v>514250</v>
      </c>
      <c r="L49" s="202">
        <v>4961000</v>
      </c>
      <c r="M49" s="202">
        <v>689700</v>
      </c>
      <c r="N49" s="168">
        <f t="shared" si="2"/>
        <v>5137035</v>
      </c>
      <c r="O49" s="168">
        <f t="shared" si="4"/>
        <v>701543</v>
      </c>
      <c r="P49" s="179">
        <f t="shared" si="3"/>
        <v>5838578</v>
      </c>
      <c r="Q49" s="189" t="s">
        <v>378</v>
      </c>
      <c r="R49" s="188" t="s">
        <v>370</v>
      </c>
      <c r="S49" s="188" t="s">
        <v>371</v>
      </c>
      <c r="T49" s="179"/>
      <c r="U49" s="179" t="s">
        <v>395</v>
      </c>
      <c r="V49" s="179" t="s">
        <v>395</v>
      </c>
      <c r="W49" s="164" t="s">
        <v>395</v>
      </c>
      <c r="X49" s="164" t="s">
        <v>396</v>
      </c>
      <c r="Y49" s="139"/>
    </row>
    <row r="50" spans="1:34" x14ac:dyDescent="0.25">
      <c r="A50" s="194" t="s">
        <v>232</v>
      </c>
      <c r="B50" s="194" t="s">
        <v>257</v>
      </c>
      <c r="C50" s="194" t="s">
        <v>149</v>
      </c>
      <c r="D50" s="194" t="s">
        <v>251</v>
      </c>
      <c r="E50" s="195"/>
      <c r="F50" s="194" t="s">
        <v>246</v>
      </c>
      <c r="G50" s="161"/>
      <c r="H50" s="218">
        <v>114706</v>
      </c>
      <c r="I50" s="168">
        <f t="shared" si="17"/>
        <v>120429</v>
      </c>
      <c r="J50" s="168">
        <f t="shared" si="18"/>
        <v>127027</v>
      </c>
      <c r="K50" s="169"/>
      <c r="L50" s="202">
        <v>211750</v>
      </c>
      <c r="M50" s="202"/>
      <c r="N50" s="168">
        <f t="shared" si="2"/>
        <v>219264</v>
      </c>
      <c r="O50" s="168">
        <f t="shared" si="4"/>
        <v>0</v>
      </c>
      <c r="P50" s="179">
        <f t="shared" si="3"/>
        <v>219264</v>
      </c>
      <c r="Q50" s="189" t="s">
        <v>377</v>
      </c>
      <c r="R50" s="188" t="s">
        <v>372</v>
      </c>
      <c r="S50" s="188"/>
      <c r="T50" s="179"/>
      <c r="U50" s="179"/>
      <c r="V50" s="179"/>
      <c r="W50" s="164"/>
      <c r="X50" s="164"/>
      <c r="Y50" s="142" t="s">
        <v>253</v>
      </c>
    </row>
    <row r="51" spans="1:34" x14ac:dyDescent="0.25">
      <c r="A51" s="194" t="s">
        <v>234</v>
      </c>
      <c r="B51" s="194" t="s">
        <v>233</v>
      </c>
      <c r="C51" s="194" t="s">
        <v>149</v>
      </c>
      <c r="D51" s="194" t="s">
        <v>247</v>
      </c>
      <c r="E51" s="195"/>
      <c r="F51" s="194"/>
      <c r="G51" s="158"/>
      <c r="H51" s="224">
        <v>16995397</v>
      </c>
      <c r="I51" s="168">
        <f t="shared" si="17"/>
        <v>17843400</v>
      </c>
      <c r="J51" s="168">
        <f t="shared" si="18"/>
        <v>18820959</v>
      </c>
      <c r="K51" s="169"/>
      <c r="L51" s="202">
        <v>23062600</v>
      </c>
      <c r="M51" s="202"/>
      <c r="N51" s="168">
        <f t="shared" si="2"/>
        <v>23880950</v>
      </c>
      <c r="O51" s="168">
        <f t="shared" si="4"/>
        <v>0</v>
      </c>
      <c r="P51" s="179">
        <f t="shared" si="3"/>
        <v>23880950</v>
      </c>
      <c r="Q51" s="189" t="s">
        <v>377</v>
      </c>
      <c r="R51" s="188" t="s">
        <v>373</v>
      </c>
      <c r="S51" s="188"/>
      <c r="T51" s="179"/>
      <c r="U51" s="179" t="s">
        <v>395</v>
      </c>
      <c r="V51" s="179" t="s">
        <v>395</v>
      </c>
      <c r="W51" s="164" t="s">
        <v>395</v>
      </c>
      <c r="X51" s="164" t="s">
        <v>395</v>
      </c>
      <c r="Y51" s="139"/>
    </row>
    <row r="52" spans="1:34" x14ac:dyDescent="0.25">
      <c r="A52" s="194" t="s">
        <v>235</v>
      </c>
      <c r="B52" s="194" t="s">
        <v>236</v>
      </c>
      <c r="C52" s="194" t="s">
        <v>149</v>
      </c>
      <c r="D52" s="194" t="s">
        <v>249</v>
      </c>
      <c r="E52" s="195" t="s">
        <v>9</v>
      </c>
      <c r="F52" s="188"/>
      <c r="G52" s="161"/>
      <c r="H52" s="224"/>
      <c r="I52" s="168">
        <f t="shared" si="17"/>
        <v>0</v>
      </c>
      <c r="J52" s="168">
        <f t="shared" si="18"/>
        <v>0</v>
      </c>
      <c r="K52" s="181">
        <v>828850</v>
      </c>
      <c r="L52" s="168"/>
      <c r="M52" s="202">
        <v>1046650</v>
      </c>
      <c r="N52" s="168">
        <f t="shared" si="2"/>
        <v>0</v>
      </c>
      <c r="O52" s="168">
        <f t="shared" si="4"/>
        <v>1064622</v>
      </c>
      <c r="P52" s="179">
        <f t="shared" si="3"/>
        <v>1064622</v>
      </c>
      <c r="Q52" s="189" t="s">
        <v>379</v>
      </c>
      <c r="R52" s="188"/>
      <c r="S52" s="188" t="s">
        <v>374</v>
      </c>
      <c r="T52" s="179"/>
      <c r="U52" s="179" t="s">
        <v>395</v>
      </c>
      <c r="V52" s="179" t="s">
        <v>395</v>
      </c>
      <c r="W52" s="164" t="s">
        <v>395</v>
      </c>
      <c r="X52" s="164" t="s">
        <v>396</v>
      </c>
      <c r="Y52" s="139"/>
    </row>
    <row r="53" spans="1:34" x14ac:dyDescent="0.25">
      <c r="A53" s="194" t="s">
        <v>237</v>
      </c>
      <c r="B53" s="194" t="s">
        <v>236</v>
      </c>
      <c r="C53" s="194" t="s">
        <v>149</v>
      </c>
      <c r="D53" s="194" t="s">
        <v>250</v>
      </c>
      <c r="E53" s="195" t="s">
        <v>9</v>
      </c>
      <c r="F53" s="188"/>
      <c r="G53" s="161"/>
      <c r="H53" s="224"/>
      <c r="I53" s="168">
        <f t="shared" si="17"/>
        <v>0</v>
      </c>
      <c r="J53" s="168">
        <f t="shared" si="18"/>
        <v>0</v>
      </c>
      <c r="K53" s="181">
        <v>1361250</v>
      </c>
      <c r="L53" s="168"/>
      <c r="M53" s="202">
        <v>1839200</v>
      </c>
      <c r="N53" s="168">
        <f t="shared" si="2"/>
        <v>0</v>
      </c>
      <c r="O53" s="168">
        <f t="shared" si="4"/>
        <v>1870781</v>
      </c>
      <c r="P53" s="179">
        <f t="shared" si="3"/>
        <v>1870781</v>
      </c>
      <c r="Q53" s="189" t="s">
        <v>379</v>
      </c>
      <c r="R53" s="188"/>
      <c r="S53" s="188" t="s">
        <v>375</v>
      </c>
      <c r="T53" s="179"/>
      <c r="U53" s="179" t="s">
        <v>395</v>
      </c>
      <c r="V53" s="179" t="s">
        <v>395</v>
      </c>
      <c r="W53" s="164" t="s">
        <v>395</v>
      </c>
      <c r="X53" s="164" t="s">
        <v>396</v>
      </c>
      <c r="Y53" s="139"/>
    </row>
    <row r="54" spans="1:34" x14ac:dyDescent="0.25">
      <c r="A54" s="194" t="s">
        <v>264</v>
      </c>
      <c r="B54" s="194" t="s">
        <v>236</v>
      </c>
      <c r="C54" s="194" t="s">
        <v>149</v>
      </c>
      <c r="D54" s="194" t="s">
        <v>252</v>
      </c>
      <c r="E54" s="195" t="s">
        <v>9</v>
      </c>
      <c r="F54" s="188"/>
      <c r="G54" s="161"/>
      <c r="H54" s="224"/>
      <c r="I54" s="168">
        <f t="shared" si="17"/>
        <v>0</v>
      </c>
      <c r="J54" s="168">
        <f t="shared" si="18"/>
        <v>0</v>
      </c>
      <c r="K54" s="181">
        <v>217800</v>
      </c>
      <c r="L54" s="168"/>
      <c r="M54" s="202">
        <v>211750</v>
      </c>
      <c r="N54" s="168">
        <f t="shared" si="2"/>
        <v>0</v>
      </c>
      <c r="O54" s="168">
        <v>350000</v>
      </c>
      <c r="P54" s="179">
        <f t="shared" si="3"/>
        <v>350000</v>
      </c>
      <c r="Q54" s="213" t="s">
        <v>379</v>
      </c>
      <c r="R54" s="188"/>
      <c r="S54" s="188" t="s">
        <v>376</v>
      </c>
      <c r="T54" s="179"/>
      <c r="U54" s="179" t="s">
        <v>395</v>
      </c>
      <c r="V54" s="179" t="s">
        <v>395</v>
      </c>
      <c r="W54" s="164" t="s">
        <v>395</v>
      </c>
      <c r="X54" s="164" t="s">
        <v>396</v>
      </c>
      <c r="Y54" s="139"/>
    </row>
    <row r="55" spans="1:34" s="82" customFormat="1" x14ac:dyDescent="0.25">
      <c r="A55" s="188" t="s">
        <v>382</v>
      </c>
      <c r="B55" s="188"/>
      <c r="C55" s="188" t="s">
        <v>149</v>
      </c>
      <c r="D55" s="188" t="s">
        <v>383</v>
      </c>
      <c r="E55" s="189"/>
      <c r="F55" s="188"/>
      <c r="G55" s="217"/>
      <c r="H55" s="201"/>
      <c r="I55" s="202"/>
      <c r="J55" s="199"/>
      <c r="K55" s="203"/>
      <c r="L55" s="202">
        <v>150000</v>
      </c>
      <c r="M55" s="203"/>
      <c r="N55" s="168">
        <f t="shared" ref="N55" si="19">ROUND(L55/124*128.4,0)</f>
        <v>155323</v>
      </c>
      <c r="O55" s="168">
        <f t="shared" si="4"/>
        <v>0</v>
      </c>
      <c r="P55" s="179">
        <f t="shared" si="3"/>
        <v>155323</v>
      </c>
      <c r="Q55" s="203"/>
      <c r="R55" s="203"/>
      <c r="S55" s="203"/>
      <c r="T55" s="203"/>
      <c r="U55" s="203"/>
      <c r="V55" s="203"/>
      <c r="W55" s="204"/>
      <c r="X55" s="204"/>
    </row>
    <row r="56" spans="1:34" s="72" customFormat="1" x14ac:dyDescent="0.25">
      <c r="A56" s="188" t="s">
        <v>94</v>
      </c>
      <c r="B56" s="188" t="s">
        <v>259</v>
      </c>
      <c r="C56" s="188" t="s">
        <v>219</v>
      </c>
      <c r="D56" s="188" t="s">
        <v>61</v>
      </c>
      <c r="E56" s="189" t="s">
        <v>8</v>
      </c>
      <c r="F56" s="188" t="s">
        <v>62</v>
      </c>
      <c r="G56" s="157"/>
      <c r="H56" s="173">
        <v>227317</v>
      </c>
      <c r="I56" s="168">
        <f>ROUND(H56/144.3*151.5,0)</f>
        <v>238659</v>
      </c>
      <c r="J56" s="168">
        <f>ROUND(I56/151.5*159.8,0)</f>
        <v>251734</v>
      </c>
      <c r="K56" s="180"/>
      <c r="L56" s="202">
        <v>242000</v>
      </c>
      <c r="M56" s="202"/>
      <c r="N56" s="168">
        <f>ROUND(L56/124*128.4,0)</f>
        <v>250587</v>
      </c>
      <c r="O56" s="168">
        <f>ROUND(M56/122.3*124.4,0)</f>
        <v>0</v>
      </c>
      <c r="P56" s="179">
        <f>N56+O56</f>
        <v>250587</v>
      </c>
      <c r="Q56" s="189" t="s">
        <v>377</v>
      </c>
      <c r="R56" s="188" t="s">
        <v>347</v>
      </c>
      <c r="S56" s="188"/>
      <c r="T56" s="179"/>
      <c r="U56" s="179"/>
      <c r="V56" s="179"/>
      <c r="W56" s="164"/>
      <c r="X56" s="164"/>
      <c r="Y56" s="138"/>
      <c r="Z56" s="138"/>
    </row>
    <row r="57" spans="1:34" x14ac:dyDescent="0.25">
      <c r="A57" s="188" t="s">
        <v>39</v>
      </c>
      <c r="B57" s="188" t="s">
        <v>282</v>
      </c>
      <c r="C57" s="188" t="s">
        <v>219</v>
      </c>
      <c r="D57" s="188" t="s">
        <v>19</v>
      </c>
      <c r="E57" s="189" t="s">
        <v>9</v>
      </c>
      <c r="F57" s="188" t="s">
        <v>40</v>
      </c>
      <c r="G57" s="158"/>
      <c r="H57" s="173">
        <v>2874653</v>
      </c>
      <c r="I57" s="168">
        <f>ROUND(H57/144.3*151.5,0)</f>
        <v>3018087</v>
      </c>
      <c r="J57" s="168">
        <f>ROUND(I57/151.5*159.8,0)</f>
        <v>3183434</v>
      </c>
      <c r="K57" s="180"/>
      <c r="L57" s="202">
        <v>2885850</v>
      </c>
      <c r="M57" s="202"/>
      <c r="N57" s="168">
        <f>ROUND(L57/124*128.4,0)</f>
        <v>2988251</v>
      </c>
      <c r="O57" s="168">
        <f>ROUND(M57/122.3*124.4,0)</f>
        <v>0</v>
      </c>
      <c r="P57" s="179">
        <f>N57+O57</f>
        <v>2988251</v>
      </c>
      <c r="Q57" s="189" t="s">
        <v>377</v>
      </c>
      <c r="R57" s="188" t="s">
        <v>350</v>
      </c>
      <c r="S57" s="188"/>
      <c r="T57" s="179"/>
      <c r="U57" s="179"/>
      <c r="V57" s="179"/>
      <c r="W57" s="164"/>
      <c r="X57" s="164"/>
      <c r="Y57" s="138"/>
      <c r="Z57" s="62"/>
    </row>
    <row r="58" spans="1:34" x14ac:dyDescent="0.25">
      <c r="A58" s="194" t="s">
        <v>217</v>
      </c>
      <c r="B58" s="194" t="s">
        <v>218</v>
      </c>
      <c r="C58" s="194" t="s">
        <v>219</v>
      </c>
      <c r="D58" s="194" t="s">
        <v>239</v>
      </c>
      <c r="E58" s="195" t="s">
        <v>9</v>
      </c>
      <c r="F58" s="194"/>
      <c r="G58" s="158"/>
      <c r="H58" s="218">
        <v>4067290</v>
      </c>
      <c r="I58" s="168">
        <f>ROUND(H58/144.3*151.5,0)</f>
        <v>4270232</v>
      </c>
      <c r="J58" s="168">
        <f>ROUND(I58/151.5*159.8,0)</f>
        <v>4504179</v>
      </c>
      <c r="K58" s="169">
        <v>447700</v>
      </c>
      <c r="L58" s="202">
        <v>4343900</v>
      </c>
      <c r="M58" s="202">
        <v>592900</v>
      </c>
      <c r="N58" s="168">
        <f>ROUND(L58/124*128.4,0)</f>
        <v>4498038</v>
      </c>
      <c r="O58" s="168">
        <f>ROUND(M58/122.3*124.4,0)</f>
        <v>603081</v>
      </c>
      <c r="P58" s="179">
        <f>N58+O58</f>
        <v>5101119</v>
      </c>
      <c r="Q58" s="189" t="s">
        <v>378</v>
      </c>
      <c r="R58" s="188" t="s">
        <v>348</v>
      </c>
      <c r="S58" s="188" t="s">
        <v>349</v>
      </c>
      <c r="T58" s="179"/>
      <c r="U58" s="179" t="s">
        <v>395</v>
      </c>
      <c r="V58" s="179" t="s">
        <v>395</v>
      </c>
      <c r="W58" s="164" t="s">
        <v>395</v>
      </c>
      <c r="X58" s="164" t="s">
        <v>396</v>
      </c>
      <c r="Y58" s="139"/>
    </row>
    <row r="59" spans="1:34" x14ac:dyDescent="0.25">
      <c r="G59" s="144"/>
      <c r="H59" s="182">
        <f>SUM(H4:H54)</f>
        <v>131090057</v>
      </c>
      <c r="I59" s="182">
        <f>SUM(I4:I54)</f>
        <v>137592775</v>
      </c>
      <c r="J59" s="182">
        <f>SUM(J4:J54)</f>
        <v>145130863</v>
      </c>
      <c r="K59" s="182">
        <f>SUM(K4:K54)</f>
        <v>14973120</v>
      </c>
      <c r="L59" s="182">
        <f>SUM(L4:L55)</f>
        <v>153486831</v>
      </c>
      <c r="M59" s="182">
        <f>SUM(M4:M55)</f>
        <v>19821861</v>
      </c>
      <c r="N59" s="182">
        <f>SUM(N4:N58)</f>
        <v>166670017</v>
      </c>
      <c r="O59" s="182">
        <f t="shared" ref="O59:P59" si="20">SUM(O4:O58)</f>
        <v>20899916</v>
      </c>
      <c r="P59" s="182">
        <f t="shared" si="20"/>
        <v>187569933</v>
      </c>
      <c r="Q59" s="182"/>
      <c r="R59" s="182"/>
      <c r="S59" s="182"/>
      <c r="T59" s="182"/>
      <c r="U59" s="182"/>
      <c r="V59" s="182"/>
      <c r="W59" s="165"/>
      <c r="X59" s="165"/>
      <c r="Y59" s="145"/>
      <c r="AA59" s="145"/>
      <c r="AB59" s="146"/>
      <c r="AC59" s="146"/>
    </row>
    <row r="60" spans="1:34" x14ac:dyDescent="0.25">
      <c r="A60" s="147"/>
      <c r="B60" s="147"/>
      <c r="C60" s="147"/>
      <c r="F60" s="62"/>
      <c r="G60" s="61"/>
      <c r="H60" s="175"/>
      <c r="I60" s="170"/>
      <c r="J60" s="170"/>
      <c r="Y60" s="62"/>
      <c r="Z60" s="62"/>
      <c r="AA60" s="143"/>
      <c r="AB60" s="63"/>
      <c r="AC60" s="63"/>
      <c r="AD60" s="148"/>
      <c r="AE60" s="148"/>
      <c r="AF60" s="149"/>
      <c r="AG60" s="62"/>
      <c r="AH60" s="62"/>
    </row>
    <row r="61" spans="1:34" ht="13.8" thickBot="1" x14ac:dyDescent="0.3">
      <c r="A61" s="150"/>
      <c r="B61" s="150"/>
      <c r="C61" s="150"/>
      <c r="G61" s="151"/>
      <c r="P61" s="184">
        <f>SUM(P59:P59)</f>
        <v>187569933</v>
      </c>
      <c r="Y61" s="62"/>
      <c r="Z61" s="62"/>
      <c r="AA61" s="145"/>
      <c r="AB61" s="146"/>
    </row>
    <row r="62" spans="1:34" ht="13.8" thickTop="1" x14ac:dyDescent="0.25">
      <c r="A62" s="150"/>
      <c r="B62" s="150"/>
      <c r="C62" s="150"/>
      <c r="G62" s="151"/>
      <c r="Y62" s="62"/>
      <c r="Z62" s="62"/>
      <c r="AA62" s="145"/>
      <c r="AB62" s="146"/>
    </row>
    <row r="63" spans="1:34" x14ac:dyDescent="0.25">
      <c r="A63" s="72" t="s">
        <v>299</v>
      </c>
      <c r="B63" s="152"/>
      <c r="C63" s="152"/>
      <c r="D63" s="153"/>
      <c r="G63" s="151"/>
      <c r="Y63" s="145"/>
      <c r="AB63" s="145"/>
    </row>
    <row r="64" spans="1:34" x14ac:dyDescent="0.25">
      <c r="A64" s="72" t="s">
        <v>303</v>
      </c>
      <c r="B64" s="152"/>
      <c r="C64" s="152"/>
      <c r="D64" s="153"/>
      <c r="G64" s="151"/>
      <c r="Y64" s="145"/>
      <c r="AB64" s="145"/>
    </row>
    <row r="70" spans="1:25" x14ac:dyDescent="0.25">
      <c r="A70" s="205"/>
      <c r="B70" s="205"/>
      <c r="C70" s="205"/>
      <c r="D70" s="205"/>
      <c r="E70" s="206"/>
      <c r="F70" s="205"/>
      <c r="G70" s="207"/>
      <c r="H70" s="208"/>
      <c r="I70" s="209"/>
      <c r="J70" s="209"/>
      <c r="K70" s="210"/>
      <c r="L70" s="209"/>
      <c r="M70" s="209"/>
      <c r="N70" s="209"/>
      <c r="O70" s="209"/>
      <c r="P70" s="211"/>
      <c r="Q70" s="213"/>
      <c r="R70" s="72"/>
      <c r="S70" s="72"/>
      <c r="T70" s="211"/>
      <c r="U70" s="211"/>
      <c r="V70" s="211"/>
      <c r="W70" s="212"/>
      <c r="X70" s="212"/>
      <c r="Y70" s="139"/>
    </row>
  </sheetData>
  <sortState xmlns:xlrd2="http://schemas.microsoft.com/office/spreadsheetml/2017/richdata2" ref="A4:AH55">
    <sortCondition ref="C5:C37"/>
    <sortCondition ref="A5:A37"/>
  </sortState>
  <mergeCells count="2">
    <mergeCell ref="G1:G3"/>
    <mergeCell ref="H51:H54"/>
  </mergeCells>
  <pageMargins left="0.59055118110236227" right="0.35433070866141736" top="1.7716535433070868" bottom="0.94488188976377963" header="0.27559055118110237" footer="0.70866141732283472"/>
  <pageSetup paperSize="9" scale="68" fitToHeight="3" orientation="landscape" r:id="rId1"/>
  <headerFooter alignWithMargins="0">
    <oddFooter>&amp;L&amp;10&amp;F - &amp;A&amp;C&amp;10&amp;P&amp;R&amp;10&amp;D</oddFooter>
  </headerFooter>
  <rowBreaks count="1" manualBreakCount="1">
    <brk id="2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81"/>
  <sheetViews>
    <sheetView view="pageBreakPreview" zoomScaleNormal="100" zoomScaleSheetLayoutView="100" workbookViewId="0">
      <pane ySplit="5" topLeftCell="A6" activePane="bottomLeft" state="frozen"/>
      <selection pane="bottomLeft" activeCell="AA82" sqref="AA82"/>
    </sheetView>
  </sheetViews>
  <sheetFormatPr defaultColWidth="9" defaultRowHeight="11.4" x14ac:dyDescent="0.2"/>
  <cols>
    <col min="1" max="1" width="19.5" style="8" bestFit="1" customWidth="1"/>
    <col min="2" max="2" width="7.3984375" style="8" bestFit="1" customWidth="1"/>
    <col min="3" max="3" width="6.8984375" style="8" bestFit="1" customWidth="1"/>
    <col min="4" max="4" width="15.19921875" style="8" bestFit="1" customWidth="1"/>
    <col min="5" max="5" width="4.59765625" style="10" hidden="1" customWidth="1"/>
    <col min="6" max="7" width="11.59765625" style="40" hidden="1" customWidth="1"/>
    <col min="8" max="9" width="21" style="40" hidden="1" customWidth="1"/>
    <col min="10" max="10" width="20.09765625" style="8" customWidth="1"/>
    <col min="11" max="11" width="16.3984375" style="11" hidden="1" customWidth="1"/>
    <col min="12" max="13" width="12.69921875" style="11" hidden="1" customWidth="1"/>
    <col min="14" max="14" width="18.5" style="12" hidden="1" customWidth="1"/>
    <col min="15" max="18" width="13.3984375" style="12" hidden="1" customWidth="1"/>
    <col min="19" max="19" width="4.5" style="38" bestFit="1" customWidth="1"/>
    <col min="20" max="22" width="13.3984375" style="12" hidden="1" customWidth="1"/>
    <col min="23" max="24" width="13.3984375" style="12" customWidth="1"/>
    <col min="25" max="25" width="12.3984375" style="13" bestFit="1" customWidth="1"/>
    <col min="26" max="26" width="15" style="13" customWidth="1"/>
    <col min="27" max="27" width="13.3984375" style="13" customWidth="1"/>
    <col min="28" max="28" width="23" style="8" bestFit="1" customWidth="1"/>
    <col min="29" max="29" width="3.59765625" style="8" customWidth="1"/>
    <col min="30" max="30" width="12.69921875" style="8" bestFit="1" customWidth="1"/>
    <col min="31" max="31" width="10.09765625" style="8" bestFit="1" customWidth="1"/>
    <col min="32" max="32" width="10" style="8" bestFit="1" customWidth="1"/>
    <col min="33" max="16384" width="9" style="8"/>
  </cols>
  <sheetData>
    <row r="1" spans="1:37" x14ac:dyDescent="0.2">
      <c r="A1" s="1" t="s">
        <v>101</v>
      </c>
      <c r="B1" s="1"/>
      <c r="C1" s="1"/>
      <c r="D1" s="2"/>
      <c r="E1" s="3"/>
      <c r="F1" s="39"/>
      <c r="G1" s="39"/>
      <c r="H1" s="39"/>
      <c r="I1" s="39"/>
      <c r="J1" s="2"/>
      <c r="K1" s="4" t="s">
        <v>0</v>
      </c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7"/>
    </row>
    <row r="2" spans="1:37" x14ac:dyDescent="0.2">
      <c r="A2" s="1"/>
      <c r="B2" s="1"/>
      <c r="C2" s="1"/>
      <c r="D2" s="2"/>
      <c r="E2" s="3"/>
      <c r="F2" s="39"/>
      <c r="G2" s="39"/>
      <c r="H2" s="39"/>
      <c r="I2" s="39"/>
      <c r="J2" s="2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113" t="s">
        <v>190</v>
      </c>
      <c r="Y2" s="6"/>
      <c r="Z2" s="6"/>
      <c r="AA2" s="6"/>
      <c r="AB2" s="7"/>
    </row>
    <row r="3" spans="1:37" ht="21" customHeight="1" x14ac:dyDescent="0.25">
      <c r="A3" s="48" t="s">
        <v>1</v>
      </c>
      <c r="B3" s="48" t="s">
        <v>154</v>
      </c>
      <c r="C3" s="48" t="s">
        <v>140</v>
      </c>
      <c r="D3" s="48" t="s">
        <v>2</v>
      </c>
      <c r="E3" s="48" t="s">
        <v>4</v>
      </c>
      <c r="F3" s="68"/>
      <c r="G3" s="68" t="s">
        <v>106</v>
      </c>
      <c r="H3" s="68" t="s">
        <v>93</v>
      </c>
      <c r="I3" s="68"/>
      <c r="J3" s="48" t="s">
        <v>5</v>
      </c>
      <c r="K3" s="50" t="s">
        <v>6</v>
      </c>
      <c r="L3" s="50" t="s">
        <v>77</v>
      </c>
      <c r="M3" s="50" t="s">
        <v>80</v>
      </c>
      <c r="N3" s="51" t="s">
        <v>103</v>
      </c>
      <c r="O3" s="52" t="s">
        <v>100</v>
      </c>
      <c r="P3" s="52" t="s">
        <v>99</v>
      </c>
      <c r="Q3" s="52" t="s">
        <v>119</v>
      </c>
      <c r="R3" s="52" t="s">
        <v>120</v>
      </c>
      <c r="S3" s="222" t="s">
        <v>155</v>
      </c>
      <c r="T3" s="52" t="s">
        <v>166</v>
      </c>
      <c r="U3" s="52" t="s">
        <v>166</v>
      </c>
      <c r="V3" s="52" t="s">
        <v>169</v>
      </c>
      <c r="W3" s="52" t="s">
        <v>188</v>
      </c>
      <c r="X3" s="52" t="s">
        <v>189</v>
      </c>
      <c r="Y3" s="51" t="s">
        <v>7</v>
      </c>
      <c r="Z3" s="51" t="s">
        <v>104</v>
      </c>
      <c r="AA3" s="51" t="s">
        <v>105</v>
      </c>
      <c r="AB3" s="48" t="s">
        <v>118</v>
      </c>
      <c r="AC3" s="9"/>
    </row>
    <row r="4" spans="1:37" ht="21" customHeight="1" x14ac:dyDescent="0.25">
      <c r="A4" s="48"/>
      <c r="B4" s="48"/>
      <c r="C4" s="48"/>
      <c r="D4" s="48"/>
      <c r="E4" s="48"/>
      <c r="F4" s="68" t="s">
        <v>3</v>
      </c>
      <c r="G4" s="68" t="s">
        <v>116</v>
      </c>
      <c r="H4" s="68" t="s">
        <v>106</v>
      </c>
      <c r="I4" s="68"/>
      <c r="J4" s="48"/>
      <c r="K4" s="50"/>
      <c r="L4" s="50"/>
      <c r="M4" s="50"/>
      <c r="N4" s="50"/>
      <c r="O4" s="52"/>
      <c r="P4" s="52" t="s">
        <v>102</v>
      </c>
      <c r="Q4" s="52" t="s">
        <v>111</v>
      </c>
      <c r="R4" s="52" t="s">
        <v>121</v>
      </c>
      <c r="S4" s="222"/>
      <c r="T4" s="52" t="s">
        <v>165</v>
      </c>
      <c r="U4" s="52" t="s">
        <v>167</v>
      </c>
      <c r="V4" s="52" t="s">
        <v>170</v>
      </c>
      <c r="W4" s="52" t="s">
        <v>187</v>
      </c>
      <c r="X4" s="52" t="s">
        <v>202</v>
      </c>
      <c r="Y4" s="52"/>
      <c r="Z4" s="51"/>
      <c r="AA4" s="51"/>
      <c r="AB4" s="48"/>
      <c r="AC4" s="9"/>
    </row>
    <row r="5" spans="1:37" ht="13.8" x14ac:dyDescent="0.25">
      <c r="A5" s="20"/>
      <c r="B5" s="20"/>
      <c r="C5" s="20"/>
      <c r="D5" s="20"/>
      <c r="E5" s="69"/>
      <c r="F5" s="70"/>
      <c r="G5" s="70">
        <v>2014</v>
      </c>
      <c r="H5" s="71"/>
      <c r="I5" s="71"/>
      <c r="J5" s="20"/>
      <c r="K5" s="12"/>
      <c r="L5" s="12"/>
      <c r="M5" s="12"/>
      <c r="Y5" s="19"/>
      <c r="Z5" s="19"/>
      <c r="AA5" s="19"/>
      <c r="AB5" s="20"/>
    </row>
    <row r="6" spans="1:37" s="20" customFormat="1" x14ac:dyDescent="0.2">
      <c r="A6" s="14" t="s">
        <v>70</v>
      </c>
      <c r="B6" s="14"/>
      <c r="C6" s="14"/>
      <c r="D6" s="14" t="s">
        <v>25</v>
      </c>
      <c r="E6" s="15" t="s">
        <v>9</v>
      </c>
      <c r="F6" s="41">
        <v>714069001</v>
      </c>
      <c r="G6" s="41"/>
      <c r="H6" s="41" t="s">
        <v>91</v>
      </c>
      <c r="I6" s="41" t="s">
        <v>113</v>
      </c>
      <c r="J6" s="14" t="s">
        <v>71</v>
      </c>
      <c r="K6" s="16">
        <v>700000</v>
      </c>
      <c r="L6" s="16">
        <f t="shared" ref="L6" si="0" xml:space="preserve"> K6*151/148</f>
        <v>714189.18918918923</v>
      </c>
      <c r="M6" s="16">
        <f t="shared" ref="M6:M10" si="1">(L6*162/151)</f>
        <v>766216.21621621621</v>
      </c>
      <c r="N6" s="16"/>
      <c r="O6" s="16">
        <f>M6*(163/162)</f>
        <v>770945.94594594592</v>
      </c>
      <c r="P6" s="16">
        <f>ROUND(O6/110.6*113.8,0)</f>
        <v>793252</v>
      </c>
      <c r="Q6" s="16">
        <f>ROUND(P6/113.8*117.8,0)</f>
        <v>821134</v>
      </c>
      <c r="S6" s="14" t="s">
        <v>159</v>
      </c>
      <c r="T6" s="16">
        <v>1028500</v>
      </c>
      <c r="U6" s="16">
        <f>ROUND(T6/120.2*121,0)</f>
        <v>1035345</v>
      </c>
      <c r="V6" s="16">
        <f>ROUND(U6/120.2*121,0)</f>
        <v>1042236</v>
      </c>
      <c r="W6" s="16">
        <f>ROUND(V6/123.1*125.8,0)</f>
        <v>1065096</v>
      </c>
      <c r="X6" s="16">
        <f>ROUND(W6/125.8*134.2,0)</f>
        <v>1136215</v>
      </c>
      <c r="Y6" s="17">
        <v>187550</v>
      </c>
      <c r="Z6" s="17">
        <f xml:space="preserve"> ROUND(X6+Y6,2)</f>
        <v>1323765</v>
      </c>
      <c r="AA6" s="17">
        <f>ROUND(Z6*0.483/1000,2)</f>
        <v>639.38</v>
      </c>
      <c r="AB6" s="18" t="s">
        <v>162</v>
      </c>
      <c r="AC6" s="19"/>
    </row>
    <row r="7" spans="1:37" s="20" customFormat="1" x14ac:dyDescent="0.2">
      <c r="A7" s="14" t="s">
        <v>70</v>
      </c>
      <c r="B7" s="14"/>
      <c r="C7" s="14"/>
      <c r="D7" s="14" t="s">
        <v>25</v>
      </c>
      <c r="E7" s="15" t="s">
        <v>9</v>
      </c>
      <c r="F7" s="41">
        <v>714069001</v>
      </c>
      <c r="G7" s="41"/>
      <c r="H7" s="41" t="s">
        <v>91</v>
      </c>
      <c r="I7" s="41" t="s">
        <v>113</v>
      </c>
      <c r="J7" s="14" t="s">
        <v>71</v>
      </c>
      <c r="K7" s="16">
        <v>700000</v>
      </c>
      <c r="L7" s="16">
        <f xml:space="preserve"> K7*151/148</f>
        <v>714189.18918918923</v>
      </c>
      <c r="M7" s="16">
        <f t="shared" si="1"/>
        <v>766216.21621621621</v>
      </c>
      <c r="N7" s="16"/>
      <c r="O7" s="16">
        <f>M7*(163/162)</f>
        <v>770945.94594594592</v>
      </c>
      <c r="P7" s="16">
        <f t="shared" ref="P7:P8" si="2">ROUND(O7/110.6*113.8,0)</f>
        <v>793252</v>
      </c>
      <c r="Q7" s="16">
        <f t="shared" ref="Q7:Q8" si="3">ROUND(P7/113.8*117.8,0)</f>
        <v>821134</v>
      </c>
      <c r="R7" s="16">
        <f t="shared" ref="R7:R8" si="4">ROUND(Q7/117.8*118.8,0)</f>
        <v>828105</v>
      </c>
      <c r="S7" s="16"/>
      <c r="T7" s="16">
        <f t="shared" ref="T7:T8" si="5">ROUND(R7/118.8*120.2,0)</f>
        <v>837864</v>
      </c>
      <c r="U7" s="16">
        <f t="shared" ref="U7:U50" si="6">ROUND(T7/120.2*121,0)</f>
        <v>843440</v>
      </c>
      <c r="V7" s="16">
        <f t="shared" ref="V7:V51" si="7">ROUND(U7/120.2*121,0)</f>
        <v>849054</v>
      </c>
      <c r="W7" s="16">
        <f t="shared" ref="W7:W52" si="8">ROUND(V7/123.1*125.8,0)</f>
        <v>867677</v>
      </c>
      <c r="X7" s="16">
        <f t="shared" ref="X7:X54" si="9">ROUND(W7/125.8*134.2,0)</f>
        <v>925614</v>
      </c>
      <c r="Y7" s="17">
        <v>55600</v>
      </c>
      <c r="Z7" s="17">
        <f t="shared" ref="Z7:Z54" si="10" xml:space="preserve"> ROUND(X7+Y7,2)</f>
        <v>981214</v>
      </c>
      <c r="AA7" s="17">
        <f t="shared" ref="AA7:AA58" si="11">ROUND(Z7*0.483/1000,2)</f>
        <v>473.93</v>
      </c>
      <c r="AB7" s="79"/>
      <c r="AC7" s="19"/>
    </row>
    <row r="8" spans="1:37" s="20" customFormat="1" x14ac:dyDescent="0.2">
      <c r="A8" s="14" t="s">
        <v>94</v>
      </c>
      <c r="B8" s="14"/>
      <c r="C8" s="14"/>
      <c r="D8" s="14" t="s">
        <v>61</v>
      </c>
      <c r="E8" s="15" t="s">
        <v>8</v>
      </c>
      <c r="F8" s="41">
        <v>714068014</v>
      </c>
      <c r="G8" s="41"/>
      <c r="H8" s="41" t="s">
        <v>91</v>
      </c>
      <c r="I8" s="41" t="s">
        <v>113</v>
      </c>
      <c r="J8" s="14" t="s">
        <v>62</v>
      </c>
      <c r="K8" s="16">
        <v>35400</v>
      </c>
      <c r="L8" s="16">
        <f xml:space="preserve"> K8*151/148</f>
        <v>36117.567567567567</v>
      </c>
      <c r="M8" s="16">
        <f t="shared" si="1"/>
        <v>38748.648648648646</v>
      </c>
      <c r="N8" s="16">
        <v>175000</v>
      </c>
      <c r="O8" s="16">
        <f>N8*(163/162)</f>
        <v>176080.24691358025</v>
      </c>
      <c r="P8" s="16">
        <f t="shared" si="2"/>
        <v>181175</v>
      </c>
      <c r="Q8" s="16">
        <f t="shared" si="3"/>
        <v>187543</v>
      </c>
      <c r="R8" s="16">
        <f t="shared" si="4"/>
        <v>189135</v>
      </c>
      <c r="S8" s="16"/>
      <c r="T8" s="16">
        <f t="shared" si="5"/>
        <v>191364</v>
      </c>
      <c r="U8" s="16">
        <f t="shared" si="6"/>
        <v>192638</v>
      </c>
      <c r="V8" s="16">
        <f t="shared" si="7"/>
        <v>193920</v>
      </c>
      <c r="W8" s="16">
        <f t="shared" si="8"/>
        <v>198173</v>
      </c>
      <c r="X8" s="16">
        <f t="shared" si="9"/>
        <v>211406</v>
      </c>
      <c r="Y8" s="17"/>
      <c r="Z8" s="17">
        <f t="shared" si="10"/>
        <v>211406</v>
      </c>
      <c r="AA8" s="17">
        <f t="shared" si="11"/>
        <v>102.11</v>
      </c>
      <c r="AB8" s="18"/>
      <c r="AC8" s="19"/>
    </row>
    <row r="9" spans="1:37" s="20" customFormat="1" x14ac:dyDescent="0.2">
      <c r="A9" s="14" t="s">
        <v>53</v>
      </c>
      <c r="B9" s="14"/>
      <c r="C9" s="14"/>
      <c r="D9" s="14" t="s">
        <v>56</v>
      </c>
      <c r="E9" s="15" t="s">
        <v>8</v>
      </c>
      <c r="F9" s="41">
        <v>714096005</v>
      </c>
      <c r="G9" s="41"/>
      <c r="H9" s="41" t="s">
        <v>91</v>
      </c>
      <c r="I9" s="41" t="s">
        <v>113</v>
      </c>
      <c r="J9" s="14" t="s">
        <v>57</v>
      </c>
      <c r="K9" s="16">
        <v>99300</v>
      </c>
      <c r="L9" s="16">
        <f xml:space="preserve"> K9*151/148</f>
        <v>101312.83783783784</v>
      </c>
      <c r="M9" s="16">
        <f t="shared" si="1"/>
        <v>108693.24324324325</v>
      </c>
      <c r="N9" s="16"/>
      <c r="O9" s="16">
        <f>M9*(163/162)</f>
        <v>109364.1891891892</v>
      </c>
      <c r="P9" s="16">
        <f>ROUND(O9/110.6*113.8,0)</f>
        <v>112528</v>
      </c>
      <c r="Q9" s="16">
        <f>ROUND(P9/113.8*117.8,0)</f>
        <v>116483</v>
      </c>
      <c r="S9" s="14" t="s">
        <v>159</v>
      </c>
      <c r="T9" s="16">
        <v>152460</v>
      </c>
      <c r="U9" s="16">
        <f t="shared" si="6"/>
        <v>153475</v>
      </c>
      <c r="V9" s="16">
        <f t="shared" si="7"/>
        <v>154496</v>
      </c>
      <c r="W9" s="16">
        <f t="shared" si="8"/>
        <v>157885</v>
      </c>
      <c r="X9" s="16">
        <f t="shared" si="9"/>
        <v>168427</v>
      </c>
      <c r="Y9" s="17">
        <v>50820</v>
      </c>
      <c r="Z9" s="17">
        <f t="shared" si="10"/>
        <v>219247</v>
      </c>
      <c r="AA9" s="17">
        <f t="shared" si="11"/>
        <v>105.9</v>
      </c>
      <c r="AB9" s="18"/>
      <c r="AC9" s="19"/>
    </row>
    <row r="10" spans="1:37" s="20" customFormat="1" x14ac:dyDescent="0.2">
      <c r="A10" s="14" t="s">
        <v>53</v>
      </c>
      <c r="B10" s="14"/>
      <c r="C10" s="14"/>
      <c r="D10" s="14" t="s">
        <v>54</v>
      </c>
      <c r="E10" s="15" t="s">
        <v>9</v>
      </c>
      <c r="F10" s="41">
        <v>714096005</v>
      </c>
      <c r="G10" s="41"/>
      <c r="H10" s="41" t="s">
        <v>91</v>
      </c>
      <c r="I10" s="41" t="s">
        <v>113</v>
      </c>
      <c r="J10" s="14" t="s">
        <v>55</v>
      </c>
      <c r="K10" s="16">
        <v>734000</v>
      </c>
      <c r="L10" s="16">
        <f xml:space="preserve"> K10*151/148</f>
        <v>748878.37837837834</v>
      </c>
      <c r="M10" s="16">
        <f t="shared" si="1"/>
        <v>803432.43243243243</v>
      </c>
      <c r="N10" s="16">
        <v>1200000</v>
      </c>
      <c r="O10" s="16">
        <f>N10*(163/162)</f>
        <v>1207407.4074074074</v>
      </c>
      <c r="P10" s="16">
        <f>ROUND(O10/110.6*113.8,0)</f>
        <v>1242341</v>
      </c>
      <c r="Q10" s="16">
        <f>ROUND(P10/113.8*117.8,0)</f>
        <v>1286009</v>
      </c>
      <c r="S10" s="14" t="s">
        <v>159</v>
      </c>
      <c r="T10" s="16">
        <v>998250</v>
      </c>
      <c r="U10" s="16">
        <f t="shared" si="6"/>
        <v>1004894</v>
      </c>
      <c r="V10" s="16">
        <f t="shared" si="7"/>
        <v>1011582</v>
      </c>
      <c r="W10" s="16">
        <f t="shared" si="8"/>
        <v>1033769</v>
      </c>
      <c r="X10" s="16">
        <f t="shared" si="9"/>
        <v>1102797</v>
      </c>
      <c r="Y10" s="17">
        <v>181500</v>
      </c>
      <c r="Z10" s="17">
        <f t="shared" si="10"/>
        <v>1284297</v>
      </c>
      <c r="AA10" s="17">
        <f t="shared" si="11"/>
        <v>620.32000000000005</v>
      </c>
      <c r="AB10" s="114" t="s">
        <v>191</v>
      </c>
      <c r="AC10" s="19"/>
      <c r="AD10" s="8"/>
    </row>
    <row r="11" spans="1:37" x14ac:dyDescent="0.2">
      <c r="A11" s="14" t="s">
        <v>131</v>
      </c>
      <c r="B11" s="14"/>
      <c r="C11" s="14"/>
      <c r="D11" s="14" t="s">
        <v>78</v>
      </c>
      <c r="E11" s="15" t="s">
        <v>9</v>
      </c>
      <c r="F11" s="41">
        <v>714067001</v>
      </c>
      <c r="G11" s="41"/>
      <c r="H11" s="41" t="s">
        <v>91</v>
      </c>
      <c r="I11" s="41" t="s">
        <v>113</v>
      </c>
      <c r="J11" s="14" t="s">
        <v>132</v>
      </c>
      <c r="K11" s="16"/>
      <c r="L11" s="16">
        <v>52500</v>
      </c>
      <c r="M11" s="16">
        <v>25033.11</v>
      </c>
      <c r="N11" s="16">
        <v>166111.111</v>
      </c>
      <c r="O11" s="16">
        <f>N11*(163/162)</f>
        <v>167136.48822839506</v>
      </c>
      <c r="P11" s="16">
        <f>ROUND(O11/110.6*113.8,0)</f>
        <v>171972</v>
      </c>
      <c r="Q11" s="16">
        <f>ROUND(P11/113.8*117.8,0)</f>
        <v>178017</v>
      </c>
      <c r="R11" s="20"/>
      <c r="S11" s="14" t="s">
        <v>159</v>
      </c>
      <c r="T11" s="16">
        <v>659450</v>
      </c>
      <c r="U11" s="16">
        <f t="shared" si="6"/>
        <v>663839</v>
      </c>
      <c r="V11" s="16">
        <f t="shared" si="7"/>
        <v>668257</v>
      </c>
      <c r="W11" s="16">
        <f t="shared" si="8"/>
        <v>682914</v>
      </c>
      <c r="X11" s="16">
        <f t="shared" si="9"/>
        <v>728514</v>
      </c>
      <c r="Y11" s="17">
        <v>229900</v>
      </c>
      <c r="Z11" s="17">
        <f t="shared" si="10"/>
        <v>958414</v>
      </c>
      <c r="AA11" s="17">
        <f t="shared" si="11"/>
        <v>462.91</v>
      </c>
      <c r="AB11" s="18"/>
      <c r="AC11" s="13"/>
    </row>
    <row r="12" spans="1:37" x14ac:dyDescent="0.2">
      <c r="A12" s="14"/>
      <c r="B12" s="14"/>
      <c r="C12" s="14"/>
      <c r="D12" s="14"/>
      <c r="E12" s="15" t="s">
        <v>9</v>
      </c>
      <c r="F12" s="41">
        <v>713030001</v>
      </c>
      <c r="G12" s="41"/>
      <c r="H12" s="41" t="s">
        <v>91</v>
      </c>
      <c r="I12" s="41" t="s">
        <v>113</v>
      </c>
      <c r="J12" s="14" t="s">
        <v>81</v>
      </c>
      <c r="K12" s="16"/>
      <c r="L12" s="16"/>
      <c r="M12" s="16">
        <v>25033.11</v>
      </c>
      <c r="N12" s="16">
        <v>166111.10999999999</v>
      </c>
      <c r="O12" s="16">
        <f>N12*(163/162)</f>
        <v>167136.4872222222</v>
      </c>
      <c r="P12" s="16">
        <f>ROUND(O12/110.6*113.8,0)</f>
        <v>171972</v>
      </c>
      <c r="Q12" s="16">
        <f>ROUND(P12/113.8*117.8,0)</f>
        <v>178017</v>
      </c>
      <c r="R12" s="20"/>
      <c r="S12" s="14" t="s">
        <v>160</v>
      </c>
      <c r="T12" s="16"/>
      <c r="U12" s="16"/>
      <c r="V12" s="16"/>
      <c r="W12" s="16"/>
      <c r="X12" s="16">
        <f t="shared" si="9"/>
        <v>0</v>
      </c>
      <c r="Y12" s="17">
        <v>229900</v>
      </c>
      <c r="Z12" s="17">
        <f t="shared" si="10"/>
        <v>229900</v>
      </c>
      <c r="AA12" s="17">
        <f t="shared" si="11"/>
        <v>111.04</v>
      </c>
      <c r="AB12" s="18"/>
      <c r="AC12" s="13"/>
      <c r="AD12" s="20"/>
    </row>
    <row r="13" spans="1:37" x14ac:dyDescent="0.2">
      <c r="A13" s="14" t="s">
        <v>58</v>
      </c>
      <c r="B13" s="14"/>
      <c r="C13" s="14"/>
      <c r="D13" s="14" t="s">
        <v>59</v>
      </c>
      <c r="E13" s="15" t="s">
        <v>9</v>
      </c>
      <c r="F13" s="41">
        <v>714069004</v>
      </c>
      <c r="G13" s="41"/>
      <c r="H13" s="41" t="s">
        <v>91</v>
      </c>
      <c r="I13" s="41" t="s">
        <v>113</v>
      </c>
      <c r="J13" s="14" t="s">
        <v>60</v>
      </c>
      <c r="K13" s="16">
        <v>37400</v>
      </c>
      <c r="L13" s="16">
        <f xml:space="preserve"> K13*151/148</f>
        <v>38158.108108108107</v>
      </c>
      <c r="M13" s="16">
        <f>(L13*162/151)</f>
        <v>40937.837837837833</v>
      </c>
      <c r="N13" s="16">
        <v>145000</v>
      </c>
      <c r="O13" s="16">
        <f>N13*(163/162)</f>
        <v>145895.06172839506</v>
      </c>
      <c r="P13" s="16">
        <f t="shared" ref="P13" si="12">ROUND(O13/110.6*113.8,0)</f>
        <v>150116</v>
      </c>
      <c r="Q13" s="16">
        <f t="shared" ref="Q13" si="13">ROUND(P13/113.8*117.8,0)</f>
        <v>155392</v>
      </c>
      <c r="R13" s="20"/>
      <c r="S13" s="14" t="s">
        <v>156</v>
      </c>
      <c r="T13" s="16">
        <v>181500</v>
      </c>
      <c r="U13" s="16">
        <f t="shared" si="6"/>
        <v>182708</v>
      </c>
      <c r="V13" s="16">
        <f t="shared" si="7"/>
        <v>183924</v>
      </c>
      <c r="W13" s="16">
        <f t="shared" si="8"/>
        <v>187958</v>
      </c>
      <c r="X13" s="16">
        <f t="shared" si="9"/>
        <v>200508</v>
      </c>
      <c r="Y13" s="17">
        <v>5000</v>
      </c>
      <c r="Z13" s="17">
        <f t="shared" si="10"/>
        <v>205508</v>
      </c>
      <c r="AA13" s="17">
        <f t="shared" si="11"/>
        <v>99.26</v>
      </c>
      <c r="AB13" s="18" t="s">
        <v>161</v>
      </c>
      <c r="AC13" s="13"/>
    </row>
    <row r="14" spans="1:37" s="20" customFormat="1" x14ac:dyDescent="0.2">
      <c r="A14" s="14" t="s">
        <v>58</v>
      </c>
      <c r="B14" s="14"/>
      <c r="C14" s="14"/>
      <c r="D14" s="14" t="s">
        <v>124</v>
      </c>
      <c r="E14" s="15"/>
      <c r="F14" s="41">
        <v>714067001</v>
      </c>
      <c r="G14" s="41"/>
      <c r="H14" s="41" t="s">
        <v>91</v>
      </c>
      <c r="I14" s="41" t="s">
        <v>113</v>
      </c>
      <c r="J14" s="14" t="s">
        <v>95</v>
      </c>
      <c r="K14" s="16"/>
      <c r="L14" s="16"/>
      <c r="M14" s="16"/>
      <c r="N14" s="16"/>
      <c r="O14" s="16">
        <v>80000</v>
      </c>
      <c r="P14" s="16">
        <f>ROUND(O14/110.6*113.8,0)</f>
        <v>82315</v>
      </c>
      <c r="Q14" s="16">
        <f>ROUND(P14/113.8*117.8,0)</f>
        <v>85208</v>
      </c>
      <c r="S14" s="14" t="s">
        <v>156</v>
      </c>
      <c r="T14" s="16">
        <v>78650</v>
      </c>
      <c r="U14" s="16">
        <f t="shared" si="6"/>
        <v>79173</v>
      </c>
      <c r="V14" s="16">
        <f t="shared" si="7"/>
        <v>79700</v>
      </c>
      <c r="W14" s="16">
        <f t="shared" si="8"/>
        <v>81448</v>
      </c>
      <c r="X14" s="16">
        <f t="shared" si="9"/>
        <v>86886</v>
      </c>
      <c r="Y14" s="17">
        <v>5000</v>
      </c>
      <c r="Z14" s="17">
        <f t="shared" si="10"/>
        <v>91886</v>
      </c>
      <c r="AA14" s="17">
        <f t="shared" si="11"/>
        <v>44.38</v>
      </c>
      <c r="AB14" s="18"/>
      <c r="AC14" s="19"/>
    </row>
    <row r="15" spans="1:37" x14ac:dyDescent="0.2">
      <c r="A15" s="14" t="s">
        <v>87</v>
      </c>
      <c r="B15" s="14"/>
      <c r="C15" s="14"/>
      <c r="D15" s="14" t="s">
        <v>85</v>
      </c>
      <c r="E15" s="15" t="s">
        <v>9</v>
      </c>
      <c r="F15" s="41">
        <v>713030001</v>
      </c>
      <c r="G15" s="41"/>
      <c r="H15" s="41" t="s">
        <v>91</v>
      </c>
      <c r="I15" s="41" t="s">
        <v>113</v>
      </c>
      <c r="J15" s="14" t="s">
        <v>84</v>
      </c>
      <c r="K15" s="16"/>
      <c r="L15" s="16"/>
      <c r="M15" s="16"/>
      <c r="N15" s="16"/>
      <c r="O15" s="16">
        <f>M15*(163/162)</f>
        <v>0</v>
      </c>
      <c r="P15" s="16"/>
      <c r="Q15" s="16"/>
      <c r="R15" s="20"/>
      <c r="S15" s="14" t="s">
        <v>160</v>
      </c>
      <c r="T15" s="16"/>
      <c r="U15" s="16"/>
      <c r="V15" s="16"/>
      <c r="W15" s="16"/>
      <c r="X15" s="16">
        <f t="shared" si="9"/>
        <v>0</v>
      </c>
      <c r="Y15" s="17">
        <v>217800</v>
      </c>
      <c r="Z15" s="17">
        <f t="shared" si="10"/>
        <v>217800</v>
      </c>
      <c r="AA15" s="17">
        <f t="shared" si="11"/>
        <v>105.2</v>
      </c>
      <c r="AB15" s="114" t="s">
        <v>195</v>
      </c>
      <c r="AC15" s="13"/>
    </row>
    <row r="16" spans="1:37" s="61" customFormat="1" ht="13.2" x14ac:dyDescent="0.25">
      <c r="A16" s="14" t="s">
        <v>72</v>
      </c>
      <c r="B16" s="14"/>
      <c r="C16" s="14"/>
      <c r="D16" s="14" t="s">
        <v>74</v>
      </c>
      <c r="E16" s="15" t="s">
        <v>9</v>
      </c>
      <c r="F16" s="41">
        <v>713044001</v>
      </c>
      <c r="G16" s="41"/>
      <c r="H16" s="41" t="s">
        <v>107</v>
      </c>
      <c r="I16" s="41" t="s">
        <v>114</v>
      </c>
      <c r="J16" s="18" t="s">
        <v>76</v>
      </c>
      <c r="K16" s="17">
        <v>520000</v>
      </c>
      <c r="L16" s="16">
        <f t="shared" ref="L16:L20" si="14" xml:space="preserve"> K16*151/148</f>
        <v>530540.54054054059</v>
      </c>
      <c r="M16" s="16">
        <f>(L16*162/151)</f>
        <v>569189.18918918923</v>
      </c>
      <c r="N16" s="16"/>
      <c r="O16" s="16">
        <f>M16*(163/162)</f>
        <v>572702.70270270272</v>
      </c>
      <c r="P16" s="16">
        <f t="shared" ref="P16:P20" si="15">ROUND(O16/110.6*113.8,0)</f>
        <v>589273</v>
      </c>
      <c r="Q16" s="16">
        <f t="shared" ref="Q16:Q20" si="16">ROUND(P16/113.8*117.8,0)</f>
        <v>609986</v>
      </c>
      <c r="R16" s="72"/>
      <c r="S16" s="14" t="s">
        <v>159</v>
      </c>
      <c r="T16" s="16">
        <v>798600</v>
      </c>
      <c r="U16" s="16">
        <f t="shared" si="6"/>
        <v>803915</v>
      </c>
      <c r="V16" s="16">
        <f t="shared" si="7"/>
        <v>809266</v>
      </c>
      <c r="W16" s="16">
        <f t="shared" si="8"/>
        <v>827016</v>
      </c>
      <c r="X16" s="16">
        <f t="shared" si="9"/>
        <v>882238</v>
      </c>
      <c r="Y16" s="17">
        <v>90750</v>
      </c>
      <c r="Z16" s="17">
        <f t="shared" si="10"/>
        <v>972988</v>
      </c>
      <c r="AA16" s="17">
        <f t="shared" si="11"/>
        <v>469.95</v>
      </c>
      <c r="AB16" s="18"/>
      <c r="AC16" s="62"/>
      <c r="AD16" s="8"/>
      <c r="AE16" s="63"/>
      <c r="AF16" s="63"/>
      <c r="AG16" s="63"/>
      <c r="AH16" s="63"/>
      <c r="AI16" s="64"/>
      <c r="AJ16" s="62"/>
      <c r="AK16" s="62"/>
    </row>
    <row r="17" spans="1:37" s="61" customFormat="1" ht="13.2" x14ac:dyDescent="0.25">
      <c r="A17" s="14" t="s">
        <v>73</v>
      </c>
      <c r="B17" s="14"/>
      <c r="C17" s="14"/>
      <c r="D17" s="14" t="s">
        <v>74</v>
      </c>
      <c r="E17" s="15" t="s">
        <v>9</v>
      </c>
      <c r="F17" s="41">
        <v>713044001</v>
      </c>
      <c r="G17" s="41"/>
      <c r="H17" s="41" t="s">
        <v>107</v>
      </c>
      <c r="I17" s="41" t="s">
        <v>114</v>
      </c>
      <c r="J17" s="18" t="s">
        <v>73</v>
      </c>
      <c r="K17" s="17">
        <v>520000</v>
      </c>
      <c r="L17" s="16">
        <f t="shared" si="14"/>
        <v>530540.54054054059</v>
      </c>
      <c r="M17" s="16">
        <f>(L17*162/151)</f>
        <v>569189.18918918923</v>
      </c>
      <c r="N17" s="16"/>
      <c r="O17" s="16">
        <f>M17*(163/162)</f>
        <v>572702.70270270272</v>
      </c>
      <c r="P17" s="16">
        <f t="shared" si="15"/>
        <v>589273</v>
      </c>
      <c r="Q17" s="16">
        <f t="shared" si="16"/>
        <v>609986</v>
      </c>
      <c r="R17" s="72"/>
      <c r="S17" s="14" t="s">
        <v>159</v>
      </c>
      <c r="T17" s="16">
        <v>798600</v>
      </c>
      <c r="U17" s="16">
        <f t="shared" si="6"/>
        <v>803915</v>
      </c>
      <c r="V17" s="16">
        <f t="shared" si="7"/>
        <v>809266</v>
      </c>
      <c r="W17" s="16">
        <f t="shared" si="8"/>
        <v>827016</v>
      </c>
      <c r="X17" s="16">
        <f t="shared" si="9"/>
        <v>882238</v>
      </c>
      <c r="Y17" s="17">
        <v>82280</v>
      </c>
      <c r="Z17" s="17">
        <f t="shared" si="10"/>
        <v>964518</v>
      </c>
      <c r="AA17" s="17">
        <f t="shared" si="11"/>
        <v>465.86</v>
      </c>
      <c r="AB17" s="18"/>
      <c r="AC17" s="62"/>
      <c r="AD17" s="20"/>
      <c r="AE17" s="63"/>
      <c r="AF17" s="63"/>
      <c r="AG17" s="63"/>
      <c r="AH17" s="63"/>
      <c r="AI17" s="64"/>
      <c r="AJ17" s="62"/>
      <c r="AK17" s="62"/>
    </row>
    <row r="18" spans="1:37" s="61" customFormat="1" ht="13.2" x14ac:dyDescent="0.25">
      <c r="A18" s="14" t="s">
        <v>126</v>
      </c>
      <c r="B18" s="14"/>
      <c r="C18" s="14"/>
      <c r="D18" s="14" t="s">
        <v>75</v>
      </c>
      <c r="E18" s="15" t="s">
        <v>9</v>
      </c>
      <c r="F18" s="41">
        <v>713044001</v>
      </c>
      <c r="G18" s="41"/>
      <c r="H18" s="41" t="s">
        <v>107</v>
      </c>
      <c r="I18" s="41" t="s">
        <v>114</v>
      </c>
      <c r="J18" s="18" t="s">
        <v>126</v>
      </c>
      <c r="K18" s="17">
        <v>1560000</v>
      </c>
      <c r="L18" s="16">
        <f t="shared" si="14"/>
        <v>1591621.6216216215</v>
      </c>
      <c r="M18" s="16">
        <f>(L18*162/151)</f>
        <v>1707567.5675675676</v>
      </c>
      <c r="N18" s="16"/>
      <c r="O18" s="16">
        <f>M18*(163/162)</f>
        <v>1718108.1081081082</v>
      </c>
      <c r="P18" s="16">
        <f t="shared" si="15"/>
        <v>1767818</v>
      </c>
      <c r="Q18" s="16">
        <f t="shared" si="16"/>
        <v>1829956</v>
      </c>
      <c r="R18" s="72"/>
      <c r="S18" s="14" t="s">
        <v>159</v>
      </c>
      <c r="T18" s="16">
        <v>1948100</v>
      </c>
      <c r="U18" s="16">
        <f t="shared" si="6"/>
        <v>1961066</v>
      </c>
      <c r="V18" s="16">
        <f t="shared" si="7"/>
        <v>1974118</v>
      </c>
      <c r="W18" s="16">
        <f t="shared" si="8"/>
        <v>2017417</v>
      </c>
      <c r="X18" s="16">
        <f t="shared" si="9"/>
        <v>2152125</v>
      </c>
      <c r="Y18" s="17">
        <v>151250</v>
      </c>
      <c r="Z18" s="17">
        <f t="shared" si="10"/>
        <v>2303375</v>
      </c>
      <c r="AA18" s="17">
        <f t="shared" si="11"/>
        <v>1112.53</v>
      </c>
      <c r="AB18" s="18"/>
      <c r="AC18" s="62"/>
      <c r="AD18" s="20"/>
      <c r="AE18" s="63"/>
      <c r="AF18" s="63"/>
      <c r="AG18" s="63"/>
      <c r="AH18" s="63"/>
      <c r="AI18" s="64"/>
      <c r="AJ18" s="62"/>
      <c r="AK18" s="62"/>
    </row>
    <row r="19" spans="1:37" x14ac:dyDescent="0.2">
      <c r="A19" s="14" t="s">
        <v>69</v>
      </c>
      <c r="B19" s="14"/>
      <c r="C19" s="14"/>
      <c r="D19" s="14" t="s">
        <v>34</v>
      </c>
      <c r="E19" s="15" t="s">
        <v>9</v>
      </c>
      <c r="F19" s="41">
        <v>713079004</v>
      </c>
      <c r="G19" s="41"/>
      <c r="H19" s="41" t="s">
        <v>108</v>
      </c>
      <c r="I19" s="41" t="s">
        <v>115</v>
      </c>
      <c r="J19" s="14" t="s">
        <v>86</v>
      </c>
      <c r="K19" s="16">
        <v>398200</v>
      </c>
      <c r="L19" s="16">
        <f t="shared" si="14"/>
        <v>406271.6216216216</v>
      </c>
      <c r="M19" s="16">
        <f>(L19*162/151)</f>
        <v>435867.56756756757</v>
      </c>
      <c r="N19" s="16">
        <v>630000</v>
      </c>
      <c r="O19" s="16">
        <f>N19*(163/162)</f>
        <v>633888.88888888888</v>
      </c>
      <c r="P19" s="16">
        <f t="shared" si="15"/>
        <v>652229</v>
      </c>
      <c r="Q19" s="16">
        <f t="shared" si="16"/>
        <v>675154</v>
      </c>
      <c r="R19" s="20"/>
      <c r="S19" s="14" t="s">
        <v>156</v>
      </c>
      <c r="T19" s="16">
        <v>701800</v>
      </c>
      <c r="U19" s="16">
        <f t="shared" si="6"/>
        <v>706471</v>
      </c>
      <c r="V19" s="16">
        <f t="shared" si="7"/>
        <v>711173</v>
      </c>
      <c r="W19" s="16">
        <f t="shared" si="8"/>
        <v>726771</v>
      </c>
      <c r="X19" s="16">
        <f t="shared" si="9"/>
        <v>775299</v>
      </c>
      <c r="Y19" s="17"/>
      <c r="Z19" s="17">
        <f t="shared" si="10"/>
        <v>775299</v>
      </c>
      <c r="AA19" s="17">
        <f t="shared" si="11"/>
        <v>374.47</v>
      </c>
      <c r="AB19" s="18"/>
      <c r="AC19" s="13"/>
    </row>
    <row r="20" spans="1:37" x14ac:dyDescent="0.2">
      <c r="A20" s="14" t="s">
        <v>41</v>
      </c>
      <c r="B20" s="14"/>
      <c r="C20" s="14"/>
      <c r="D20" s="14" t="s">
        <v>64</v>
      </c>
      <c r="E20" s="15" t="s">
        <v>9</v>
      </c>
      <c r="F20" s="41">
        <v>713051002</v>
      </c>
      <c r="G20" s="41"/>
      <c r="H20" s="41" t="s">
        <v>108</v>
      </c>
      <c r="I20" s="41" t="s">
        <v>115</v>
      </c>
      <c r="J20" s="14" t="s">
        <v>173</v>
      </c>
      <c r="K20" s="16">
        <v>4082800</v>
      </c>
      <c r="L20" s="16">
        <f t="shared" si="14"/>
        <v>4165559.4594594594</v>
      </c>
      <c r="M20" s="16">
        <f t="shared" ref="M20" si="17">(L20*162/151)</f>
        <v>4469010.8108108109</v>
      </c>
      <c r="N20" s="16">
        <v>5980000</v>
      </c>
      <c r="O20" s="16">
        <f>N20*(163/162)</f>
        <v>6016913.5802469142</v>
      </c>
      <c r="P20" s="16">
        <f t="shared" si="15"/>
        <v>6191001</v>
      </c>
      <c r="Q20" s="16">
        <f t="shared" si="16"/>
        <v>6408611</v>
      </c>
      <c r="R20" s="20"/>
      <c r="S20" s="14" t="s">
        <v>156</v>
      </c>
      <c r="T20" s="16">
        <v>5929000</v>
      </c>
      <c r="U20" s="16">
        <f t="shared" si="6"/>
        <v>5968461</v>
      </c>
      <c r="V20" s="16">
        <f t="shared" si="7"/>
        <v>6008185</v>
      </c>
      <c r="W20" s="16">
        <f t="shared" si="8"/>
        <v>6139965</v>
      </c>
      <c r="X20" s="16">
        <f t="shared" si="9"/>
        <v>6549947</v>
      </c>
      <c r="Y20" s="17"/>
      <c r="Z20" s="17">
        <f t="shared" si="10"/>
        <v>6549947</v>
      </c>
      <c r="AA20" s="17">
        <f t="shared" si="11"/>
        <v>3163.62</v>
      </c>
      <c r="AB20" s="18"/>
      <c r="AC20" s="13"/>
      <c r="AD20" s="20"/>
    </row>
    <row r="21" spans="1:37" x14ac:dyDescent="0.2">
      <c r="A21" s="14" t="s">
        <v>88</v>
      </c>
      <c r="B21" s="14"/>
      <c r="C21" s="14"/>
      <c r="D21" s="14" t="s">
        <v>117</v>
      </c>
      <c r="E21" s="15" t="s">
        <v>9</v>
      </c>
      <c r="F21" s="41">
        <v>713069003</v>
      </c>
      <c r="G21" s="41"/>
      <c r="H21" s="41" t="s">
        <v>107</v>
      </c>
      <c r="I21" s="41" t="s">
        <v>114</v>
      </c>
      <c r="J21" s="14" t="s">
        <v>89</v>
      </c>
      <c r="K21" s="28"/>
      <c r="L21" s="28"/>
      <c r="M21" s="28"/>
      <c r="N21" s="16">
        <v>10285000</v>
      </c>
      <c r="O21" s="16">
        <f t="shared" ref="O21" si="18">N21*(163/162)</f>
        <v>10348487.654320989</v>
      </c>
      <c r="P21" s="16">
        <f t="shared" ref="P21" si="19">ROUND(O21/110.6*113.8,0)</f>
        <v>10647901</v>
      </c>
      <c r="Q21" s="16">
        <f t="shared" ref="Q21" si="20">ROUND(P21/113.8*117.8,0)</f>
        <v>11022168</v>
      </c>
      <c r="R21" s="16">
        <f t="shared" ref="R21" si="21">ROUND(Q21/117.8*118.8,0)</f>
        <v>11115735</v>
      </c>
      <c r="S21" s="16"/>
      <c r="T21" s="16">
        <f t="shared" ref="T21" si="22">ROUND(R21/118.8*120.2,0)</f>
        <v>11246729</v>
      </c>
      <c r="U21" s="16">
        <f t="shared" si="6"/>
        <v>11321582</v>
      </c>
      <c r="V21" s="16">
        <f t="shared" si="7"/>
        <v>11396934</v>
      </c>
      <c r="W21" s="16">
        <f t="shared" si="8"/>
        <v>11646907</v>
      </c>
      <c r="X21" s="16">
        <f t="shared" si="9"/>
        <v>12424602</v>
      </c>
      <c r="Y21" s="73"/>
      <c r="Z21" s="17">
        <f t="shared" si="10"/>
        <v>12424602</v>
      </c>
      <c r="AA21" s="17">
        <f t="shared" si="11"/>
        <v>6001.08</v>
      </c>
      <c r="AB21" s="20"/>
    </row>
    <row r="22" spans="1:37" x14ac:dyDescent="0.2">
      <c r="A22" s="14" t="s">
        <v>31</v>
      </c>
      <c r="B22" s="14"/>
      <c r="C22" s="14"/>
      <c r="D22" s="14" t="s">
        <v>29</v>
      </c>
      <c r="E22" s="15" t="s">
        <v>9</v>
      </c>
      <c r="F22" s="41">
        <v>713085001</v>
      </c>
      <c r="G22" s="41"/>
      <c r="H22" s="41" t="s">
        <v>108</v>
      </c>
      <c r="I22" s="41" t="s">
        <v>115</v>
      </c>
      <c r="J22" s="14" t="s">
        <v>30</v>
      </c>
      <c r="K22" s="16">
        <v>259600</v>
      </c>
      <c r="L22" s="16">
        <f xml:space="preserve"> K22*151/148</f>
        <v>264862.16216216219</v>
      </c>
      <c r="M22" s="16">
        <f>(L22*162/151)</f>
        <v>284156.7567567568</v>
      </c>
      <c r="N22" s="16">
        <v>515000</v>
      </c>
      <c r="O22" s="16">
        <f t="shared" ref="O22" si="23">N22*(163/162)</f>
        <v>518179.01234567905</v>
      </c>
      <c r="P22" s="16">
        <f t="shared" ref="P22:P27" si="24">ROUND(O22/110.6*113.8,0)</f>
        <v>533172</v>
      </c>
      <c r="Q22" s="16">
        <f t="shared" ref="Q22:Q27" si="25">ROUND(P22/113.8*117.8,0)</f>
        <v>551913</v>
      </c>
      <c r="R22" s="20"/>
      <c r="S22" s="14" t="s">
        <v>156</v>
      </c>
      <c r="T22" s="16">
        <v>665500</v>
      </c>
      <c r="U22" s="16">
        <f t="shared" si="6"/>
        <v>669929</v>
      </c>
      <c r="V22" s="16">
        <f t="shared" si="7"/>
        <v>674388</v>
      </c>
      <c r="W22" s="16">
        <f t="shared" si="8"/>
        <v>689180</v>
      </c>
      <c r="X22" s="16">
        <f t="shared" si="9"/>
        <v>735198</v>
      </c>
      <c r="Y22" s="17"/>
      <c r="Z22" s="17">
        <f t="shared" si="10"/>
        <v>735198</v>
      </c>
      <c r="AA22" s="17">
        <f t="shared" si="11"/>
        <v>355.1</v>
      </c>
      <c r="AB22" s="18"/>
      <c r="AC22" s="13"/>
      <c r="AD22" s="20"/>
    </row>
    <row r="23" spans="1:37" x14ac:dyDescent="0.2">
      <c r="A23" s="14" t="s">
        <v>28</v>
      </c>
      <c r="B23" s="14"/>
      <c r="C23" s="14"/>
      <c r="D23" s="14" t="s">
        <v>29</v>
      </c>
      <c r="E23" s="15" t="s">
        <v>9</v>
      </c>
      <c r="F23" s="41">
        <v>713085001</v>
      </c>
      <c r="G23" s="41"/>
      <c r="H23" s="41" t="s">
        <v>108</v>
      </c>
      <c r="I23" s="41" t="s">
        <v>115</v>
      </c>
      <c r="J23" s="14" t="s">
        <v>30</v>
      </c>
      <c r="K23" s="16">
        <v>1556500</v>
      </c>
      <c r="L23" s="16">
        <f xml:space="preserve"> K23*151/148</f>
        <v>1588050.6756756757</v>
      </c>
      <c r="M23" s="16">
        <f>(L23*162/151)</f>
        <v>1703736.4864864866</v>
      </c>
      <c r="N23" s="16">
        <v>2175000</v>
      </c>
      <c r="O23" s="16">
        <f>N23*(163/162)</f>
        <v>2188425.9259259258</v>
      </c>
      <c r="P23" s="16">
        <f t="shared" si="24"/>
        <v>2251744</v>
      </c>
      <c r="Q23" s="16">
        <f t="shared" si="25"/>
        <v>2330891</v>
      </c>
      <c r="R23" s="20"/>
      <c r="S23" s="14" t="s">
        <v>156</v>
      </c>
      <c r="T23" s="16">
        <v>2504700</v>
      </c>
      <c r="U23" s="16">
        <f t="shared" si="6"/>
        <v>2521370</v>
      </c>
      <c r="V23" s="16">
        <f t="shared" si="7"/>
        <v>2538151</v>
      </c>
      <c r="W23" s="16">
        <f t="shared" si="8"/>
        <v>2593821</v>
      </c>
      <c r="X23" s="16">
        <f t="shared" si="9"/>
        <v>2767017</v>
      </c>
      <c r="Y23" s="17"/>
      <c r="Z23" s="17">
        <f t="shared" si="10"/>
        <v>2767017</v>
      </c>
      <c r="AA23" s="17">
        <f t="shared" si="11"/>
        <v>1336.47</v>
      </c>
      <c r="AB23" s="18"/>
      <c r="AC23" s="13"/>
      <c r="AD23" s="20"/>
    </row>
    <row r="24" spans="1:37" x14ac:dyDescent="0.2">
      <c r="A24" s="14" t="s">
        <v>11</v>
      </c>
      <c r="B24" s="14"/>
      <c r="C24" s="14"/>
      <c r="D24" s="14" t="s">
        <v>128</v>
      </c>
      <c r="E24" s="15" t="s">
        <v>8</v>
      </c>
      <c r="F24" s="41">
        <v>713086001</v>
      </c>
      <c r="G24" s="41"/>
      <c r="H24" s="41" t="s">
        <v>108</v>
      </c>
      <c r="I24" s="41" t="s">
        <v>115</v>
      </c>
      <c r="J24" s="14" t="s">
        <v>129</v>
      </c>
      <c r="K24" s="16">
        <v>115900</v>
      </c>
      <c r="L24" s="16">
        <f xml:space="preserve"> K24*151/148</f>
        <v>118249.32432432432</v>
      </c>
      <c r="M24" s="16">
        <f t="shared" ref="M24" si="26">(L24*162/151)</f>
        <v>126863.51351351351</v>
      </c>
      <c r="N24" s="16">
        <v>260000</v>
      </c>
      <c r="O24" s="16">
        <f>N24*(163/162)</f>
        <v>261604.93827160494</v>
      </c>
      <c r="P24" s="16">
        <f t="shared" si="24"/>
        <v>269174</v>
      </c>
      <c r="Q24" s="16">
        <f t="shared" si="25"/>
        <v>278635</v>
      </c>
      <c r="R24" s="20"/>
      <c r="S24" s="14" t="s">
        <v>156</v>
      </c>
      <c r="T24" s="16">
        <v>127050</v>
      </c>
      <c r="U24" s="16">
        <f t="shared" si="6"/>
        <v>127896</v>
      </c>
      <c r="V24" s="16">
        <f t="shared" si="7"/>
        <v>128747</v>
      </c>
      <c r="W24" s="16">
        <f t="shared" si="8"/>
        <v>131571</v>
      </c>
      <c r="X24" s="16">
        <f t="shared" si="9"/>
        <v>140356</v>
      </c>
      <c r="Y24" s="78"/>
      <c r="Z24" s="17">
        <f t="shared" si="10"/>
        <v>140356</v>
      </c>
      <c r="AA24" s="17">
        <f t="shared" si="11"/>
        <v>67.790000000000006</v>
      </c>
      <c r="AB24" s="79"/>
      <c r="AC24" s="13"/>
      <c r="AD24" s="86"/>
    </row>
    <row r="25" spans="1:37" s="124" customFormat="1" x14ac:dyDescent="0.2">
      <c r="A25" s="115" t="s">
        <v>10</v>
      </c>
      <c r="B25" s="115"/>
      <c r="C25" s="115"/>
      <c r="D25" s="115" t="s">
        <v>196</v>
      </c>
      <c r="E25" s="116" t="s">
        <v>9</v>
      </c>
      <c r="F25" s="117">
        <v>713086001</v>
      </c>
      <c r="G25" s="117"/>
      <c r="H25" s="117" t="s">
        <v>108</v>
      </c>
      <c r="I25" s="117" t="s">
        <v>115</v>
      </c>
      <c r="J25" s="115" t="s">
        <v>197</v>
      </c>
      <c r="K25" s="120">
        <v>85400</v>
      </c>
      <c r="L25" s="120">
        <f t="shared" ref="L25" si="27" xml:space="preserve"> K25*151/148</f>
        <v>87131.08108108108</v>
      </c>
      <c r="M25" s="120">
        <f>(L25*162/151)</f>
        <v>93478.378378378373</v>
      </c>
      <c r="N25" s="120">
        <v>280000</v>
      </c>
      <c r="O25" s="120">
        <f t="shared" ref="O25" si="28">N25*(163/162)</f>
        <v>281728.39506172843</v>
      </c>
      <c r="P25" s="120">
        <f t="shared" si="24"/>
        <v>289880</v>
      </c>
      <c r="Q25" s="120">
        <f t="shared" si="25"/>
        <v>300069</v>
      </c>
      <c r="S25" s="115" t="s">
        <v>156</v>
      </c>
      <c r="T25" s="120">
        <v>326700</v>
      </c>
      <c r="U25" s="120">
        <f t="shared" si="6"/>
        <v>328874</v>
      </c>
      <c r="V25" s="120">
        <f t="shared" si="7"/>
        <v>331063</v>
      </c>
      <c r="W25" s="120">
        <f t="shared" si="8"/>
        <v>338324</v>
      </c>
      <c r="X25" s="16">
        <f t="shared" si="9"/>
        <v>360915</v>
      </c>
      <c r="Y25" s="122"/>
      <c r="Z25" s="17">
        <f t="shared" si="10"/>
        <v>360915</v>
      </c>
      <c r="AA25" s="122">
        <f t="shared" si="11"/>
        <v>174.32</v>
      </c>
      <c r="AB25" s="114" t="s">
        <v>198</v>
      </c>
      <c r="AC25" s="123"/>
    </row>
    <row r="26" spans="1:37" x14ac:dyDescent="0.2">
      <c r="A26" s="14" t="s">
        <v>24</v>
      </c>
      <c r="B26" s="14"/>
      <c r="C26" s="14"/>
      <c r="D26" s="14" t="s">
        <v>25</v>
      </c>
      <c r="E26" s="15" t="s">
        <v>9</v>
      </c>
      <c r="F26" s="41">
        <v>713084002</v>
      </c>
      <c r="G26" s="41"/>
      <c r="H26" s="41" t="s">
        <v>108</v>
      </c>
      <c r="I26" s="41" t="s">
        <v>115</v>
      </c>
      <c r="J26" s="14" t="s">
        <v>26</v>
      </c>
      <c r="K26" s="16">
        <v>200300</v>
      </c>
      <c r="L26" s="16">
        <f xml:space="preserve"> K26*151/148</f>
        <v>204360.13513513515</v>
      </c>
      <c r="M26" s="16">
        <f>(L26*162/151)</f>
        <v>219247.29729729731</v>
      </c>
      <c r="N26" s="16">
        <v>830000</v>
      </c>
      <c r="O26" s="16">
        <f>N26*(163/162)</f>
        <v>835123.45679012348</v>
      </c>
      <c r="P26" s="16">
        <f t="shared" si="24"/>
        <v>859286</v>
      </c>
      <c r="Q26" s="16">
        <f t="shared" si="25"/>
        <v>889489</v>
      </c>
      <c r="R26" s="20"/>
      <c r="S26" s="14" t="s">
        <v>156</v>
      </c>
      <c r="T26" s="16">
        <v>981310</v>
      </c>
      <c r="U26" s="16">
        <f t="shared" si="6"/>
        <v>987841</v>
      </c>
      <c r="V26" s="16">
        <f t="shared" si="7"/>
        <v>994416</v>
      </c>
      <c r="W26" s="16">
        <f t="shared" si="8"/>
        <v>1016227</v>
      </c>
      <c r="X26" s="16">
        <f t="shared" si="9"/>
        <v>1084083</v>
      </c>
      <c r="Y26" s="17"/>
      <c r="Z26" s="17">
        <f t="shared" si="10"/>
        <v>1084083</v>
      </c>
      <c r="AA26" s="17">
        <f t="shared" si="11"/>
        <v>523.61</v>
      </c>
      <c r="AB26" s="18"/>
      <c r="AC26" s="13"/>
    </row>
    <row r="27" spans="1:37" x14ac:dyDescent="0.2">
      <c r="A27" s="14" t="s">
        <v>125</v>
      </c>
      <c r="B27" s="14"/>
      <c r="C27" s="14"/>
      <c r="D27" s="14" t="s">
        <v>13</v>
      </c>
      <c r="E27" s="15" t="s">
        <v>9</v>
      </c>
      <c r="F27" s="41">
        <v>713051004</v>
      </c>
      <c r="G27" s="41"/>
      <c r="H27" s="41" t="s">
        <v>108</v>
      </c>
      <c r="I27" s="41" t="s">
        <v>115</v>
      </c>
      <c r="J27" s="14" t="s">
        <v>14</v>
      </c>
      <c r="K27" s="16">
        <v>765200</v>
      </c>
      <c r="L27" s="16">
        <f xml:space="preserve"> K27*151/148</f>
        <v>780710.81081081077</v>
      </c>
      <c r="M27" s="16">
        <f>(L27*162/151)</f>
        <v>837583.78378378379</v>
      </c>
      <c r="N27" s="16">
        <v>1655000</v>
      </c>
      <c r="O27" s="16">
        <f>N27*(163/162)</f>
        <v>1665216.0493827162</v>
      </c>
      <c r="P27" s="16">
        <f t="shared" si="24"/>
        <v>1713396</v>
      </c>
      <c r="Q27" s="16">
        <f t="shared" si="25"/>
        <v>1773621</v>
      </c>
      <c r="R27" s="20"/>
      <c r="S27" s="14" t="s">
        <v>156</v>
      </c>
      <c r="T27" s="16">
        <v>2256650</v>
      </c>
      <c r="U27" s="16">
        <f t="shared" si="6"/>
        <v>2271669</v>
      </c>
      <c r="V27" s="16">
        <f t="shared" si="7"/>
        <v>2286788</v>
      </c>
      <c r="W27" s="16">
        <f t="shared" si="8"/>
        <v>2336945</v>
      </c>
      <c r="X27" s="16">
        <f t="shared" si="9"/>
        <v>2492989</v>
      </c>
      <c r="Y27" s="17"/>
      <c r="Z27" s="17">
        <f t="shared" si="10"/>
        <v>2492989</v>
      </c>
      <c r="AA27" s="17">
        <f t="shared" si="11"/>
        <v>1204.1099999999999</v>
      </c>
      <c r="AB27" s="18" t="s">
        <v>164</v>
      </c>
      <c r="AC27" s="13"/>
    </row>
    <row r="28" spans="1:37" x14ac:dyDescent="0.2">
      <c r="A28" s="14" t="s">
        <v>134</v>
      </c>
      <c r="B28" s="14"/>
      <c r="C28" s="14"/>
      <c r="D28" s="14" t="s">
        <v>13</v>
      </c>
      <c r="E28" s="15"/>
      <c r="F28" s="41"/>
      <c r="G28" s="41"/>
      <c r="H28" s="41"/>
      <c r="I28" s="41"/>
      <c r="J28" s="14" t="s">
        <v>135</v>
      </c>
      <c r="K28" s="16"/>
      <c r="L28" s="16"/>
      <c r="M28" s="16"/>
      <c r="N28" s="16"/>
      <c r="O28" s="16"/>
      <c r="P28" s="16"/>
      <c r="Q28" s="16"/>
      <c r="R28" s="16"/>
      <c r="S28" s="16"/>
      <c r="T28" s="16">
        <v>150000</v>
      </c>
      <c r="U28" s="16">
        <f t="shared" si="6"/>
        <v>150998</v>
      </c>
      <c r="V28" s="16">
        <f t="shared" si="7"/>
        <v>152003</v>
      </c>
      <c r="W28" s="16">
        <f t="shared" si="8"/>
        <v>155337</v>
      </c>
      <c r="X28" s="16">
        <f t="shared" si="9"/>
        <v>165709</v>
      </c>
      <c r="Y28" s="17"/>
      <c r="Z28" s="17">
        <f t="shared" si="10"/>
        <v>165709</v>
      </c>
      <c r="AA28" s="17">
        <f t="shared" si="11"/>
        <v>80.040000000000006</v>
      </c>
      <c r="AB28" s="18"/>
      <c r="AC28" s="13"/>
    </row>
    <row r="29" spans="1:37" s="124" customFormat="1" x14ac:dyDescent="0.2">
      <c r="A29" s="115" t="s">
        <v>12</v>
      </c>
      <c r="B29" s="115"/>
      <c r="C29" s="115"/>
      <c r="D29" s="115" t="s">
        <v>97</v>
      </c>
      <c r="E29" s="116" t="s">
        <v>9</v>
      </c>
      <c r="F29" s="117">
        <v>713051004</v>
      </c>
      <c r="G29" s="117"/>
      <c r="H29" s="117" t="s">
        <v>108</v>
      </c>
      <c r="I29" s="117" t="s">
        <v>115</v>
      </c>
      <c r="J29" s="125" t="s">
        <v>199</v>
      </c>
      <c r="K29" s="120">
        <v>85400</v>
      </c>
      <c r="L29" s="120">
        <f t="shared" ref="L29:L37" si="29" xml:space="preserve"> K29*151/148</f>
        <v>87131.08108108108</v>
      </c>
      <c r="M29" s="120">
        <f>(L29*162/151)</f>
        <v>93478.378378378373</v>
      </c>
      <c r="N29" s="120">
        <v>270000</v>
      </c>
      <c r="O29" s="120">
        <f>N29*(163/162)</f>
        <v>271666.66666666669</v>
      </c>
      <c r="P29" s="120">
        <f t="shared" ref="P29:P39" si="30">ROUND(O29/110.6*113.8,0)</f>
        <v>279527</v>
      </c>
      <c r="Q29" s="120">
        <f t="shared" ref="Q29:Q39" si="31">ROUND(P29/113.8*117.8,0)</f>
        <v>289352</v>
      </c>
      <c r="S29" s="115" t="s">
        <v>156</v>
      </c>
      <c r="T29" s="120">
        <v>304920</v>
      </c>
      <c r="U29" s="120">
        <f t="shared" si="6"/>
        <v>306949</v>
      </c>
      <c r="V29" s="120">
        <f t="shared" si="7"/>
        <v>308992</v>
      </c>
      <c r="W29" s="120">
        <f t="shared" si="8"/>
        <v>315769</v>
      </c>
      <c r="X29" s="16">
        <f t="shared" si="9"/>
        <v>336854</v>
      </c>
      <c r="Y29" s="122"/>
      <c r="Z29" s="17">
        <f t="shared" si="10"/>
        <v>336854</v>
      </c>
      <c r="AA29" s="122">
        <f t="shared" si="11"/>
        <v>162.69999999999999</v>
      </c>
      <c r="AB29" s="114"/>
      <c r="AC29" s="123"/>
    </row>
    <row r="30" spans="1:37" s="20" customFormat="1" x14ac:dyDescent="0.2">
      <c r="A30" s="14" t="s">
        <v>96</v>
      </c>
      <c r="B30" s="14"/>
      <c r="C30" s="14"/>
      <c r="D30" s="14" t="s">
        <v>20</v>
      </c>
      <c r="E30" s="15" t="s">
        <v>9</v>
      </c>
      <c r="F30" s="41">
        <v>731032045</v>
      </c>
      <c r="G30" s="41"/>
      <c r="H30" s="41" t="s">
        <v>110</v>
      </c>
      <c r="I30" s="41" t="s">
        <v>110</v>
      </c>
      <c r="J30" s="14" t="s">
        <v>21</v>
      </c>
      <c r="K30" s="16">
        <v>745200</v>
      </c>
      <c r="L30" s="16">
        <f t="shared" si="29"/>
        <v>760305.40540540544</v>
      </c>
      <c r="M30" s="16">
        <f>(L30*162/151)</f>
        <v>815691.89189189184</v>
      </c>
      <c r="N30" s="16">
        <v>930000</v>
      </c>
      <c r="O30" s="16">
        <f>N30*(163/162)</f>
        <v>935740.74074074079</v>
      </c>
      <c r="P30" s="16">
        <f t="shared" si="30"/>
        <v>962815</v>
      </c>
      <c r="Q30" s="16">
        <f t="shared" si="31"/>
        <v>996657</v>
      </c>
      <c r="S30" s="14" t="s">
        <v>156</v>
      </c>
      <c r="T30" s="16">
        <v>1403600</v>
      </c>
      <c r="U30" s="16">
        <f t="shared" si="6"/>
        <v>1412942</v>
      </c>
      <c r="V30" s="16">
        <f t="shared" si="7"/>
        <v>1422346</v>
      </c>
      <c r="W30" s="16">
        <f t="shared" si="8"/>
        <v>1453543</v>
      </c>
      <c r="X30" s="16">
        <f t="shared" si="9"/>
        <v>1550600</v>
      </c>
      <c r="Y30" s="17"/>
      <c r="Z30" s="17">
        <f t="shared" si="10"/>
        <v>1550600</v>
      </c>
      <c r="AA30" s="17">
        <f t="shared" si="11"/>
        <v>748.94</v>
      </c>
      <c r="AB30" s="18"/>
      <c r="AC30" s="19"/>
    </row>
    <row r="31" spans="1:37" x14ac:dyDescent="0.2">
      <c r="A31" s="14" t="s">
        <v>63</v>
      </c>
      <c r="B31" s="14"/>
      <c r="C31" s="14"/>
      <c r="D31" s="14" t="s">
        <v>22</v>
      </c>
      <c r="E31" s="15" t="s">
        <v>9</v>
      </c>
      <c r="F31" s="41">
        <v>500614001</v>
      </c>
      <c r="G31" s="41"/>
      <c r="H31" s="41" t="s">
        <v>109</v>
      </c>
      <c r="I31" s="41" t="s">
        <v>114</v>
      </c>
      <c r="J31" s="14" t="s">
        <v>79</v>
      </c>
      <c r="K31" s="16">
        <v>1824700</v>
      </c>
      <c r="L31" s="16">
        <f t="shared" si="29"/>
        <v>1861687.1621621621</v>
      </c>
      <c r="M31" s="16">
        <f>(L31*162/151)</f>
        <v>1997306.7567567569</v>
      </c>
      <c r="N31" s="16">
        <v>3465000</v>
      </c>
      <c r="O31" s="16">
        <f t="shared" ref="O31" si="32">N31*(163/162)</f>
        <v>3486388.888888889</v>
      </c>
      <c r="P31" s="16">
        <f t="shared" si="30"/>
        <v>3587261</v>
      </c>
      <c r="Q31" s="16">
        <f t="shared" si="31"/>
        <v>3713351</v>
      </c>
      <c r="R31" s="20"/>
      <c r="S31" s="14" t="s">
        <v>159</v>
      </c>
      <c r="T31" s="16">
        <v>3926450</v>
      </c>
      <c r="U31" s="16">
        <f t="shared" si="6"/>
        <v>3952583</v>
      </c>
      <c r="V31" s="16">
        <f t="shared" si="7"/>
        <v>3978890</v>
      </c>
      <c r="W31" s="16">
        <f t="shared" si="8"/>
        <v>4066161</v>
      </c>
      <c r="X31" s="16">
        <f t="shared" si="9"/>
        <v>4337669</v>
      </c>
      <c r="Y31" s="17">
        <v>229900</v>
      </c>
      <c r="Z31" s="17">
        <f t="shared" si="10"/>
        <v>4567569</v>
      </c>
      <c r="AA31" s="17">
        <f t="shared" si="11"/>
        <v>2206.14</v>
      </c>
      <c r="AB31" s="18"/>
      <c r="AC31" s="13"/>
    </row>
    <row r="32" spans="1:37" x14ac:dyDescent="0.2">
      <c r="A32" s="14" t="s">
        <v>33</v>
      </c>
      <c r="B32" s="14"/>
      <c r="C32" s="14"/>
      <c r="D32" s="14" t="s">
        <v>34</v>
      </c>
      <c r="E32" s="15" t="s">
        <v>9</v>
      </c>
      <c r="F32" s="41">
        <v>713037012</v>
      </c>
      <c r="G32" s="41"/>
      <c r="H32" s="41" t="s">
        <v>107</v>
      </c>
      <c r="I32" s="41" t="s">
        <v>114</v>
      </c>
      <c r="J32" s="14"/>
      <c r="K32" s="16">
        <v>1138500</v>
      </c>
      <c r="L32" s="16">
        <f t="shared" si="29"/>
        <v>1161577.7027027027</v>
      </c>
      <c r="M32" s="16">
        <f t="shared" ref="M32" si="33">(L32*162/151)</f>
        <v>1246195.945945946</v>
      </c>
      <c r="N32" s="16">
        <v>1330000</v>
      </c>
      <c r="O32" s="16">
        <f>N32*(163/162)</f>
        <v>1338209.8765432099</v>
      </c>
      <c r="P32" s="16">
        <f t="shared" si="30"/>
        <v>1376928</v>
      </c>
      <c r="Q32" s="16">
        <f t="shared" si="31"/>
        <v>1425326</v>
      </c>
      <c r="R32" s="20"/>
      <c r="S32" s="14" t="s">
        <v>156</v>
      </c>
      <c r="T32" s="16">
        <v>2432100</v>
      </c>
      <c r="U32" s="16">
        <f t="shared" si="6"/>
        <v>2448287</v>
      </c>
      <c r="V32" s="16">
        <f t="shared" si="7"/>
        <v>2464582</v>
      </c>
      <c r="W32" s="16">
        <f t="shared" si="8"/>
        <v>2518639</v>
      </c>
      <c r="X32" s="16">
        <f t="shared" si="9"/>
        <v>2686815</v>
      </c>
      <c r="Y32" s="17"/>
      <c r="Z32" s="17">
        <f t="shared" si="10"/>
        <v>2686815</v>
      </c>
      <c r="AA32" s="17">
        <f t="shared" si="11"/>
        <v>1297.73</v>
      </c>
      <c r="AB32" s="18" t="s">
        <v>163</v>
      </c>
      <c r="AC32" s="13"/>
    </row>
    <row r="33" spans="1:30" x14ac:dyDescent="0.2">
      <c r="A33" s="14" t="s">
        <v>65</v>
      </c>
      <c r="B33" s="14"/>
      <c r="C33" s="14"/>
      <c r="D33" s="14" t="s">
        <v>66</v>
      </c>
      <c r="E33" s="15" t="s">
        <v>68</v>
      </c>
      <c r="F33" s="41">
        <v>713037012</v>
      </c>
      <c r="G33" s="41"/>
      <c r="H33" s="41" t="s">
        <v>107</v>
      </c>
      <c r="I33" s="41" t="s">
        <v>114</v>
      </c>
      <c r="J33" s="14" t="s">
        <v>67</v>
      </c>
      <c r="K33" s="16">
        <v>297600</v>
      </c>
      <c r="L33" s="16">
        <f t="shared" si="29"/>
        <v>303632.43243243243</v>
      </c>
      <c r="M33" s="16">
        <f>(L33*162/151)</f>
        <v>325751.35135135136</v>
      </c>
      <c r="N33" s="16">
        <v>265000</v>
      </c>
      <c r="O33" s="16">
        <f t="shared" ref="O33" si="34">N33*(163/162)</f>
        <v>266635.80246913579</v>
      </c>
      <c r="P33" s="16">
        <f t="shared" si="30"/>
        <v>274350</v>
      </c>
      <c r="Q33" s="16">
        <f t="shared" si="31"/>
        <v>283993</v>
      </c>
      <c r="R33" s="20"/>
      <c r="S33" s="14" t="s">
        <v>156</v>
      </c>
      <c r="T33" s="16">
        <v>235950</v>
      </c>
      <c r="U33" s="16">
        <f t="shared" si="6"/>
        <v>237520</v>
      </c>
      <c r="V33" s="16">
        <f t="shared" si="7"/>
        <v>239101</v>
      </c>
      <c r="W33" s="16">
        <f t="shared" si="8"/>
        <v>244345</v>
      </c>
      <c r="X33" s="16">
        <f t="shared" si="9"/>
        <v>260661</v>
      </c>
      <c r="Y33" s="17"/>
      <c r="Z33" s="17">
        <f t="shared" si="10"/>
        <v>260661</v>
      </c>
      <c r="AA33" s="17">
        <f t="shared" si="11"/>
        <v>125.9</v>
      </c>
      <c r="AB33" s="18"/>
      <c r="AC33" s="13"/>
      <c r="AD33" s="20"/>
    </row>
    <row r="34" spans="1:30" x14ac:dyDescent="0.2">
      <c r="A34" s="14" t="s">
        <v>36</v>
      </c>
      <c r="B34" s="14"/>
      <c r="C34" s="14"/>
      <c r="D34" s="14" t="s">
        <v>22</v>
      </c>
      <c r="E34" s="15" t="s">
        <v>9</v>
      </c>
      <c r="F34" s="41">
        <v>713037012</v>
      </c>
      <c r="G34" s="41"/>
      <c r="H34" s="41" t="s">
        <v>107</v>
      </c>
      <c r="I34" s="41" t="s">
        <v>114</v>
      </c>
      <c r="J34" s="14" t="s">
        <v>175</v>
      </c>
      <c r="K34" s="16">
        <v>122200</v>
      </c>
      <c r="L34" s="16">
        <f t="shared" si="29"/>
        <v>124677.02702702703</v>
      </c>
      <c r="M34" s="16">
        <f>(L34*162/151)</f>
        <v>133759.45945945947</v>
      </c>
      <c r="N34" s="16">
        <v>350000</v>
      </c>
      <c r="O34" s="16">
        <f>N34*(163/162)</f>
        <v>352160.49382716051</v>
      </c>
      <c r="P34" s="16">
        <f t="shared" si="30"/>
        <v>362350</v>
      </c>
      <c r="Q34" s="16">
        <f t="shared" si="31"/>
        <v>375086</v>
      </c>
      <c r="R34" s="20"/>
      <c r="S34" s="14" t="s">
        <v>156</v>
      </c>
      <c r="T34" s="16">
        <v>423500</v>
      </c>
      <c r="U34" s="16">
        <f t="shared" si="6"/>
        <v>426319</v>
      </c>
      <c r="V34" s="16">
        <f t="shared" si="7"/>
        <v>429156</v>
      </c>
      <c r="W34" s="16">
        <f t="shared" si="8"/>
        <v>438569</v>
      </c>
      <c r="X34" s="16">
        <f t="shared" si="9"/>
        <v>467853</v>
      </c>
      <c r="Y34" s="17"/>
      <c r="Z34" s="17">
        <f t="shared" si="10"/>
        <v>467853</v>
      </c>
      <c r="AA34" s="17">
        <f t="shared" si="11"/>
        <v>225.97</v>
      </c>
      <c r="AB34" s="18"/>
      <c r="AC34" s="13"/>
    </row>
    <row r="35" spans="1:30" x14ac:dyDescent="0.2">
      <c r="A35" s="14" t="s">
        <v>15</v>
      </c>
      <c r="B35" s="14"/>
      <c r="C35" s="14"/>
      <c r="D35" s="14" t="s">
        <v>16</v>
      </c>
      <c r="E35" s="15" t="s">
        <v>9</v>
      </c>
      <c r="F35" s="41">
        <v>713037012</v>
      </c>
      <c r="G35" s="41"/>
      <c r="H35" s="41" t="s">
        <v>107</v>
      </c>
      <c r="I35" s="41" t="s">
        <v>114</v>
      </c>
      <c r="J35" s="14" t="s">
        <v>17</v>
      </c>
      <c r="K35" s="16">
        <v>167300</v>
      </c>
      <c r="L35" s="16">
        <f t="shared" si="29"/>
        <v>170691.21621621621</v>
      </c>
      <c r="M35" s="16">
        <f>(L35*162/151)</f>
        <v>183125.67567567568</v>
      </c>
      <c r="N35" s="16">
        <v>480000</v>
      </c>
      <c r="O35" s="16">
        <f>N35*(163/162)</f>
        <v>482962.96296296298</v>
      </c>
      <c r="P35" s="16">
        <f t="shared" si="30"/>
        <v>496937</v>
      </c>
      <c r="Q35" s="16">
        <f t="shared" si="31"/>
        <v>514404</v>
      </c>
      <c r="R35" s="20"/>
      <c r="S35" s="14" t="s">
        <v>156</v>
      </c>
      <c r="T35" s="16">
        <v>653400</v>
      </c>
      <c r="U35" s="16">
        <f t="shared" si="6"/>
        <v>657749</v>
      </c>
      <c r="V35" s="16">
        <f t="shared" si="7"/>
        <v>662127</v>
      </c>
      <c r="W35" s="16">
        <f t="shared" si="8"/>
        <v>676650</v>
      </c>
      <c r="X35" s="16">
        <f t="shared" si="9"/>
        <v>721832</v>
      </c>
      <c r="Y35" s="17"/>
      <c r="Z35" s="17">
        <f t="shared" si="10"/>
        <v>721832</v>
      </c>
      <c r="AA35" s="17">
        <f t="shared" si="11"/>
        <v>348.64</v>
      </c>
      <c r="AB35" s="18"/>
      <c r="AC35" s="13"/>
    </row>
    <row r="36" spans="1:30" x14ac:dyDescent="0.2">
      <c r="A36" s="14" t="s">
        <v>90</v>
      </c>
      <c r="B36" s="14"/>
      <c r="C36" s="14"/>
      <c r="D36" s="14" t="s">
        <v>176</v>
      </c>
      <c r="E36" s="15" t="s">
        <v>9</v>
      </c>
      <c r="F36" s="41">
        <v>713037012</v>
      </c>
      <c r="G36" s="41"/>
      <c r="H36" s="41" t="s">
        <v>107</v>
      </c>
      <c r="I36" s="41" t="s">
        <v>114</v>
      </c>
      <c r="J36" s="14"/>
      <c r="K36" s="16">
        <v>192500</v>
      </c>
      <c r="L36" s="16">
        <f t="shared" si="29"/>
        <v>196402.02702702704</v>
      </c>
      <c r="M36" s="16">
        <f>(L36*162/151)</f>
        <v>210709.45945945947</v>
      </c>
      <c r="N36" s="16">
        <v>1405000</v>
      </c>
      <c r="O36" s="16">
        <f>N36*(163/162)</f>
        <v>1413672.8395061728</v>
      </c>
      <c r="P36" s="16">
        <f t="shared" si="30"/>
        <v>1454575</v>
      </c>
      <c r="Q36" s="16">
        <f t="shared" si="31"/>
        <v>1505702</v>
      </c>
      <c r="R36" s="20"/>
      <c r="S36" s="14" t="s">
        <v>156</v>
      </c>
      <c r="T36" s="16">
        <v>1403600</v>
      </c>
      <c r="U36" s="16">
        <f t="shared" si="6"/>
        <v>1412942</v>
      </c>
      <c r="V36" s="16">
        <f t="shared" si="7"/>
        <v>1422346</v>
      </c>
      <c r="W36" s="16">
        <f t="shared" si="8"/>
        <v>1453543</v>
      </c>
      <c r="X36" s="16">
        <f t="shared" si="9"/>
        <v>1550600</v>
      </c>
      <c r="Y36" s="17"/>
      <c r="Z36" s="17">
        <f t="shared" si="10"/>
        <v>1550600</v>
      </c>
      <c r="AA36" s="17">
        <f t="shared" si="11"/>
        <v>748.94</v>
      </c>
      <c r="AB36" s="18"/>
      <c r="AC36" s="13"/>
    </row>
    <row r="37" spans="1:30" x14ac:dyDescent="0.2">
      <c r="A37" s="14" t="s">
        <v>18</v>
      </c>
      <c r="B37" s="14"/>
      <c r="C37" s="14"/>
      <c r="D37" s="14" t="s">
        <v>127</v>
      </c>
      <c r="E37" s="15" t="s">
        <v>9</v>
      </c>
      <c r="F37" s="41">
        <v>713066001</v>
      </c>
      <c r="G37" s="41"/>
      <c r="H37" s="41" t="s">
        <v>107</v>
      </c>
      <c r="I37" s="41" t="s">
        <v>114</v>
      </c>
      <c r="J37" s="14"/>
      <c r="K37" s="16">
        <v>2332100</v>
      </c>
      <c r="L37" s="16">
        <f t="shared" si="29"/>
        <v>2379372.2972972975</v>
      </c>
      <c r="M37" s="16">
        <f t="shared" ref="M37" si="35">(L37*162/151)</f>
        <v>2552704.0540540544</v>
      </c>
      <c r="N37" s="16">
        <v>4730000</v>
      </c>
      <c r="O37" s="16">
        <f>N37*(163/162)</f>
        <v>4759197.5308641978</v>
      </c>
      <c r="P37" s="16">
        <f t="shared" si="30"/>
        <v>4896896</v>
      </c>
      <c r="Q37" s="16">
        <f t="shared" si="31"/>
        <v>5069019</v>
      </c>
      <c r="R37" s="20"/>
      <c r="S37" s="14" t="s">
        <v>156</v>
      </c>
      <c r="T37" s="16">
        <v>8736200</v>
      </c>
      <c r="U37" s="16">
        <f t="shared" si="6"/>
        <v>8794344</v>
      </c>
      <c r="V37" s="16">
        <f t="shared" si="7"/>
        <v>8852875</v>
      </c>
      <c r="W37" s="16">
        <f t="shared" si="8"/>
        <v>9047049</v>
      </c>
      <c r="X37" s="16">
        <f t="shared" si="9"/>
        <v>9651144</v>
      </c>
      <c r="Y37" s="17"/>
      <c r="Z37" s="17">
        <f t="shared" si="10"/>
        <v>9651144</v>
      </c>
      <c r="AA37" s="17">
        <f t="shared" si="11"/>
        <v>4661.5</v>
      </c>
      <c r="AB37" s="18"/>
      <c r="AC37" s="13"/>
      <c r="AD37" s="20"/>
    </row>
    <row r="38" spans="1:30" x14ac:dyDescent="0.2">
      <c r="A38" s="14" t="s">
        <v>39</v>
      </c>
      <c r="B38" s="14"/>
      <c r="C38" s="14"/>
      <c r="D38" s="14" t="s">
        <v>19</v>
      </c>
      <c r="E38" s="15" t="s">
        <v>9</v>
      </c>
      <c r="F38" s="41">
        <v>713066001</v>
      </c>
      <c r="G38" s="41"/>
      <c r="H38" s="41" t="s">
        <v>107</v>
      </c>
      <c r="I38" s="41" t="s">
        <v>114</v>
      </c>
      <c r="J38" s="14" t="s">
        <v>40</v>
      </c>
      <c r="K38" s="16">
        <v>446200</v>
      </c>
      <c r="L38" s="16">
        <f t="shared" ref="L38" si="36" xml:space="preserve"> K38*151/148</f>
        <v>455244.59459459462</v>
      </c>
      <c r="M38" s="16">
        <f t="shared" ref="M38" si="37">(L38*162/151)</f>
        <v>488408.10810810811</v>
      </c>
      <c r="N38" s="16">
        <v>1385000</v>
      </c>
      <c r="O38" s="16">
        <f t="shared" ref="O38" si="38">N38*(163/162)</f>
        <v>1393549.3827160494</v>
      </c>
      <c r="P38" s="16">
        <f t="shared" si="30"/>
        <v>1433869</v>
      </c>
      <c r="Q38" s="16">
        <f t="shared" si="31"/>
        <v>1484269</v>
      </c>
      <c r="R38" s="20"/>
      <c r="S38" s="14" t="s">
        <v>156</v>
      </c>
      <c r="T38" s="16">
        <v>2420000</v>
      </c>
      <c r="U38" s="16">
        <f t="shared" si="6"/>
        <v>2436106</v>
      </c>
      <c r="V38" s="16">
        <f t="shared" si="7"/>
        <v>2452320</v>
      </c>
      <c r="W38" s="16">
        <f t="shared" si="8"/>
        <v>2506108</v>
      </c>
      <c r="X38" s="16">
        <f t="shared" si="9"/>
        <v>2673447</v>
      </c>
      <c r="Y38" s="17"/>
      <c r="Z38" s="17">
        <f t="shared" si="10"/>
        <v>2673447</v>
      </c>
      <c r="AA38" s="17">
        <f t="shared" si="11"/>
        <v>1291.27</v>
      </c>
      <c r="AB38" s="18"/>
      <c r="AC38" s="13"/>
    </row>
    <row r="39" spans="1:30" x14ac:dyDescent="0.2">
      <c r="A39" s="14" t="s">
        <v>133</v>
      </c>
      <c r="B39" s="14"/>
      <c r="C39" s="14"/>
      <c r="D39" s="14" t="s">
        <v>22</v>
      </c>
      <c r="E39" s="15" t="s">
        <v>8</v>
      </c>
      <c r="F39" s="41">
        <v>713033001</v>
      </c>
      <c r="G39" s="41"/>
      <c r="H39" s="41" t="s">
        <v>107</v>
      </c>
      <c r="I39" s="41" t="s">
        <v>114</v>
      </c>
      <c r="J39" s="14" t="s">
        <v>32</v>
      </c>
      <c r="K39" s="16">
        <v>25800</v>
      </c>
      <c r="L39" s="16">
        <f t="shared" ref="L39" si="39" xml:space="preserve"> K39*151/148</f>
        <v>26322.972972972973</v>
      </c>
      <c r="M39" s="16">
        <f t="shared" ref="M39" si="40">(L39*162/151)</f>
        <v>28240.54054054054</v>
      </c>
      <c r="N39" s="16">
        <v>50000</v>
      </c>
      <c r="O39" s="16">
        <f t="shared" ref="O39" si="41">N39*(163/162)</f>
        <v>50308.641975308645</v>
      </c>
      <c r="P39" s="16">
        <f t="shared" si="30"/>
        <v>51764</v>
      </c>
      <c r="Q39" s="16">
        <f t="shared" si="31"/>
        <v>53583</v>
      </c>
      <c r="R39" s="20"/>
      <c r="S39" s="14" t="s">
        <v>159</v>
      </c>
      <c r="T39" s="16">
        <v>54450</v>
      </c>
      <c r="U39" s="16">
        <f t="shared" si="6"/>
        <v>54812</v>
      </c>
      <c r="V39" s="16">
        <f t="shared" si="7"/>
        <v>55177</v>
      </c>
      <c r="W39" s="16">
        <f t="shared" si="8"/>
        <v>56387</v>
      </c>
      <c r="X39" s="16">
        <f t="shared" si="9"/>
        <v>60152</v>
      </c>
      <c r="Y39" s="17">
        <v>32670</v>
      </c>
      <c r="Z39" s="17">
        <f t="shared" si="10"/>
        <v>92822</v>
      </c>
      <c r="AA39" s="17">
        <f t="shared" si="11"/>
        <v>44.83</v>
      </c>
      <c r="AB39" s="18"/>
      <c r="AC39" s="13"/>
      <c r="AD39" s="20"/>
    </row>
    <row r="40" spans="1:30" x14ac:dyDescent="0.2">
      <c r="A40" s="14" t="s">
        <v>177</v>
      </c>
      <c r="B40" s="14"/>
      <c r="C40" s="14"/>
      <c r="D40" s="14" t="s">
        <v>23</v>
      </c>
      <c r="E40" s="15" t="s">
        <v>9</v>
      </c>
      <c r="F40" s="41">
        <v>713037011</v>
      </c>
      <c r="G40" s="41"/>
      <c r="H40" s="41" t="s">
        <v>107</v>
      </c>
      <c r="I40" s="41" t="s">
        <v>114</v>
      </c>
      <c r="J40" s="14"/>
      <c r="K40" s="16">
        <v>256100</v>
      </c>
      <c r="L40" s="16">
        <f t="shared" ref="L40:L43" si="42" xml:space="preserve"> K40*151/148</f>
        <v>261291.21621621621</v>
      </c>
      <c r="M40" s="16">
        <f t="shared" ref="M40:M43" si="43">(L40*162/151)</f>
        <v>280325.67567567568</v>
      </c>
      <c r="N40" s="16"/>
      <c r="O40" s="16">
        <f t="shared" ref="O40:O43" si="44">M40*(163/162)</f>
        <v>282056.08108108107</v>
      </c>
      <c r="P40" s="16">
        <f t="shared" ref="P40:P50" si="45">ROUND(O40/110.6*113.8,0)</f>
        <v>290217</v>
      </c>
      <c r="Q40" s="16">
        <f t="shared" ref="Q40:Q50" si="46">ROUND(P40/113.8*117.8,0)</f>
        <v>300418</v>
      </c>
      <c r="R40" s="16">
        <f t="shared" ref="R40:R50" si="47">ROUND(Q40/117.8*118.8,0)</f>
        <v>302968</v>
      </c>
      <c r="S40" s="16"/>
      <c r="T40" s="16">
        <f t="shared" ref="T40:T43" si="48">ROUND(R40/118.8*120.2,0)</f>
        <v>306538</v>
      </c>
      <c r="U40" s="16">
        <f t="shared" si="6"/>
        <v>308578</v>
      </c>
      <c r="V40" s="16">
        <f t="shared" si="7"/>
        <v>310632</v>
      </c>
      <c r="W40" s="16">
        <f t="shared" si="8"/>
        <v>317445</v>
      </c>
      <c r="X40" s="16">
        <f t="shared" si="9"/>
        <v>338642</v>
      </c>
      <c r="Y40" s="17"/>
      <c r="Z40" s="17">
        <f t="shared" si="10"/>
        <v>338642</v>
      </c>
      <c r="AA40" s="17">
        <f t="shared" si="11"/>
        <v>163.56</v>
      </c>
      <c r="AB40" s="18"/>
      <c r="AC40" s="13"/>
    </row>
    <row r="41" spans="1:30" x14ac:dyDescent="0.2">
      <c r="A41" s="14" t="s">
        <v>82</v>
      </c>
      <c r="B41" s="14"/>
      <c r="C41" s="14"/>
      <c r="D41" s="14" t="s">
        <v>23</v>
      </c>
      <c r="E41" s="15" t="s">
        <v>9</v>
      </c>
      <c r="F41" s="41">
        <v>713037011</v>
      </c>
      <c r="G41" s="41"/>
      <c r="H41" s="41" t="s">
        <v>107</v>
      </c>
      <c r="I41" s="41" t="s">
        <v>114</v>
      </c>
      <c r="J41" s="14" t="s">
        <v>38</v>
      </c>
      <c r="K41" s="16">
        <v>112700</v>
      </c>
      <c r="L41" s="16">
        <f t="shared" si="42"/>
        <v>114984.45945945945</v>
      </c>
      <c r="M41" s="16">
        <f t="shared" si="43"/>
        <v>123360.8108108108</v>
      </c>
      <c r="N41" s="16"/>
      <c r="O41" s="16">
        <f t="shared" si="44"/>
        <v>124122.29729729729</v>
      </c>
      <c r="P41" s="16">
        <f t="shared" si="45"/>
        <v>127714</v>
      </c>
      <c r="Q41" s="16">
        <f t="shared" si="46"/>
        <v>132203</v>
      </c>
      <c r="R41" s="16">
        <f t="shared" si="47"/>
        <v>133325</v>
      </c>
      <c r="S41" s="16"/>
      <c r="T41" s="16">
        <f t="shared" si="48"/>
        <v>134896</v>
      </c>
      <c r="U41" s="16">
        <f t="shared" si="6"/>
        <v>135794</v>
      </c>
      <c r="V41" s="16">
        <f t="shared" si="7"/>
        <v>136698</v>
      </c>
      <c r="W41" s="16">
        <f t="shared" si="8"/>
        <v>139696</v>
      </c>
      <c r="X41" s="16">
        <f t="shared" si="9"/>
        <v>149024</v>
      </c>
      <c r="Y41" s="17"/>
      <c r="Z41" s="17">
        <f t="shared" si="10"/>
        <v>149024</v>
      </c>
      <c r="AA41" s="17">
        <f t="shared" si="11"/>
        <v>71.98</v>
      </c>
      <c r="AB41" s="18"/>
      <c r="AC41" s="13"/>
    </row>
    <row r="42" spans="1:30" s="110" customFormat="1" ht="20.399999999999999" x14ac:dyDescent="0.2">
      <c r="A42" s="105" t="s">
        <v>49</v>
      </c>
      <c r="B42" s="105"/>
      <c r="C42" s="105"/>
      <c r="D42" s="105" t="s">
        <v>50</v>
      </c>
      <c r="E42" s="105" t="s">
        <v>9</v>
      </c>
      <c r="F42" s="106">
        <v>713037011</v>
      </c>
      <c r="G42" s="106"/>
      <c r="H42" s="106" t="s">
        <v>107</v>
      </c>
      <c r="I42" s="106" t="s">
        <v>114</v>
      </c>
      <c r="J42" s="105" t="s">
        <v>51</v>
      </c>
      <c r="K42" s="107">
        <v>3500</v>
      </c>
      <c r="L42" s="107">
        <f t="shared" si="42"/>
        <v>3570.9459459459458</v>
      </c>
      <c r="M42" s="107">
        <f t="shared" si="43"/>
        <v>3831.0810810810808</v>
      </c>
      <c r="N42" s="107"/>
      <c r="O42" s="107">
        <f t="shared" si="44"/>
        <v>3854.7297297297296</v>
      </c>
      <c r="P42" s="107">
        <f t="shared" si="45"/>
        <v>3966</v>
      </c>
      <c r="Q42" s="107">
        <f t="shared" si="46"/>
        <v>4105</v>
      </c>
      <c r="R42" s="107">
        <f t="shared" si="47"/>
        <v>4140</v>
      </c>
      <c r="S42" s="107"/>
      <c r="T42" s="107">
        <f t="shared" si="48"/>
        <v>4189</v>
      </c>
      <c r="U42" s="107">
        <f t="shared" si="6"/>
        <v>4217</v>
      </c>
      <c r="V42" s="107">
        <f t="shared" si="7"/>
        <v>4245</v>
      </c>
      <c r="W42" s="77">
        <v>75000</v>
      </c>
      <c r="X42" s="16">
        <f t="shared" si="9"/>
        <v>80008</v>
      </c>
      <c r="Y42" s="107"/>
      <c r="Z42" s="17">
        <f t="shared" si="10"/>
        <v>80008</v>
      </c>
      <c r="AA42" s="17">
        <f t="shared" si="11"/>
        <v>38.64</v>
      </c>
      <c r="AB42" s="108" t="s">
        <v>201</v>
      </c>
      <c r="AC42" s="109"/>
    </row>
    <row r="43" spans="1:30" x14ac:dyDescent="0.2">
      <c r="A43" s="14" t="s">
        <v>52</v>
      </c>
      <c r="B43" s="14"/>
      <c r="C43" s="14"/>
      <c r="D43" s="14" t="s">
        <v>23</v>
      </c>
      <c r="E43" s="15" t="s">
        <v>9</v>
      </c>
      <c r="F43" s="41">
        <v>713037011</v>
      </c>
      <c r="G43" s="41"/>
      <c r="H43" s="41" t="s">
        <v>107</v>
      </c>
      <c r="I43" s="41" t="s">
        <v>114</v>
      </c>
      <c r="J43" s="14"/>
      <c r="K43" s="16">
        <v>62200</v>
      </c>
      <c r="L43" s="16">
        <f t="shared" si="42"/>
        <v>63460.810810810814</v>
      </c>
      <c r="M43" s="16">
        <f t="shared" si="43"/>
        <v>68083.783783783787</v>
      </c>
      <c r="N43" s="16"/>
      <c r="O43" s="16">
        <f t="shared" si="44"/>
        <v>68504.054054054053</v>
      </c>
      <c r="P43" s="16">
        <f t="shared" si="45"/>
        <v>70486</v>
      </c>
      <c r="Q43" s="16">
        <f t="shared" si="46"/>
        <v>72964</v>
      </c>
      <c r="R43" s="16">
        <f t="shared" si="47"/>
        <v>73583</v>
      </c>
      <c r="S43" s="16"/>
      <c r="T43" s="16">
        <f t="shared" si="48"/>
        <v>74450</v>
      </c>
      <c r="U43" s="16">
        <f t="shared" si="6"/>
        <v>74946</v>
      </c>
      <c r="V43" s="16">
        <f t="shared" si="7"/>
        <v>75445</v>
      </c>
      <c r="W43" s="16">
        <f t="shared" si="8"/>
        <v>77100</v>
      </c>
      <c r="X43" s="16">
        <f t="shared" si="9"/>
        <v>82248</v>
      </c>
      <c r="Y43" s="17"/>
      <c r="Z43" s="17">
        <f t="shared" si="10"/>
        <v>82248</v>
      </c>
      <c r="AA43" s="17">
        <f t="shared" si="11"/>
        <v>39.729999999999997</v>
      </c>
      <c r="AB43" s="18"/>
      <c r="AC43" s="13"/>
    </row>
    <row r="44" spans="1:30" x14ac:dyDescent="0.2">
      <c r="A44" s="14" t="s">
        <v>48</v>
      </c>
      <c r="B44" s="14"/>
      <c r="C44" s="14"/>
      <c r="D44" s="14" t="s">
        <v>23</v>
      </c>
      <c r="E44" s="15" t="s">
        <v>9</v>
      </c>
      <c r="F44" s="41">
        <v>713037011</v>
      </c>
      <c r="G44" s="41"/>
      <c r="H44" s="41" t="s">
        <v>107</v>
      </c>
      <c r="I44" s="41" t="s">
        <v>114</v>
      </c>
      <c r="J44" s="14"/>
      <c r="K44" s="16">
        <v>85400</v>
      </c>
      <c r="L44" s="16">
        <f t="shared" ref="L44:L50" si="49" xml:space="preserve"> K44*151/148</f>
        <v>87131.08108108108</v>
      </c>
      <c r="M44" s="16">
        <f t="shared" ref="M44:M50" si="50">(L44*162/151)</f>
        <v>93478.378378378373</v>
      </c>
      <c r="N44" s="16"/>
      <c r="O44" s="16">
        <f t="shared" ref="O44:O50" si="51">M44*(163/162)</f>
        <v>94055.4054054054</v>
      </c>
      <c r="P44" s="16">
        <f t="shared" si="45"/>
        <v>96777</v>
      </c>
      <c r="Q44" s="16">
        <f t="shared" si="46"/>
        <v>100179</v>
      </c>
      <c r="R44" s="16">
        <f t="shared" si="47"/>
        <v>101029</v>
      </c>
      <c r="S44" s="16"/>
      <c r="T44" s="16">
        <f t="shared" ref="T44:T50" si="52">ROUND(R44/118.8*120.2,0)</f>
        <v>102220</v>
      </c>
      <c r="U44" s="16">
        <f t="shared" si="6"/>
        <v>102900</v>
      </c>
      <c r="V44" s="16">
        <f t="shared" si="7"/>
        <v>103585</v>
      </c>
      <c r="W44" s="16">
        <f t="shared" si="8"/>
        <v>105857</v>
      </c>
      <c r="X44" s="16">
        <f t="shared" si="9"/>
        <v>112925</v>
      </c>
      <c r="Y44" s="17"/>
      <c r="Z44" s="17">
        <f t="shared" si="10"/>
        <v>112925</v>
      </c>
      <c r="AA44" s="17">
        <f t="shared" si="11"/>
        <v>54.54</v>
      </c>
      <c r="AB44" s="18"/>
      <c r="AC44" s="13"/>
    </row>
    <row r="45" spans="1:30" x14ac:dyDescent="0.2">
      <c r="A45" s="14" t="s">
        <v>83</v>
      </c>
      <c r="B45" s="14"/>
      <c r="C45" s="14"/>
      <c r="D45" s="14" t="s">
        <v>23</v>
      </c>
      <c r="E45" s="15" t="s">
        <v>9</v>
      </c>
      <c r="F45" s="41">
        <v>713037011</v>
      </c>
      <c r="G45" s="41"/>
      <c r="H45" s="41" t="s">
        <v>107</v>
      </c>
      <c r="I45" s="41" t="s">
        <v>114</v>
      </c>
      <c r="J45" s="14"/>
      <c r="K45" s="16">
        <v>127200</v>
      </c>
      <c r="L45" s="16">
        <f t="shared" si="49"/>
        <v>129778.37837837837</v>
      </c>
      <c r="M45" s="16">
        <f t="shared" si="50"/>
        <v>139232.43243243243</v>
      </c>
      <c r="N45" s="16"/>
      <c r="O45" s="16">
        <f t="shared" si="51"/>
        <v>140091.89189189189</v>
      </c>
      <c r="P45" s="16">
        <f t="shared" si="45"/>
        <v>144145</v>
      </c>
      <c r="Q45" s="16">
        <f t="shared" si="46"/>
        <v>149212</v>
      </c>
      <c r="R45" s="16">
        <f t="shared" si="47"/>
        <v>150479</v>
      </c>
      <c r="S45" s="16"/>
      <c r="T45" s="16">
        <f t="shared" si="52"/>
        <v>152252</v>
      </c>
      <c r="U45" s="16">
        <f t="shared" si="6"/>
        <v>153265</v>
      </c>
      <c r="V45" s="16">
        <f t="shared" si="7"/>
        <v>154285</v>
      </c>
      <c r="W45" s="16">
        <f t="shared" si="8"/>
        <v>157669</v>
      </c>
      <c r="X45" s="16">
        <f t="shared" si="9"/>
        <v>168197</v>
      </c>
      <c r="Y45" s="17"/>
      <c r="Z45" s="17">
        <f t="shared" si="10"/>
        <v>168197</v>
      </c>
      <c r="AA45" s="17">
        <f t="shared" si="11"/>
        <v>81.239999999999995</v>
      </c>
      <c r="AB45" s="18"/>
      <c r="AC45" s="13"/>
    </row>
    <row r="46" spans="1:30" x14ac:dyDescent="0.2">
      <c r="A46" s="14" t="s">
        <v>122</v>
      </c>
      <c r="B46" s="14"/>
      <c r="C46" s="14"/>
      <c r="D46" s="14" t="s">
        <v>23</v>
      </c>
      <c r="E46" s="15" t="s">
        <v>9</v>
      </c>
      <c r="F46" s="41">
        <v>713037011</v>
      </c>
      <c r="G46" s="41"/>
      <c r="H46" s="41" t="s">
        <v>107</v>
      </c>
      <c r="I46" s="41" t="s">
        <v>114</v>
      </c>
      <c r="J46" s="14" t="s">
        <v>123</v>
      </c>
      <c r="K46" s="16">
        <v>143200</v>
      </c>
      <c r="L46" s="16">
        <f t="shared" si="49"/>
        <v>146102.70270270269</v>
      </c>
      <c r="M46" s="16">
        <f t="shared" si="50"/>
        <v>156745.94594594595</v>
      </c>
      <c r="N46" s="16"/>
      <c r="O46" s="16">
        <f t="shared" si="51"/>
        <v>157713.51351351352</v>
      </c>
      <c r="P46" s="16">
        <f t="shared" si="45"/>
        <v>162277</v>
      </c>
      <c r="Q46" s="16">
        <f t="shared" si="46"/>
        <v>167981</v>
      </c>
      <c r="R46" s="16">
        <f t="shared" si="47"/>
        <v>169407</v>
      </c>
      <c r="S46" s="16"/>
      <c r="T46" s="16">
        <f t="shared" si="52"/>
        <v>171403</v>
      </c>
      <c r="U46" s="16">
        <f t="shared" si="6"/>
        <v>172544</v>
      </c>
      <c r="V46" s="16">
        <f t="shared" si="7"/>
        <v>173692</v>
      </c>
      <c r="W46" s="16">
        <f t="shared" si="8"/>
        <v>177502</v>
      </c>
      <c r="X46" s="16">
        <f t="shared" si="9"/>
        <v>189354</v>
      </c>
      <c r="Y46" s="17"/>
      <c r="Z46" s="17">
        <f t="shared" si="10"/>
        <v>189354</v>
      </c>
      <c r="AA46" s="17">
        <f t="shared" si="11"/>
        <v>91.46</v>
      </c>
      <c r="AB46" s="18"/>
      <c r="AC46" s="13"/>
    </row>
    <row r="47" spans="1:30" x14ac:dyDescent="0.2">
      <c r="A47" s="14" t="s">
        <v>47</v>
      </c>
      <c r="B47" s="14"/>
      <c r="C47" s="14"/>
      <c r="D47" s="14" t="s">
        <v>23</v>
      </c>
      <c r="E47" s="15" t="s">
        <v>9</v>
      </c>
      <c r="F47" s="41">
        <v>713037011</v>
      </c>
      <c r="G47" s="41"/>
      <c r="H47" s="41" t="s">
        <v>107</v>
      </c>
      <c r="I47" s="41" t="s">
        <v>114</v>
      </c>
      <c r="J47" s="14"/>
      <c r="K47" s="16">
        <v>52200</v>
      </c>
      <c r="L47" s="16">
        <f t="shared" si="49"/>
        <v>53258.108108108107</v>
      </c>
      <c r="M47" s="16">
        <f t="shared" si="50"/>
        <v>57137.837837837833</v>
      </c>
      <c r="N47" s="16"/>
      <c r="O47" s="16">
        <f t="shared" si="51"/>
        <v>57490.54054054054</v>
      </c>
      <c r="P47" s="16">
        <f t="shared" si="45"/>
        <v>59154</v>
      </c>
      <c r="Q47" s="16">
        <f t="shared" si="46"/>
        <v>61233</v>
      </c>
      <c r="R47" s="16">
        <f t="shared" si="47"/>
        <v>61753</v>
      </c>
      <c r="S47" s="16"/>
      <c r="T47" s="16">
        <f t="shared" si="52"/>
        <v>62481</v>
      </c>
      <c r="U47" s="16">
        <f t="shared" si="6"/>
        <v>62897</v>
      </c>
      <c r="V47" s="16">
        <f t="shared" si="7"/>
        <v>63316</v>
      </c>
      <c r="W47" s="16">
        <f t="shared" si="8"/>
        <v>64705</v>
      </c>
      <c r="X47" s="16">
        <f t="shared" si="9"/>
        <v>69026</v>
      </c>
      <c r="Y47" s="17"/>
      <c r="Z47" s="17">
        <f t="shared" si="10"/>
        <v>69026</v>
      </c>
      <c r="AA47" s="17">
        <f t="shared" si="11"/>
        <v>33.340000000000003</v>
      </c>
      <c r="AB47" s="18"/>
      <c r="AC47" s="13"/>
    </row>
    <row r="48" spans="1:30" x14ac:dyDescent="0.2">
      <c r="A48" s="14" t="s">
        <v>45</v>
      </c>
      <c r="B48" s="14"/>
      <c r="C48" s="14"/>
      <c r="D48" s="14" t="s">
        <v>23</v>
      </c>
      <c r="E48" s="15" t="s">
        <v>9</v>
      </c>
      <c r="F48" s="41">
        <v>713037011</v>
      </c>
      <c r="G48" s="41"/>
      <c r="H48" s="41" t="s">
        <v>107</v>
      </c>
      <c r="I48" s="41" t="s">
        <v>114</v>
      </c>
      <c r="J48" s="14"/>
      <c r="K48" s="16">
        <v>43000</v>
      </c>
      <c r="L48" s="16">
        <f t="shared" si="49"/>
        <v>43871.62162162162</v>
      </c>
      <c r="M48" s="16">
        <f t="shared" si="50"/>
        <v>47067.567567567567</v>
      </c>
      <c r="N48" s="16"/>
      <c r="O48" s="16">
        <f t="shared" si="51"/>
        <v>47358.108108108107</v>
      </c>
      <c r="P48" s="16">
        <f t="shared" si="45"/>
        <v>48728</v>
      </c>
      <c r="Q48" s="16">
        <f t="shared" si="46"/>
        <v>50441</v>
      </c>
      <c r="R48" s="16">
        <f t="shared" si="47"/>
        <v>50869</v>
      </c>
      <c r="S48" s="16"/>
      <c r="T48" s="16">
        <f t="shared" si="52"/>
        <v>51468</v>
      </c>
      <c r="U48" s="16">
        <f t="shared" si="6"/>
        <v>51811</v>
      </c>
      <c r="V48" s="16">
        <f t="shared" si="7"/>
        <v>52156</v>
      </c>
      <c r="W48" s="16">
        <f t="shared" si="8"/>
        <v>53300</v>
      </c>
      <c r="X48" s="16">
        <f t="shared" si="9"/>
        <v>56859</v>
      </c>
      <c r="Y48" s="17"/>
      <c r="Z48" s="17">
        <f t="shared" si="10"/>
        <v>56859</v>
      </c>
      <c r="AA48" s="17">
        <f t="shared" si="11"/>
        <v>27.46</v>
      </c>
      <c r="AB48" s="18"/>
      <c r="AC48" s="13"/>
    </row>
    <row r="49" spans="1:37" x14ac:dyDescent="0.2">
      <c r="A49" s="14" t="s">
        <v>42</v>
      </c>
      <c r="B49" s="14"/>
      <c r="C49" s="14"/>
      <c r="D49" s="14" t="s">
        <v>23</v>
      </c>
      <c r="E49" s="15" t="s">
        <v>43</v>
      </c>
      <c r="F49" s="41">
        <v>713037011</v>
      </c>
      <c r="G49" s="41"/>
      <c r="H49" s="41" t="s">
        <v>107</v>
      </c>
      <c r="I49" s="41" t="s">
        <v>114</v>
      </c>
      <c r="J49" s="14" t="s">
        <v>44</v>
      </c>
      <c r="K49" s="16">
        <v>146700</v>
      </c>
      <c r="L49" s="16">
        <f t="shared" si="49"/>
        <v>149673.64864864864</v>
      </c>
      <c r="M49" s="16">
        <f t="shared" si="50"/>
        <v>160577.02702702704</v>
      </c>
      <c r="N49" s="16"/>
      <c r="O49" s="16">
        <f t="shared" si="51"/>
        <v>161568.24324324325</v>
      </c>
      <c r="P49" s="16">
        <f t="shared" si="45"/>
        <v>166243</v>
      </c>
      <c r="Q49" s="16">
        <f t="shared" si="46"/>
        <v>172086</v>
      </c>
      <c r="R49" s="16">
        <f t="shared" si="47"/>
        <v>173547</v>
      </c>
      <c r="S49" s="16"/>
      <c r="T49" s="16">
        <f t="shared" si="52"/>
        <v>175592</v>
      </c>
      <c r="U49" s="16">
        <f t="shared" si="6"/>
        <v>176761</v>
      </c>
      <c r="V49" s="16">
        <f t="shared" si="7"/>
        <v>177937</v>
      </c>
      <c r="W49" s="16">
        <f t="shared" si="8"/>
        <v>181840</v>
      </c>
      <c r="X49" s="16">
        <f t="shared" si="9"/>
        <v>193982</v>
      </c>
      <c r="Y49" s="17"/>
      <c r="Z49" s="17">
        <f t="shared" si="10"/>
        <v>193982</v>
      </c>
      <c r="AA49" s="17">
        <f t="shared" si="11"/>
        <v>93.69</v>
      </c>
      <c r="AB49" s="18"/>
      <c r="AC49" s="13"/>
    </row>
    <row r="50" spans="1:37" x14ac:dyDescent="0.2">
      <c r="A50" s="14" t="s">
        <v>35</v>
      </c>
      <c r="B50" s="14"/>
      <c r="C50" s="14"/>
      <c r="D50" s="14" t="s">
        <v>23</v>
      </c>
      <c r="E50" s="15" t="s">
        <v>9</v>
      </c>
      <c r="F50" s="41">
        <v>713037001</v>
      </c>
      <c r="G50" s="41"/>
      <c r="H50" s="41" t="s">
        <v>107</v>
      </c>
      <c r="I50" s="41" t="s">
        <v>114</v>
      </c>
      <c r="J50" s="14" t="s">
        <v>27</v>
      </c>
      <c r="K50" s="16">
        <v>60100</v>
      </c>
      <c r="L50" s="16">
        <f t="shared" si="49"/>
        <v>61318.24324324324</v>
      </c>
      <c r="M50" s="16">
        <f t="shared" si="50"/>
        <v>65785.135135135133</v>
      </c>
      <c r="N50" s="16"/>
      <c r="O50" s="16">
        <f t="shared" si="51"/>
        <v>66191.216216216213</v>
      </c>
      <c r="P50" s="16">
        <f t="shared" si="45"/>
        <v>68106</v>
      </c>
      <c r="Q50" s="16">
        <f t="shared" si="46"/>
        <v>70500</v>
      </c>
      <c r="R50" s="16">
        <f t="shared" si="47"/>
        <v>71098</v>
      </c>
      <c r="S50" s="16"/>
      <c r="T50" s="16">
        <f t="shared" si="52"/>
        <v>71936</v>
      </c>
      <c r="U50" s="16">
        <f t="shared" si="6"/>
        <v>72415</v>
      </c>
      <c r="V50" s="16">
        <f t="shared" si="7"/>
        <v>72897</v>
      </c>
      <c r="W50" s="16">
        <f t="shared" si="8"/>
        <v>74496</v>
      </c>
      <c r="X50" s="16">
        <f t="shared" si="9"/>
        <v>79470</v>
      </c>
      <c r="Y50" s="73"/>
      <c r="Z50" s="17">
        <f t="shared" si="10"/>
        <v>79470</v>
      </c>
      <c r="AA50" s="17">
        <f t="shared" si="11"/>
        <v>38.380000000000003</v>
      </c>
      <c r="AB50" s="18"/>
      <c r="AC50" s="13"/>
    </row>
    <row r="51" spans="1:37" x14ac:dyDescent="0.2">
      <c r="A51" s="14" t="s">
        <v>171</v>
      </c>
      <c r="B51" s="14" t="s">
        <v>168</v>
      </c>
      <c r="C51" s="14" t="s">
        <v>149</v>
      </c>
      <c r="D51" s="14" t="s">
        <v>172</v>
      </c>
      <c r="E51" s="15"/>
      <c r="F51" s="41"/>
      <c r="G51" s="41"/>
      <c r="H51" s="41"/>
      <c r="I51" s="41"/>
      <c r="J51" s="14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1565198</v>
      </c>
      <c r="V51" s="16">
        <f t="shared" si="7"/>
        <v>1575615</v>
      </c>
      <c r="W51" s="16">
        <f t="shared" si="8"/>
        <v>1610174</v>
      </c>
      <c r="X51" s="16">
        <f t="shared" si="9"/>
        <v>1717690</v>
      </c>
      <c r="Y51" s="73"/>
      <c r="Z51" s="17">
        <f t="shared" si="10"/>
        <v>1717690</v>
      </c>
      <c r="AA51" s="17">
        <f t="shared" si="11"/>
        <v>829.64</v>
      </c>
      <c r="AB51" s="18"/>
      <c r="AC51" s="13"/>
    </row>
    <row r="52" spans="1:37" s="20" customFormat="1" x14ac:dyDescent="0.2">
      <c r="A52" s="14" t="s">
        <v>178</v>
      </c>
      <c r="B52" s="102" t="s">
        <v>180</v>
      </c>
      <c r="C52" s="102" t="s">
        <v>149</v>
      </c>
      <c r="D52" s="14" t="s">
        <v>176</v>
      </c>
      <c r="E52" s="15"/>
      <c r="F52" s="41"/>
      <c r="G52" s="41"/>
      <c r="H52" s="41"/>
      <c r="I52" s="41"/>
      <c r="J52" s="14"/>
      <c r="K52" s="16"/>
      <c r="L52" s="16"/>
      <c r="M52" s="16"/>
      <c r="N52" s="16"/>
      <c r="O52" s="16"/>
      <c r="P52" s="16"/>
      <c r="Q52" s="92"/>
      <c r="R52" s="92"/>
      <c r="S52" s="16"/>
      <c r="T52" s="16"/>
      <c r="U52" s="16"/>
      <c r="V52" s="16">
        <v>1872936</v>
      </c>
      <c r="W52" s="16">
        <f t="shared" si="8"/>
        <v>1914016</v>
      </c>
      <c r="X52" s="16">
        <f t="shared" si="9"/>
        <v>2041820</v>
      </c>
      <c r="Y52" s="78"/>
      <c r="Z52" s="17">
        <f t="shared" si="10"/>
        <v>2041820</v>
      </c>
      <c r="AA52" s="17">
        <f t="shared" si="11"/>
        <v>986.2</v>
      </c>
      <c r="AB52" s="18" t="s">
        <v>200</v>
      </c>
      <c r="AC52" s="19"/>
    </row>
    <row r="53" spans="1:37" s="20" customFormat="1" x14ac:dyDescent="0.2">
      <c r="A53" s="14" t="s">
        <v>183</v>
      </c>
      <c r="B53" s="14" t="s">
        <v>184</v>
      </c>
      <c r="C53" s="14" t="s">
        <v>149</v>
      </c>
      <c r="D53" s="14" t="s">
        <v>185</v>
      </c>
      <c r="E53" s="15"/>
      <c r="F53" s="41"/>
      <c r="G53" s="41"/>
      <c r="H53" s="41"/>
      <c r="I53" s="41"/>
      <c r="J53" s="14" t="s">
        <v>186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111"/>
      <c r="W53" s="16">
        <v>20000</v>
      </c>
      <c r="X53" s="16">
        <f t="shared" si="9"/>
        <v>21335</v>
      </c>
      <c r="Y53" s="73"/>
      <c r="Z53" s="17">
        <f t="shared" si="10"/>
        <v>21335</v>
      </c>
      <c r="AA53" s="17">
        <f>ROUND(Z53*0.483/1000,2)</f>
        <v>10.3</v>
      </c>
      <c r="AB53" s="18"/>
      <c r="AC53" s="19"/>
    </row>
    <row r="54" spans="1:37" s="124" customFormat="1" x14ac:dyDescent="0.2">
      <c r="A54" s="115" t="s">
        <v>193</v>
      </c>
      <c r="B54" s="115"/>
      <c r="C54" s="115" t="s">
        <v>149</v>
      </c>
      <c r="D54" s="115" t="s">
        <v>192</v>
      </c>
      <c r="E54" s="116"/>
      <c r="F54" s="117"/>
      <c r="G54" s="117"/>
      <c r="H54" s="117"/>
      <c r="I54" s="117"/>
      <c r="J54" s="115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9"/>
      <c r="W54" s="120">
        <v>500000</v>
      </c>
      <c r="X54" s="16">
        <f t="shared" si="9"/>
        <v>533386</v>
      </c>
      <c r="Y54" s="121"/>
      <c r="Z54" s="17">
        <f t="shared" si="10"/>
        <v>533386</v>
      </c>
      <c r="AA54" s="122">
        <f>ROUND(Z54*0.483/1000,2)</f>
        <v>257.63</v>
      </c>
      <c r="AB54" s="114" t="s">
        <v>194</v>
      </c>
      <c r="AC54" s="123"/>
    </row>
    <row r="55" spans="1:37" s="20" customFormat="1" x14ac:dyDescent="0.2">
      <c r="A55" s="14"/>
      <c r="B55" s="14"/>
      <c r="C55" s="14"/>
      <c r="D55" s="14"/>
      <c r="E55" s="15"/>
      <c r="F55" s="41"/>
      <c r="G55" s="41"/>
      <c r="H55" s="41"/>
      <c r="I55" s="41"/>
      <c r="J55" s="14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111"/>
      <c r="W55" s="16"/>
      <c r="X55" s="16"/>
      <c r="Y55" s="73"/>
      <c r="Z55" s="17"/>
      <c r="AA55" s="17"/>
      <c r="AB55" s="18"/>
      <c r="AC55" s="19"/>
    </row>
    <row r="56" spans="1:37" x14ac:dyDescent="0.2">
      <c r="A56" s="7"/>
      <c r="B56" s="7"/>
      <c r="C56" s="7"/>
      <c r="D56" s="7"/>
      <c r="E56" s="21"/>
      <c r="H56" s="42"/>
      <c r="I56" s="42"/>
      <c r="J56" s="7"/>
      <c r="K56" s="27"/>
      <c r="L56" s="27"/>
      <c r="M56" s="27"/>
      <c r="N56" s="29"/>
      <c r="O56" s="29">
        <f>SUM(O7:O50)</f>
        <v>44390547.14962478</v>
      </c>
      <c r="P56" s="29">
        <f>SUM(P7:P50)</f>
        <v>45674903</v>
      </c>
      <c r="Q56" s="29">
        <f>SUM(Q7:Q50)</f>
        <v>47280346</v>
      </c>
      <c r="R56" s="29">
        <f>SUM(R7:R50)</f>
        <v>13425173</v>
      </c>
      <c r="S56" s="29"/>
      <c r="T56" s="29">
        <f>SUM(T6:T52)</f>
        <v>55864372</v>
      </c>
      <c r="U56" s="29">
        <f>SUM(U6:U52)</f>
        <v>57801378</v>
      </c>
      <c r="V56" s="112">
        <f>SUM(V6:V53)</f>
        <v>60059018</v>
      </c>
      <c r="W56" s="112">
        <f>SUM(W6:W54)</f>
        <v>61966980</v>
      </c>
      <c r="X56" s="112">
        <f>SUM(X6:X54)</f>
        <v>66104676</v>
      </c>
      <c r="Y56" s="112">
        <f>SUM(Y6:Y54)</f>
        <v>1749920</v>
      </c>
      <c r="Z56" s="112">
        <f>SUM(Z6:Z54)</f>
        <v>67854596</v>
      </c>
      <c r="AA56" s="112">
        <f>SUM(AA6:AA54)</f>
        <v>32773.730000000003</v>
      </c>
      <c r="AB56" s="65"/>
      <c r="AD56" s="65"/>
      <c r="AE56" s="66"/>
      <c r="AF56" s="66"/>
    </row>
    <row r="57" spans="1:37" x14ac:dyDescent="0.2">
      <c r="A57" s="7" t="s">
        <v>92</v>
      </c>
      <c r="B57" s="7"/>
      <c r="C57" s="7"/>
      <c r="D57" s="7"/>
      <c r="E57" s="21"/>
      <c r="J57" s="7"/>
      <c r="K57" s="22"/>
      <c r="L57" s="22"/>
      <c r="M57" s="22"/>
      <c r="N57" s="16"/>
      <c r="O57" s="38"/>
      <c r="P57" s="38"/>
      <c r="Q57" s="38"/>
      <c r="R57" s="38"/>
      <c r="T57" s="38"/>
      <c r="U57" s="38"/>
      <c r="V57" s="38"/>
      <c r="W57" s="38"/>
      <c r="X57" s="38"/>
      <c r="Y57" s="23"/>
      <c r="Z57" s="23">
        <v>2500000</v>
      </c>
      <c r="AA57" s="17">
        <f t="shared" si="11"/>
        <v>1207.5</v>
      </c>
      <c r="AE57" s="26"/>
      <c r="AF57" s="65"/>
    </row>
    <row r="58" spans="1:37" x14ac:dyDescent="0.2">
      <c r="A58" s="7" t="s">
        <v>112</v>
      </c>
      <c r="B58" s="7"/>
      <c r="C58" s="7"/>
      <c r="D58" s="7"/>
      <c r="E58" s="21"/>
      <c r="F58" s="43"/>
      <c r="G58" s="43"/>
      <c r="J58" s="24"/>
      <c r="K58" s="23"/>
      <c r="L58" s="22"/>
      <c r="M58" s="22"/>
      <c r="N58" s="16"/>
      <c r="O58" s="7"/>
      <c r="P58" s="7"/>
      <c r="Q58" s="7"/>
      <c r="R58" s="7"/>
      <c r="S58" s="7"/>
      <c r="T58" s="54"/>
      <c r="U58" s="54"/>
      <c r="V58" s="54"/>
      <c r="W58" s="54"/>
      <c r="X58" s="54"/>
      <c r="Y58" s="23"/>
      <c r="Z58" s="23">
        <v>1500000</v>
      </c>
      <c r="AA58" s="17">
        <f t="shared" si="11"/>
        <v>724.5</v>
      </c>
      <c r="AB58" s="13"/>
      <c r="AC58" s="13"/>
      <c r="AD58" s="10"/>
      <c r="AE58" s="26"/>
      <c r="AF58" s="67"/>
      <c r="AG58" s="30"/>
      <c r="AH58" s="30"/>
      <c r="AI58" s="31"/>
      <c r="AJ58" s="13"/>
      <c r="AK58" s="13"/>
    </row>
    <row r="59" spans="1:37" x14ac:dyDescent="0.2">
      <c r="A59" s="7"/>
      <c r="B59" s="7"/>
      <c r="C59" s="7"/>
      <c r="D59" s="7"/>
      <c r="E59" s="21"/>
      <c r="F59" s="43"/>
      <c r="G59" s="43"/>
      <c r="J59" s="24"/>
      <c r="K59" s="23"/>
      <c r="L59" s="22"/>
      <c r="M59" s="22"/>
      <c r="N59" s="16"/>
      <c r="O59" s="7"/>
      <c r="P59" s="7"/>
      <c r="Q59" s="7"/>
      <c r="R59" s="7"/>
      <c r="S59" s="7"/>
      <c r="T59" s="7"/>
      <c r="U59" s="7"/>
      <c r="V59" s="7"/>
      <c r="W59" s="7"/>
      <c r="X59" s="7"/>
      <c r="Y59" s="23"/>
      <c r="Z59" s="23"/>
      <c r="AA59" s="23"/>
      <c r="AB59" s="13"/>
      <c r="AC59" s="13"/>
      <c r="AD59" s="10"/>
      <c r="AE59" s="67"/>
      <c r="AF59" s="67"/>
      <c r="AG59" s="30"/>
      <c r="AH59" s="30"/>
      <c r="AI59" s="31"/>
      <c r="AJ59" s="13"/>
      <c r="AK59" s="13"/>
    </row>
    <row r="60" spans="1:37" x14ac:dyDescent="0.2">
      <c r="A60" s="46"/>
      <c r="B60" s="46"/>
      <c r="C60" s="46"/>
      <c r="D60" s="7"/>
      <c r="E60" s="21"/>
      <c r="F60" s="43"/>
      <c r="G60" s="43"/>
      <c r="J60" s="24"/>
      <c r="K60" s="23"/>
      <c r="L60" s="22"/>
      <c r="M60" s="22"/>
      <c r="N60" s="16"/>
      <c r="O60" s="7"/>
      <c r="P60" s="7"/>
      <c r="Q60" s="7"/>
      <c r="R60" s="7"/>
      <c r="S60" s="7"/>
      <c r="T60" s="7"/>
      <c r="U60" s="7"/>
      <c r="V60" s="7"/>
      <c r="W60" s="7"/>
      <c r="X60" s="7"/>
      <c r="Y60" s="23"/>
      <c r="Z60" s="23"/>
      <c r="AA60" s="23"/>
      <c r="AB60" s="13"/>
      <c r="AC60" s="13"/>
      <c r="AD60" s="10"/>
      <c r="AE60" s="67"/>
      <c r="AF60" s="67"/>
      <c r="AG60" s="30"/>
      <c r="AH60" s="30"/>
      <c r="AI60" s="31"/>
      <c r="AJ60" s="13"/>
      <c r="AK60" s="13"/>
    </row>
    <row r="61" spans="1:37" ht="12" thickBot="1" x14ac:dyDescent="0.25">
      <c r="A61" s="47"/>
      <c r="B61" s="47"/>
      <c r="C61" s="47"/>
      <c r="D61" s="7"/>
      <c r="E61" s="21"/>
      <c r="F61" s="42"/>
      <c r="G61" s="42"/>
      <c r="H61" s="43"/>
      <c r="I61" s="43"/>
      <c r="J61" s="7"/>
      <c r="K61" s="22"/>
      <c r="L61" s="22"/>
      <c r="M61" s="22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23"/>
      <c r="Z61" s="34">
        <f>SUM(Z56:Z58)</f>
        <v>71854596</v>
      </c>
      <c r="AA61" s="34">
        <f>SUM(AA56:AA58)</f>
        <v>34705.730000000003</v>
      </c>
      <c r="AB61" s="24"/>
      <c r="AC61" s="13"/>
      <c r="AD61" s="65"/>
      <c r="AE61" s="66"/>
    </row>
    <row r="62" spans="1:37" ht="12.6" thickTop="1" x14ac:dyDescent="0.25">
      <c r="D62" s="35"/>
      <c r="H62" s="42"/>
      <c r="I62" s="42"/>
      <c r="K62" s="25"/>
      <c r="L62" s="25"/>
      <c r="M62" s="25"/>
      <c r="N62" s="28"/>
      <c r="O62" s="28"/>
      <c r="P62" s="28"/>
      <c r="Q62" s="28"/>
      <c r="R62" s="28"/>
      <c r="S62" s="16"/>
      <c r="T62" s="28"/>
      <c r="U62" s="28"/>
      <c r="V62" s="28"/>
      <c r="W62" s="28"/>
      <c r="X62" s="28"/>
      <c r="Y62" s="26"/>
      <c r="Z62" s="26"/>
      <c r="AA62" s="26"/>
      <c r="AB62" s="13"/>
      <c r="AC62" s="32"/>
      <c r="AE62" s="65"/>
    </row>
    <row r="63" spans="1:37" ht="12" x14ac:dyDescent="0.25">
      <c r="A63" s="14" t="s">
        <v>157</v>
      </c>
      <c r="B63" s="36"/>
      <c r="C63" s="36"/>
      <c r="D63" s="37"/>
      <c r="K63" s="25"/>
      <c r="L63" s="25"/>
      <c r="M63" s="25"/>
      <c r="N63" s="28"/>
      <c r="O63" s="28"/>
      <c r="P63" s="28"/>
      <c r="Q63" s="28"/>
      <c r="R63" s="28"/>
      <c r="S63" s="16"/>
      <c r="T63" s="28"/>
      <c r="U63" s="28"/>
      <c r="V63" s="28"/>
      <c r="W63" s="28"/>
      <c r="X63" s="28"/>
      <c r="Y63" s="26"/>
      <c r="Z63" s="8"/>
      <c r="AA63" s="8"/>
      <c r="AE63" s="65"/>
    </row>
    <row r="64" spans="1:37" x14ac:dyDescent="0.2">
      <c r="A64" s="14" t="s">
        <v>158</v>
      </c>
      <c r="B64" s="45"/>
      <c r="C64" s="45"/>
      <c r="D64" s="33"/>
      <c r="E64" s="21"/>
      <c r="F64" s="44"/>
      <c r="G64" s="44"/>
      <c r="J64" s="7"/>
      <c r="K64" s="22"/>
      <c r="L64" s="22"/>
      <c r="M64" s="22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23"/>
      <c r="Z64" s="23"/>
      <c r="AA64" s="23"/>
      <c r="AB64" s="7"/>
      <c r="AE64" s="65"/>
    </row>
    <row r="66" spans="1:37" x14ac:dyDescent="0.2">
      <c r="Z66" s="26">
        <f>'Socius per 01-01-2019'!F11</f>
        <v>586000</v>
      </c>
      <c r="AA66" s="26">
        <f>Z66*0.483/1000</f>
        <v>283.03800000000001</v>
      </c>
      <c r="AB66" s="8" t="s">
        <v>203</v>
      </c>
    </row>
    <row r="67" spans="1:37" s="82" customFormat="1" ht="13.2" x14ac:dyDescent="0.25">
      <c r="A67" s="74"/>
      <c r="B67" s="74"/>
      <c r="C67" s="74"/>
      <c r="D67" s="74"/>
      <c r="E67" s="75"/>
      <c r="F67" s="76"/>
      <c r="G67" s="76"/>
      <c r="H67" s="76"/>
      <c r="I67" s="76"/>
      <c r="J67" s="79"/>
      <c r="K67" s="78"/>
      <c r="L67" s="77"/>
      <c r="M67" s="77"/>
      <c r="N67" s="77"/>
      <c r="O67" s="77"/>
      <c r="P67" s="77"/>
      <c r="Q67" s="77"/>
      <c r="S67" s="74"/>
      <c r="T67" s="77"/>
      <c r="U67" s="77"/>
      <c r="V67" s="16"/>
      <c r="W67" s="16"/>
      <c r="X67" s="16"/>
      <c r="Y67" s="78"/>
      <c r="Z67" s="78"/>
      <c r="AA67" s="78"/>
      <c r="AB67" s="79"/>
      <c r="AC67" s="83"/>
      <c r="AD67" s="80"/>
      <c r="AE67" s="84"/>
      <c r="AF67" s="84"/>
      <c r="AG67" s="84"/>
      <c r="AH67" s="84"/>
      <c r="AI67" s="85"/>
      <c r="AJ67" s="83"/>
      <c r="AK67" s="83"/>
    </row>
    <row r="69" spans="1:37" x14ac:dyDescent="0.2">
      <c r="AA69" s="87"/>
    </row>
    <row r="70" spans="1:37" x14ac:dyDescent="0.2">
      <c r="AA70" s="87"/>
    </row>
    <row r="71" spans="1:37" x14ac:dyDescent="0.2">
      <c r="AA71" s="87"/>
    </row>
    <row r="72" spans="1:37" x14ac:dyDescent="0.2">
      <c r="Z72" s="13">
        <f>Z61+Z66</f>
        <v>72440596</v>
      </c>
      <c r="AA72" s="90"/>
    </row>
    <row r="73" spans="1:37" x14ac:dyDescent="0.2">
      <c r="AA73" s="87">
        <f>AA61+AA66</f>
        <v>34988.768000000004</v>
      </c>
      <c r="AB73" s="65"/>
    </row>
    <row r="74" spans="1:37" x14ac:dyDescent="0.2">
      <c r="AA74" s="90">
        <v>32933.480000000003</v>
      </c>
    </row>
    <row r="75" spans="1:37" x14ac:dyDescent="0.2">
      <c r="Y75" s="89"/>
      <c r="AA75" s="88">
        <f>AA73-AA74</f>
        <v>2055.2880000000005</v>
      </c>
    </row>
    <row r="76" spans="1:37" x14ac:dyDescent="0.2">
      <c r="Y76" s="89"/>
      <c r="AA76" s="91">
        <f>AA75*21%</f>
        <v>431.61048000000011</v>
      </c>
    </row>
    <row r="77" spans="1:37" x14ac:dyDescent="0.2">
      <c r="Y77" s="89"/>
      <c r="AA77" s="88">
        <f>AA75+AA76</f>
        <v>2486.8984800000007</v>
      </c>
    </row>
    <row r="78" spans="1:37" x14ac:dyDescent="0.2">
      <c r="Y78" s="89"/>
    </row>
    <row r="80" spans="1:37" x14ac:dyDescent="0.2">
      <c r="AA80" s="13" t="e">
        <f>'Per 01-01-2024'!#REF!</f>
        <v>#REF!</v>
      </c>
    </row>
    <row r="81" spans="27:27" x14ac:dyDescent="0.2">
      <c r="AA81" s="13" t="e">
        <f>AA77+AA80</f>
        <v>#REF!</v>
      </c>
    </row>
  </sheetData>
  <mergeCells count="1">
    <mergeCell ref="S3:S4"/>
  </mergeCells>
  <phoneticPr fontId="0" type="noConversion"/>
  <pageMargins left="0.74803149606299213" right="0.35433070866141736" top="1.7716535433070868" bottom="0.59055118110236227" header="0.27559055118110237" footer="0.19685039370078741"/>
  <pageSetup paperSize="9" scale="66" fitToHeight="2" orientation="landscape" r:id="rId1"/>
  <headerFooter alignWithMargins="0">
    <oddFooter>&amp;L&amp;8&amp;F - &amp;A&amp;C&amp;8&amp;P&amp;R&amp;8&amp;D</oddFooter>
  </headerFooter>
  <rowBreaks count="1" manualBreakCount="1">
    <brk id="42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4"/>
  <sheetViews>
    <sheetView zoomScaleNormal="100" workbookViewId="0">
      <selection activeCell="A14" sqref="A14"/>
    </sheetView>
  </sheetViews>
  <sheetFormatPr defaultColWidth="8.8984375" defaultRowHeight="13.8" x14ac:dyDescent="0.25"/>
  <cols>
    <col min="1" max="1" width="38.5" bestFit="1" customWidth="1"/>
    <col min="2" max="2" width="7.3984375" bestFit="1" customWidth="1"/>
    <col min="3" max="3" width="8.8984375" bestFit="1" customWidth="1"/>
    <col min="4" max="4" width="11.19921875" bestFit="1" customWidth="1"/>
    <col min="5" max="5" width="12.09765625" bestFit="1" customWidth="1"/>
    <col min="6" max="6" width="12.69921875" bestFit="1" customWidth="1"/>
    <col min="7" max="7" width="7.69921875" bestFit="1" customWidth="1"/>
    <col min="8" max="8" width="9.69921875" bestFit="1" customWidth="1"/>
    <col min="9" max="9" width="38.19921875" bestFit="1" customWidth="1"/>
  </cols>
  <sheetData>
    <row r="1" spans="1:23" s="8" customFormat="1" ht="12" x14ac:dyDescent="0.25">
      <c r="A1" s="55" t="s">
        <v>136</v>
      </c>
      <c r="B1" s="55"/>
      <c r="C1" s="55"/>
      <c r="D1" s="53"/>
      <c r="E1" s="49"/>
      <c r="F1" s="49"/>
      <c r="G1" s="49"/>
      <c r="H1" s="49"/>
      <c r="I1" s="55"/>
      <c r="J1" s="27"/>
      <c r="K1" s="27"/>
      <c r="L1" s="27"/>
      <c r="M1" s="29"/>
      <c r="N1" s="29"/>
      <c r="O1" s="29"/>
      <c r="P1" s="29"/>
      <c r="Q1" s="29"/>
      <c r="R1" s="29"/>
      <c r="S1" s="35"/>
      <c r="T1" s="59"/>
      <c r="U1" s="60"/>
      <c r="V1" s="6"/>
      <c r="W1" s="13"/>
    </row>
    <row r="2" spans="1:23" x14ac:dyDescent="0.25">
      <c r="A2" s="57"/>
      <c r="B2" s="57"/>
      <c r="C2" s="57"/>
      <c r="D2" s="57"/>
      <c r="E2" s="57"/>
      <c r="F2" s="57"/>
      <c r="G2" s="57"/>
      <c r="H2" s="57"/>
      <c r="I2" s="57"/>
    </row>
    <row r="3" spans="1:23" x14ac:dyDescent="0.25">
      <c r="A3" s="56" t="s">
        <v>139</v>
      </c>
      <c r="B3" s="56" t="s">
        <v>154</v>
      </c>
      <c r="C3" s="56" t="s">
        <v>140</v>
      </c>
      <c r="D3" s="58" t="s">
        <v>7</v>
      </c>
      <c r="E3" s="58" t="s">
        <v>141</v>
      </c>
      <c r="F3" s="58" t="s">
        <v>142</v>
      </c>
      <c r="G3" s="56" t="s">
        <v>143</v>
      </c>
      <c r="H3" s="56" t="s">
        <v>2</v>
      </c>
      <c r="I3" s="56" t="s">
        <v>144</v>
      </c>
    </row>
    <row r="4" spans="1:23" x14ac:dyDescent="0.25">
      <c r="A4" s="128" t="s">
        <v>205</v>
      </c>
      <c r="B4" s="128"/>
      <c r="C4" s="128" t="s">
        <v>145</v>
      </c>
      <c r="D4" s="129">
        <v>211900</v>
      </c>
      <c r="E4" s="129">
        <v>100000</v>
      </c>
      <c r="F4" s="129">
        <v>53100</v>
      </c>
      <c r="G4" s="128" t="s">
        <v>9</v>
      </c>
      <c r="H4" s="128" t="s">
        <v>146</v>
      </c>
      <c r="I4" s="128"/>
    </row>
    <row r="5" spans="1:23" x14ac:dyDescent="0.25">
      <c r="A5" s="128" t="s">
        <v>137</v>
      </c>
      <c r="B5" s="128"/>
      <c r="C5" s="128" t="s">
        <v>147</v>
      </c>
      <c r="D5" s="129">
        <v>8500</v>
      </c>
      <c r="E5" s="129"/>
      <c r="F5" s="129">
        <v>2500</v>
      </c>
      <c r="G5" s="128"/>
      <c r="H5" s="128"/>
      <c r="I5" s="128" t="s">
        <v>148</v>
      </c>
    </row>
    <row r="6" spans="1:23" ht="34.200000000000003" x14ac:dyDescent="0.25">
      <c r="A6" s="128" t="s">
        <v>206</v>
      </c>
      <c r="B6" s="128"/>
      <c r="C6" s="128" t="s">
        <v>149</v>
      </c>
      <c r="D6" s="130"/>
      <c r="E6" s="130"/>
      <c r="F6" s="130"/>
      <c r="G6" s="128"/>
      <c r="H6" s="128" t="s">
        <v>146</v>
      </c>
      <c r="I6" s="131" t="s">
        <v>150</v>
      </c>
    </row>
    <row r="7" spans="1:23" s="20" customFormat="1" ht="11.4" x14ac:dyDescent="0.2">
      <c r="A7" s="128" t="s">
        <v>33</v>
      </c>
      <c r="B7" s="132"/>
      <c r="C7" s="128" t="s">
        <v>149</v>
      </c>
      <c r="D7" s="130">
        <v>25000</v>
      </c>
      <c r="E7" s="130"/>
      <c r="F7" s="130">
        <v>20000</v>
      </c>
      <c r="G7" s="128"/>
      <c r="H7" s="128"/>
      <c r="I7" s="131"/>
    </row>
    <row r="8" spans="1:23" ht="22.8" x14ac:dyDescent="0.25">
      <c r="A8" s="128" t="s">
        <v>138</v>
      </c>
      <c r="B8" s="128"/>
      <c r="C8" s="128" t="s">
        <v>151</v>
      </c>
      <c r="D8" s="130">
        <v>100000</v>
      </c>
      <c r="E8" s="130">
        <v>40000</v>
      </c>
      <c r="F8" s="130">
        <v>25000</v>
      </c>
      <c r="G8" s="128"/>
      <c r="H8" s="128"/>
      <c r="I8" s="131" t="s">
        <v>152</v>
      </c>
    </row>
    <row r="9" spans="1:23" x14ac:dyDescent="0.25">
      <c r="A9" s="128"/>
      <c r="B9" s="128"/>
      <c r="C9" s="128"/>
      <c r="D9" s="133">
        <f>SUM(D4:D8)</f>
        <v>345400</v>
      </c>
      <c r="E9" s="133">
        <f>SUM(E4:E8)</f>
        <v>140000</v>
      </c>
      <c r="F9" s="133">
        <f>SUM(F4:F8)</f>
        <v>100600</v>
      </c>
      <c r="G9" s="128"/>
      <c r="H9" s="128"/>
      <c r="I9" s="131" t="s">
        <v>153</v>
      </c>
    </row>
    <row r="10" spans="1:23" x14ac:dyDescent="0.25">
      <c r="A10" s="20"/>
      <c r="B10" s="20"/>
      <c r="C10" s="20"/>
      <c r="D10" s="20"/>
      <c r="E10" s="20"/>
      <c r="F10" s="20"/>
      <c r="G10" s="20"/>
      <c r="H10" s="20"/>
      <c r="I10" s="20"/>
    </row>
    <row r="11" spans="1:23" s="14" customFormat="1" ht="12.6" thickBot="1" x14ac:dyDescent="0.3">
      <c r="A11" s="126" t="s">
        <v>207</v>
      </c>
      <c r="B11" s="126"/>
      <c r="C11" s="20"/>
      <c r="D11" s="20"/>
      <c r="E11" s="20"/>
      <c r="F11" s="127">
        <f>D9+E9+F9</f>
        <v>586000</v>
      </c>
      <c r="G11" s="20"/>
      <c r="H11" s="20"/>
      <c r="I11" s="20"/>
    </row>
    <row r="12" spans="1:23" ht="14.4" thickTop="1" x14ac:dyDescent="0.25"/>
    <row r="14" spans="1:23" x14ac:dyDescent="0.25">
      <c r="A14" s="134" t="s">
        <v>208</v>
      </c>
    </row>
  </sheetData>
  <phoneticPr fontId="0" type="noConversion"/>
  <pageMargins left="0.74803149606299213" right="0.35433070866141736" top="1.7716535433070868" bottom="0.59055118110236227" header="0.27559055118110237" footer="0.19685039370078741"/>
  <pageSetup paperSize="9" scale="85" orientation="landscape" r:id="rId1"/>
  <headerFooter alignWithMargins="0">
    <oddFooter>&amp;L&amp;8&amp;F - &amp;A&amp;C&amp;8&amp;P&amp;R&amp;8&amp;D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per 01-01-2017</vt:lpstr>
      <vt:lpstr>Per 01-01-2024</vt:lpstr>
      <vt:lpstr>Per 01-01-2019</vt:lpstr>
      <vt:lpstr>Socius per 01-01-2019</vt:lpstr>
      <vt:lpstr>'per 01-01-2017'!Afdrukbereik</vt:lpstr>
      <vt:lpstr>'Per 01-01-2019'!Afdrukbereik</vt:lpstr>
      <vt:lpstr>'Per 01-01-2024'!Afdrukbereik</vt:lpstr>
      <vt:lpstr>'Socius per 01-01-2019'!Afdrukbereik</vt:lpstr>
      <vt:lpstr>'per 01-01-2017'!Afdruktitels</vt:lpstr>
      <vt:lpstr>'Per 01-01-2019'!Afdruktitels</vt:lpstr>
      <vt:lpstr>'Per 01-01-2024'!Afdruktitels</vt:lpstr>
    </vt:vector>
  </TitlesOfParts>
  <Company>Gemeente Beverwijk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Mulder</dc:creator>
  <cp:lastModifiedBy>Monique van Bekkum</cp:lastModifiedBy>
  <cp:lastPrinted>2024-05-01T10:05:30Z</cp:lastPrinted>
  <dcterms:created xsi:type="dcterms:W3CDTF">2006-04-28T12:29:24Z</dcterms:created>
  <dcterms:modified xsi:type="dcterms:W3CDTF">2024-10-23T07:57:58Z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