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ttps://hlmr-my.sharepoint.com/personal/antoine_rustenburg_haarlemmermeer_nl/Documents/Bureaublad/Aanbesteding Brandverzekering 2024-480/"/>
    </mc:Choice>
  </mc:AlternateContent>
  <xr:revisionPtr revIDLastSave="0" documentId="8_{80BDB30B-864C-4CF5-A015-715F500E3EA1}" xr6:coauthVersionLast="47" xr6:coauthVersionMax="47" xr10:uidLastSave="{00000000-0000-0000-0000-000000000000}"/>
  <bookViews>
    <workbookView xWindow="-108" yWindow="-108" windowWidth="23256" windowHeight="12456" xr2:uid="{215F682F-61CB-4ED2-9207-D19621B4B9FD}"/>
  </bookViews>
  <sheets>
    <sheet name="Aanh. 3" sheetId="7" r:id="rId1"/>
    <sheet name="ADC mutaties 2023" sheetId="11" state="hidden" r:id="rId2"/>
    <sheet name="ADC mutaties 2024" sheetId="9" state="hidden" r:id="rId3"/>
    <sheet name="Toelichting ADC clausule" sheetId="10" state="hidden" r:id="rId4"/>
  </sheets>
  <definedNames>
    <definedName name="_xlnm._FilterDatabase" localSheetId="0" hidden="1">'Aanh. 3'!$A$4:$BW$290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335" i="7" l="1"/>
  <c r="BC333" i="7"/>
  <c r="BA326" i="7"/>
  <c r="BA325" i="7"/>
  <c r="AY325" i="7"/>
  <c r="H34" i="11"/>
  <c r="G34" i="11"/>
  <c r="H34" i="9"/>
  <c r="G34" i="9"/>
  <c r="BA309" i="7"/>
  <c r="BA200" i="7"/>
  <c r="BA190" i="7"/>
  <c r="BA246" i="7"/>
  <c r="AY200" i="7"/>
  <c r="AY190" i="7"/>
  <c r="AY246" i="7"/>
  <c r="AU84" i="7"/>
  <c r="AY84" i="7" s="1"/>
  <c r="AW305" i="7"/>
  <c r="BA305" i="7" s="1"/>
  <c r="AU171" i="7"/>
  <c r="AY171" i="7" s="1"/>
  <c r="AW171" i="7"/>
  <c r="BA171" i="7" s="1"/>
  <c r="AW188" i="7"/>
  <c r="BA188" i="7" s="1"/>
  <c r="AW84" i="7"/>
  <c r="BA84" i="7" s="1"/>
  <c r="AW201" i="7"/>
  <c r="BA201" i="7" s="1"/>
  <c r="AW211" i="7"/>
  <c r="BA211" i="7" s="1"/>
  <c r="AW232" i="7"/>
  <c r="BA232" i="7" s="1"/>
  <c r="AU237" i="7"/>
  <c r="AY237" i="7" s="1"/>
  <c r="AW237" i="7"/>
  <c r="BA237" i="7" s="1"/>
  <c r="AU245" i="7"/>
  <c r="AY245" i="7" s="1"/>
  <c r="AW245" i="7"/>
  <c r="BA245" i="7" s="1"/>
  <c r="AW248" i="7"/>
  <c r="BA248" i="7" s="1"/>
  <c r="AU251" i="7"/>
  <c r="AY251" i="7" s="1"/>
  <c r="AW251" i="7"/>
  <c r="BA251" i="7" s="1"/>
  <c r="AU259" i="7"/>
  <c r="AY259" i="7" s="1"/>
  <c r="AW259" i="7"/>
  <c r="BA259" i="7" s="1"/>
  <c r="AU268" i="7"/>
  <c r="AY268" i="7" s="1"/>
  <c r="AW268" i="7"/>
  <c r="BA268" i="7" s="1"/>
  <c r="AU269" i="7"/>
  <c r="AY269" i="7" s="1"/>
  <c r="AW269" i="7"/>
  <c r="BA269" i="7" s="1"/>
  <c r="AU164" i="7"/>
  <c r="AY164" i="7" s="1"/>
  <c r="AW164" i="7"/>
  <c r="BA164" i="7" s="1"/>
  <c r="AW195" i="7"/>
  <c r="BA195" i="7" s="1"/>
  <c r="AY92" i="7"/>
  <c r="AW92" i="7"/>
  <c r="BA92" i="7" s="1"/>
  <c r="AW60" i="7"/>
  <c r="BA60" i="7" s="1"/>
  <c r="AU10" i="7"/>
  <c r="AY10" i="7" s="1"/>
  <c r="AW11" i="7"/>
  <c r="BA11" i="7" s="1"/>
  <c r="AW20" i="7"/>
  <c r="BA20" i="7" s="1"/>
  <c r="AU29" i="7"/>
  <c r="AY29" i="7" s="1"/>
  <c r="AW29" i="7"/>
  <c r="BA29" i="7" s="1"/>
  <c r="AK238" i="7"/>
  <c r="AM238" i="7" s="1"/>
  <c r="AO238" i="7" s="1"/>
  <c r="AQ238" i="7" s="1"/>
  <c r="AU238" i="7" s="1"/>
  <c r="AY238" i="7" s="1"/>
  <c r="AL238" i="7"/>
  <c r="AN238" i="7" s="1"/>
  <c r="AP238" i="7" s="1"/>
  <c r="AS238" i="7" s="1"/>
  <c r="AW238" i="7" s="1"/>
  <c r="BA238" i="7" s="1"/>
  <c r="AS272" i="7"/>
  <c r="AW272" i="7" s="1"/>
  <c r="BA272" i="7" s="1"/>
  <c r="AQ272" i="7"/>
  <c r="AU272" i="7" s="1"/>
  <c r="AY272" i="7" s="1"/>
  <c r="AQ60" i="7"/>
  <c r="AU60" i="7" s="1"/>
  <c r="AY60" i="7" s="1"/>
  <c r="V311" i="7"/>
  <c r="T311" i="7"/>
  <c r="AJ309" i="7"/>
  <c r="AL309" i="7" s="1"/>
  <c r="AN309" i="7" s="1"/>
  <c r="AP309" i="7" s="1"/>
  <c r="AS309" i="7" s="1"/>
  <c r="U309" i="7"/>
  <c r="AK309" i="7" s="1"/>
  <c r="AM309" i="7" s="1"/>
  <c r="AO309" i="7" s="1"/>
  <c r="AQ309" i="7" s="1"/>
  <c r="AU309" i="7" s="1"/>
  <c r="AY309" i="7" s="1"/>
  <c r="AJ308" i="7"/>
  <c r="U308" i="7"/>
  <c r="AK308" i="7" s="1"/>
  <c r="AM308" i="7" s="1"/>
  <c r="AO308" i="7" s="1"/>
  <c r="AQ308" i="7" s="1"/>
  <c r="AU308" i="7" s="1"/>
  <c r="AY308" i="7" s="1"/>
  <c r="AJ307" i="7"/>
  <c r="U307" i="7"/>
  <c r="AK307" i="7" s="1"/>
  <c r="AM307" i="7" s="1"/>
  <c r="AO307" i="7" s="1"/>
  <c r="AQ307" i="7" s="1"/>
  <c r="AU307" i="7" s="1"/>
  <c r="AY307" i="7" s="1"/>
  <c r="AJ306" i="7"/>
  <c r="AL306" i="7" s="1"/>
  <c r="AN306" i="7" s="1"/>
  <c r="AP306" i="7" s="1"/>
  <c r="AS306" i="7" s="1"/>
  <c r="AW306" i="7" s="1"/>
  <c r="BA306" i="7" s="1"/>
  <c r="U306" i="7"/>
  <c r="AK306" i="7" s="1"/>
  <c r="AM306" i="7" s="1"/>
  <c r="AO306" i="7" s="1"/>
  <c r="AQ306" i="7" s="1"/>
  <c r="AU306" i="7" s="1"/>
  <c r="AY306" i="7" s="1"/>
  <c r="AJ305" i="7"/>
  <c r="AL305" i="7" s="1"/>
  <c r="AN305" i="7" s="1"/>
  <c r="AP305" i="7" s="1"/>
  <c r="U305" i="7"/>
  <c r="AK305" i="7" s="1"/>
  <c r="T303" i="7"/>
  <c r="AJ302" i="7"/>
  <c r="AL302" i="7" s="1"/>
  <c r="U302" i="7"/>
  <c r="AK302" i="7" s="1"/>
  <c r="AM302" i="7" s="1"/>
  <c r="AO302" i="7" s="1"/>
  <c r="AQ302" i="7" s="1"/>
  <c r="AU302" i="7" s="1"/>
  <c r="AY302" i="7" s="1"/>
  <c r="AL301" i="7"/>
  <c r="AN301" i="7" s="1"/>
  <c r="AP301" i="7" s="1"/>
  <c r="AS301" i="7" s="1"/>
  <c r="AW301" i="7" s="1"/>
  <c r="BA301" i="7" s="1"/>
  <c r="AK301" i="7"/>
  <c r="AM301" i="7" s="1"/>
  <c r="AO301" i="7" s="1"/>
  <c r="AQ301" i="7" s="1"/>
  <c r="AU301" i="7" s="1"/>
  <c r="AY301" i="7" s="1"/>
  <c r="AJ300" i="7"/>
  <c r="AL300" i="7" s="1"/>
  <c r="AN300" i="7" s="1"/>
  <c r="AP300" i="7" s="1"/>
  <c r="AS300" i="7" s="1"/>
  <c r="U300" i="7"/>
  <c r="T298" i="7"/>
  <c r="AJ297" i="7"/>
  <c r="AL297" i="7" s="1"/>
  <c r="U297" i="7"/>
  <c r="AK297" i="7" s="1"/>
  <c r="AM297" i="7" s="1"/>
  <c r="AO297" i="7" s="1"/>
  <c r="AQ297" i="7" s="1"/>
  <c r="AU297" i="7" s="1"/>
  <c r="AY297" i="7" s="1"/>
  <c r="AJ296" i="7"/>
  <c r="AL296" i="7" s="1"/>
  <c r="AN296" i="7" s="1"/>
  <c r="AP296" i="7" s="1"/>
  <c r="AS296" i="7" s="1"/>
  <c r="AW296" i="7" s="1"/>
  <c r="BA296" i="7" s="1"/>
  <c r="U296" i="7"/>
  <c r="AK296" i="7" s="1"/>
  <c r="AM296" i="7" s="1"/>
  <c r="AO296" i="7" s="1"/>
  <c r="AQ296" i="7" s="1"/>
  <c r="AU296" i="7" s="1"/>
  <c r="AY296" i="7" s="1"/>
  <c r="AQ295" i="7"/>
  <c r="AU295" i="7" s="1"/>
  <c r="AY295" i="7" s="1"/>
  <c r="AJ295" i="7"/>
  <c r="AL295" i="7" s="1"/>
  <c r="AN295" i="7" s="1"/>
  <c r="AP295" i="7" s="1"/>
  <c r="AS295" i="7" s="1"/>
  <c r="AW295" i="7" s="1"/>
  <c r="BA295" i="7" s="1"/>
  <c r="U295" i="7"/>
  <c r="AK295" i="7" s="1"/>
  <c r="AM295" i="7" s="1"/>
  <c r="AQ294" i="7"/>
  <c r="AU294" i="7" s="1"/>
  <c r="AY294" i="7" s="1"/>
  <c r="AL294" i="7"/>
  <c r="AN294" i="7" s="1"/>
  <c r="AP294" i="7" s="1"/>
  <c r="AS294" i="7" s="1"/>
  <c r="AW294" i="7" s="1"/>
  <c r="BA294" i="7" s="1"/>
  <c r="U294" i="7"/>
  <c r="AK294" i="7" s="1"/>
  <c r="AJ293" i="7"/>
  <c r="AL293" i="7" s="1"/>
  <c r="AN293" i="7" s="1"/>
  <c r="AP293" i="7" s="1"/>
  <c r="AS293" i="7" s="1"/>
  <c r="AW293" i="7" s="1"/>
  <c r="BA293" i="7" s="1"/>
  <c r="U293" i="7"/>
  <c r="AK293" i="7" s="1"/>
  <c r="AM293" i="7" s="1"/>
  <c r="AO293" i="7" s="1"/>
  <c r="AQ293" i="7" s="1"/>
  <c r="AU293" i="7" s="1"/>
  <c r="AL292" i="7"/>
  <c r="AN292" i="7" s="1"/>
  <c r="AP292" i="7" s="1"/>
  <c r="AS292" i="7" s="1"/>
  <c r="AW292" i="7" s="1"/>
  <c r="BA292" i="7" s="1"/>
  <c r="U292" i="7"/>
  <c r="AK292" i="7" s="1"/>
  <c r="AM292" i="7" s="1"/>
  <c r="AO292" i="7" s="1"/>
  <c r="AQ292" i="7" s="1"/>
  <c r="AU292" i="7" s="1"/>
  <c r="AY292" i="7" s="1"/>
  <c r="V290" i="7"/>
  <c r="T290" i="7"/>
  <c r="AJ289" i="7"/>
  <c r="AL289" i="7" s="1"/>
  <c r="AN289" i="7" s="1"/>
  <c r="AP289" i="7" s="1"/>
  <c r="AS289" i="7" s="1"/>
  <c r="AW289" i="7" s="1"/>
  <c r="BA289" i="7" s="1"/>
  <c r="U289" i="7"/>
  <c r="AK289" i="7" s="1"/>
  <c r="AM289" i="7" s="1"/>
  <c r="AO289" i="7" s="1"/>
  <c r="AQ289" i="7" s="1"/>
  <c r="AU289" i="7" s="1"/>
  <c r="AY289" i="7" s="1"/>
  <c r="AJ288" i="7"/>
  <c r="AL288" i="7" s="1"/>
  <c r="AN288" i="7" s="1"/>
  <c r="AP288" i="7" s="1"/>
  <c r="AS288" i="7" s="1"/>
  <c r="AW288" i="7" s="1"/>
  <c r="BA288" i="7" s="1"/>
  <c r="U288" i="7"/>
  <c r="AK288" i="7" s="1"/>
  <c r="AM288" i="7" s="1"/>
  <c r="AO288" i="7" s="1"/>
  <c r="AQ288" i="7" s="1"/>
  <c r="AU288" i="7" s="1"/>
  <c r="AY288" i="7" s="1"/>
  <c r="AJ287" i="7"/>
  <c r="AL287" i="7" s="1"/>
  <c r="AN287" i="7" s="1"/>
  <c r="AP287" i="7" s="1"/>
  <c r="AS287" i="7" s="1"/>
  <c r="AW287" i="7" s="1"/>
  <c r="BA287" i="7" s="1"/>
  <c r="U287" i="7"/>
  <c r="AK287" i="7" s="1"/>
  <c r="AM287" i="7" s="1"/>
  <c r="AO287" i="7" s="1"/>
  <c r="AQ287" i="7" s="1"/>
  <c r="AU287" i="7" s="1"/>
  <c r="AY287" i="7" s="1"/>
  <c r="AJ286" i="7"/>
  <c r="AL286" i="7" s="1"/>
  <c r="AN286" i="7" s="1"/>
  <c r="AP286" i="7" s="1"/>
  <c r="AS286" i="7" s="1"/>
  <c r="AW286" i="7" s="1"/>
  <c r="BA286" i="7" s="1"/>
  <c r="U286" i="7"/>
  <c r="AK286" i="7" s="1"/>
  <c r="AM286" i="7" s="1"/>
  <c r="AO286" i="7" s="1"/>
  <c r="AQ286" i="7" s="1"/>
  <c r="AU286" i="7" s="1"/>
  <c r="AY286" i="7" s="1"/>
  <c r="AJ285" i="7"/>
  <c r="AL285" i="7" s="1"/>
  <c r="AN285" i="7" s="1"/>
  <c r="AP285" i="7" s="1"/>
  <c r="AS285" i="7" s="1"/>
  <c r="AW285" i="7" s="1"/>
  <c r="BA285" i="7" s="1"/>
  <c r="U285" i="7"/>
  <c r="AK285" i="7" s="1"/>
  <c r="AM285" i="7" s="1"/>
  <c r="AO285" i="7" s="1"/>
  <c r="AQ285" i="7" s="1"/>
  <c r="AU285" i="7" s="1"/>
  <c r="AY285" i="7" s="1"/>
  <c r="AJ284" i="7"/>
  <c r="AL284" i="7" s="1"/>
  <c r="AN284" i="7" s="1"/>
  <c r="AP284" i="7" s="1"/>
  <c r="AS284" i="7" s="1"/>
  <c r="AW284" i="7" s="1"/>
  <c r="BA284" i="7" s="1"/>
  <c r="U284" i="7"/>
  <c r="AK284" i="7" s="1"/>
  <c r="AM284" i="7" s="1"/>
  <c r="AO284" i="7" s="1"/>
  <c r="AQ284" i="7" s="1"/>
  <c r="AU284" i="7" s="1"/>
  <c r="AY284" i="7" s="1"/>
  <c r="AJ283" i="7"/>
  <c r="AL283" i="7" s="1"/>
  <c r="AN283" i="7" s="1"/>
  <c r="AP283" i="7" s="1"/>
  <c r="AS283" i="7" s="1"/>
  <c r="AW283" i="7" s="1"/>
  <c r="BA283" i="7" s="1"/>
  <c r="U283" i="7"/>
  <c r="AK283" i="7" s="1"/>
  <c r="AM283" i="7" s="1"/>
  <c r="AO283" i="7" s="1"/>
  <c r="AQ283" i="7" s="1"/>
  <c r="AU283" i="7" s="1"/>
  <c r="AY283" i="7" s="1"/>
  <c r="AJ282" i="7"/>
  <c r="AL282" i="7" s="1"/>
  <c r="AN282" i="7" s="1"/>
  <c r="AP282" i="7" s="1"/>
  <c r="AS282" i="7" s="1"/>
  <c r="AW282" i="7" s="1"/>
  <c r="BA282" i="7" s="1"/>
  <c r="U282" i="7"/>
  <c r="AK282" i="7" s="1"/>
  <c r="AM282" i="7" s="1"/>
  <c r="AO282" i="7" s="1"/>
  <c r="AQ282" i="7" s="1"/>
  <c r="AU282" i="7" s="1"/>
  <c r="AY282" i="7" s="1"/>
  <c r="AJ281" i="7"/>
  <c r="AL281" i="7" s="1"/>
  <c r="AN281" i="7" s="1"/>
  <c r="AP281" i="7" s="1"/>
  <c r="AS281" i="7" s="1"/>
  <c r="AW281" i="7" s="1"/>
  <c r="BA281" i="7" s="1"/>
  <c r="U281" i="7"/>
  <c r="AK281" i="7" s="1"/>
  <c r="AM281" i="7" s="1"/>
  <c r="AO281" i="7" s="1"/>
  <c r="AQ281" i="7" s="1"/>
  <c r="AU281" i="7" s="1"/>
  <c r="AY281" i="7" s="1"/>
  <c r="AQ280" i="7"/>
  <c r="AU280" i="7" s="1"/>
  <c r="AY280" i="7" s="1"/>
  <c r="AJ280" i="7"/>
  <c r="AL280" i="7" s="1"/>
  <c r="AN280" i="7" s="1"/>
  <c r="AP280" i="7" s="1"/>
  <c r="AS280" i="7" s="1"/>
  <c r="AW280" i="7" s="1"/>
  <c r="BA280" i="7" s="1"/>
  <c r="U280" i="7"/>
  <c r="AK280" i="7" s="1"/>
  <c r="AM280" i="7" s="1"/>
  <c r="AJ279" i="7"/>
  <c r="AL279" i="7" s="1"/>
  <c r="AN279" i="7" s="1"/>
  <c r="AP279" i="7" s="1"/>
  <c r="AS279" i="7" s="1"/>
  <c r="AW279" i="7" s="1"/>
  <c r="BA279" i="7" s="1"/>
  <c r="U279" i="7"/>
  <c r="AK279" i="7" s="1"/>
  <c r="AM279" i="7" s="1"/>
  <c r="AO279" i="7" s="1"/>
  <c r="AQ279" i="7" s="1"/>
  <c r="AU279" i="7" s="1"/>
  <c r="AY279" i="7" s="1"/>
  <c r="AJ278" i="7"/>
  <c r="AL278" i="7" s="1"/>
  <c r="AN278" i="7" s="1"/>
  <c r="AP278" i="7" s="1"/>
  <c r="AS278" i="7" s="1"/>
  <c r="AW278" i="7" s="1"/>
  <c r="BA278" i="7" s="1"/>
  <c r="U278" i="7"/>
  <c r="AK278" i="7" s="1"/>
  <c r="AM278" i="7" s="1"/>
  <c r="AO278" i="7" s="1"/>
  <c r="AQ278" i="7" s="1"/>
  <c r="AU278" i="7" s="1"/>
  <c r="AY278" i="7" s="1"/>
  <c r="AJ277" i="7"/>
  <c r="AL277" i="7" s="1"/>
  <c r="AN277" i="7" s="1"/>
  <c r="AP277" i="7" s="1"/>
  <c r="AS277" i="7" s="1"/>
  <c r="AW277" i="7" s="1"/>
  <c r="BA277" i="7" s="1"/>
  <c r="U277" i="7"/>
  <c r="AK277" i="7" s="1"/>
  <c r="AM277" i="7" s="1"/>
  <c r="AO277" i="7" s="1"/>
  <c r="AQ277" i="7" s="1"/>
  <c r="AU277" i="7" s="1"/>
  <c r="AY277" i="7" s="1"/>
  <c r="AJ276" i="7"/>
  <c r="AL276" i="7" s="1"/>
  <c r="AN276" i="7" s="1"/>
  <c r="AP276" i="7" s="1"/>
  <c r="AS276" i="7" s="1"/>
  <c r="AW276" i="7" s="1"/>
  <c r="BA276" i="7" s="1"/>
  <c r="U276" i="7"/>
  <c r="AK276" i="7" s="1"/>
  <c r="AM276" i="7" s="1"/>
  <c r="AO276" i="7" s="1"/>
  <c r="AQ276" i="7" s="1"/>
  <c r="AU276" i="7" s="1"/>
  <c r="AY276" i="7" s="1"/>
  <c r="AJ275" i="7"/>
  <c r="AL275" i="7" s="1"/>
  <c r="AN275" i="7" s="1"/>
  <c r="AP275" i="7" s="1"/>
  <c r="AS275" i="7" s="1"/>
  <c r="AW275" i="7" s="1"/>
  <c r="BA275" i="7" s="1"/>
  <c r="U275" i="7"/>
  <c r="AK275" i="7" s="1"/>
  <c r="AM275" i="7" s="1"/>
  <c r="AO275" i="7" s="1"/>
  <c r="AQ275" i="7" s="1"/>
  <c r="AU275" i="7" s="1"/>
  <c r="AY275" i="7" s="1"/>
  <c r="AJ274" i="7"/>
  <c r="AL274" i="7" s="1"/>
  <c r="AN274" i="7" s="1"/>
  <c r="AP274" i="7" s="1"/>
  <c r="AS274" i="7" s="1"/>
  <c r="AW274" i="7" s="1"/>
  <c r="BA274" i="7" s="1"/>
  <c r="U274" i="7"/>
  <c r="AK274" i="7" s="1"/>
  <c r="AM274" i="7" s="1"/>
  <c r="AO274" i="7" s="1"/>
  <c r="AQ274" i="7" s="1"/>
  <c r="AU274" i="7" s="1"/>
  <c r="AY274" i="7" s="1"/>
  <c r="AJ273" i="7"/>
  <c r="AL273" i="7" s="1"/>
  <c r="AN273" i="7" s="1"/>
  <c r="AP273" i="7" s="1"/>
  <c r="AS273" i="7" s="1"/>
  <c r="AW273" i="7" s="1"/>
  <c r="BA273" i="7" s="1"/>
  <c r="U273" i="7"/>
  <c r="AK273" i="7" s="1"/>
  <c r="AM273" i="7" s="1"/>
  <c r="AO273" i="7" s="1"/>
  <c r="AQ273" i="7" s="1"/>
  <c r="AU273" i="7" s="1"/>
  <c r="AY273" i="7" s="1"/>
  <c r="AJ271" i="7"/>
  <c r="AL271" i="7" s="1"/>
  <c r="AN271" i="7" s="1"/>
  <c r="AP271" i="7" s="1"/>
  <c r="AS271" i="7" s="1"/>
  <c r="AW271" i="7" s="1"/>
  <c r="BA271" i="7" s="1"/>
  <c r="U271" i="7"/>
  <c r="AK271" i="7" s="1"/>
  <c r="AM271" i="7" s="1"/>
  <c r="AO271" i="7" s="1"/>
  <c r="AQ271" i="7" s="1"/>
  <c r="AU271" i="7" s="1"/>
  <c r="AY271" i="7" s="1"/>
  <c r="AJ270" i="7"/>
  <c r="AL270" i="7" s="1"/>
  <c r="AN270" i="7" s="1"/>
  <c r="AP270" i="7" s="1"/>
  <c r="AS270" i="7" s="1"/>
  <c r="AW270" i="7" s="1"/>
  <c r="BA270" i="7" s="1"/>
  <c r="U270" i="7"/>
  <c r="AK270" i="7" s="1"/>
  <c r="AM270" i="7" s="1"/>
  <c r="AO270" i="7" s="1"/>
  <c r="AQ270" i="7" s="1"/>
  <c r="AU270" i="7" s="1"/>
  <c r="AY270" i="7" s="1"/>
  <c r="AJ267" i="7"/>
  <c r="AL267" i="7" s="1"/>
  <c r="AN267" i="7" s="1"/>
  <c r="AP267" i="7" s="1"/>
  <c r="AS267" i="7" s="1"/>
  <c r="AW267" i="7" s="1"/>
  <c r="BA267" i="7" s="1"/>
  <c r="U267" i="7"/>
  <c r="AK267" i="7" s="1"/>
  <c r="AM267" i="7" s="1"/>
  <c r="AO267" i="7" s="1"/>
  <c r="AQ267" i="7" s="1"/>
  <c r="AU267" i="7" s="1"/>
  <c r="AY267" i="7" s="1"/>
  <c r="AJ266" i="7"/>
  <c r="AL266" i="7" s="1"/>
  <c r="AN266" i="7" s="1"/>
  <c r="AP266" i="7" s="1"/>
  <c r="AS266" i="7" s="1"/>
  <c r="AW266" i="7" s="1"/>
  <c r="BA266" i="7" s="1"/>
  <c r="U266" i="7"/>
  <c r="AK266" i="7" s="1"/>
  <c r="AM266" i="7" s="1"/>
  <c r="AO266" i="7" s="1"/>
  <c r="AQ266" i="7" s="1"/>
  <c r="AU266" i="7" s="1"/>
  <c r="AY266" i="7" s="1"/>
  <c r="AJ265" i="7"/>
  <c r="AL265" i="7" s="1"/>
  <c r="AN265" i="7" s="1"/>
  <c r="AP265" i="7" s="1"/>
  <c r="AS265" i="7" s="1"/>
  <c r="AW265" i="7" s="1"/>
  <c r="BA265" i="7" s="1"/>
  <c r="U265" i="7"/>
  <c r="AK265" i="7" s="1"/>
  <c r="AM265" i="7" s="1"/>
  <c r="AO265" i="7" s="1"/>
  <c r="AQ265" i="7" s="1"/>
  <c r="AU265" i="7" s="1"/>
  <c r="AY265" i="7" s="1"/>
  <c r="AJ264" i="7"/>
  <c r="AL264" i="7" s="1"/>
  <c r="AN264" i="7" s="1"/>
  <c r="AP264" i="7" s="1"/>
  <c r="AS264" i="7" s="1"/>
  <c r="AW264" i="7" s="1"/>
  <c r="BA264" i="7" s="1"/>
  <c r="U264" i="7"/>
  <c r="AK264" i="7" s="1"/>
  <c r="AM264" i="7" s="1"/>
  <c r="AO264" i="7" s="1"/>
  <c r="AQ264" i="7" s="1"/>
  <c r="AU264" i="7" s="1"/>
  <c r="AY264" i="7" s="1"/>
  <c r="AJ263" i="7"/>
  <c r="AL263" i="7" s="1"/>
  <c r="AN263" i="7" s="1"/>
  <c r="AP263" i="7" s="1"/>
  <c r="AS263" i="7" s="1"/>
  <c r="AW263" i="7" s="1"/>
  <c r="BA263" i="7" s="1"/>
  <c r="U263" i="7"/>
  <c r="AK263" i="7" s="1"/>
  <c r="AM263" i="7" s="1"/>
  <c r="AO263" i="7" s="1"/>
  <c r="AQ263" i="7" s="1"/>
  <c r="AU263" i="7" s="1"/>
  <c r="AY263" i="7" s="1"/>
  <c r="AJ262" i="7"/>
  <c r="AL262" i="7" s="1"/>
  <c r="AN262" i="7" s="1"/>
  <c r="AP262" i="7" s="1"/>
  <c r="AS262" i="7" s="1"/>
  <c r="AW262" i="7" s="1"/>
  <c r="BA262" i="7" s="1"/>
  <c r="U262" i="7"/>
  <c r="AK262" i="7" s="1"/>
  <c r="AM262" i="7" s="1"/>
  <c r="AO262" i="7" s="1"/>
  <c r="AQ262" i="7" s="1"/>
  <c r="AU262" i="7" s="1"/>
  <c r="AY262" i="7" s="1"/>
  <c r="AJ261" i="7"/>
  <c r="AL261" i="7" s="1"/>
  <c r="AN261" i="7" s="1"/>
  <c r="AP261" i="7" s="1"/>
  <c r="AS261" i="7" s="1"/>
  <c r="AW261" i="7" s="1"/>
  <c r="BA261" i="7" s="1"/>
  <c r="U261" i="7"/>
  <c r="AK261" i="7" s="1"/>
  <c r="AM261" i="7" s="1"/>
  <c r="AO261" i="7" s="1"/>
  <c r="AQ261" i="7" s="1"/>
  <c r="AU261" i="7" s="1"/>
  <c r="AY261" i="7" s="1"/>
  <c r="AJ260" i="7"/>
  <c r="AL260" i="7" s="1"/>
  <c r="AN260" i="7" s="1"/>
  <c r="AP260" i="7" s="1"/>
  <c r="AS260" i="7" s="1"/>
  <c r="AW260" i="7" s="1"/>
  <c r="BA260" i="7" s="1"/>
  <c r="U260" i="7"/>
  <c r="AK260" i="7" s="1"/>
  <c r="AM260" i="7" s="1"/>
  <c r="AO260" i="7" s="1"/>
  <c r="AQ260" i="7" s="1"/>
  <c r="AU260" i="7" s="1"/>
  <c r="AY260" i="7" s="1"/>
  <c r="AJ258" i="7"/>
  <c r="AL258" i="7" s="1"/>
  <c r="AN258" i="7" s="1"/>
  <c r="AP258" i="7" s="1"/>
  <c r="AS258" i="7" s="1"/>
  <c r="AW258" i="7" s="1"/>
  <c r="BA258" i="7" s="1"/>
  <c r="U258" i="7"/>
  <c r="AK258" i="7" s="1"/>
  <c r="AM258" i="7" s="1"/>
  <c r="AO258" i="7" s="1"/>
  <c r="AQ258" i="7" s="1"/>
  <c r="AU258" i="7" s="1"/>
  <c r="AY258" i="7" s="1"/>
  <c r="AJ257" i="7"/>
  <c r="AL257" i="7" s="1"/>
  <c r="AN257" i="7" s="1"/>
  <c r="AP257" i="7" s="1"/>
  <c r="AS257" i="7" s="1"/>
  <c r="AW257" i="7" s="1"/>
  <c r="BA257" i="7" s="1"/>
  <c r="U257" i="7"/>
  <c r="AK257" i="7" s="1"/>
  <c r="AM257" i="7" s="1"/>
  <c r="AO257" i="7" s="1"/>
  <c r="AQ257" i="7" s="1"/>
  <c r="AU257" i="7" s="1"/>
  <c r="AY257" i="7" s="1"/>
  <c r="AO256" i="7"/>
  <c r="AQ256" i="7" s="1"/>
  <c r="AU256" i="7" s="1"/>
  <c r="AY256" i="7" s="1"/>
  <c r="AJ256" i="7"/>
  <c r="AL256" i="7" s="1"/>
  <c r="AN256" i="7" s="1"/>
  <c r="AP256" i="7" s="1"/>
  <c r="AS256" i="7" s="1"/>
  <c r="AW256" i="7" s="1"/>
  <c r="BA256" i="7" s="1"/>
  <c r="U256" i="7"/>
  <c r="AK256" i="7" s="1"/>
  <c r="AJ255" i="7"/>
  <c r="AL255" i="7" s="1"/>
  <c r="AN255" i="7" s="1"/>
  <c r="AP255" i="7" s="1"/>
  <c r="AS255" i="7" s="1"/>
  <c r="AW255" i="7" s="1"/>
  <c r="BA255" i="7" s="1"/>
  <c r="U255" i="7"/>
  <c r="AK255" i="7" s="1"/>
  <c r="AM255" i="7" s="1"/>
  <c r="AO255" i="7" s="1"/>
  <c r="AQ255" i="7" s="1"/>
  <c r="AU255" i="7" s="1"/>
  <c r="AY255" i="7" s="1"/>
  <c r="AJ254" i="7"/>
  <c r="AL254" i="7" s="1"/>
  <c r="AN254" i="7" s="1"/>
  <c r="AP254" i="7" s="1"/>
  <c r="AS254" i="7" s="1"/>
  <c r="AW254" i="7" s="1"/>
  <c r="BA254" i="7" s="1"/>
  <c r="U254" i="7"/>
  <c r="AK254" i="7" s="1"/>
  <c r="AM254" i="7" s="1"/>
  <c r="AO254" i="7" s="1"/>
  <c r="AQ254" i="7" s="1"/>
  <c r="AU254" i="7" s="1"/>
  <c r="AY254" i="7" s="1"/>
  <c r="AQ253" i="7"/>
  <c r="AU253" i="7" s="1"/>
  <c r="AY253" i="7" s="1"/>
  <c r="AP253" i="7"/>
  <c r="AS253" i="7" s="1"/>
  <c r="AW253" i="7" s="1"/>
  <c r="BA253" i="7" s="1"/>
  <c r="AQ252" i="7"/>
  <c r="AU252" i="7" s="1"/>
  <c r="AY252" i="7" s="1"/>
  <c r="AJ252" i="7"/>
  <c r="AL252" i="7" s="1"/>
  <c r="AN252" i="7" s="1"/>
  <c r="AP252" i="7" s="1"/>
  <c r="AS252" i="7" s="1"/>
  <c r="AW252" i="7" s="1"/>
  <c r="BA252" i="7" s="1"/>
  <c r="U252" i="7"/>
  <c r="AK252" i="7" s="1"/>
  <c r="AM252" i="7" s="1"/>
  <c r="AJ250" i="7"/>
  <c r="AL250" i="7" s="1"/>
  <c r="AN250" i="7" s="1"/>
  <c r="AP250" i="7" s="1"/>
  <c r="AS250" i="7" s="1"/>
  <c r="AW250" i="7" s="1"/>
  <c r="BA250" i="7" s="1"/>
  <c r="U250" i="7"/>
  <c r="AK250" i="7" s="1"/>
  <c r="AM250" i="7" s="1"/>
  <c r="AO250" i="7" s="1"/>
  <c r="AQ250" i="7" s="1"/>
  <c r="AU250" i="7" s="1"/>
  <c r="AY250" i="7" s="1"/>
  <c r="AJ249" i="7"/>
  <c r="AL249" i="7" s="1"/>
  <c r="AN249" i="7" s="1"/>
  <c r="AP249" i="7" s="1"/>
  <c r="AS249" i="7" s="1"/>
  <c r="AW249" i="7" s="1"/>
  <c r="BA249" i="7" s="1"/>
  <c r="U249" i="7"/>
  <c r="AK249" i="7" s="1"/>
  <c r="AM249" i="7" s="1"/>
  <c r="AO249" i="7" s="1"/>
  <c r="AQ249" i="7" s="1"/>
  <c r="AU249" i="7" s="1"/>
  <c r="AY249" i="7" s="1"/>
  <c r="AJ248" i="7"/>
  <c r="AL248" i="7" s="1"/>
  <c r="AN248" i="7" s="1"/>
  <c r="AP248" i="7" s="1"/>
  <c r="U248" i="7"/>
  <c r="AK248" i="7" s="1"/>
  <c r="AM248" i="7" s="1"/>
  <c r="AO248" i="7" s="1"/>
  <c r="AQ248" i="7" s="1"/>
  <c r="AU248" i="7" s="1"/>
  <c r="AY248" i="7" s="1"/>
  <c r="AJ247" i="7"/>
  <c r="AL247" i="7" s="1"/>
  <c r="AN247" i="7" s="1"/>
  <c r="AP247" i="7" s="1"/>
  <c r="AS247" i="7" s="1"/>
  <c r="AW247" i="7" s="1"/>
  <c r="BA247" i="7" s="1"/>
  <c r="U247" i="7"/>
  <c r="AK247" i="7" s="1"/>
  <c r="AM247" i="7" s="1"/>
  <c r="AO247" i="7" s="1"/>
  <c r="AQ247" i="7" s="1"/>
  <c r="AU247" i="7" s="1"/>
  <c r="AY247" i="7" s="1"/>
  <c r="AJ244" i="7"/>
  <c r="AL244" i="7" s="1"/>
  <c r="AN244" i="7" s="1"/>
  <c r="AP244" i="7" s="1"/>
  <c r="AS244" i="7" s="1"/>
  <c r="AW244" i="7" s="1"/>
  <c r="BA244" i="7" s="1"/>
  <c r="U244" i="7"/>
  <c r="AK244" i="7" s="1"/>
  <c r="AM244" i="7" s="1"/>
  <c r="AO244" i="7" s="1"/>
  <c r="AQ244" i="7" s="1"/>
  <c r="AU244" i="7" s="1"/>
  <c r="AY244" i="7" s="1"/>
  <c r="AJ243" i="7"/>
  <c r="AL243" i="7" s="1"/>
  <c r="AN243" i="7" s="1"/>
  <c r="AP243" i="7" s="1"/>
  <c r="AS243" i="7" s="1"/>
  <c r="AW243" i="7" s="1"/>
  <c r="BA243" i="7" s="1"/>
  <c r="U243" i="7"/>
  <c r="AK243" i="7" s="1"/>
  <c r="AM243" i="7" s="1"/>
  <c r="AO243" i="7" s="1"/>
  <c r="AQ243" i="7" s="1"/>
  <c r="AU243" i="7" s="1"/>
  <c r="AY243" i="7" s="1"/>
  <c r="AJ242" i="7"/>
  <c r="AL242" i="7" s="1"/>
  <c r="AN242" i="7" s="1"/>
  <c r="AP242" i="7" s="1"/>
  <c r="AS242" i="7" s="1"/>
  <c r="AW242" i="7" s="1"/>
  <c r="BA242" i="7" s="1"/>
  <c r="U242" i="7"/>
  <c r="AK242" i="7" s="1"/>
  <c r="AM242" i="7" s="1"/>
  <c r="AO242" i="7" s="1"/>
  <c r="AQ242" i="7" s="1"/>
  <c r="AU242" i="7" s="1"/>
  <c r="AY242" i="7" s="1"/>
  <c r="AJ241" i="7"/>
  <c r="AL241" i="7" s="1"/>
  <c r="AN241" i="7" s="1"/>
  <c r="AP241" i="7" s="1"/>
  <c r="AS241" i="7" s="1"/>
  <c r="AW241" i="7" s="1"/>
  <c r="BA241" i="7" s="1"/>
  <c r="U241" i="7"/>
  <c r="AK241" i="7" s="1"/>
  <c r="AM241" i="7" s="1"/>
  <c r="AO241" i="7" s="1"/>
  <c r="AQ241" i="7" s="1"/>
  <c r="AU241" i="7" s="1"/>
  <c r="AY241" i="7" s="1"/>
  <c r="AJ240" i="7"/>
  <c r="AL240" i="7" s="1"/>
  <c r="AN240" i="7" s="1"/>
  <c r="AP240" i="7" s="1"/>
  <c r="AS240" i="7" s="1"/>
  <c r="AW240" i="7" s="1"/>
  <c r="BA240" i="7" s="1"/>
  <c r="U240" i="7"/>
  <c r="AK240" i="7" s="1"/>
  <c r="AM240" i="7" s="1"/>
  <c r="AO240" i="7" s="1"/>
  <c r="AQ240" i="7" s="1"/>
  <c r="AU240" i="7" s="1"/>
  <c r="AY240" i="7" s="1"/>
  <c r="AK239" i="7"/>
  <c r="AM239" i="7" s="1"/>
  <c r="AO239" i="7" s="1"/>
  <c r="AQ239" i="7" s="1"/>
  <c r="AU239" i="7" s="1"/>
  <c r="AY239" i="7" s="1"/>
  <c r="AJ239" i="7"/>
  <c r="AL239" i="7" s="1"/>
  <c r="AN239" i="7" s="1"/>
  <c r="AP239" i="7" s="1"/>
  <c r="AS239" i="7" s="1"/>
  <c r="AW239" i="7" s="1"/>
  <c r="BA239" i="7" s="1"/>
  <c r="AJ236" i="7"/>
  <c r="AL236" i="7" s="1"/>
  <c r="AN236" i="7" s="1"/>
  <c r="AP236" i="7" s="1"/>
  <c r="AS236" i="7" s="1"/>
  <c r="AW236" i="7" s="1"/>
  <c r="BA236" i="7" s="1"/>
  <c r="U236" i="7"/>
  <c r="AK236" i="7" s="1"/>
  <c r="AM236" i="7" s="1"/>
  <c r="AO236" i="7" s="1"/>
  <c r="AQ236" i="7" s="1"/>
  <c r="AU236" i="7" s="1"/>
  <c r="AY236" i="7" s="1"/>
  <c r="AJ235" i="7"/>
  <c r="AL235" i="7" s="1"/>
  <c r="AN235" i="7" s="1"/>
  <c r="AP235" i="7" s="1"/>
  <c r="AS235" i="7" s="1"/>
  <c r="AW235" i="7" s="1"/>
  <c r="BA235" i="7" s="1"/>
  <c r="U235" i="7"/>
  <c r="AK235" i="7" s="1"/>
  <c r="AM235" i="7" s="1"/>
  <c r="AO235" i="7" s="1"/>
  <c r="AQ235" i="7" s="1"/>
  <c r="AU235" i="7" s="1"/>
  <c r="AY235" i="7" s="1"/>
  <c r="AJ234" i="7"/>
  <c r="AL234" i="7" s="1"/>
  <c r="AN234" i="7" s="1"/>
  <c r="AP234" i="7" s="1"/>
  <c r="AS234" i="7" s="1"/>
  <c r="AW234" i="7" s="1"/>
  <c r="BA234" i="7" s="1"/>
  <c r="U234" i="7"/>
  <c r="AK234" i="7" s="1"/>
  <c r="AM234" i="7" s="1"/>
  <c r="AO234" i="7" s="1"/>
  <c r="AQ234" i="7" s="1"/>
  <c r="AU234" i="7" s="1"/>
  <c r="AY234" i="7" s="1"/>
  <c r="AJ233" i="7"/>
  <c r="AL233" i="7" s="1"/>
  <c r="AN233" i="7" s="1"/>
  <c r="AP233" i="7" s="1"/>
  <c r="AS233" i="7" s="1"/>
  <c r="AW233" i="7" s="1"/>
  <c r="BA233" i="7" s="1"/>
  <c r="U233" i="7"/>
  <c r="AK233" i="7" s="1"/>
  <c r="AM233" i="7" s="1"/>
  <c r="AO233" i="7" s="1"/>
  <c r="AQ233" i="7" s="1"/>
  <c r="AU233" i="7" s="1"/>
  <c r="AY233" i="7" s="1"/>
  <c r="AJ232" i="7"/>
  <c r="AL232" i="7" s="1"/>
  <c r="AN232" i="7" s="1"/>
  <c r="AP232" i="7" s="1"/>
  <c r="U232" i="7"/>
  <c r="AK232" i="7" s="1"/>
  <c r="AM232" i="7" s="1"/>
  <c r="AO232" i="7" s="1"/>
  <c r="AQ232" i="7" s="1"/>
  <c r="AU232" i="7" s="1"/>
  <c r="AY232" i="7" s="1"/>
  <c r="AJ231" i="7"/>
  <c r="AL231" i="7" s="1"/>
  <c r="AN231" i="7" s="1"/>
  <c r="AP231" i="7" s="1"/>
  <c r="AS231" i="7" s="1"/>
  <c r="AW231" i="7" s="1"/>
  <c r="BA231" i="7" s="1"/>
  <c r="U231" i="7"/>
  <c r="AK231" i="7" s="1"/>
  <c r="AM231" i="7" s="1"/>
  <c r="AO231" i="7" s="1"/>
  <c r="AQ231" i="7" s="1"/>
  <c r="AU231" i="7" s="1"/>
  <c r="AY231" i="7" s="1"/>
  <c r="AJ230" i="7"/>
  <c r="AL230" i="7" s="1"/>
  <c r="AN230" i="7" s="1"/>
  <c r="AP230" i="7" s="1"/>
  <c r="AS230" i="7" s="1"/>
  <c r="AW230" i="7" s="1"/>
  <c r="BA230" i="7" s="1"/>
  <c r="U230" i="7"/>
  <c r="AK230" i="7" s="1"/>
  <c r="AM230" i="7" s="1"/>
  <c r="AO230" i="7" s="1"/>
  <c r="AQ230" i="7" s="1"/>
  <c r="AU230" i="7" s="1"/>
  <c r="AY230" i="7" s="1"/>
  <c r="AJ229" i="7"/>
  <c r="AL229" i="7" s="1"/>
  <c r="AN229" i="7" s="1"/>
  <c r="AP229" i="7" s="1"/>
  <c r="AS229" i="7" s="1"/>
  <c r="AW229" i="7" s="1"/>
  <c r="BA229" i="7" s="1"/>
  <c r="U229" i="7"/>
  <c r="AK229" i="7" s="1"/>
  <c r="AM229" i="7" s="1"/>
  <c r="AO229" i="7" s="1"/>
  <c r="AQ229" i="7" s="1"/>
  <c r="AU229" i="7" s="1"/>
  <c r="AY229" i="7" s="1"/>
  <c r="AJ228" i="7"/>
  <c r="AL228" i="7" s="1"/>
  <c r="AN228" i="7" s="1"/>
  <c r="AP228" i="7" s="1"/>
  <c r="AS228" i="7" s="1"/>
  <c r="AW228" i="7" s="1"/>
  <c r="BA228" i="7" s="1"/>
  <c r="U228" i="7"/>
  <c r="AK228" i="7" s="1"/>
  <c r="AM228" i="7" s="1"/>
  <c r="AO228" i="7" s="1"/>
  <c r="AQ228" i="7" s="1"/>
  <c r="AU228" i="7" s="1"/>
  <c r="AY228" i="7" s="1"/>
  <c r="AJ227" i="7"/>
  <c r="AL227" i="7" s="1"/>
  <c r="AN227" i="7" s="1"/>
  <c r="AP227" i="7" s="1"/>
  <c r="AS227" i="7" s="1"/>
  <c r="AW227" i="7" s="1"/>
  <c r="BA227" i="7" s="1"/>
  <c r="U227" i="7"/>
  <c r="AK227" i="7" s="1"/>
  <c r="AM227" i="7" s="1"/>
  <c r="AO227" i="7" s="1"/>
  <c r="AQ227" i="7" s="1"/>
  <c r="AU227" i="7" s="1"/>
  <c r="AY227" i="7" s="1"/>
  <c r="AJ226" i="7"/>
  <c r="AL226" i="7" s="1"/>
  <c r="AN226" i="7" s="1"/>
  <c r="AP226" i="7" s="1"/>
  <c r="AS226" i="7" s="1"/>
  <c r="AW226" i="7" s="1"/>
  <c r="BA226" i="7" s="1"/>
  <c r="U226" i="7"/>
  <c r="AK226" i="7" s="1"/>
  <c r="AM226" i="7" s="1"/>
  <c r="AO226" i="7" s="1"/>
  <c r="AQ226" i="7" s="1"/>
  <c r="AU226" i="7" s="1"/>
  <c r="AY226" i="7" s="1"/>
  <c r="AJ225" i="7"/>
  <c r="AL225" i="7" s="1"/>
  <c r="AN225" i="7" s="1"/>
  <c r="AP225" i="7" s="1"/>
  <c r="AS225" i="7" s="1"/>
  <c r="AW225" i="7" s="1"/>
  <c r="BA225" i="7" s="1"/>
  <c r="U225" i="7"/>
  <c r="AK225" i="7" s="1"/>
  <c r="AM225" i="7" s="1"/>
  <c r="AO225" i="7" s="1"/>
  <c r="AQ225" i="7" s="1"/>
  <c r="AU225" i="7" s="1"/>
  <c r="AY225" i="7" s="1"/>
  <c r="AJ224" i="7"/>
  <c r="AL224" i="7" s="1"/>
  <c r="AN224" i="7" s="1"/>
  <c r="AP224" i="7" s="1"/>
  <c r="AS224" i="7" s="1"/>
  <c r="AW224" i="7" s="1"/>
  <c r="BA224" i="7" s="1"/>
  <c r="U224" i="7"/>
  <c r="AK224" i="7" s="1"/>
  <c r="AM224" i="7" s="1"/>
  <c r="AO224" i="7" s="1"/>
  <c r="AQ224" i="7" s="1"/>
  <c r="AU224" i="7" s="1"/>
  <c r="AY224" i="7" s="1"/>
  <c r="AJ223" i="7"/>
  <c r="AL223" i="7" s="1"/>
  <c r="AN223" i="7" s="1"/>
  <c r="AP223" i="7" s="1"/>
  <c r="AS223" i="7" s="1"/>
  <c r="AW223" i="7" s="1"/>
  <c r="BA223" i="7" s="1"/>
  <c r="U223" i="7"/>
  <c r="AK223" i="7" s="1"/>
  <c r="AM223" i="7" s="1"/>
  <c r="AO223" i="7" s="1"/>
  <c r="AQ223" i="7" s="1"/>
  <c r="AU223" i="7" s="1"/>
  <c r="AY223" i="7" s="1"/>
  <c r="AJ222" i="7"/>
  <c r="AL222" i="7" s="1"/>
  <c r="AN222" i="7" s="1"/>
  <c r="AP222" i="7" s="1"/>
  <c r="AS222" i="7" s="1"/>
  <c r="AW222" i="7" s="1"/>
  <c r="BA222" i="7" s="1"/>
  <c r="U222" i="7"/>
  <c r="AK222" i="7" s="1"/>
  <c r="AM222" i="7" s="1"/>
  <c r="AO222" i="7" s="1"/>
  <c r="AQ222" i="7" s="1"/>
  <c r="AU222" i="7" s="1"/>
  <c r="AY222" i="7" s="1"/>
  <c r="AJ221" i="7"/>
  <c r="AL221" i="7" s="1"/>
  <c r="AN221" i="7" s="1"/>
  <c r="AP221" i="7" s="1"/>
  <c r="AS221" i="7" s="1"/>
  <c r="AW221" i="7" s="1"/>
  <c r="BA221" i="7" s="1"/>
  <c r="U221" i="7"/>
  <c r="AK221" i="7" s="1"/>
  <c r="AM221" i="7" s="1"/>
  <c r="AO221" i="7" s="1"/>
  <c r="AQ221" i="7" s="1"/>
  <c r="AU221" i="7" s="1"/>
  <c r="AY221" i="7" s="1"/>
  <c r="AJ220" i="7"/>
  <c r="AL220" i="7" s="1"/>
  <c r="AN220" i="7" s="1"/>
  <c r="AP220" i="7" s="1"/>
  <c r="AS220" i="7" s="1"/>
  <c r="AW220" i="7" s="1"/>
  <c r="BA220" i="7" s="1"/>
  <c r="U220" i="7"/>
  <c r="AK220" i="7" s="1"/>
  <c r="AM220" i="7" s="1"/>
  <c r="AO220" i="7" s="1"/>
  <c r="AQ220" i="7" s="1"/>
  <c r="AU220" i="7" s="1"/>
  <c r="AY220" i="7" s="1"/>
  <c r="AJ219" i="7"/>
  <c r="AL219" i="7" s="1"/>
  <c r="AN219" i="7" s="1"/>
  <c r="AP219" i="7" s="1"/>
  <c r="AS219" i="7" s="1"/>
  <c r="AW219" i="7" s="1"/>
  <c r="BA219" i="7" s="1"/>
  <c r="U219" i="7"/>
  <c r="AK219" i="7" s="1"/>
  <c r="AM219" i="7" s="1"/>
  <c r="AO219" i="7" s="1"/>
  <c r="AQ219" i="7" s="1"/>
  <c r="AU219" i="7" s="1"/>
  <c r="AY219" i="7" s="1"/>
  <c r="AJ218" i="7"/>
  <c r="AL218" i="7" s="1"/>
  <c r="AN218" i="7" s="1"/>
  <c r="AP218" i="7" s="1"/>
  <c r="AS218" i="7" s="1"/>
  <c r="AW218" i="7" s="1"/>
  <c r="BA218" i="7" s="1"/>
  <c r="U218" i="7"/>
  <c r="AK218" i="7" s="1"/>
  <c r="AM218" i="7" s="1"/>
  <c r="AO218" i="7" s="1"/>
  <c r="AQ218" i="7" s="1"/>
  <c r="AU218" i="7" s="1"/>
  <c r="AY218" i="7" s="1"/>
  <c r="AJ217" i="7"/>
  <c r="AL217" i="7" s="1"/>
  <c r="AN217" i="7" s="1"/>
  <c r="AP217" i="7" s="1"/>
  <c r="AS217" i="7" s="1"/>
  <c r="AW217" i="7" s="1"/>
  <c r="BA217" i="7" s="1"/>
  <c r="U217" i="7"/>
  <c r="AK217" i="7" s="1"/>
  <c r="AM217" i="7" s="1"/>
  <c r="AO217" i="7" s="1"/>
  <c r="AQ217" i="7" s="1"/>
  <c r="AU217" i="7" s="1"/>
  <c r="AY217" i="7" s="1"/>
  <c r="AS216" i="7"/>
  <c r="AW216" i="7" s="1"/>
  <c r="BA216" i="7" s="1"/>
  <c r="AQ216" i="7"/>
  <c r="AU216" i="7" s="1"/>
  <c r="AY216" i="7" s="1"/>
  <c r="AJ216" i="7"/>
  <c r="AL216" i="7" s="1"/>
  <c r="AN216" i="7" s="1"/>
  <c r="U216" i="7"/>
  <c r="AK216" i="7" s="1"/>
  <c r="AM216" i="7" s="1"/>
  <c r="AJ215" i="7"/>
  <c r="AL215" i="7" s="1"/>
  <c r="AN215" i="7" s="1"/>
  <c r="AP215" i="7" s="1"/>
  <c r="AS215" i="7" s="1"/>
  <c r="AW215" i="7" s="1"/>
  <c r="BA215" i="7" s="1"/>
  <c r="U215" i="7"/>
  <c r="AK215" i="7" s="1"/>
  <c r="AM215" i="7" s="1"/>
  <c r="AO215" i="7" s="1"/>
  <c r="AQ215" i="7" s="1"/>
  <c r="AU215" i="7" s="1"/>
  <c r="AY215" i="7" s="1"/>
  <c r="AJ214" i="7"/>
  <c r="AL214" i="7" s="1"/>
  <c r="AN214" i="7" s="1"/>
  <c r="AP214" i="7" s="1"/>
  <c r="AS214" i="7" s="1"/>
  <c r="AW214" i="7" s="1"/>
  <c r="BA214" i="7" s="1"/>
  <c r="U214" i="7"/>
  <c r="AK214" i="7" s="1"/>
  <c r="AM214" i="7" s="1"/>
  <c r="AO214" i="7" s="1"/>
  <c r="AQ214" i="7" s="1"/>
  <c r="AU214" i="7" s="1"/>
  <c r="AY214" i="7" s="1"/>
  <c r="AJ213" i="7"/>
  <c r="AL213" i="7" s="1"/>
  <c r="AN213" i="7" s="1"/>
  <c r="AP213" i="7" s="1"/>
  <c r="AS213" i="7" s="1"/>
  <c r="AW213" i="7" s="1"/>
  <c r="BA213" i="7" s="1"/>
  <c r="U213" i="7"/>
  <c r="AK213" i="7" s="1"/>
  <c r="AM213" i="7" s="1"/>
  <c r="AO213" i="7" s="1"/>
  <c r="AQ213" i="7" s="1"/>
  <c r="AU213" i="7" s="1"/>
  <c r="AY213" i="7" s="1"/>
  <c r="AJ211" i="7"/>
  <c r="AL211" i="7" s="1"/>
  <c r="AN211" i="7" s="1"/>
  <c r="AP211" i="7" s="1"/>
  <c r="U211" i="7"/>
  <c r="AK211" i="7" s="1"/>
  <c r="AM211" i="7" s="1"/>
  <c r="AO211" i="7" s="1"/>
  <c r="AQ211" i="7" s="1"/>
  <c r="AU211" i="7" s="1"/>
  <c r="AY211" i="7" s="1"/>
  <c r="AJ210" i="7"/>
  <c r="AL210" i="7" s="1"/>
  <c r="AN210" i="7" s="1"/>
  <c r="AP210" i="7" s="1"/>
  <c r="AS210" i="7" s="1"/>
  <c r="AW210" i="7" s="1"/>
  <c r="BA210" i="7" s="1"/>
  <c r="U210" i="7"/>
  <c r="AK210" i="7" s="1"/>
  <c r="AM210" i="7" s="1"/>
  <c r="AO210" i="7" s="1"/>
  <c r="AQ210" i="7" s="1"/>
  <c r="AU210" i="7" s="1"/>
  <c r="AY210" i="7" s="1"/>
  <c r="AJ209" i="7"/>
  <c r="AL209" i="7" s="1"/>
  <c r="AN209" i="7" s="1"/>
  <c r="AP209" i="7" s="1"/>
  <c r="AS209" i="7" s="1"/>
  <c r="AW209" i="7" s="1"/>
  <c r="BA209" i="7" s="1"/>
  <c r="U209" i="7"/>
  <c r="AK209" i="7" s="1"/>
  <c r="AM209" i="7" s="1"/>
  <c r="AO209" i="7" s="1"/>
  <c r="AQ209" i="7" s="1"/>
  <c r="AU209" i="7" s="1"/>
  <c r="AY209" i="7" s="1"/>
  <c r="AJ208" i="7"/>
  <c r="AL208" i="7" s="1"/>
  <c r="AN208" i="7" s="1"/>
  <c r="AP208" i="7" s="1"/>
  <c r="AS208" i="7" s="1"/>
  <c r="AW208" i="7" s="1"/>
  <c r="BA208" i="7" s="1"/>
  <c r="U208" i="7"/>
  <c r="AK208" i="7" s="1"/>
  <c r="AM208" i="7" s="1"/>
  <c r="AO208" i="7" s="1"/>
  <c r="AQ208" i="7" s="1"/>
  <c r="AU208" i="7" s="1"/>
  <c r="AY208" i="7" s="1"/>
  <c r="AJ207" i="7"/>
  <c r="AL207" i="7" s="1"/>
  <c r="AN207" i="7" s="1"/>
  <c r="AP207" i="7" s="1"/>
  <c r="AS207" i="7" s="1"/>
  <c r="AW207" i="7" s="1"/>
  <c r="BA207" i="7" s="1"/>
  <c r="U207" i="7"/>
  <c r="AK207" i="7" s="1"/>
  <c r="AM207" i="7" s="1"/>
  <c r="AO207" i="7" s="1"/>
  <c r="AQ207" i="7" s="1"/>
  <c r="AU207" i="7" s="1"/>
  <c r="AY207" i="7" s="1"/>
  <c r="AJ206" i="7"/>
  <c r="AL206" i="7" s="1"/>
  <c r="AN206" i="7" s="1"/>
  <c r="AP206" i="7" s="1"/>
  <c r="AS206" i="7" s="1"/>
  <c r="AW206" i="7" s="1"/>
  <c r="BA206" i="7" s="1"/>
  <c r="U206" i="7"/>
  <c r="AK206" i="7" s="1"/>
  <c r="AM206" i="7" s="1"/>
  <c r="AO206" i="7" s="1"/>
  <c r="AQ206" i="7" s="1"/>
  <c r="AU206" i="7" s="1"/>
  <c r="AY206" i="7" s="1"/>
  <c r="AJ205" i="7"/>
  <c r="AL205" i="7" s="1"/>
  <c r="AN205" i="7" s="1"/>
  <c r="AP205" i="7" s="1"/>
  <c r="AS205" i="7" s="1"/>
  <c r="AW205" i="7" s="1"/>
  <c r="BA205" i="7" s="1"/>
  <c r="U205" i="7"/>
  <c r="AK205" i="7" s="1"/>
  <c r="AM205" i="7" s="1"/>
  <c r="AO205" i="7" s="1"/>
  <c r="AQ205" i="7" s="1"/>
  <c r="AU205" i="7" s="1"/>
  <c r="AY205" i="7" s="1"/>
  <c r="AJ204" i="7"/>
  <c r="AL204" i="7" s="1"/>
  <c r="AN204" i="7" s="1"/>
  <c r="AP204" i="7" s="1"/>
  <c r="AS204" i="7" s="1"/>
  <c r="AW204" i="7" s="1"/>
  <c r="BA204" i="7" s="1"/>
  <c r="U204" i="7"/>
  <c r="AK204" i="7" s="1"/>
  <c r="AM204" i="7" s="1"/>
  <c r="AO204" i="7" s="1"/>
  <c r="AQ204" i="7" s="1"/>
  <c r="AU204" i="7" s="1"/>
  <c r="AY204" i="7" s="1"/>
  <c r="AJ203" i="7"/>
  <c r="AL203" i="7" s="1"/>
  <c r="AN203" i="7" s="1"/>
  <c r="AP203" i="7" s="1"/>
  <c r="AS203" i="7" s="1"/>
  <c r="AW203" i="7" s="1"/>
  <c r="BA203" i="7" s="1"/>
  <c r="U203" i="7"/>
  <c r="AK203" i="7" s="1"/>
  <c r="AM203" i="7" s="1"/>
  <c r="AO203" i="7" s="1"/>
  <c r="AQ203" i="7" s="1"/>
  <c r="AU203" i="7" s="1"/>
  <c r="AY203" i="7" s="1"/>
  <c r="AJ202" i="7"/>
  <c r="AL202" i="7" s="1"/>
  <c r="AN202" i="7" s="1"/>
  <c r="AP202" i="7" s="1"/>
  <c r="AS202" i="7" s="1"/>
  <c r="AW202" i="7" s="1"/>
  <c r="BA202" i="7" s="1"/>
  <c r="U202" i="7"/>
  <c r="AK202" i="7" s="1"/>
  <c r="AM202" i="7" s="1"/>
  <c r="AO202" i="7" s="1"/>
  <c r="AQ202" i="7" s="1"/>
  <c r="AU202" i="7" s="1"/>
  <c r="AY202" i="7" s="1"/>
  <c r="AJ201" i="7"/>
  <c r="AL201" i="7" s="1"/>
  <c r="AN201" i="7" s="1"/>
  <c r="AP201" i="7" s="1"/>
  <c r="U201" i="7"/>
  <c r="AK201" i="7" s="1"/>
  <c r="AM201" i="7" s="1"/>
  <c r="AO201" i="7" s="1"/>
  <c r="AQ201" i="7" s="1"/>
  <c r="AU201" i="7" s="1"/>
  <c r="AY201" i="7" s="1"/>
  <c r="AJ199" i="7"/>
  <c r="AL199" i="7" s="1"/>
  <c r="AN199" i="7" s="1"/>
  <c r="AP199" i="7" s="1"/>
  <c r="AS199" i="7" s="1"/>
  <c r="AW199" i="7" s="1"/>
  <c r="BA199" i="7" s="1"/>
  <c r="U199" i="7"/>
  <c r="AK199" i="7" s="1"/>
  <c r="AM199" i="7" s="1"/>
  <c r="AO199" i="7" s="1"/>
  <c r="AQ199" i="7" s="1"/>
  <c r="AU199" i="7" s="1"/>
  <c r="AY199" i="7" s="1"/>
  <c r="AJ198" i="7"/>
  <c r="AL198" i="7" s="1"/>
  <c r="AN198" i="7" s="1"/>
  <c r="AP198" i="7" s="1"/>
  <c r="AS198" i="7" s="1"/>
  <c r="AW198" i="7" s="1"/>
  <c r="BA198" i="7" s="1"/>
  <c r="U198" i="7"/>
  <c r="AK198" i="7" s="1"/>
  <c r="AM198" i="7" s="1"/>
  <c r="AO198" i="7" s="1"/>
  <c r="AQ198" i="7" s="1"/>
  <c r="AU198" i="7" s="1"/>
  <c r="AY198" i="7" s="1"/>
  <c r="AJ197" i="7"/>
  <c r="AL197" i="7" s="1"/>
  <c r="AN197" i="7" s="1"/>
  <c r="AP197" i="7" s="1"/>
  <c r="AS197" i="7" s="1"/>
  <c r="AW197" i="7" s="1"/>
  <c r="BA197" i="7" s="1"/>
  <c r="U197" i="7"/>
  <c r="AK197" i="7" s="1"/>
  <c r="AM197" i="7" s="1"/>
  <c r="AO197" i="7" s="1"/>
  <c r="AQ197" i="7" s="1"/>
  <c r="AU197" i="7" s="1"/>
  <c r="AY197" i="7" s="1"/>
  <c r="AJ196" i="7"/>
  <c r="AL196" i="7" s="1"/>
  <c r="AN196" i="7" s="1"/>
  <c r="AP196" i="7" s="1"/>
  <c r="AS196" i="7" s="1"/>
  <c r="AW196" i="7" s="1"/>
  <c r="BA196" i="7" s="1"/>
  <c r="U196" i="7"/>
  <c r="AK196" i="7" s="1"/>
  <c r="AM196" i="7" s="1"/>
  <c r="AO196" i="7" s="1"/>
  <c r="AQ196" i="7" s="1"/>
  <c r="AU196" i="7" s="1"/>
  <c r="AY196" i="7" s="1"/>
  <c r="AJ175" i="7"/>
  <c r="AL175" i="7" s="1"/>
  <c r="AN175" i="7" s="1"/>
  <c r="AP175" i="7" s="1"/>
  <c r="AS175" i="7" s="1"/>
  <c r="AW175" i="7" s="1"/>
  <c r="BA175" i="7" s="1"/>
  <c r="U175" i="7"/>
  <c r="AK175" i="7" s="1"/>
  <c r="AM175" i="7" s="1"/>
  <c r="AO175" i="7" s="1"/>
  <c r="AQ175" i="7" s="1"/>
  <c r="AU175" i="7" s="1"/>
  <c r="AY175" i="7" s="1"/>
  <c r="AJ194" i="7"/>
  <c r="AL194" i="7" s="1"/>
  <c r="AN194" i="7" s="1"/>
  <c r="AP194" i="7" s="1"/>
  <c r="AS194" i="7" s="1"/>
  <c r="AW194" i="7" s="1"/>
  <c r="BA194" i="7" s="1"/>
  <c r="U194" i="7"/>
  <c r="AK194" i="7" s="1"/>
  <c r="AM194" i="7" s="1"/>
  <c r="AO194" i="7" s="1"/>
  <c r="AQ194" i="7" s="1"/>
  <c r="AU194" i="7" s="1"/>
  <c r="AY194" i="7" s="1"/>
  <c r="AJ193" i="7"/>
  <c r="AL193" i="7" s="1"/>
  <c r="AN193" i="7" s="1"/>
  <c r="AP193" i="7" s="1"/>
  <c r="AS193" i="7" s="1"/>
  <c r="AW193" i="7" s="1"/>
  <c r="BA193" i="7" s="1"/>
  <c r="U193" i="7"/>
  <c r="AK193" i="7" s="1"/>
  <c r="AM193" i="7" s="1"/>
  <c r="AO193" i="7" s="1"/>
  <c r="AQ193" i="7" s="1"/>
  <c r="AU193" i="7" s="1"/>
  <c r="AY193" i="7" s="1"/>
  <c r="AJ192" i="7"/>
  <c r="AL192" i="7" s="1"/>
  <c r="AN192" i="7" s="1"/>
  <c r="AP192" i="7" s="1"/>
  <c r="AS192" i="7" s="1"/>
  <c r="AW192" i="7" s="1"/>
  <c r="BA192" i="7" s="1"/>
  <c r="U192" i="7"/>
  <c r="AK192" i="7" s="1"/>
  <c r="AM192" i="7" s="1"/>
  <c r="AO192" i="7" s="1"/>
  <c r="AQ192" i="7" s="1"/>
  <c r="AU192" i="7" s="1"/>
  <c r="AY192" i="7" s="1"/>
  <c r="AJ191" i="7"/>
  <c r="AL191" i="7" s="1"/>
  <c r="AN191" i="7" s="1"/>
  <c r="AP191" i="7" s="1"/>
  <c r="AS191" i="7" s="1"/>
  <c r="AW191" i="7" s="1"/>
  <c r="BA191" i="7" s="1"/>
  <c r="U191" i="7"/>
  <c r="AK191" i="7" s="1"/>
  <c r="AM191" i="7" s="1"/>
  <c r="AO191" i="7" s="1"/>
  <c r="AQ191" i="7" s="1"/>
  <c r="AU191" i="7" s="1"/>
  <c r="AY191" i="7" s="1"/>
  <c r="AJ189" i="7"/>
  <c r="AL189" i="7" s="1"/>
  <c r="AN189" i="7" s="1"/>
  <c r="AP189" i="7" s="1"/>
  <c r="AS189" i="7" s="1"/>
  <c r="AW189" i="7" s="1"/>
  <c r="BA189" i="7" s="1"/>
  <c r="U189" i="7"/>
  <c r="AK189" i="7" s="1"/>
  <c r="AM189" i="7" s="1"/>
  <c r="AO189" i="7" s="1"/>
  <c r="AQ189" i="7" s="1"/>
  <c r="AU189" i="7" s="1"/>
  <c r="AY189" i="7" s="1"/>
  <c r="AJ188" i="7"/>
  <c r="AL188" i="7" s="1"/>
  <c r="AN188" i="7" s="1"/>
  <c r="AP188" i="7" s="1"/>
  <c r="U188" i="7"/>
  <c r="AK188" i="7" s="1"/>
  <c r="AM188" i="7" s="1"/>
  <c r="AO188" i="7" s="1"/>
  <c r="AQ188" i="7" s="1"/>
  <c r="AU188" i="7" s="1"/>
  <c r="AY188" i="7" s="1"/>
  <c r="AJ187" i="7"/>
  <c r="AL187" i="7" s="1"/>
  <c r="AN187" i="7" s="1"/>
  <c r="AP187" i="7" s="1"/>
  <c r="AS187" i="7" s="1"/>
  <c r="AW187" i="7" s="1"/>
  <c r="BA187" i="7" s="1"/>
  <c r="U187" i="7"/>
  <c r="AK187" i="7" s="1"/>
  <c r="AM187" i="7" s="1"/>
  <c r="AO187" i="7" s="1"/>
  <c r="AQ187" i="7" s="1"/>
  <c r="AU187" i="7" s="1"/>
  <c r="AY187" i="7" s="1"/>
  <c r="AJ186" i="7"/>
  <c r="AL186" i="7" s="1"/>
  <c r="AN186" i="7" s="1"/>
  <c r="AP186" i="7" s="1"/>
  <c r="AS186" i="7" s="1"/>
  <c r="AW186" i="7" s="1"/>
  <c r="BA186" i="7" s="1"/>
  <c r="U186" i="7"/>
  <c r="AK186" i="7" s="1"/>
  <c r="AM186" i="7" s="1"/>
  <c r="AO186" i="7" s="1"/>
  <c r="AQ186" i="7" s="1"/>
  <c r="AU186" i="7" s="1"/>
  <c r="AY186" i="7" s="1"/>
  <c r="AJ185" i="7"/>
  <c r="AL185" i="7" s="1"/>
  <c r="AN185" i="7" s="1"/>
  <c r="AP185" i="7" s="1"/>
  <c r="AS185" i="7" s="1"/>
  <c r="AW185" i="7" s="1"/>
  <c r="BA185" i="7" s="1"/>
  <c r="U185" i="7"/>
  <c r="AK185" i="7" s="1"/>
  <c r="AM185" i="7" s="1"/>
  <c r="AO185" i="7" s="1"/>
  <c r="AQ185" i="7" s="1"/>
  <c r="AU185" i="7" s="1"/>
  <c r="AY185" i="7" s="1"/>
  <c r="AJ184" i="7"/>
  <c r="AL184" i="7" s="1"/>
  <c r="AN184" i="7" s="1"/>
  <c r="AP184" i="7" s="1"/>
  <c r="AS184" i="7" s="1"/>
  <c r="AW184" i="7" s="1"/>
  <c r="BA184" i="7" s="1"/>
  <c r="U184" i="7"/>
  <c r="AK184" i="7" s="1"/>
  <c r="AM184" i="7" s="1"/>
  <c r="AO184" i="7" s="1"/>
  <c r="AQ184" i="7" s="1"/>
  <c r="AU184" i="7" s="1"/>
  <c r="AY184" i="7" s="1"/>
  <c r="AJ183" i="7"/>
  <c r="AL183" i="7" s="1"/>
  <c r="AN183" i="7" s="1"/>
  <c r="AP183" i="7" s="1"/>
  <c r="AS183" i="7" s="1"/>
  <c r="AW183" i="7" s="1"/>
  <c r="BA183" i="7" s="1"/>
  <c r="U183" i="7"/>
  <c r="AK183" i="7" s="1"/>
  <c r="AM183" i="7" s="1"/>
  <c r="AO183" i="7" s="1"/>
  <c r="AQ183" i="7" s="1"/>
  <c r="AU183" i="7" s="1"/>
  <c r="AY183" i="7" s="1"/>
  <c r="AJ182" i="7"/>
  <c r="AL182" i="7" s="1"/>
  <c r="AN182" i="7" s="1"/>
  <c r="AP182" i="7" s="1"/>
  <c r="AS182" i="7" s="1"/>
  <c r="AW182" i="7" s="1"/>
  <c r="BA182" i="7" s="1"/>
  <c r="U182" i="7"/>
  <c r="AK182" i="7" s="1"/>
  <c r="AM182" i="7" s="1"/>
  <c r="AO182" i="7" s="1"/>
  <c r="AQ182" i="7" s="1"/>
  <c r="AU182" i="7" s="1"/>
  <c r="AY182" i="7" s="1"/>
  <c r="AJ181" i="7"/>
  <c r="AL181" i="7" s="1"/>
  <c r="AN181" i="7" s="1"/>
  <c r="AP181" i="7" s="1"/>
  <c r="AS181" i="7" s="1"/>
  <c r="AW181" i="7" s="1"/>
  <c r="BA181" i="7" s="1"/>
  <c r="U181" i="7"/>
  <c r="AK181" i="7" s="1"/>
  <c r="AM181" i="7" s="1"/>
  <c r="AO181" i="7" s="1"/>
  <c r="AQ181" i="7" s="1"/>
  <c r="AU181" i="7" s="1"/>
  <c r="AY181" i="7" s="1"/>
  <c r="AJ180" i="7"/>
  <c r="AL180" i="7" s="1"/>
  <c r="AN180" i="7" s="1"/>
  <c r="AP180" i="7" s="1"/>
  <c r="AS180" i="7" s="1"/>
  <c r="AW180" i="7" s="1"/>
  <c r="BA180" i="7" s="1"/>
  <c r="U180" i="7"/>
  <c r="AK180" i="7" s="1"/>
  <c r="AM180" i="7" s="1"/>
  <c r="AO180" i="7" s="1"/>
  <c r="AQ180" i="7" s="1"/>
  <c r="AU180" i="7" s="1"/>
  <c r="AY180" i="7" s="1"/>
  <c r="AJ179" i="7"/>
  <c r="AL179" i="7" s="1"/>
  <c r="AN179" i="7" s="1"/>
  <c r="AP179" i="7" s="1"/>
  <c r="AS179" i="7" s="1"/>
  <c r="AW179" i="7" s="1"/>
  <c r="BA179" i="7" s="1"/>
  <c r="U179" i="7"/>
  <c r="AK179" i="7" s="1"/>
  <c r="AM179" i="7" s="1"/>
  <c r="AO179" i="7" s="1"/>
  <c r="AQ179" i="7" s="1"/>
  <c r="AU179" i="7" s="1"/>
  <c r="AY179" i="7" s="1"/>
  <c r="AJ178" i="7"/>
  <c r="AL178" i="7" s="1"/>
  <c r="AN178" i="7" s="1"/>
  <c r="AP178" i="7" s="1"/>
  <c r="AS178" i="7" s="1"/>
  <c r="AW178" i="7" s="1"/>
  <c r="BA178" i="7" s="1"/>
  <c r="U178" i="7"/>
  <c r="AK178" i="7" s="1"/>
  <c r="AM178" i="7" s="1"/>
  <c r="AO178" i="7" s="1"/>
  <c r="AQ178" i="7" s="1"/>
  <c r="AU178" i="7" s="1"/>
  <c r="AY178" i="7" s="1"/>
  <c r="AJ177" i="7"/>
  <c r="AL177" i="7" s="1"/>
  <c r="AN177" i="7" s="1"/>
  <c r="AP177" i="7" s="1"/>
  <c r="AS177" i="7" s="1"/>
  <c r="AW177" i="7" s="1"/>
  <c r="BA177" i="7" s="1"/>
  <c r="U177" i="7"/>
  <c r="AK177" i="7" s="1"/>
  <c r="AM177" i="7" s="1"/>
  <c r="AO177" i="7" s="1"/>
  <c r="AQ177" i="7" s="1"/>
  <c r="AU177" i="7" s="1"/>
  <c r="AY177" i="7" s="1"/>
  <c r="AJ176" i="7"/>
  <c r="AL176" i="7" s="1"/>
  <c r="AN176" i="7" s="1"/>
  <c r="AP176" i="7" s="1"/>
  <c r="AS176" i="7" s="1"/>
  <c r="AW176" i="7" s="1"/>
  <c r="BA176" i="7" s="1"/>
  <c r="U176" i="7"/>
  <c r="AK176" i="7" s="1"/>
  <c r="AM176" i="7" s="1"/>
  <c r="AO176" i="7" s="1"/>
  <c r="AQ176" i="7" s="1"/>
  <c r="AU176" i="7" s="1"/>
  <c r="AY176" i="7" s="1"/>
  <c r="AJ212" i="7"/>
  <c r="AL212" i="7" s="1"/>
  <c r="AN212" i="7" s="1"/>
  <c r="AP212" i="7" s="1"/>
  <c r="AS212" i="7" s="1"/>
  <c r="AW212" i="7" s="1"/>
  <c r="BA212" i="7" s="1"/>
  <c r="U212" i="7"/>
  <c r="AK212" i="7" s="1"/>
  <c r="AM212" i="7" s="1"/>
  <c r="AO212" i="7" s="1"/>
  <c r="AQ212" i="7" s="1"/>
  <c r="AU212" i="7" s="1"/>
  <c r="AY212" i="7" s="1"/>
  <c r="AP174" i="7"/>
  <c r="AS174" i="7" s="1"/>
  <c r="AW174" i="7" s="1"/>
  <c r="BA174" i="7" s="1"/>
  <c r="AO174" i="7"/>
  <c r="AQ174" i="7" s="1"/>
  <c r="AU174" i="7" s="1"/>
  <c r="AY174" i="7" s="1"/>
  <c r="AJ173" i="7"/>
  <c r="AL173" i="7" s="1"/>
  <c r="AN173" i="7" s="1"/>
  <c r="AP173" i="7" s="1"/>
  <c r="AS173" i="7" s="1"/>
  <c r="AW173" i="7" s="1"/>
  <c r="BA173" i="7" s="1"/>
  <c r="U173" i="7"/>
  <c r="AK173" i="7" s="1"/>
  <c r="AM173" i="7" s="1"/>
  <c r="AO173" i="7" s="1"/>
  <c r="AQ173" i="7" s="1"/>
  <c r="AU173" i="7" s="1"/>
  <c r="AY173" i="7" s="1"/>
  <c r="AJ172" i="7"/>
  <c r="AL172" i="7" s="1"/>
  <c r="AN172" i="7" s="1"/>
  <c r="AP172" i="7" s="1"/>
  <c r="AS172" i="7" s="1"/>
  <c r="AW172" i="7" s="1"/>
  <c r="BA172" i="7" s="1"/>
  <c r="U172" i="7"/>
  <c r="AK172" i="7" s="1"/>
  <c r="AM172" i="7" s="1"/>
  <c r="AO172" i="7" s="1"/>
  <c r="AQ172" i="7" s="1"/>
  <c r="AU172" i="7" s="1"/>
  <c r="AY172" i="7" s="1"/>
  <c r="AJ170" i="7"/>
  <c r="AL170" i="7" s="1"/>
  <c r="AN170" i="7" s="1"/>
  <c r="AP170" i="7" s="1"/>
  <c r="AS170" i="7" s="1"/>
  <c r="AW170" i="7" s="1"/>
  <c r="BA170" i="7" s="1"/>
  <c r="U170" i="7"/>
  <c r="AK170" i="7" s="1"/>
  <c r="AM170" i="7" s="1"/>
  <c r="AO170" i="7" s="1"/>
  <c r="AQ170" i="7" s="1"/>
  <c r="AU170" i="7" s="1"/>
  <c r="AY170" i="7" s="1"/>
  <c r="AJ169" i="7"/>
  <c r="AL169" i="7" s="1"/>
  <c r="AN169" i="7" s="1"/>
  <c r="AP169" i="7" s="1"/>
  <c r="AS169" i="7" s="1"/>
  <c r="AW169" i="7" s="1"/>
  <c r="BA169" i="7" s="1"/>
  <c r="U169" i="7"/>
  <c r="AK169" i="7" s="1"/>
  <c r="AM169" i="7" s="1"/>
  <c r="AO169" i="7" s="1"/>
  <c r="AQ169" i="7" s="1"/>
  <c r="AU169" i="7" s="1"/>
  <c r="AY169" i="7" s="1"/>
  <c r="AJ168" i="7"/>
  <c r="AL168" i="7" s="1"/>
  <c r="AN168" i="7" s="1"/>
  <c r="AP168" i="7" s="1"/>
  <c r="AS168" i="7" s="1"/>
  <c r="AW168" i="7" s="1"/>
  <c r="BA168" i="7" s="1"/>
  <c r="U168" i="7"/>
  <c r="AK168" i="7" s="1"/>
  <c r="AM168" i="7" s="1"/>
  <c r="AO168" i="7" s="1"/>
  <c r="AQ168" i="7" s="1"/>
  <c r="AU168" i="7" s="1"/>
  <c r="AY168" i="7" s="1"/>
  <c r="AJ167" i="7"/>
  <c r="AL167" i="7" s="1"/>
  <c r="AN167" i="7" s="1"/>
  <c r="AP167" i="7" s="1"/>
  <c r="AS167" i="7" s="1"/>
  <c r="AW167" i="7" s="1"/>
  <c r="BA167" i="7" s="1"/>
  <c r="U167" i="7"/>
  <c r="AK167" i="7" s="1"/>
  <c r="AM167" i="7" s="1"/>
  <c r="AO167" i="7" s="1"/>
  <c r="AQ167" i="7" s="1"/>
  <c r="AU167" i="7" s="1"/>
  <c r="AY167" i="7" s="1"/>
  <c r="AJ166" i="7"/>
  <c r="AL166" i="7" s="1"/>
  <c r="AN166" i="7" s="1"/>
  <c r="AP166" i="7" s="1"/>
  <c r="AS166" i="7" s="1"/>
  <c r="AW166" i="7" s="1"/>
  <c r="BA166" i="7" s="1"/>
  <c r="U166" i="7"/>
  <c r="AK166" i="7" s="1"/>
  <c r="AM166" i="7" s="1"/>
  <c r="AO166" i="7" s="1"/>
  <c r="AQ166" i="7" s="1"/>
  <c r="AU166" i="7" s="1"/>
  <c r="AY166" i="7" s="1"/>
  <c r="AJ165" i="7"/>
  <c r="AL165" i="7" s="1"/>
  <c r="AN165" i="7" s="1"/>
  <c r="AP165" i="7" s="1"/>
  <c r="AS165" i="7" s="1"/>
  <c r="AW165" i="7" s="1"/>
  <c r="BA165" i="7" s="1"/>
  <c r="U165" i="7"/>
  <c r="AK165" i="7" s="1"/>
  <c r="AM165" i="7" s="1"/>
  <c r="AO165" i="7" s="1"/>
  <c r="AQ165" i="7" s="1"/>
  <c r="AU165" i="7" s="1"/>
  <c r="AY165" i="7" s="1"/>
  <c r="AQ163" i="7"/>
  <c r="AU163" i="7" s="1"/>
  <c r="AY163" i="7" s="1"/>
  <c r="AJ163" i="7"/>
  <c r="AL163" i="7" s="1"/>
  <c r="AN163" i="7" s="1"/>
  <c r="AP163" i="7" s="1"/>
  <c r="AS163" i="7" s="1"/>
  <c r="AW163" i="7" s="1"/>
  <c r="BA163" i="7" s="1"/>
  <c r="U163" i="7"/>
  <c r="AK163" i="7" s="1"/>
  <c r="AM163" i="7" s="1"/>
  <c r="AJ162" i="7"/>
  <c r="AL162" i="7" s="1"/>
  <c r="AN162" i="7" s="1"/>
  <c r="AP162" i="7" s="1"/>
  <c r="AS162" i="7" s="1"/>
  <c r="AW162" i="7" s="1"/>
  <c r="BA162" i="7" s="1"/>
  <c r="U162" i="7"/>
  <c r="AK162" i="7" s="1"/>
  <c r="AM162" i="7" s="1"/>
  <c r="AO162" i="7" s="1"/>
  <c r="AQ162" i="7" s="1"/>
  <c r="AU162" i="7" s="1"/>
  <c r="AY162" i="7" s="1"/>
  <c r="AJ161" i="7"/>
  <c r="AL161" i="7" s="1"/>
  <c r="AN161" i="7" s="1"/>
  <c r="AP161" i="7" s="1"/>
  <c r="AS161" i="7" s="1"/>
  <c r="AW161" i="7" s="1"/>
  <c r="BA161" i="7" s="1"/>
  <c r="U161" i="7"/>
  <c r="AK161" i="7" s="1"/>
  <c r="AM161" i="7" s="1"/>
  <c r="AO161" i="7" s="1"/>
  <c r="AQ161" i="7" s="1"/>
  <c r="AU161" i="7" s="1"/>
  <c r="AY161" i="7" s="1"/>
  <c r="AJ160" i="7"/>
  <c r="AL160" i="7" s="1"/>
  <c r="AN160" i="7" s="1"/>
  <c r="AP160" i="7" s="1"/>
  <c r="AS160" i="7" s="1"/>
  <c r="AW160" i="7" s="1"/>
  <c r="BA160" i="7" s="1"/>
  <c r="U160" i="7"/>
  <c r="AK160" i="7" s="1"/>
  <c r="AM160" i="7" s="1"/>
  <c r="AO160" i="7" s="1"/>
  <c r="AQ160" i="7" s="1"/>
  <c r="AU160" i="7" s="1"/>
  <c r="AY160" i="7" s="1"/>
  <c r="AJ159" i="7"/>
  <c r="AL159" i="7" s="1"/>
  <c r="AN159" i="7" s="1"/>
  <c r="AP159" i="7" s="1"/>
  <c r="AS159" i="7" s="1"/>
  <c r="AW159" i="7" s="1"/>
  <c r="BA159" i="7" s="1"/>
  <c r="U159" i="7"/>
  <c r="AK159" i="7" s="1"/>
  <c r="AM159" i="7" s="1"/>
  <c r="AO159" i="7" s="1"/>
  <c r="AQ159" i="7" s="1"/>
  <c r="AU159" i="7" s="1"/>
  <c r="AY159" i="7" s="1"/>
  <c r="AJ158" i="7"/>
  <c r="AL158" i="7" s="1"/>
  <c r="AN158" i="7" s="1"/>
  <c r="AP158" i="7" s="1"/>
  <c r="AS158" i="7" s="1"/>
  <c r="AW158" i="7" s="1"/>
  <c r="BA158" i="7" s="1"/>
  <c r="U158" i="7"/>
  <c r="AK158" i="7" s="1"/>
  <c r="AM158" i="7" s="1"/>
  <c r="AO158" i="7" s="1"/>
  <c r="AQ158" i="7" s="1"/>
  <c r="AU158" i="7" s="1"/>
  <c r="AY158" i="7" s="1"/>
  <c r="AJ157" i="7"/>
  <c r="AL157" i="7" s="1"/>
  <c r="AN157" i="7" s="1"/>
  <c r="AP157" i="7" s="1"/>
  <c r="AS157" i="7" s="1"/>
  <c r="AW157" i="7" s="1"/>
  <c r="BA157" i="7" s="1"/>
  <c r="U157" i="7"/>
  <c r="AK157" i="7" s="1"/>
  <c r="AM157" i="7" s="1"/>
  <c r="AO157" i="7" s="1"/>
  <c r="AQ157" i="7" s="1"/>
  <c r="AU157" i="7" s="1"/>
  <c r="AY157" i="7" s="1"/>
  <c r="AJ156" i="7"/>
  <c r="AL156" i="7" s="1"/>
  <c r="AN156" i="7" s="1"/>
  <c r="AP156" i="7" s="1"/>
  <c r="AS156" i="7" s="1"/>
  <c r="AW156" i="7" s="1"/>
  <c r="BA156" i="7" s="1"/>
  <c r="U156" i="7"/>
  <c r="AK156" i="7" s="1"/>
  <c r="AM156" i="7" s="1"/>
  <c r="AO156" i="7" s="1"/>
  <c r="AQ156" i="7" s="1"/>
  <c r="AU156" i="7" s="1"/>
  <c r="AY156" i="7" s="1"/>
  <c r="AJ155" i="7"/>
  <c r="AL155" i="7" s="1"/>
  <c r="AN155" i="7" s="1"/>
  <c r="AP155" i="7" s="1"/>
  <c r="AS155" i="7" s="1"/>
  <c r="AW155" i="7" s="1"/>
  <c r="BA155" i="7" s="1"/>
  <c r="U155" i="7"/>
  <c r="AK155" i="7" s="1"/>
  <c r="AM155" i="7" s="1"/>
  <c r="AO155" i="7" s="1"/>
  <c r="AQ155" i="7" s="1"/>
  <c r="AU155" i="7" s="1"/>
  <c r="AY155" i="7" s="1"/>
  <c r="AJ154" i="7"/>
  <c r="AL154" i="7" s="1"/>
  <c r="AN154" i="7" s="1"/>
  <c r="AP154" i="7" s="1"/>
  <c r="AS154" i="7" s="1"/>
  <c r="AW154" i="7" s="1"/>
  <c r="BA154" i="7" s="1"/>
  <c r="U154" i="7"/>
  <c r="AK154" i="7" s="1"/>
  <c r="AM154" i="7" s="1"/>
  <c r="AO154" i="7" s="1"/>
  <c r="AQ154" i="7" s="1"/>
  <c r="AU154" i="7" s="1"/>
  <c r="AY154" i="7" s="1"/>
  <c r="AJ153" i="7"/>
  <c r="AL153" i="7" s="1"/>
  <c r="AN153" i="7" s="1"/>
  <c r="AP153" i="7" s="1"/>
  <c r="AS153" i="7" s="1"/>
  <c r="AW153" i="7" s="1"/>
  <c r="BA153" i="7" s="1"/>
  <c r="U153" i="7"/>
  <c r="AK153" i="7" s="1"/>
  <c r="AM153" i="7" s="1"/>
  <c r="AO153" i="7" s="1"/>
  <c r="AQ153" i="7" s="1"/>
  <c r="AU153" i="7" s="1"/>
  <c r="AY153" i="7" s="1"/>
  <c r="AJ152" i="7"/>
  <c r="AL152" i="7" s="1"/>
  <c r="AN152" i="7" s="1"/>
  <c r="AP152" i="7" s="1"/>
  <c r="AS152" i="7" s="1"/>
  <c r="AW152" i="7" s="1"/>
  <c r="BA152" i="7" s="1"/>
  <c r="U152" i="7"/>
  <c r="AK152" i="7" s="1"/>
  <c r="AM152" i="7" s="1"/>
  <c r="AO152" i="7" s="1"/>
  <c r="AQ152" i="7" s="1"/>
  <c r="AU152" i="7" s="1"/>
  <c r="AY152" i="7" s="1"/>
  <c r="AJ151" i="7"/>
  <c r="AL151" i="7" s="1"/>
  <c r="AN151" i="7" s="1"/>
  <c r="AP151" i="7" s="1"/>
  <c r="AS151" i="7" s="1"/>
  <c r="AW151" i="7" s="1"/>
  <c r="BA151" i="7" s="1"/>
  <c r="U151" i="7"/>
  <c r="AK151" i="7" s="1"/>
  <c r="AM151" i="7" s="1"/>
  <c r="AO151" i="7" s="1"/>
  <c r="AQ151" i="7" s="1"/>
  <c r="AU151" i="7" s="1"/>
  <c r="AY151" i="7" s="1"/>
  <c r="AJ150" i="7"/>
  <c r="AL150" i="7" s="1"/>
  <c r="AN150" i="7" s="1"/>
  <c r="AP150" i="7" s="1"/>
  <c r="AS150" i="7" s="1"/>
  <c r="AW150" i="7" s="1"/>
  <c r="BA150" i="7" s="1"/>
  <c r="U150" i="7"/>
  <c r="AK150" i="7" s="1"/>
  <c r="AM150" i="7" s="1"/>
  <c r="AO150" i="7" s="1"/>
  <c r="AQ150" i="7" s="1"/>
  <c r="AU150" i="7" s="1"/>
  <c r="AY150" i="7" s="1"/>
  <c r="AJ149" i="7"/>
  <c r="AL149" i="7" s="1"/>
  <c r="AN149" i="7" s="1"/>
  <c r="AP149" i="7" s="1"/>
  <c r="AS149" i="7" s="1"/>
  <c r="AW149" i="7" s="1"/>
  <c r="BA149" i="7" s="1"/>
  <c r="U149" i="7"/>
  <c r="AK149" i="7" s="1"/>
  <c r="AM149" i="7" s="1"/>
  <c r="AO149" i="7" s="1"/>
  <c r="AQ149" i="7" s="1"/>
  <c r="AU149" i="7" s="1"/>
  <c r="AY149" i="7" s="1"/>
  <c r="AJ148" i="7"/>
  <c r="AL148" i="7" s="1"/>
  <c r="AN148" i="7" s="1"/>
  <c r="AP148" i="7" s="1"/>
  <c r="AS148" i="7" s="1"/>
  <c r="AW148" i="7" s="1"/>
  <c r="BA148" i="7" s="1"/>
  <c r="U148" i="7"/>
  <c r="AK148" i="7" s="1"/>
  <c r="AM148" i="7" s="1"/>
  <c r="AO148" i="7" s="1"/>
  <c r="AQ148" i="7" s="1"/>
  <c r="AU148" i="7" s="1"/>
  <c r="AY148" i="7" s="1"/>
  <c r="AJ147" i="7"/>
  <c r="AL147" i="7" s="1"/>
  <c r="AN147" i="7" s="1"/>
  <c r="AP147" i="7" s="1"/>
  <c r="AS147" i="7" s="1"/>
  <c r="AW147" i="7" s="1"/>
  <c r="BA147" i="7" s="1"/>
  <c r="U147" i="7"/>
  <c r="AK147" i="7" s="1"/>
  <c r="AM147" i="7" s="1"/>
  <c r="AO147" i="7" s="1"/>
  <c r="AQ147" i="7" s="1"/>
  <c r="AU147" i="7" s="1"/>
  <c r="AY147" i="7" s="1"/>
  <c r="AJ146" i="7"/>
  <c r="AL146" i="7" s="1"/>
  <c r="AN146" i="7" s="1"/>
  <c r="AP146" i="7" s="1"/>
  <c r="AS146" i="7" s="1"/>
  <c r="AW146" i="7" s="1"/>
  <c r="BA146" i="7" s="1"/>
  <c r="U146" i="7"/>
  <c r="AK146" i="7" s="1"/>
  <c r="AM146" i="7" s="1"/>
  <c r="AO146" i="7" s="1"/>
  <c r="AQ146" i="7" s="1"/>
  <c r="AU146" i="7" s="1"/>
  <c r="AY146" i="7" s="1"/>
  <c r="AJ145" i="7"/>
  <c r="AL145" i="7" s="1"/>
  <c r="AN145" i="7" s="1"/>
  <c r="AP145" i="7" s="1"/>
  <c r="AS145" i="7" s="1"/>
  <c r="AW145" i="7" s="1"/>
  <c r="BA145" i="7" s="1"/>
  <c r="U145" i="7"/>
  <c r="AK145" i="7" s="1"/>
  <c r="AM145" i="7" s="1"/>
  <c r="AO145" i="7" s="1"/>
  <c r="AQ145" i="7" s="1"/>
  <c r="AU145" i="7" s="1"/>
  <c r="AY145" i="7" s="1"/>
  <c r="AJ144" i="7"/>
  <c r="AL144" i="7" s="1"/>
  <c r="AN144" i="7" s="1"/>
  <c r="AP144" i="7" s="1"/>
  <c r="AS144" i="7" s="1"/>
  <c r="AW144" i="7" s="1"/>
  <c r="BA144" i="7" s="1"/>
  <c r="U144" i="7"/>
  <c r="AK144" i="7" s="1"/>
  <c r="AM144" i="7" s="1"/>
  <c r="AO144" i="7" s="1"/>
  <c r="AQ144" i="7" s="1"/>
  <c r="AU144" i="7" s="1"/>
  <c r="AY144" i="7" s="1"/>
  <c r="AJ143" i="7"/>
  <c r="AL143" i="7" s="1"/>
  <c r="AN143" i="7" s="1"/>
  <c r="AP143" i="7" s="1"/>
  <c r="AS143" i="7" s="1"/>
  <c r="AW143" i="7" s="1"/>
  <c r="BA143" i="7" s="1"/>
  <c r="U143" i="7"/>
  <c r="AK143" i="7" s="1"/>
  <c r="AM143" i="7" s="1"/>
  <c r="AO143" i="7" s="1"/>
  <c r="AQ143" i="7" s="1"/>
  <c r="AU143" i="7" s="1"/>
  <c r="AY143" i="7" s="1"/>
  <c r="AJ142" i="7"/>
  <c r="AL142" i="7" s="1"/>
  <c r="AN142" i="7" s="1"/>
  <c r="AP142" i="7" s="1"/>
  <c r="AS142" i="7" s="1"/>
  <c r="AW142" i="7" s="1"/>
  <c r="BA142" i="7" s="1"/>
  <c r="U142" i="7"/>
  <c r="AK142" i="7" s="1"/>
  <c r="AM142" i="7" s="1"/>
  <c r="AO142" i="7" s="1"/>
  <c r="AQ142" i="7" s="1"/>
  <c r="AU142" i="7" s="1"/>
  <c r="AY142" i="7" s="1"/>
  <c r="AJ141" i="7"/>
  <c r="AL141" i="7" s="1"/>
  <c r="AN141" i="7" s="1"/>
  <c r="AP141" i="7" s="1"/>
  <c r="AS141" i="7" s="1"/>
  <c r="AW141" i="7" s="1"/>
  <c r="BA141" i="7" s="1"/>
  <c r="U141" i="7"/>
  <c r="AK141" i="7" s="1"/>
  <c r="AM141" i="7" s="1"/>
  <c r="AO141" i="7" s="1"/>
  <c r="AQ141" i="7" s="1"/>
  <c r="AU141" i="7" s="1"/>
  <c r="AY141" i="7" s="1"/>
  <c r="AQ140" i="7"/>
  <c r="AU140" i="7" s="1"/>
  <c r="AY140" i="7" s="1"/>
  <c r="AJ140" i="7"/>
  <c r="AL140" i="7" s="1"/>
  <c r="AN140" i="7" s="1"/>
  <c r="AP140" i="7" s="1"/>
  <c r="AS140" i="7" s="1"/>
  <c r="AW140" i="7" s="1"/>
  <c r="BA140" i="7" s="1"/>
  <c r="U140" i="7"/>
  <c r="AK140" i="7" s="1"/>
  <c r="AM140" i="7" s="1"/>
  <c r="AJ139" i="7"/>
  <c r="AL139" i="7" s="1"/>
  <c r="AN139" i="7" s="1"/>
  <c r="AP139" i="7" s="1"/>
  <c r="AS139" i="7" s="1"/>
  <c r="AW139" i="7" s="1"/>
  <c r="BA139" i="7" s="1"/>
  <c r="U139" i="7"/>
  <c r="AK139" i="7" s="1"/>
  <c r="AM139" i="7" s="1"/>
  <c r="AO139" i="7" s="1"/>
  <c r="AQ139" i="7" s="1"/>
  <c r="AU139" i="7" s="1"/>
  <c r="AY139" i="7" s="1"/>
  <c r="AJ138" i="7"/>
  <c r="AL138" i="7" s="1"/>
  <c r="AN138" i="7" s="1"/>
  <c r="AP138" i="7" s="1"/>
  <c r="AS138" i="7" s="1"/>
  <c r="AW138" i="7" s="1"/>
  <c r="BA138" i="7" s="1"/>
  <c r="U138" i="7"/>
  <c r="AK138" i="7" s="1"/>
  <c r="AM138" i="7" s="1"/>
  <c r="AO138" i="7" s="1"/>
  <c r="AQ138" i="7" s="1"/>
  <c r="AU138" i="7" s="1"/>
  <c r="AY138" i="7" s="1"/>
  <c r="AJ137" i="7"/>
  <c r="AL137" i="7" s="1"/>
  <c r="AN137" i="7" s="1"/>
  <c r="AP137" i="7" s="1"/>
  <c r="AS137" i="7" s="1"/>
  <c r="AW137" i="7" s="1"/>
  <c r="BA137" i="7" s="1"/>
  <c r="U137" i="7"/>
  <c r="AK137" i="7" s="1"/>
  <c r="AM137" i="7" s="1"/>
  <c r="AO137" i="7" s="1"/>
  <c r="AQ137" i="7" s="1"/>
  <c r="AU137" i="7" s="1"/>
  <c r="AY137" i="7" s="1"/>
  <c r="AJ136" i="7"/>
  <c r="AL136" i="7" s="1"/>
  <c r="AN136" i="7" s="1"/>
  <c r="AP136" i="7" s="1"/>
  <c r="AS136" i="7" s="1"/>
  <c r="AW136" i="7" s="1"/>
  <c r="BA136" i="7" s="1"/>
  <c r="U136" i="7"/>
  <c r="AK136" i="7" s="1"/>
  <c r="AM136" i="7" s="1"/>
  <c r="AO136" i="7" s="1"/>
  <c r="AQ136" i="7" s="1"/>
  <c r="AU136" i="7" s="1"/>
  <c r="AY136" i="7" s="1"/>
  <c r="AJ135" i="7"/>
  <c r="AL135" i="7" s="1"/>
  <c r="AN135" i="7" s="1"/>
  <c r="AP135" i="7" s="1"/>
  <c r="AS135" i="7" s="1"/>
  <c r="AW135" i="7" s="1"/>
  <c r="BA135" i="7" s="1"/>
  <c r="U135" i="7"/>
  <c r="AK135" i="7" s="1"/>
  <c r="AM135" i="7" s="1"/>
  <c r="AO135" i="7" s="1"/>
  <c r="AQ135" i="7" s="1"/>
  <c r="AU135" i="7" s="1"/>
  <c r="AY135" i="7" s="1"/>
  <c r="AJ134" i="7"/>
  <c r="AL134" i="7" s="1"/>
  <c r="AN134" i="7" s="1"/>
  <c r="AP134" i="7" s="1"/>
  <c r="AS134" i="7" s="1"/>
  <c r="AW134" i="7" s="1"/>
  <c r="BA134" i="7" s="1"/>
  <c r="U134" i="7"/>
  <c r="AK134" i="7" s="1"/>
  <c r="AM134" i="7" s="1"/>
  <c r="AO134" i="7" s="1"/>
  <c r="AQ134" i="7" s="1"/>
  <c r="AU134" i="7" s="1"/>
  <c r="AY134" i="7" s="1"/>
  <c r="AJ133" i="7"/>
  <c r="AL133" i="7" s="1"/>
  <c r="AN133" i="7" s="1"/>
  <c r="AP133" i="7" s="1"/>
  <c r="AS133" i="7" s="1"/>
  <c r="AW133" i="7" s="1"/>
  <c r="BA133" i="7" s="1"/>
  <c r="U133" i="7"/>
  <c r="AK133" i="7" s="1"/>
  <c r="AM133" i="7" s="1"/>
  <c r="AO133" i="7" s="1"/>
  <c r="AQ133" i="7" s="1"/>
  <c r="AU133" i="7" s="1"/>
  <c r="AY133" i="7" s="1"/>
  <c r="AP132" i="7"/>
  <c r="AS132" i="7" s="1"/>
  <c r="AW132" i="7" s="1"/>
  <c r="BA132" i="7" s="1"/>
  <c r="AJ132" i="7"/>
  <c r="AL132" i="7" s="1"/>
  <c r="U132" i="7"/>
  <c r="AK132" i="7" s="1"/>
  <c r="AM132" i="7" s="1"/>
  <c r="AO132" i="7" s="1"/>
  <c r="AQ132" i="7" s="1"/>
  <c r="AU132" i="7" s="1"/>
  <c r="AY132" i="7" s="1"/>
  <c r="AK131" i="7"/>
  <c r="AM131" i="7" s="1"/>
  <c r="AO131" i="7" s="1"/>
  <c r="AQ131" i="7" s="1"/>
  <c r="AU131" i="7" s="1"/>
  <c r="AY131" i="7" s="1"/>
  <c r="AJ131" i="7"/>
  <c r="AL131" i="7" s="1"/>
  <c r="AN131" i="7" s="1"/>
  <c r="AP131" i="7" s="1"/>
  <c r="AS131" i="7" s="1"/>
  <c r="AW131" i="7" s="1"/>
  <c r="BA131" i="7" s="1"/>
  <c r="AJ130" i="7"/>
  <c r="AL130" i="7" s="1"/>
  <c r="AN130" i="7" s="1"/>
  <c r="AP130" i="7" s="1"/>
  <c r="AS130" i="7" s="1"/>
  <c r="AW130" i="7" s="1"/>
  <c r="BA130" i="7" s="1"/>
  <c r="U130" i="7"/>
  <c r="AK130" i="7" s="1"/>
  <c r="AM130" i="7" s="1"/>
  <c r="AO130" i="7" s="1"/>
  <c r="AQ130" i="7" s="1"/>
  <c r="AU130" i="7" s="1"/>
  <c r="AY130" i="7" s="1"/>
  <c r="AS129" i="7"/>
  <c r="AW129" i="7" s="1"/>
  <c r="BA129" i="7" s="1"/>
  <c r="AQ129" i="7"/>
  <c r="AU129" i="7" s="1"/>
  <c r="AY129" i="7" s="1"/>
  <c r="AJ128" i="7"/>
  <c r="AL128" i="7" s="1"/>
  <c r="AN128" i="7" s="1"/>
  <c r="AP128" i="7" s="1"/>
  <c r="AS128" i="7" s="1"/>
  <c r="AW128" i="7" s="1"/>
  <c r="BA128" i="7" s="1"/>
  <c r="U128" i="7"/>
  <c r="AK128" i="7" s="1"/>
  <c r="AM128" i="7" s="1"/>
  <c r="AO128" i="7" s="1"/>
  <c r="AQ128" i="7" s="1"/>
  <c r="AU128" i="7" s="1"/>
  <c r="AY128" i="7" s="1"/>
  <c r="AL127" i="7"/>
  <c r="AN127" i="7" s="1"/>
  <c r="AP127" i="7" s="1"/>
  <c r="AS127" i="7" s="1"/>
  <c r="AW127" i="7" s="1"/>
  <c r="BA127" i="7" s="1"/>
  <c r="U127" i="7"/>
  <c r="AK127" i="7" s="1"/>
  <c r="AM127" i="7" s="1"/>
  <c r="AO127" i="7" s="1"/>
  <c r="AQ127" i="7" s="1"/>
  <c r="AU127" i="7" s="1"/>
  <c r="AY127" i="7" s="1"/>
  <c r="AJ126" i="7"/>
  <c r="AL126" i="7" s="1"/>
  <c r="AN126" i="7" s="1"/>
  <c r="AP126" i="7" s="1"/>
  <c r="AS126" i="7" s="1"/>
  <c r="AW126" i="7" s="1"/>
  <c r="BA126" i="7" s="1"/>
  <c r="U126" i="7"/>
  <c r="AK126" i="7" s="1"/>
  <c r="AM126" i="7" s="1"/>
  <c r="AO126" i="7" s="1"/>
  <c r="AQ126" i="7" s="1"/>
  <c r="AU126" i="7" s="1"/>
  <c r="AY126" i="7" s="1"/>
  <c r="AJ125" i="7"/>
  <c r="AL125" i="7" s="1"/>
  <c r="AN125" i="7" s="1"/>
  <c r="AP125" i="7" s="1"/>
  <c r="AS125" i="7" s="1"/>
  <c r="AW125" i="7" s="1"/>
  <c r="BA125" i="7" s="1"/>
  <c r="U125" i="7"/>
  <c r="AK125" i="7" s="1"/>
  <c r="AM125" i="7" s="1"/>
  <c r="AO125" i="7" s="1"/>
  <c r="AQ125" i="7" s="1"/>
  <c r="AU125" i="7" s="1"/>
  <c r="AY125" i="7" s="1"/>
  <c r="AJ124" i="7"/>
  <c r="AL124" i="7" s="1"/>
  <c r="AN124" i="7" s="1"/>
  <c r="AP124" i="7" s="1"/>
  <c r="AS124" i="7" s="1"/>
  <c r="AW124" i="7" s="1"/>
  <c r="BA124" i="7" s="1"/>
  <c r="U124" i="7"/>
  <c r="AK124" i="7" s="1"/>
  <c r="AM124" i="7" s="1"/>
  <c r="AO124" i="7" s="1"/>
  <c r="AQ124" i="7" s="1"/>
  <c r="AU124" i="7" s="1"/>
  <c r="AY124" i="7" s="1"/>
  <c r="AJ123" i="7"/>
  <c r="AL123" i="7" s="1"/>
  <c r="AN123" i="7" s="1"/>
  <c r="AP123" i="7" s="1"/>
  <c r="AS123" i="7" s="1"/>
  <c r="AW123" i="7" s="1"/>
  <c r="BA123" i="7" s="1"/>
  <c r="U123" i="7"/>
  <c r="AK123" i="7" s="1"/>
  <c r="AM123" i="7" s="1"/>
  <c r="AO123" i="7" s="1"/>
  <c r="AQ123" i="7" s="1"/>
  <c r="AU123" i="7" s="1"/>
  <c r="AY123" i="7" s="1"/>
  <c r="AJ122" i="7"/>
  <c r="AL122" i="7" s="1"/>
  <c r="AN122" i="7" s="1"/>
  <c r="AP122" i="7" s="1"/>
  <c r="AS122" i="7" s="1"/>
  <c r="AW122" i="7" s="1"/>
  <c r="BA122" i="7" s="1"/>
  <c r="U122" i="7"/>
  <c r="AK122" i="7" s="1"/>
  <c r="AM122" i="7" s="1"/>
  <c r="AO122" i="7" s="1"/>
  <c r="AQ122" i="7" s="1"/>
  <c r="AU122" i="7" s="1"/>
  <c r="AY122" i="7" s="1"/>
  <c r="AJ121" i="7"/>
  <c r="AL121" i="7" s="1"/>
  <c r="AN121" i="7" s="1"/>
  <c r="AP121" i="7" s="1"/>
  <c r="AS121" i="7" s="1"/>
  <c r="AW121" i="7" s="1"/>
  <c r="BA121" i="7" s="1"/>
  <c r="U121" i="7"/>
  <c r="AK121" i="7" s="1"/>
  <c r="AM121" i="7" s="1"/>
  <c r="AO121" i="7" s="1"/>
  <c r="AQ121" i="7" s="1"/>
  <c r="AU121" i="7" s="1"/>
  <c r="AY121" i="7" s="1"/>
  <c r="AJ120" i="7"/>
  <c r="AL120" i="7" s="1"/>
  <c r="AN120" i="7" s="1"/>
  <c r="AP120" i="7" s="1"/>
  <c r="AS120" i="7" s="1"/>
  <c r="AW120" i="7" s="1"/>
  <c r="BA120" i="7" s="1"/>
  <c r="U120" i="7"/>
  <c r="AK120" i="7" s="1"/>
  <c r="AM120" i="7" s="1"/>
  <c r="AO120" i="7" s="1"/>
  <c r="AQ120" i="7" s="1"/>
  <c r="AU120" i="7" s="1"/>
  <c r="AY120" i="7" s="1"/>
  <c r="AJ119" i="7"/>
  <c r="AL119" i="7" s="1"/>
  <c r="AN119" i="7" s="1"/>
  <c r="AP119" i="7" s="1"/>
  <c r="AS119" i="7" s="1"/>
  <c r="AW119" i="7" s="1"/>
  <c r="BA119" i="7" s="1"/>
  <c r="U119" i="7"/>
  <c r="AK119" i="7" s="1"/>
  <c r="AM119" i="7" s="1"/>
  <c r="AO119" i="7" s="1"/>
  <c r="AQ119" i="7" s="1"/>
  <c r="AU119" i="7" s="1"/>
  <c r="AY119" i="7" s="1"/>
  <c r="AJ118" i="7"/>
  <c r="AL118" i="7" s="1"/>
  <c r="AN118" i="7" s="1"/>
  <c r="AP118" i="7" s="1"/>
  <c r="AS118" i="7" s="1"/>
  <c r="AW118" i="7" s="1"/>
  <c r="BA118" i="7" s="1"/>
  <c r="U118" i="7"/>
  <c r="AK118" i="7" s="1"/>
  <c r="AM118" i="7" s="1"/>
  <c r="AO118" i="7" s="1"/>
  <c r="AQ118" i="7" s="1"/>
  <c r="AU118" i="7" s="1"/>
  <c r="AY118" i="7" s="1"/>
  <c r="AJ117" i="7"/>
  <c r="AL117" i="7" s="1"/>
  <c r="AN117" i="7" s="1"/>
  <c r="AP117" i="7" s="1"/>
  <c r="AS117" i="7" s="1"/>
  <c r="AW117" i="7" s="1"/>
  <c r="BA117" i="7" s="1"/>
  <c r="U117" i="7"/>
  <c r="AK117" i="7" s="1"/>
  <c r="AM117" i="7" s="1"/>
  <c r="AO117" i="7" s="1"/>
  <c r="AQ117" i="7" s="1"/>
  <c r="AU117" i="7" s="1"/>
  <c r="AY117" i="7" s="1"/>
  <c r="AJ116" i="7"/>
  <c r="AL116" i="7" s="1"/>
  <c r="AN116" i="7" s="1"/>
  <c r="AP116" i="7" s="1"/>
  <c r="AS116" i="7" s="1"/>
  <c r="AW116" i="7" s="1"/>
  <c r="BA116" i="7" s="1"/>
  <c r="U116" i="7"/>
  <c r="AK116" i="7" s="1"/>
  <c r="AM116" i="7" s="1"/>
  <c r="AO116" i="7" s="1"/>
  <c r="AQ116" i="7" s="1"/>
  <c r="AU116" i="7" s="1"/>
  <c r="AY116" i="7" s="1"/>
  <c r="AJ115" i="7"/>
  <c r="AL115" i="7" s="1"/>
  <c r="AN115" i="7" s="1"/>
  <c r="AP115" i="7" s="1"/>
  <c r="AS115" i="7" s="1"/>
  <c r="AW115" i="7" s="1"/>
  <c r="BA115" i="7" s="1"/>
  <c r="U115" i="7"/>
  <c r="AK115" i="7" s="1"/>
  <c r="AM115" i="7" s="1"/>
  <c r="AO115" i="7" s="1"/>
  <c r="AQ115" i="7" s="1"/>
  <c r="AU115" i="7" s="1"/>
  <c r="AY115" i="7" s="1"/>
  <c r="AJ114" i="7"/>
  <c r="AL114" i="7" s="1"/>
  <c r="AN114" i="7" s="1"/>
  <c r="AP114" i="7" s="1"/>
  <c r="AS114" i="7" s="1"/>
  <c r="AW114" i="7" s="1"/>
  <c r="BA114" i="7" s="1"/>
  <c r="U114" i="7"/>
  <c r="AK114" i="7" s="1"/>
  <c r="AM114" i="7" s="1"/>
  <c r="AO114" i="7" s="1"/>
  <c r="AQ114" i="7" s="1"/>
  <c r="AU114" i="7" s="1"/>
  <c r="AY114" i="7" s="1"/>
  <c r="AJ113" i="7"/>
  <c r="AL113" i="7" s="1"/>
  <c r="AN113" i="7" s="1"/>
  <c r="AP113" i="7" s="1"/>
  <c r="AS113" i="7" s="1"/>
  <c r="AW113" i="7" s="1"/>
  <c r="BA113" i="7" s="1"/>
  <c r="U113" i="7"/>
  <c r="AK113" i="7" s="1"/>
  <c r="AM113" i="7" s="1"/>
  <c r="AO113" i="7" s="1"/>
  <c r="AQ113" i="7" s="1"/>
  <c r="AU113" i="7" s="1"/>
  <c r="AY113" i="7" s="1"/>
  <c r="AJ112" i="7"/>
  <c r="AL112" i="7" s="1"/>
  <c r="AN112" i="7" s="1"/>
  <c r="AP112" i="7" s="1"/>
  <c r="AS112" i="7" s="1"/>
  <c r="AW112" i="7" s="1"/>
  <c r="BA112" i="7" s="1"/>
  <c r="U112" i="7"/>
  <c r="AK112" i="7" s="1"/>
  <c r="AM112" i="7" s="1"/>
  <c r="AO112" i="7" s="1"/>
  <c r="AQ112" i="7" s="1"/>
  <c r="AU112" i="7" s="1"/>
  <c r="AY112" i="7" s="1"/>
  <c r="AJ111" i="7"/>
  <c r="AL111" i="7" s="1"/>
  <c r="AN111" i="7" s="1"/>
  <c r="AP111" i="7" s="1"/>
  <c r="AS111" i="7" s="1"/>
  <c r="AW111" i="7" s="1"/>
  <c r="BA111" i="7" s="1"/>
  <c r="U111" i="7"/>
  <c r="AK111" i="7" s="1"/>
  <c r="AM111" i="7" s="1"/>
  <c r="AO111" i="7" s="1"/>
  <c r="AQ111" i="7" s="1"/>
  <c r="AU111" i="7" s="1"/>
  <c r="AY111" i="7" s="1"/>
  <c r="AJ110" i="7"/>
  <c r="AL110" i="7" s="1"/>
  <c r="AN110" i="7" s="1"/>
  <c r="AP110" i="7" s="1"/>
  <c r="AS110" i="7" s="1"/>
  <c r="AW110" i="7" s="1"/>
  <c r="BA110" i="7" s="1"/>
  <c r="U110" i="7"/>
  <c r="AK110" i="7" s="1"/>
  <c r="AM110" i="7" s="1"/>
  <c r="AO110" i="7" s="1"/>
  <c r="AQ110" i="7" s="1"/>
  <c r="AU110" i="7" s="1"/>
  <c r="AY110" i="7" s="1"/>
  <c r="AJ109" i="7"/>
  <c r="AL109" i="7" s="1"/>
  <c r="AN109" i="7" s="1"/>
  <c r="AP109" i="7" s="1"/>
  <c r="AS109" i="7" s="1"/>
  <c r="AW109" i="7" s="1"/>
  <c r="BA109" i="7" s="1"/>
  <c r="U109" i="7"/>
  <c r="AK109" i="7" s="1"/>
  <c r="AM109" i="7" s="1"/>
  <c r="AO109" i="7" s="1"/>
  <c r="AQ109" i="7" s="1"/>
  <c r="AU109" i="7" s="1"/>
  <c r="AY109" i="7" s="1"/>
  <c r="AJ108" i="7"/>
  <c r="AL108" i="7" s="1"/>
  <c r="AN108" i="7" s="1"/>
  <c r="AP108" i="7" s="1"/>
  <c r="AS108" i="7" s="1"/>
  <c r="AW108" i="7" s="1"/>
  <c r="BA108" i="7" s="1"/>
  <c r="U108" i="7"/>
  <c r="AK108" i="7" s="1"/>
  <c r="AM108" i="7" s="1"/>
  <c r="AO108" i="7" s="1"/>
  <c r="AQ108" i="7" s="1"/>
  <c r="AU108" i="7" s="1"/>
  <c r="AY108" i="7" s="1"/>
  <c r="AJ107" i="7"/>
  <c r="AL107" i="7" s="1"/>
  <c r="AN107" i="7" s="1"/>
  <c r="AP107" i="7" s="1"/>
  <c r="AS107" i="7" s="1"/>
  <c r="AW107" i="7" s="1"/>
  <c r="BA107" i="7" s="1"/>
  <c r="U107" i="7"/>
  <c r="AK107" i="7" s="1"/>
  <c r="AM107" i="7" s="1"/>
  <c r="AO107" i="7" s="1"/>
  <c r="AQ107" i="7" s="1"/>
  <c r="AU107" i="7" s="1"/>
  <c r="AY107" i="7" s="1"/>
  <c r="AJ106" i="7"/>
  <c r="AL106" i="7" s="1"/>
  <c r="AN106" i="7" s="1"/>
  <c r="AP106" i="7" s="1"/>
  <c r="AS106" i="7" s="1"/>
  <c r="AW106" i="7" s="1"/>
  <c r="BA106" i="7" s="1"/>
  <c r="U106" i="7"/>
  <c r="AK106" i="7" s="1"/>
  <c r="AM106" i="7" s="1"/>
  <c r="AO106" i="7" s="1"/>
  <c r="AQ106" i="7" s="1"/>
  <c r="AU106" i="7" s="1"/>
  <c r="AY106" i="7" s="1"/>
  <c r="AJ105" i="7"/>
  <c r="AL105" i="7" s="1"/>
  <c r="AN105" i="7" s="1"/>
  <c r="AP105" i="7" s="1"/>
  <c r="AS105" i="7" s="1"/>
  <c r="AW105" i="7" s="1"/>
  <c r="BA105" i="7" s="1"/>
  <c r="U105" i="7"/>
  <c r="AK105" i="7" s="1"/>
  <c r="AM105" i="7" s="1"/>
  <c r="AO105" i="7" s="1"/>
  <c r="AQ105" i="7" s="1"/>
  <c r="AU105" i="7" s="1"/>
  <c r="AY105" i="7" s="1"/>
  <c r="AJ104" i="7"/>
  <c r="AL104" i="7" s="1"/>
  <c r="AN104" i="7" s="1"/>
  <c r="AP104" i="7" s="1"/>
  <c r="AS104" i="7" s="1"/>
  <c r="AW104" i="7" s="1"/>
  <c r="BA104" i="7" s="1"/>
  <c r="U104" i="7"/>
  <c r="AK104" i="7" s="1"/>
  <c r="AM104" i="7" s="1"/>
  <c r="AO104" i="7" s="1"/>
  <c r="AQ104" i="7" s="1"/>
  <c r="AU104" i="7" s="1"/>
  <c r="AY104" i="7" s="1"/>
  <c r="AJ103" i="7"/>
  <c r="AL103" i="7" s="1"/>
  <c r="AN103" i="7" s="1"/>
  <c r="AP103" i="7" s="1"/>
  <c r="AS103" i="7" s="1"/>
  <c r="AW103" i="7" s="1"/>
  <c r="BA103" i="7" s="1"/>
  <c r="U103" i="7"/>
  <c r="AK103" i="7" s="1"/>
  <c r="AM103" i="7" s="1"/>
  <c r="AO103" i="7" s="1"/>
  <c r="AQ103" i="7" s="1"/>
  <c r="AU103" i="7" s="1"/>
  <c r="AY103" i="7" s="1"/>
  <c r="AQ102" i="7"/>
  <c r="AU102" i="7" s="1"/>
  <c r="AY102" i="7" s="1"/>
  <c r="AP102" i="7"/>
  <c r="AS102" i="7" s="1"/>
  <c r="AW102" i="7" s="1"/>
  <c r="BA102" i="7" s="1"/>
  <c r="AJ101" i="7"/>
  <c r="AL101" i="7" s="1"/>
  <c r="AN101" i="7" s="1"/>
  <c r="AP101" i="7" s="1"/>
  <c r="AS101" i="7" s="1"/>
  <c r="AW101" i="7" s="1"/>
  <c r="BA101" i="7" s="1"/>
  <c r="U101" i="7"/>
  <c r="AK101" i="7" s="1"/>
  <c r="AM101" i="7" s="1"/>
  <c r="AO101" i="7" s="1"/>
  <c r="AQ101" i="7" s="1"/>
  <c r="AU101" i="7" s="1"/>
  <c r="AY101" i="7" s="1"/>
  <c r="AJ100" i="7"/>
  <c r="AL100" i="7" s="1"/>
  <c r="AN100" i="7" s="1"/>
  <c r="AP100" i="7" s="1"/>
  <c r="AS100" i="7" s="1"/>
  <c r="AW100" i="7" s="1"/>
  <c r="BA100" i="7" s="1"/>
  <c r="U100" i="7"/>
  <c r="AK100" i="7" s="1"/>
  <c r="AM100" i="7" s="1"/>
  <c r="AO100" i="7" s="1"/>
  <c r="AQ100" i="7" s="1"/>
  <c r="AU100" i="7" s="1"/>
  <c r="AY100" i="7" s="1"/>
  <c r="AJ99" i="7"/>
  <c r="AL99" i="7" s="1"/>
  <c r="AN99" i="7" s="1"/>
  <c r="AP99" i="7" s="1"/>
  <c r="AS99" i="7" s="1"/>
  <c r="AW99" i="7" s="1"/>
  <c r="BA99" i="7" s="1"/>
  <c r="U99" i="7"/>
  <c r="AK99" i="7" s="1"/>
  <c r="AM99" i="7" s="1"/>
  <c r="AO99" i="7" s="1"/>
  <c r="AQ99" i="7" s="1"/>
  <c r="AU99" i="7" s="1"/>
  <c r="AY99" i="7" s="1"/>
  <c r="AP98" i="7"/>
  <c r="AS98" i="7" s="1"/>
  <c r="AW98" i="7" s="1"/>
  <c r="BA98" i="7" s="1"/>
  <c r="AJ98" i="7"/>
  <c r="AL98" i="7" s="1"/>
  <c r="U98" i="7"/>
  <c r="AK98" i="7" s="1"/>
  <c r="AM98" i="7" s="1"/>
  <c r="AO98" i="7" s="1"/>
  <c r="AQ98" i="7" s="1"/>
  <c r="AU98" i="7" s="1"/>
  <c r="AY98" i="7" s="1"/>
  <c r="AJ97" i="7"/>
  <c r="AL97" i="7" s="1"/>
  <c r="AN97" i="7" s="1"/>
  <c r="AP97" i="7" s="1"/>
  <c r="AS97" i="7" s="1"/>
  <c r="AW97" i="7" s="1"/>
  <c r="BA97" i="7" s="1"/>
  <c r="U97" i="7"/>
  <c r="AK97" i="7" s="1"/>
  <c r="AM97" i="7" s="1"/>
  <c r="AO97" i="7" s="1"/>
  <c r="AQ97" i="7" s="1"/>
  <c r="AU97" i="7" s="1"/>
  <c r="AY97" i="7" s="1"/>
  <c r="AP96" i="7"/>
  <c r="AS96" i="7" s="1"/>
  <c r="AW96" i="7" s="1"/>
  <c r="BA96" i="7" s="1"/>
  <c r="AJ96" i="7"/>
  <c r="AL96" i="7" s="1"/>
  <c r="U96" i="7"/>
  <c r="AK96" i="7" s="1"/>
  <c r="AM96" i="7" s="1"/>
  <c r="AO96" i="7" s="1"/>
  <c r="AQ96" i="7" s="1"/>
  <c r="AU96" i="7" s="1"/>
  <c r="AY96" i="7" s="1"/>
  <c r="AJ95" i="7"/>
  <c r="AL95" i="7" s="1"/>
  <c r="AN95" i="7" s="1"/>
  <c r="AP95" i="7" s="1"/>
  <c r="AS95" i="7" s="1"/>
  <c r="AW95" i="7" s="1"/>
  <c r="BA95" i="7" s="1"/>
  <c r="U95" i="7"/>
  <c r="AK95" i="7" s="1"/>
  <c r="AM95" i="7" s="1"/>
  <c r="AO95" i="7" s="1"/>
  <c r="AQ95" i="7" s="1"/>
  <c r="AU95" i="7" s="1"/>
  <c r="AY95" i="7" s="1"/>
  <c r="AJ94" i="7"/>
  <c r="AL94" i="7" s="1"/>
  <c r="AN94" i="7" s="1"/>
  <c r="AP94" i="7" s="1"/>
  <c r="AS94" i="7" s="1"/>
  <c r="AW94" i="7" s="1"/>
  <c r="BA94" i="7" s="1"/>
  <c r="U94" i="7"/>
  <c r="AK94" i="7" s="1"/>
  <c r="AM94" i="7" s="1"/>
  <c r="AO94" i="7" s="1"/>
  <c r="AQ94" i="7" s="1"/>
  <c r="AU94" i="7" s="1"/>
  <c r="AY94" i="7" s="1"/>
  <c r="AJ93" i="7"/>
  <c r="AL93" i="7" s="1"/>
  <c r="AN93" i="7" s="1"/>
  <c r="AP93" i="7" s="1"/>
  <c r="AS93" i="7" s="1"/>
  <c r="AW93" i="7" s="1"/>
  <c r="BA93" i="7" s="1"/>
  <c r="U93" i="7"/>
  <c r="AK93" i="7" s="1"/>
  <c r="AM93" i="7" s="1"/>
  <c r="AO93" i="7" s="1"/>
  <c r="AQ93" i="7" s="1"/>
  <c r="AU93" i="7" s="1"/>
  <c r="AY93" i="7" s="1"/>
  <c r="AJ91" i="7"/>
  <c r="AL91" i="7" s="1"/>
  <c r="AN91" i="7" s="1"/>
  <c r="AP91" i="7" s="1"/>
  <c r="AS91" i="7" s="1"/>
  <c r="AW91" i="7" s="1"/>
  <c r="BA91" i="7" s="1"/>
  <c r="U91" i="7"/>
  <c r="AK91" i="7" s="1"/>
  <c r="AM91" i="7" s="1"/>
  <c r="AO91" i="7" s="1"/>
  <c r="AQ91" i="7" s="1"/>
  <c r="AU91" i="7" s="1"/>
  <c r="AY91" i="7" s="1"/>
  <c r="AJ90" i="7"/>
  <c r="AL90" i="7" s="1"/>
  <c r="AN90" i="7" s="1"/>
  <c r="AP90" i="7" s="1"/>
  <c r="AS90" i="7" s="1"/>
  <c r="AW90" i="7" s="1"/>
  <c r="BA90" i="7" s="1"/>
  <c r="U90" i="7"/>
  <c r="AK90" i="7" s="1"/>
  <c r="AM90" i="7" s="1"/>
  <c r="AO90" i="7" s="1"/>
  <c r="AQ90" i="7" s="1"/>
  <c r="AU90" i="7" s="1"/>
  <c r="AY90" i="7" s="1"/>
  <c r="AJ89" i="7"/>
  <c r="AL89" i="7" s="1"/>
  <c r="AN89" i="7" s="1"/>
  <c r="AP89" i="7" s="1"/>
  <c r="AS89" i="7" s="1"/>
  <c r="AW89" i="7" s="1"/>
  <c r="BA89" i="7" s="1"/>
  <c r="U89" i="7"/>
  <c r="AK89" i="7" s="1"/>
  <c r="AM89" i="7" s="1"/>
  <c r="AO89" i="7" s="1"/>
  <c r="AQ89" i="7" s="1"/>
  <c r="AU89" i="7" s="1"/>
  <c r="AY89" i="7" s="1"/>
  <c r="AJ88" i="7"/>
  <c r="AL88" i="7" s="1"/>
  <c r="AN88" i="7" s="1"/>
  <c r="AP88" i="7" s="1"/>
  <c r="AS88" i="7" s="1"/>
  <c r="AW88" i="7" s="1"/>
  <c r="BA88" i="7" s="1"/>
  <c r="U88" i="7"/>
  <c r="AK88" i="7" s="1"/>
  <c r="AM88" i="7" s="1"/>
  <c r="AO88" i="7" s="1"/>
  <c r="AQ88" i="7" s="1"/>
  <c r="AU88" i="7" s="1"/>
  <c r="AY88" i="7" s="1"/>
  <c r="AJ87" i="7"/>
  <c r="AL87" i="7"/>
  <c r="AN87" i="7" s="1"/>
  <c r="AP87" i="7" s="1"/>
  <c r="AS87" i="7" s="1"/>
  <c r="AW87" i="7" s="1"/>
  <c r="BA87" i="7" s="1"/>
  <c r="U87" i="7"/>
  <c r="AK87" i="7" s="1"/>
  <c r="AM87" i="7" s="1"/>
  <c r="AO87" i="7" s="1"/>
  <c r="AQ87" i="7" s="1"/>
  <c r="AU87" i="7" s="1"/>
  <c r="AY87" i="7" s="1"/>
  <c r="AJ86" i="7"/>
  <c r="AL86" i="7" s="1"/>
  <c r="AN86" i="7" s="1"/>
  <c r="AP86" i="7" s="1"/>
  <c r="AS86" i="7" s="1"/>
  <c r="AW86" i="7" s="1"/>
  <c r="BA86" i="7" s="1"/>
  <c r="U86" i="7"/>
  <c r="AK86" i="7" s="1"/>
  <c r="AM86" i="7" s="1"/>
  <c r="AO86" i="7" s="1"/>
  <c r="AQ86" i="7" s="1"/>
  <c r="AU86" i="7" s="1"/>
  <c r="AY86" i="7" s="1"/>
  <c r="AJ85" i="7"/>
  <c r="AL85" i="7" s="1"/>
  <c r="AN85" i="7" s="1"/>
  <c r="AP85" i="7" s="1"/>
  <c r="AS85" i="7" s="1"/>
  <c r="AW85" i="7" s="1"/>
  <c r="BA85" i="7" s="1"/>
  <c r="U85" i="7"/>
  <c r="AK85" i="7" s="1"/>
  <c r="AM85" i="7" s="1"/>
  <c r="AO85" i="7" s="1"/>
  <c r="AQ85" i="7" s="1"/>
  <c r="AU85" i="7" s="1"/>
  <c r="AY85" i="7" s="1"/>
  <c r="AJ195" i="7"/>
  <c r="AL195" i="7" s="1"/>
  <c r="AN195" i="7" s="1"/>
  <c r="AP195" i="7" s="1"/>
  <c r="U195" i="7"/>
  <c r="AK195" i="7" s="1"/>
  <c r="AM195" i="7" s="1"/>
  <c r="AO195" i="7" s="1"/>
  <c r="AQ195" i="7" s="1"/>
  <c r="AU195" i="7" s="1"/>
  <c r="AY195" i="7" s="1"/>
  <c r="AJ83" i="7"/>
  <c r="AL83" i="7" s="1"/>
  <c r="AN83" i="7" s="1"/>
  <c r="AP83" i="7" s="1"/>
  <c r="AS83" i="7" s="1"/>
  <c r="AW83" i="7" s="1"/>
  <c r="BA83" i="7" s="1"/>
  <c r="U83" i="7"/>
  <c r="AK83" i="7" s="1"/>
  <c r="AM83" i="7" s="1"/>
  <c r="AO83" i="7" s="1"/>
  <c r="AQ83" i="7" s="1"/>
  <c r="AU83" i="7" s="1"/>
  <c r="AY83" i="7" s="1"/>
  <c r="AJ82" i="7"/>
  <c r="AL82" i="7" s="1"/>
  <c r="AN82" i="7" s="1"/>
  <c r="AP82" i="7" s="1"/>
  <c r="AS82" i="7" s="1"/>
  <c r="AW82" i="7" s="1"/>
  <c r="BA82" i="7" s="1"/>
  <c r="U82" i="7"/>
  <c r="AK82" i="7" s="1"/>
  <c r="AM82" i="7" s="1"/>
  <c r="AO82" i="7" s="1"/>
  <c r="AQ82" i="7" s="1"/>
  <c r="AU82" i="7" s="1"/>
  <c r="AY82" i="7" s="1"/>
  <c r="AJ81" i="7"/>
  <c r="AL81" i="7" s="1"/>
  <c r="AN81" i="7" s="1"/>
  <c r="AP81" i="7" s="1"/>
  <c r="AS81" i="7" s="1"/>
  <c r="AW81" i="7" s="1"/>
  <c r="BA81" i="7" s="1"/>
  <c r="U81" i="7"/>
  <c r="AK81" i="7" s="1"/>
  <c r="AM81" i="7" s="1"/>
  <c r="AO81" i="7" s="1"/>
  <c r="AQ81" i="7" s="1"/>
  <c r="AU81" i="7" s="1"/>
  <c r="AY81" i="7" s="1"/>
  <c r="AJ80" i="7"/>
  <c r="AL80" i="7" s="1"/>
  <c r="AN80" i="7" s="1"/>
  <c r="AP80" i="7" s="1"/>
  <c r="AS80" i="7" s="1"/>
  <c r="AW80" i="7" s="1"/>
  <c r="BA80" i="7" s="1"/>
  <c r="U80" i="7"/>
  <c r="AK80" i="7" s="1"/>
  <c r="AM80" i="7" s="1"/>
  <c r="AO80" i="7" s="1"/>
  <c r="AQ80" i="7" s="1"/>
  <c r="AU80" i="7" s="1"/>
  <c r="AY80" i="7" s="1"/>
  <c r="AJ79" i="7"/>
  <c r="AL79" i="7" s="1"/>
  <c r="AN79" i="7" s="1"/>
  <c r="AP79" i="7" s="1"/>
  <c r="AS79" i="7" s="1"/>
  <c r="AW79" i="7" s="1"/>
  <c r="BA79" i="7" s="1"/>
  <c r="U79" i="7"/>
  <c r="AK79" i="7" s="1"/>
  <c r="AM79" i="7" s="1"/>
  <c r="AO79" i="7" s="1"/>
  <c r="AQ79" i="7" s="1"/>
  <c r="AU79" i="7" s="1"/>
  <c r="AY79" i="7" s="1"/>
  <c r="AJ78" i="7"/>
  <c r="AL78" i="7" s="1"/>
  <c r="AN78" i="7" s="1"/>
  <c r="AP78" i="7" s="1"/>
  <c r="AS78" i="7" s="1"/>
  <c r="AW78" i="7" s="1"/>
  <c r="BA78" i="7" s="1"/>
  <c r="U78" i="7"/>
  <c r="AK78" i="7" s="1"/>
  <c r="AM78" i="7" s="1"/>
  <c r="AO78" i="7" s="1"/>
  <c r="AQ78" i="7" s="1"/>
  <c r="AU78" i="7" s="1"/>
  <c r="AY78" i="7" s="1"/>
  <c r="AJ77" i="7"/>
  <c r="AL77" i="7" s="1"/>
  <c r="AN77" i="7" s="1"/>
  <c r="AP77" i="7" s="1"/>
  <c r="AS77" i="7" s="1"/>
  <c r="AW77" i="7" s="1"/>
  <c r="BA77" i="7" s="1"/>
  <c r="U77" i="7"/>
  <c r="AK77" i="7" s="1"/>
  <c r="AM77" i="7" s="1"/>
  <c r="AO77" i="7" s="1"/>
  <c r="AQ77" i="7" s="1"/>
  <c r="AU77" i="7" s="1"/>
  <c r="AY77" i="7" s="1"/>
  <c r="AP76" i="7"/>
  <c r="AS76" i="7" s="1"/>
  <c r="AW76" i="7" s="1"/>
  <c r="BA76" i="7" s="1"/>
  <c r="AJ76" i="7"/>
  <c r="AL76" i="7" s="1"/>
  <c r="U76" i="7"/>
  <c r="AK76" i="7" s="1"/>
  <c r="AM76" i="7" s="1"/>
  <c r="AO76" i="7" s="1"/>
  <c r="AQ76" i="7" s="1"/>
  <c r="AU76" i="7" s="1"/>
  <c r="AY76" i="7" s="1"/>
  <c r="AJ75" i="7"/>
  <c r="AL75" i="7" s="1"/>
  <c r="AN75" i="7" s="1"/>
  <c r="AP75" i="7" s="1"/>
  <c r="AS75" i="7" s="1"/>
  <c r="AW75" i="7" s="1"/>
  <c r="BA75" i="7" s="1"/>
  <c r="U75" i="7"/>
  <c r="AK75" i="7" s="1"/>
  <c r="AM75" i="7" s="1"/>
  <c r="AO75" i="7" s="1"/>
  <c r="AQ75" i="7" s="1"/>
  <c r="AU75" i="7" s="1"/>
  <c r="AY75" i="7" s="1"/>
  <c r="AJ74" i="7"/>
  <c r="AL74" i="7" s="1"/>
  <c r="AN74" i="7" s="1"/>
  <c r="AP74" i="7" s="1"/>
  <c r="AS74" i="7" s="1"/>
  <c r="AW74" i="7" s="1"/>
  <c r="BA74" i="7" s="1"/>
  <c r="U74" i="7"/>
  <c r="AK74" i="7" s="1"/>
  <c r="AM74" i="7" s="1"/>
  <c r="AO74" i="7" s="1"/>
  <c r="AQ74" i="7" s="1"/>
  <c r="AU74" i="7" s="1"/>
  <c r="AY74" i="7" s="1"/>
  <c r="AJ73" i="7"/>
  <c r="AL73" i="7" s="1"/>
  <c r="AN73" i="7" s="1"/>
  <c r="AP73" i="7" s="1"/>
  <c r="AS73" i="7" s="1"/>
  <c r="AW73" i="7" s="1"/>
  <c r="BA73" i="7" s="1"/>
  <c r="U73" i="7"/>
  <c r="AK73" i="7" s="1"/>
  <c r="AM73" i="7" s="1"/>
  <c r="AO73" i="7" s="1"/>
  <c r="AQ73" i="7" s="1"/>
  <c r="AU73" i="7" s="1"/>
  <c r="AY73" i="7" s="1"/>
  <c r="AJ72" i="7"/>
  <c r="AL72" i="7" s="1"/>
  <c r="AN72" i="7" s="1"/>
  <c r="AP72" i="7" s="1"/>
  <c r="AS72" i="7" s="1"/>
  <c r="AW72" i="7" s="1"/>
  <c r="BA72" i="7" s="1"/>
  <c r="U72" i="7"/>
  <c r="AK72" i="7" s="1"/>
  <c r="AM72" i="7" s="1"/>
  <c r="AO72" i="7" s="1"/>
  <c r="AQ72" i="7" s="1"/>
  <c r="AU72" i="7" s="1"/>
  <c r="AY72" i="7" s="1"/>
  <c r="AJ71" i="7"/>
  <c r="AL71" i="7" s="1"/>
  <c r="AN71" i="7" s="1"/>
  <c r="AP71" i="7" s="1"/>
  <c r="AS71" i="7" s="1"/>
  <c r="AW71" i="7" s="1"/>
  <c r="BA71" i="7" s="1"/>
  <c r="U71" i="7"/>
  <c r="AK71" i="7" s="1"/>
  <c r="AM71" i="7" s="1"/>
  <c r="AO71" i="7" s="1"/>
  <c r="AQ71" i="7" s="1"/>
  <c r="AU71" i="7" s="1"/>
  <c r="AY71" i="7" s="1"/>
  <c r="AJ70" i="7"/>
  <c r="AL70" i="7" s="1"/>
  <c r="AN70" i="7" s="1"/>
  <c r="AP70" i="7" s="1"/>
  <c r="AS70" i="7" s="1"/>
  <c r="AW70" i="7" s="1"/>
  <c r="BA70" i="7" s="1"/>
  <c r="U70" i="7"/>
  <c r="AK70" i="7" s="1"/>
  <c r="AM70" i="7" s="1"/>
  <c r="AO70" i="7" s="1"/>
  <c r="AQ70" i="7" s="1"/>
  <c r="AU70" i="7" s="1"/>
  <c r="AY70" i="7" s="1"/>
  <c r="AJ69" i="7"/>
  <c r="AL69" i="7" s="1"/>
  <c r="AN69" i="7" s="1"/>
  <c r="AP69" i="7" s="1"/>
  <c r="AS69" i="7" s="1"/>
  <c r="AW69" i="7" s="1"/>
  <c r="BA69" i="7" s="1"/>
  <c r="U69" i="7"/>
  <c r="AK69" i="7" s="1"/>
  <c r="AM69" i="7" s="1"/>
  <c r="AO69" i="7" s="1"/>
  <c r="AQ69" i="7" s="1"/>
  <c r="AU69" i="7" s="1"/>
  <c r="AY69" i="7" s="1"/>
  <c r="AJ68" i="7"/>
  <c r="AL68" i="7" s="1"/>
  <c r="AN68" i="7" s="1"/>
  <c r="AP68" i="7" s="1"/>
  <c r="AS68" i="7" s="1"/>
  <c r="AW68" i="7" s="1"/>
  <c r="BA68" i="7" s="1"/>
  <c r="U68" i="7"/>
  <c r="AK68" i="7" s="1"/>
  <c r="AM68" i="7" s="1"/>
  <c r="AO68" i="7" s="1"/>
  <c r="AQ68" i="7" s="1"/>
  <c r="AU68" i="7" s="1"/>
  <c r="AY68" i="7" s="1"/>
  <c r="AJ67" i="7"/>
  <c r="AL67" i="7" s="1"/>
  <c r="AN67" i="7" s="1"/>
  <c r="AP67" i="7" s="1"/>
  <c r="AS67" i="7" s="1"/>
  <c r="AW67" i="7" s="1"/>
  <c r="BA67" i="7" s="1"/>
  <c r="U67" i="7"/>
  <c r="AK67" i="7" s="1"/>
  <c r="AM67" i="7" s="1"/>
  <c r="AO67" i="7" s="1"/>
  <c r="AQ67" i="7" s="1"/>
  <c r="AU67" i="7" s="1"/>
  <c r="AY67" i="7" s="1"/>
  <c r="AJ66" i="7"/>
  <c r="AL66" i="7" s="1"/>
  <c r="AN66" i="7" s="1"/>
  <c r="AP66" i="7" s="1"/>
  <c r="AS66" i="7" s="1"/>
  <c r="AW66" i="7" s="1"/>
  <c r="BA66" i="7" s="1"/>
  <c r="U66" i="7"/>
  <c r="AK66" i="7" s="1"/>
  <c r="AM66" i="7" s="1"/>
  <c r="AO66" i="7" s="1"/>
  <c r="AQ66" i="7" s="1"/>
  <c r="AU66" i="7" s="1"/>
  <c r="AY66" i="7" s="1"/>
  <c r="AJ65" i="7"/>
  <c r="AL65" i="7" s="1"/>
  <c r="AN65" i="7" s="1"/>
  <c r="AP65" i="7" s="1"/>
  <c r="AS65" i="7" s="1"/>
  <c r="AW65" i="7" s="1"/>
  <c r="BA65" i="7" s="1"/>
  <c r="U65" i="7"/>
  <c r="AK65" i="7" s="1"/>
  <c r="AM65" i="7" s="1"/>
  <c r="AO65" i="7" s="1"/>
  <c r="AQ65" i="7" s="1"/>
  <c r="AU65" i="7" s="1"/>
  <c r="AY65" i="7" s="1"/>
  <c r="AJ64" i="7"/>
  <c r="AL64" i="7" s="1"/>
  <c r="AN64" i="7" s="1"/>
  <c r="AP64" i="7" s="1"/>
  <c r="AS64" i="7" s="1"/>
  <c r="AW64" i="7" s="1"/>
  <c r="BA64" i="7" s="1"/>
  <c r="U64" i="7"/>
  <c r="AK64" i="7" s="1"/>
  <c r="AM64" i="7" s="1"/>
  <c r="AO64" i="7" s="1"/>
  <c r="AQ64" i="7" s="1"/>
  <c r="AU64" i="7" s="1"/>
  <c r="AY64" i="7" s="1"/>
  <c r="AJ63" i="7"/>
  <c r="AL63" i="7" s="1"/>
  <c r="AN63" i="7" s="1"/>
  <c r="AP63" i="7" s="1"/>
  <c r="AS63" i="7" s="1"/>
  <c r="AW63" i="7" s="1"/>
  <c r="BA63" i="7" s="1"/>
  <c r="U63" i="7"/>
  <c r="AK63" i="7" s="1"/>
  <c r="AM63" i="7" s="1"/>
  <c r="AO63" i="7" s="1"/>
  <c r="AQ63" i="7" s="1"/>
  <c r="AU63" i="7" s="1"/>
  <c r="AY63" i="7" s="1"/>
  <c r="AJ62" i="7"/>
  <c r="AL62" i="7" s="1"/>
  <c r="AN62" i="7" s="1"/>
  <c r="AP62" i="7" s="1"/>
  <c r="AS62" i="7" s="1"/>
  <c r="AW62" i="7" s="1"/>
  <c r="BA62" i="7" s="1"/>
  <c r="U62" i="7"/>
  <c r="AK62" i="7" s="1"/>
  <c r="AM62" i="7" s="1"/>
  <c r="AO62" i="7" s="1"/>
  <c r="AQ62" i="7" s="1"/>
  <c r="AU62" i="7" s="1"/>
  <c r="AY62" i="7" s="1"/>
  <c r="AP61" i="7"/>
  <c r="AS61" i="7" s="1"/>
  <c r="AW61" i="7" s="1"/>
  <c r="BA61" i="7" s="1"/>
  <c r="AJ61" i="7"/>
  <c r="AL61" i="7" s="1"/>
  <c r="U61" i="7"/>
  <c r="AK61" i="7" s="1"/>
  <c r="AM61" i="7" s="1"/>
  <c r="AO61" i="7" s="1"/>
  <c r="AQ61" i="7" s="1"/>
  <c r="AU61" i="7" s="1"/>
  <c r="AY61" i="7" s="1"/>
  <c r="AJ60" i="7"/>
  <c r="AL60" i="7" s="1"/>
  <c r="AN60" i="7" s="1"/>
  <c r="U60" i="7"/>
  <c r="AK60" i="7" s="1"/>
  <c r="AM60" i="7" s="1"/>
  <c r="AJ59" i="7"/>
  <c r="AL59" i="7" s="1"/>
  <c r="AN59" i="7" s="1"/>
  <c r="AP59" i="7" s="1"/>
  <c r="AS59" i="7" s="1"/>
  <c r="AW59" i="7" s="1"/>
  <c r="BA59" i="7" s="1"/>
  <c r="U59" i="7"/>
  <c r="AK59" i="7" s="1"/>
  <c r="AM59" i="7" s="1"/>
  <c r="AO59" i="7" s="1"/>
  <c r="AQ59" i="7" s="1"/>
  <c r="AU59" i="7" s="1"/>
  <c r="AY59" i="7" s="1"/>
  <c r="AJ58" i="7"/>
  <c r="AL58" i="7" s="1"/>
  <c r="AN58" i="7" s="1"/>
  <c r="AP58" i="7" s="1"/>
  <c r="AS58" i="7" s="1"/>
  <c r="AW58" i="7" s="1"/>
  <c r="BA58" i="7" s="1"/>
  <c r="U58" i="7"/>
  <c r="AK58" i="7" s="1"/>
  <c r="AM58" i="7" s="1"/>
  <c r="AO58" i="7" s="1"/>
  <c r="AQ58" i="7" s="1"/>
  <c r="AU58" i="7" s="1"/>
  <c r="AY58" i="7" s="1"/>
  <c r="AJ57" i="7"/>
  <c r="AL57" i="7" s="1"/>
  <c r="AN57" i="7" s="1"/>
  <c r="AP57" i="7" s="1"/>
  <c r="AS57" i="7" s="1"/>
  <c r="AW57" i="7" s="1"/>
  <c r="BA57" i="7" s="1"/>
  <c r="U57" i="7"/>
  <c r="AK57" i="7" s="1"/>
  <c r="AM57" i="7" s="1"/>
  <c r="AO57" i="7" s="1"/>
  <c r="AQ57" i="7" s="1"/>
  <c r="AU57" i="7" s="1"/>
  <c r="AY57" i="7" s="1"/>
  <c r="AJ56" i="7"/>
  <c r="AL56" i="7" s="1"/>
  <c r="AN56" i="7" s="1"/>
  <c r="AP56" i="7" s="1"/>
  <c r="AS56" i="7" s="1"/>
  <c r="AW56" i="7" s="1"/>
  <c r="BA56" i="7" s="1"/>
  <c r="U56" i="7"/>
  <c r="AK56" i="7" s="1"/>
  <c r="AM56" i="7" s="1"/>
  <c r="AO56" i="7" s="1"/>
  <c r="AQ56" i="7" s="1"/>
  <c r="AU56" i="7" s="1"/>
  <c r="AY56" i="7" s="1"/>
  <c r="AJ55" i="7"/>
  <c r="AL55" i="7" s="1"/>
  <c r="AN55" i="7" s="1"/>
  <c r="AP55" i="7" s="1"/>
  <c r="AS55" i="7" s="1"/>
  <c r="AW55" i="7" s="1"/>
  <c r="BA55" i="7" s="1"/>
  <c r="U55" i="7"/>
  <c r="AK55" i="7" s="1"/>
  <c r="AM55" i="7" s="1"/>
  <c r="AO55" i="7" s="1"/>
  <c r="AQ55" i="7" s="1"/>
  <c r="AU55" i="7" s="1"/>
  <c r="AY55" i="7" s="1"/>
  <c r="AJ54" i="7"/>
  <c r="AL54" i="7" s="1"/>
  <c r="AN54" i="7" s="1"/>
  <c r="AP54" i="7" s="1"/>
  <c r="AS54" i="7" s="1"/>
  <c r="AW54" i="7" s="1"/>
  <c r="BA54" i="7" s="1"/>
  <c r="U54" i="7"/>
  <c r="AK54" i="7" s="1"/>
  <c r="AM54" i="7" s="1"/>
  <c r="AO54" i="7" s="1"/>
  <c r="AQ54" i="7" s="1"/>
  <c r="AU54" i="7" s="1"/>
  <c r="AY54" i="7" s="1"/>
  <c r="AJ53" i="7"/>
  <c r="AL53" i="7" s="1"/>
  <c r="AN53" i="7" s="1"/>
  <c r="AP53" i="7" s="1"/>
  <c r="AS53" i="7" s="1"/>
  <c r="AW53" i="7" s="1"/>
  <c r="BA53" i="7" s="1"/>
  <c r="U53" i="7"/>
  <c r="AK53" i="7" s="1"/>
  <c r="AM53" i="7" s="1"/>
  <c r="AO53" i="7" s="1"/>
  <c r="AQ53" i="7" s="1"/>
  <c r="AU53" i="7" s="1"/>
  <c r="AY53" i="7" s="1"/>
  <c r="AJ52" i="7"/>
  <c r="AL52" i="7" s="1"/>
  <c r="AN52" i="7" s="1"/>
  <c r="AP52" i="7" s="1"/>
  <c r="AS52" i="7" s="1"/>
  <c r="AW52" i="7" s="1"/>
  <c r="BA52" i="7" s="1"/>
  <c r="U52" i="7"/>
  <c r="AK52" i="7" s="1"/>
  <c r="AM52" i="7" s="1"/>
  <c r="AO52" i="7" s="1"/>
  <c r="AQ52" i="7" s="1"/>
  <c r="AU52" i="7" s="1"/>
  <c r="AY52" i="7" s="1"/>
  <c r="AJ51" i="7"/>
  <c r="AL51" i="7" s="1"/>
  <c r="AN51" i="7" s="1"/>
  <c r="AP51" i="7" s="1"/>
  <c r="AS51" i="7" s="1"/>
  <c r="AW51" i="7" s="1"/>
  <c r="BA51" i="7" s="1"/>
  <c r="U51" i="7"/>
  <c r="AK51" i="7" s="1"/>
  <c r="AM51" i="7" s="1"/>
  <c r="AO51" i="7" s="1"/>
  <c r="AQ51" i="7" s="1"/>
  <c r="AU51" i="7" s="1"/>
  <c r="AY51" i="7" s="1"/>
  <c r="AJ50" i="7"/>
  <c r="AL50" i="7" s="1"/>
  <c r="AN50" i="7" s="1"/>
  <c r="AP50" i="7" s="1"/>
  <c r="AS50" i="7" s="1"/>
  <c r="AW50" i="7" s="1"/>
  <c r="BA50" i="7" s="1"/>
  <c r="U50" i="7"/>
  <c r="AK50" i="7" s="1"/>
  <c r="AM50" i="7" s="1"/>
  <c r="AO50" i="7" s="1"/>
  <c r="AQ50" i="7" s="1"/>
  <c r="AU50" i="7" s="1"/>
  <c r="AY50" i="7" s="1"/>
  <c r="AP49" i="7"/>
  <c r="AS49" i="7" s="1"/>
  <c r="AW49" i="7" s="1"/>
  <c r="BA49" i="7" s="1"/>
  <c r="AO49" i="7"/>
  <c r="AQ49" i="7" s="1"/>
  <c r="AU49" i="7" s="1"/>
  <c r="AY49" i="7" s="1"/>
  <c r="AJ48" i="7"/>
  <c r="AL48" i="7" s="1"/>
  <c r="AN48" i="7" s="1"/>
  <c r="AP48" i="7" s="1"/>
  <c r="AS48" i="7" s="1"/>
  <c r="AW48" i="7" s="1"/>
  <c r="BA48" i="7" s="1"/>
  <c r="U48" i="7"/>
  <c r="AK48" i="7" s="1"/>
  <c r="AM48" i="7" s="1"/>
  <c r="AO48" i="7" s="1"/>
  <c r="AQ48" i="7" s="1"/>
  <c r="AU48" i="7" s="1"/>
  <c r="AY48" i="7" s="1"/>
  <c r="AP47" i="7"/>
  <c r="AS47" i="7" s="1"/>
  <c r="AW47" i="7" s="1"/>
  <c r="BA47" i="7" s="1"/>
  <c r="AJ47" i="7"/>
  <c r="AL47" i="7" s="1"/>
  <c r="U47" i="7"/>
  <c r="AK47" i="7" s="1"/>
  <c r="AM47" i="7" s="1"/>
  <c r="AO47" i="7" s="1"/>
  <c r="AQ47" i="7" s="1"/>
  <c r="AU47" i="7" s="1"/>
  <c r="AY47" i="7" s="1"/>
  <c r="AJ46" i="7"/>
  <c r="AL46" i="7" s="1"/>
  <c r="AN46" i="7" s="1"/>
  <c r="AP46" i="7" s="1"/>
  <c r="AS46" i="7" s="1"/>
  <c r="AW46" i="7" s="1"/>
  <c r="BA46" i="7" s="1"/>
  <c r="U46" i="7"/>
  <c r="AK46" i="7" s="1"/>
  <c r="AM46" i="7" s="1"/>
  <c r="AO46" i="7" s="1"/>
  <c r="AQ46" i="7" s="1"/>
  <c r="AU46" i="7" s="1"/>
  <c r="AY46" i="7" s="1"/>
  <c r="AJ45" i="7"/>
  <c r="AL45" i="7" s="1"/>
  <c r="AN45" i="7" s="1"/>
  <c r="AP45" i="7" s="1"/>
  <c r="AS45" i="7" s="1"/>
  <c r="AW45" i="7" s="1"/>
  <c r="BA45" i="7" s="1"/>
  <c r="U45" i="7"/>
  <c r="AK45" i="7" s="1"/>
  <c r="AM45" i="7" s="1"/>
  <c r="AO45" i="7" s="1"/>
  <c r="AQ45" i="7" s="1"/>
  <c r="AU45" i="7" s="1"/>
  <c r="AY45" i="7" s="1"/>
  <c r="AJ44" i="7"/>
  <c r="AL44" i="7" s="1"/>
  <c r="AN44" i="7" s="1"/>
  <c r="AP44" i="7" s="1"/>
  <c r="AS44" i="7" s="1"/>
  <c r="AW44" i="7" s="1"/>
  <c r="BA44" i="7" s="1"/>
  <c r="U44" i="7"/>
  <c r="AK44" i="7" s="1"/>
  <c r="AM44" i="7" s="1"/>
  <c r="AO44" i="7" s="1"/>
  <c r="AQ44" i="7" s="1"/>
  <c r="AU44" i="7" s="1"/>
  <c r="AY44" i="7" s="1"/>
  <c r="AP43" i="7"/>
  <c r="AS43" i="7" s="1"/>
  <c r="AW43" i="7" s="1"/>
  <c r="BA43" i="7" s="1"/>
  <c r="AO43" i="7"/>
  <c r="AQ43" i="7" s="1"/>
  <c r="AU43" i="7" s="1"/>
  <c r="AY43" i="7" s="1"/>
  <c r="AJ42" i="7"/>
  <c r="AL42" i="7" s="1"/>
  <c r="AN42" i="7" s="1"/>
  <c r="AP42" i="7" s="1"/>
  <c r="AS42" i="7" s="1"/>
  <c r="AW42" i="7" s="1"/>
  <c r="BA42" i="7" s="1"/>
  <c r="U42" i="7"/>
  <c r="AK42" i="7" s="1"/>
  <c r="AM42" i="7" s="1"/>
  <c r="AO42" i="7" s="1"/>
  <c r="AQ42" i="7" s="1"/>
  <c r="AU42" i="7" s="1"/>
  <c r="AY42" i="7" s="1"/>
  <c r="AJ41" i="7"/>
  <c r="AL41" i="7" s="1"/>
  <c r="AN41" i="7" s="1"/>
  <c r="AP41" i="7" s="1"/>
  <c r="AS41" i="7" s="1"/>
  <c r="AW41" i="7" s="1"/>
  <c r="BA41" i="7" s="1"/>
  <c r="U41" i="7"/>
  <c r="AK41" i="7" s="1"/>
  <c r="AM41" i="7" s="1"/>
  <c r="AO41" i="7" s="1"/>
  <c r="AQ41" i="7" s="1"/>
  <c r="AU41" i="7" s="1"/>
  <c r="AY41" i="7" s="1"/>
  <c r="AJ40" i="7"/>
  <c r="AL40" i="7" s="1"/>
  <c r="AN40" i="7" s="1"/>
  <c r="AP40" i="7" s="1"/>
  <c r="AS40" i="7" s="1"/>
  <c r="AW40" i="7" s="1"/>
  <c r="BA40" i="7" s="1"/>
  <c r="U40" i="7"/>
  <c r="AK40" i="7" s="1"/>
  <c r="AM40" i="7" s="1"/>
  <c r="AO40" i="7" s="1"/>
  <c r="AQ40" i="7" s="1"/>
  <c r="AU40" i="7" s="1"/>
  <c r="AY40" i="7" s="1"/>
  <c r="AJ39" i="7"/>
  <c r="AL39" i="7" s="1"/>
  <c r="AN39" i="7" s="1"/>
  <c r="AP39" i="7" s="1"/>
  <c r="AS39" i="7" s="1"/>
  <c r="AW39" i="7" s="1"/>
  <c r="BA39" i="7" s="1"/>
  <c r="U39" i="7"/>
  <c r="AK39" i="7" s="1"/>
  <c r="AM39" i="7" s="1"/>
  <c r="AO39" i="7" s="1"/>
  <c r="AQ39" i="7" s="1"/>
  <c r="AU39" i="7" s="1"/>
  <c r="AY39" i="7" s="1"/>
  <c r="AJ38" i="7"/>
  <c r="AL38" i="7" s="1"/>
  <c r="AN38" i="7" s="1"/>
  <c r="AP38" i="7" s="1"/>
  <c r="AS38" i="7" s="1"/>
  <c r="AW38" i="7" s="1"/>
  <c r="BA38" i="7" s="1"/>
  <c r="U38" i="7"/>
  <c r="AK38" i="7" s="1"/>
  <c r="AM38" i="7" s="1"/>
  <c r="AO38" i="7" s="1"/>
  <c r="AQ38" i="7" s="1"/>
  <c r="AU38" i="7" s="1"/>
  <c r="AY38" i="7" s="1"/>
  <c r="AJ37" i="7"/>
  <c r="AL37" i="7" s="1"/>
  <c r="AN37" i="7" s="1"/>
  <c r="AP37" i="7" s="1"/>
  <c r="AS37" i="7" s="1"/>
  <c r="AW37" i="7" s="1"/>
  <c r="BA37" i="7" s="1"/>
  <c r="U37" i="7"/>
  <c r="AK37" i="7" s="1"/>
  <c r="AM37" i="7" s="1"/>
  <c r="AO37" i="7" s="1"/>
  <c r="AQ37" i="7" s="1"/>
  <c r="AU37" i="7" s="1"/>
  <c r="AY37" i="7" s="1"/>
  <c r="AJ36" i="7"/>
  <c r="AL36" i="7" s="1"/>
  <c r="AN36" i="7" s="1"/>
  <c r="AP36" i="7" s="1"/>
  <c r="AS36" i="7" s="1"/>
  <c r="AW36" i="7" s="1"/>
  <c r="BA36" i="7" s="1"/>
  <c r="U36" i="7"/>
  <c r="AK36" i="7" s="1"/>
  <c r="AM36" i="7" s="1"/>
  <c r="AO36" i="7" s="1"/>
  <c r="AQ36" i="7" s="1"/>
  <c r="AU36" i="7" s="1"/>
  <c r="AY36" i="7" s="1"/>
  <c r="AJ35" i="7"/>
  <c r="AL35" i="7" s="1"/>
  <c r="AN35" i="7" s="1"/>
  <c r="AP35" i="7" s="1"/>
  <c r="AS35" i="7" s="1"/>
  <c r="AW35" i="7" s="1"/>
  <c r="BA35" i="7" s="1"/>
  <c r="U35" i="7"/>
  <c r="AK35" i="7" s="1"/>
  <c r="AM35" i="7" s="1"/>
  <c r="AO35" i="7" s="1"/>
  <c r="AQ35" i="7" s="1"/>
  <c r="AU35" i="7" s="1"/>
  <c r="AY35" i="7" s="1"/>
  <c r="AJ34" i="7"/>
  <c r="AL34" i="7" s="1"/>
  <c r="AN34" i="7" s="1"/>
  <c r="AP34" i="7" s="1"/>
  <c r="AS34" i="7" s="1"/>
  <c r="AW34" i="7" s="1"/>
  <c r="BA34" i="7" s="1"/>
  <c r="U34" i="7"/>
  <c r="AK34" i="7" s="1"/>
  <c r="AM34" i="7" s="1"/>
  <c r="AO34" i="7" s="1"/>
  <c r="AQ34" i="7" s="1"/>
  <c r="AU34" i="7" s="1"/>
  <c r="AY34" i="7" s="1"/>
  <c r="AJ33" i="7"/>
  <c r="AL33" i="7" s="1"/>
  <c r="AN33" i="7" s="1"/>
  <c r="AP33" i="7" s="1"/>
  <c r="AS33" i="7" s="1"/>
  <c r="AW33" i="7" s="1"/>
  <c r="BA33" i="7" s="1"/>
  <c r="U33" i="7"/>
  <c r="AK33" i="7" s="1"/>
  <c r="AM33" i="7" s="1"/>
  <c r="AO33" i="7" s="1"/>
  <c r="AQ33" i="7" s="1"/>
  <c r="AU33" i="7" s="1"/>
  <c r="AY33" i="7" s="1"/>
  <c r="AP32" i="7"/>
  <c r="AS32" i="7" s="1"/>
  <c r="AW32" i="7" s="1"/>
  <c r="BA32" i="7" s="1"/>
  <c r="AJ32" i="7"/>
  <c r="AL32" i="7" s="1"/>
  <c r="U32" i="7"/>
  <c r="AK32" i="7" s="1"/>
  <c r="AM32" i="7" s="1"/>
  <c r="AO32" i="7" s="1"/>
  <c r="AQ32" i="7" s="1"/>
  <c r="AU32" i="7" s="1"/>
  <c r="AY32" i="7" s="1"/>
  <c r="AJ31" i="7"/>
  <c r="AL31" i="7" s="1"/>
  <c r="AN31" i="7" s="1"/>
  <c r="AP31" i="7" s="1"/>
  <c r="AS31" i="7" s="1"/>
  <c r="AW31" i="7" s="1"/>
  <c r="BA31" i="7" s="1"/>
  <c r="U31" i="7"/>
  <c r="AK31" i="7" s="1"/>
  <c r="AM31" i="7" s="1"/>
  <c r="AO31" i="7" s="1"/>
  <c r="AQ31" i="7" s="1"/>
  <c r="AU31" i="7" s="1"/>
  <c r="AY31" i="7" s="1"/>
  <c r="AJ30" i="7"/>
  <c r="AL30" i="7" s="1"/>
  <c r="AN30" i="7" s="1"/>
  <c r="AP30" i="7" s="1"/>
  <c r="AS30" i="7" s="1"/>
  <c r="AW30" i="7" s="1"/>
  <c r="BA30" i="7" s="1"/>
  <c r="U30" i="7"/>
  <c r="AK30" i="7" s="1"/>
  <c r="AM30" i="7" s="1"/>
  <c r="AO30" i="7" s="1"/>
  <c r="AQ30" i="7" s="1"/>
  <c r="AU30" i="7" s="1"/>
  <c r="AY30" i="7" s="1"/>
  <c r="AJ28" i="7"/>
  <c r="AL28" i="7" s="1"/>
  <c r="AN28" i="7" s="1"/>
  <c r="AP28" i="7" s="1"/>
  <c r="AS28" i="7" s="1"/>
  <c r="AW28" i="7" s="1"/>
  <c r="BA28" i="7" s="1"/>
  <c r="U28" i="7"/>
  <c r="AK28" i="7" s="1"/>
  <c r="AM28" i="7" s="1"/>
  <c r="AO28" i="7" s="1"/>
  <c r="AQ28" i="7" s="1"/>
  <c r="AU28" i="7" s="1"/>
  <c r="AY28" i="7" s="1"/>
  <c r="AJ27" i="7"/>
  <c r="AL27" i="7" s="1"/>
  <c r="AN27" i="7" s="1"/>
  <c r="AP27" i="7" s="1"/>
  <c r="AS27" i="7" s="1"/>
  <c r="AW27" i="7" s="1"/>
  <c r="BA27" i="7" s="1"/>
  <c r="U27" i="7"/>
  <c r="AK27" i="7" s="1"/>
  <c r="AM27" i="7" s="1"/>
  <c r="AO27" i="7" s="1"/>
  <c r="AQ27" i="7" s="1"/>
  <c r="AU27" i="7" s="1"/>
  <c r="AY27" i="7" s="1"/>
  <c r="AJ26" i="7"/>
  <c r="AL26" i="7" s="1"/>
  <c r="AN26" i="7" s="1"/>
  <c r="AP26" i="7" s="1"/>
  <c r="AS26" i="7" s="1"/>
  <c r="AW26" i="7" s="1"/>
  <c r="BA26" i="7" s="1"/>
  <c r="U26" i="7"/>
  <c r="AK26" i="7" s="1"/>
  <c r="AM26" i="7" s="1"/>
  <c r="AO26" i="7" s="1"/>
  <c r="AQ26" i="7" s="1"/>
  <c r="AU26" i="7" s="1"/>
  <c r="AY26" i="7" s="1"/>
  <c r="AJ25" i="7"/>
  <c r="AL25" i="7" s="1"/>
  <c r="AN25" i="7" s="1"/>
  <c r="AP25" i="7" s="1"/>
  <c r="AS25" i="7" s="1"/>
  <c r="AW25" i="7" s="1"/>
  <c r="BA25" i="7" s="1"/>
  <c r="U25" i="7"/>
  <c r="AK25" i="7" s="1"/>
  <c r="AM25" i="7" s="1"/>
  <c r="AO25" i="7" s="1"/>
  <c r="AQ25" i="7" s="1"/>
  <c r="AU25" i="7" s="1"/>
  <c r="AY25" i="7" s="1"/>
  <c r="AJ24" i="7"/>
  <c r="AL24" i="7" s="1"/>
  <c r="AN24" i="7" s="1"/>
  <c r="AP24" i="7" s="1"/>
  <c r="AS24" i="7" s="1"/>
  <c r="AW24" i="7" s="1"/>
  <c r="BA24" i="7" s="1"/>
  <c r="U24" i="7"/>
  <c r="AK24" i="7" s="1"/>
  <c r="AM24" i="7" s="1"/>
  <c r="AO24" i="7" s="1"/>
  <c r="AQ24" i="7" s="1"/>
  <c r="AU24" i="7" s="1"/>
  <c r="AY24" i="7" s="1"/>
  <c r="AJ23" i="7"/>
  <c r="AL23" i="7" s="1"/>
  <c r="AN23" i="7" s="1"/>
  <c r="AP23" i="7" s="1"/>
  <c r="AS23" i="7" s="1"/>
  <c r="AW23" i="7" s="1"/>
  <c r="BA23" i="7" s="1"/>
  <c r="U23" i="7"/>
  <c r="AK23" i="7" s="1"/>
  <c r="AM23" i="7" s="1"/>
  <c r="AO23" i="7" s="1"/>
  <c r="AQ23" i="7" s="1"/>
  <c r="AU23" i="7" s="1"/>
  <c r="AY23" i="7" s="1"/>
  <c r="AJ22" i="7"/>
  <c r="AL22" i="7" s="1"/>
  <c r="AN22" i="7" s="1"/>
  <c r="AP22" i="7" s="1"/>
  <c r="AS22" i="7" s="1"/>
  <c r="AW22" i="7" s="1"/>
  <c r="BA22" i="7" s="1"/>
  <c r="U22" i="7"/>
  <c r="AK22" i="7" s="1"/>
  <c r="AM22" i="7" s="1"/>
  <c r="AO22" i="7" s="1"/>
  <c r="AQ22" i="7" s="1"/>
  <c r="AU22" i="7" s="1"/>
  <c r="AY22" i="7" s="1"/>
  <c r="AJ21" i="7"/>
  <c r="AL21" i="7" s="1"/>
  <c r="AN21" i="7" s="1"/>
  <c r="AP21" i="7" s="1"/>
  <c r="AS21" i="7" s="1"/>
  <c r="AW21" i="7" s="1"/>
  <c r="BA21" i="7" s="1"/>
  <c r="U21" i="7"/>
  <c r="AK21" i="7" s="1"/>
  <c r="AM21" i="7" s="1"/>
  <c r="AO21" i="7" s="1"/>
  <c r="AQ21" i="7" s="1"/>
  <c r="AU21" i="7" s="1"/>
  <c r="AY21" i="7" s="1"/>
  <c r="AJ20" i="7"/>
  <c r="AL20" i="7" s="1"/>
  <c r="AN20" i="7" s="1"/>
  <c r="AP20" i="7" s="1"/>
  <c r="U20" i="7"/>
  <c r="AK20" i="7" s="1"/>
  <c r="AM20" i="7" s="1"/>
  <c r="AO20" i="7" s="1"/>
  <c r="AQ20" i="7" s="1"/>
  <c r="AU20" i="7" s="1"/>
  <c r="AY20" i="7" s="1"/>
  <c r="AJ19" i="7"/>
  <c r="AL19" i="7" s="1"/>
  <c r="AN19" i="7" s="1"/>
  <c r="AP19" i="7" s="1"/>
  <c r="AS19" i="7" s="1"/>
  <c r="AW19" i="7" s="1"/>
  <c r="BA19" i="7" s="1"/>
  <c r="U19" i="7"/>
  <c r="AK19" i="7" s="1"/>
  <c r="AM19" i="7" s="1"/>
  <c r="AO19" i="7" s="1"/>
  <c r="AQ19" i="7" s="1"/>
  <c r="AU19" i="7" s="1"/>
  <c r="AY19" i="7" s="1"/>
  <c r="AP18" i="7"/>
  <c r="AS18" i="7" s="1"/>
  <c r="AW18" i="7" s="1"/>
  <c r="BA18" i="7" s="1"/>
  <c r="AJ18" i="7"/>
  <c r="AL18" i="7" s="1"/>
  <c r="U18" i="7"/>
  <c r="AK18" i="7" s="1"/>
  <c r="AM18" i="7" s="1"/>
  <c r="AO18" i="7" s="1"/>
  <c r="AQ18" i="7" s="1"/>
  <c r="AU18" i="7" s="1"/>
  <c r="AY18" i="7" s="1"/>
  <c r="AP17" i="7"/>
  <c r="AS17" i="7" s="1"/>
  <c r="AW17" i="7" s="1"/>
  <c r="BA17" i="7" s="1"/>
  <c r="AO17" i="7"/>
  <c r="AQ17" i="7" s="1"/>
  <c r="AU17" i="7" s="1"/>
  <c r="AY17" i="7" s="1"/>
  <c r="AL17" i="7"/>
  <c r="AK17" i="7"/>
  <c r="AJ16" i="7"/>
  <c r="AL16" i="7" s="1"/>
  <c r="AN16" i="7" s="1"/>
  <c r="AP16" i="7" s="1"/>
  <c r="AS16" i="7" s="1"/>
  <c r="AW16" i="7" s="1"/>
  <c r="BA16" i="7" s="1"/>
  <c r="U16" i="7"/>
  <c r="AK16" i="7" s="1"/>
  <c r="AM16" i="7" s="1"/>
  <c r="AO16" i="7" s="1"/>
  <c r="AQ16" i="7" s="1"/>
  <c r="AU16" i="7" s="1"/>
  <c r="AY16" i="7" s="1"/>
  <c r="AJ15" i="7"/>
  <c r="AL15" i="7" s="1"/>
  <c r="AN15" i="7" s="1"/>
  <c r="AP15" i="7" s="1"/>
  <c r="AS15" i="7" s="1"/>
  <c r="AW15" i="7" s="1"/>
  <c r="BA15" i="7" s="1"/>
  <c r="U15" i="7"/>
  <c r="AK15" i="7" s="1"/>
  <c r="AM15" i="7" s="1"/>
  <c r="AO15" i="7" s="1"/>
  <c r="AQ15" i="7" s="1"/>
  <c r="AU15" i="7" s="1"/>
  <c r="AY15" i="7" s="1"/>
  <c r="AJ14" i="7"/>
  <c r="AL14" i="7" s="1"/>
  <c r="AN14" i="7" s="1"/>
  <c r="AP14" i="7" s="1"/>
  <c r="AS14" i="7" s="1"/>
  <c r="AW14" i="7" s="1"/>
  <c r="BA14" i="7" s="1"/>
  <c r="U14" i="7"/>
  <c r="AK14" i="7" s="1"/>
  <c r="AM14" i="7" s="1"/>
  <c r="AO14" i="7" s="1"/>
  <c r="AQ14" i="7" s="1"/>
  <c r="AU14" i="7" s="1"/>
  <c r="AY14" i="7" s="1"/>
  <c r="AJ13" i="7"/>
  <c r="AL13" i="7" s="1"/>
  <c r="AN13" i="7" s="1"/>
  <c r="AP13" i="7" s="1"/>
  <c r="AS13" i="7" s="1"/>
  <c r="AW13" i="7" s="1"/>
  <c r="BA13" i="7" s="1"/>
  <c r="U13" i="7"/>
  <c r="AK13" i="7" s="1"/>
  <c r="AM13" i="7" s="1"/>
  <c r="AO13" i="7" s="1"/>
  <c r="AQ13" i="7" s="1"/>
  <c r="AU13" i="7" s="1"/>
  <c r="AY13" i="7" s="1"/>
  <c r="AS12" i="7"/>
  <c r="AW12" i="7" s="1"/>
  <c r="BA12" i="7" s="1"/>
  <c r="AQ12" i="7"/>
  <c r="AU12" i="7" s="1"/>
  <c r="AY12" i="7" s="1"/>
  <c r="AJ12" i="7"/>
  <c r="AL12" i="7" s="1"/>
  <c r="AN12" i="7" s="1"/>
  <c r="U12" i="7"/>
  <c r="AK12" i="7" s="1"/>
  <c r="AM12" i="7" s="1"/>
  <c r="AQ11" i="7"/>
  <c r="AU11" i="7" s="1"/>
  <c r="AY11" i="7" s="1"/>
  <c r="AJ10" i="7"/>
  <c r="AL10" i="7" s="1"/>
  <c r="AN10" i="7" s="1"/>
  <c r="AP10" i="7" s="1"/>
  <c r="AS10" i="7" s="1"/>
  <c r="AW10" i="7" s="1"/>
  <c r="BA10" i="7" s="1"/>
  <c r="U10" i="7"/>
  <c r="AK10" i="7" s="1"/>
  <c r="AM10" i="7" s="1"/>
  <c r="AO10" i="7" s="1"/>
  <c r="AJ9" i="7"/>
  <c r="AL9" i="7" s="1"/>
  <c r="AN9" i="7" s="1"/>
  <c r="AP9" i="7" s="1"/>
  <c r="AS9" i="7" s="1"/>
  <c r="AW9" i="7" s="1"/>
  <c r="BA9" i="7" s="1"/>
  <c r="U9" i="7"/>
  <c r="AK9" i="7" s="1"/>
  <c r="AM9" i="7" s="1"/>
  <c r="AO9" i="7" s="1"/>
  <c r="AQ9" i="7" s="1"/>
  <c r="AU9" i="7" s="1"/>
  <c r="AY9" i="7" s="1"/>
  <c r="AJ8" i="7"/>
  <c r="AL8" i="7" s="1"/>
  <c r="AN8" i="7" s="1"/>
  <c r="AP8" i="7" s="1"/>
  <c r="AS8" i="7" s="1"/>
  <c r="AW8" i="7" s="1"/>
  <c r="BA8" i="7" s="1"/>
  <c r="U8" i="7"/>
  <c r="AK8" i="7" s="1"/>
  <c r="AM8" i="7" s="1"/>
  <c r="AO8" i="7" s="1"/>
  <c r="AQ8" i="7" s="1"/>
  <c r="AU8" i="7" s="1"/>
  <c r="AY8" i="7" s="1"/>
  <c r="AJ7" i="7"/>
  <c r="AL7" i="7" s="1"/>
  <c r="AN7" i="7" s="1"/>
  <c r="AP7" i="7" s="1"/>
  <c r="AS7" i="7" s="1"/>
  <c r="AW7" i="7" s="1"/>
  <c r="BA7" i="7" s="1"/>
  <c r="U7" i="7"/>
  <c r="AK7" i="7" s="1"/>
  <c r="AM7" i="7" s="1"/>
  <c r="AO7" i="7" s="1"/>
  <c r="AQ7" i="7" s="1"/>
  <c r="AU7" i="7" s="1"/>
  <c r="AY7" i="7" s="1"/>
  <c r="AJ6" i="7"/>
  <c r="AL6" i="7" s="1"/>
  <c r="AN6" i="7" s="1"/>
  <c r="AP6" i="7" s="1"/>
  <c r="AS6" i="7" s="1"/>
  <c r="AW6" i="7" s="1"/>
  <c r="BA6" i="7" s="1"/>
  <c r="U6" i="7"/>
  <c r="AK6" i="7" s="1"/>
  <c r="AM6" i="7" s="1"/>
  <c r="AO6" i="7" s="1"/>
  <c r="AQ6" i="7" s="1"/>
  <c r="AU6" i="7" s="1"/>
  <c r="AY6" i="7" s="1"/>
  <c r="AJ5" i="7"/>
  <c r="AL5" i="7" s="1"/>
  <c r="U5" i="7"/>
  <c r="AL308" i="7"/>
  <c r="AN308" i="7" s="1"/>
  <c r="AP308" i="7" s="1"/>
  <c r="AS308" i="7" s="1"/>
  <c r="AW308" i="7" s="1"/>
  <c r="BA308" i="7" s="1"/>
  <c r="AJ303" i="7" l="1"/>
  <c r="AK311" i="7"/>
  <c r="U303" i="7"/>
  <c r="U311" i="7"/>
  <c r="U298" i="7"/>
  <c r="AL303" i="7"/>
  <c r="AM294" i="7"/>
  <c r="AM298" i="7" s="1"/>
  <c r="AK298" i="7"/>
  <c r="AK300" i="7"/>
  <c r="AK303" i="7" s="1"/>
  <c r="AJ290" i="7"/>
  <c r="AO298" i="7"/>
  <c r="AQ298" i="7"/>
  <c r="AM305" i="7"/>
  <c r="AJ298" i="7"/>
  <c r="AN302" i="7"/>
  <c r="AP302" i="7" s="1"/>
  <c r="AP303" i="7" s="1"/>
  <c r="AU298" i="7"/>
  <c r="AY293" i="7"/>
  <c r="AY298" i="7" s="1"/>
  <c r="U290" i="7"/>
  <c r="U326" i="7" s="1"/>
  <c r="AK5" i="7"/>
  <c r="AL307" i="7"/>
  <c r="AJ311" i="7"/>
  <c r="AL290" i="7"/>
  <c r="AN5" i="7"/>
  <c r="AW300" i="7"/>
  <c r="AN297" i="7"/>
  <c r="AL298" i="7"/>
  <c r="AS302" i="7" l="1"/>
  <c r="AW302" i="7" s="1"/>
  <c r="BA302" i="7" s="1"/>
  <c r="AJ326" i="7"/>
  <c r="AM300" i="7"/>
  <c r="AO300" i="7" s="1"/>
  <c r="AS303" i="7"/>
  <c r="AN303" i="7"/>
  <c r="AM311" i="7"/>
  <c r="AO305" i="7"/>
  <c r="AN307" i="7"/>
  <c r="AL311" i="7"/>
  <c r="AL326" i="7" s="1"/>
  <c r="AK290" i="7"/>
  <c r="AK326" i="7" s="1"/>
  <c r="AM5" i="7"/>
  <c r="AP297" i="7"/>
  <c r="AN298" i="7"/>
  <c r="BA300" i="7"/>
  <c r="BA303" i="7" s="1"/>
  <c r="AW303" i="7"/>
  <c r="AN290" i="7"/>
  <c r="AP5" i="7"/>
  <c r="AM303" i="7" l="1"/>
  <c r="AO311" i="7"/>
  <c r="AQ305" i="7"/>
  <c r="AP307" i="7"/>
  <c r="AN311" i="7"/>
  <c r="AN326" i="7"/>
  <c r="AO303" i="7"/>
  <c r="AQ300" i="7"/>
  <c r="AS297" i="7"/>
  <c r="AP298" i="7"/>
  <c r="AM290" i="7"/>
  <c r="AM326" i="7" s="1"/>
  <c r="AO5" i="7"/>
  <c r="AP290" i="7"/>
  <c r="AS5" i="7"/>
  <c r="AQ311" i="7" l="1"/>
  <c r="AQ5" i="7"/>
  <c r="AO290" i="7"/>
  <c r="AO326" i="7" s="1"/>
  <c r="AS307" i="7"/>
  <c r="AP311" i="7"/>
  <c r="AP326" i="7" s="1"/>
  <c r="AS290" i="7"/>
  <c r="AW5" i="7"/>
  <c r="AQ303" i="7"/>
  <c r="AU300" i="7"/>
  <c r="AW297" i="7"/>
  <c r="AS298" i="7"/>
  <c r="AY305" i="7" l="1"/>
  <c r="AY311" i="7" s="1"/>
  <c r="AU311" i="7"/>
  <c r="BA297" i="7"/>
  <c r="BA298" i="7" s="1"/>
  <c r="AW298" i="7"/>
  <c r="AU303" i="7"/>
  <c r="AY300" i="7"/>
  <c r="AY303" i="7" s="1"/>
  <c r="BA5" i="7"/>
  <c r="BA290" i="7" s="1"/>
  <c r="AW290" i="7"/>
  <c r="AW307" i="7"/>
  <c r="AS311" i="7"/>
  <c r="AS326" i="7" s="1"/>
  <c r="AQ290" i="7"/>
  <c r="AQ326" i="7" s="1"/>
  <c r="AU5" i="7"/>
  <c r="AY5" i="7" l="1"/>
  <c r="AY290" i="7" s="1"/>
  <c r="AY326" i="7" s="1"/>
  <c r="AU290" i="7"/>
  <c r="AU326" i="7" s="1"/>
  <c r="BA307" i="7"/>
  <c r="BA311" i="7" s="1"/>
  <c r="AW311" i="7"/>
  <c r="AW326" i="7" s="1"/>
  <c r="BC326" i="7" l="1"/>
</calcChain>
</file>

<file path=xl/sharedStrings.xml><?xml version="1.0" encoding="utf-8"?>
<sst xmlns="http://schemas.openxmlformats.org/spreadsheetml/2006/main" count="5610" uniqueCount="1487">
  <si>
    <t>Adres</t>
  </si>
  <si>
    <t>Wijk</t>
  </si>
  <si>
    <t>Buurt</t>
  </si>
  <si>
    <t>Behcode</t>
  </si>
  <si>
    <t>Beheerder</t>
  </si>
  <si>
    <t>Rubcode</t>
  </si>
  <si>
    <t>Omschrijving</t>
  </si>
  <si>
    <t>Kostenplaats</t>
  </si>
  <si>
    <t>Poliskenmerk</t>
  </si>
  <si>
    <t>Postcode</t>
  </si>
  <si>
    <t>WaardeOpstal</t>
  </si>
  <si>
    <t>WaardeInvent</t>
  </si>
  <si>
    <t>BeginOpstal</t>
  </si>
  <si>
    <t>BeginInvent</t>
  </si>
  <si>
    <t>PremieOpstal</t>
  </si>
  <si>
    <t>PremieInvent</t>
  </si>
  <si>
    <t>Stormind</t>
  </si>
  <si>
    <t>StormOpstal</t>
  </si>
  <si>
    <t>StormInvent</t>
  </si>
  <si>
    <t>Gevarenind</t>
  </si>
  <si>
    <t>GevarenOpstal</t>
  </si>
  <si>
    <t>GevarenInvent</t>
  </si>
  <si>
    <t>Bouwjaar</t>
  </si>
  <si>
    <t>Taxatie</t>
  </si>
  <si>
    <t>Taxdat</t>
  </si>
  <si>
    <t>Ingdat</t>
  </si>
  <si>
    <t>Eindat</t>
  </si>
  <si>
    <t>Premie1</t>
  </si>
  <si>
    <t>Premie2</t>
  </si>
  <si>
    <t>Premie3</t>
  </si>
  <si>
    <t>BoekWaarde</t>
  </si>
  <si>
    <t>OZBWaarde</t>
  </si>
  <si>
    <t>VerkWaarde</t>
  </si>
  <si>
    <t>HerbWaarde</t>
  </si>
  <si>
    <t>Mutdat</t>
  </si>
  <si>
    <t>Regdat</t>
  </si>
  <si>
    <t>Mutuser</t>
  </si>
  <si>
    <t>Reguser</t>
  </si>
  <si>
    <t>Opmerking</t>
  </si>
  <si>
    <t>Uitvoering B&amp;O Vastgoed</t>
  </si>
  <si>
    <t>steen/hard</t>
  </si>
  <si>
    <t>96601820.5811</t>
  </si>
  <si>
    <t/>
  </si>
  <si>
    <t>Nee</t>
  </si>
  <si>
    <t>AHL</t>
  </si>
  <si>
    <t>Woonhuis</t>
  </si>
  <si>
    <t>Aalsmeerderdijk (81) 456-460</t>
  </si>
  <si>
    <t>Rijsenhout - Dijk</t>
  </si>
  <si>
    <t>Uitvoering Brandweer</t>
  </si>
  <si>
    <t>steen en hout/hard</t>
  </si>
  <si>
    <t>Oefenbunkers+houten schuren</t>
  </si>
  <si>
    <t>95612051.5811</t>
  </si>
  <si>
    <t>003</t>
  </si>
  <si>
    <t>Tax 2010-2017</t>
  </si>
  <si>
    <t>Acacialaan 38</t>
  </si>
  <si>
    <t>Zwanenburg - Zuidwest</t>
  </si>
  <si>
    <t>Appartement</t>
  </si>
  <si>
    <t>004</t>
  </si>
  <si>
    <t>1161 XG</t>
  </si>
  <si>
    <t>Tax 2010/2017</t>
  </si>
  <si>
    <t>Acacialaan 40</t>
  </si>
  <si>
    <t>005</t>
  </si>
  <si>
    <t>Acacialaan 42</t>
  </si>
  <si>
    <t>006</t>
  </si>
  <si>
    <t>Adelaarstraat    15 B</t>
  </si>
  <si>
    <t>Badhoevedorp - Zuid</t>
  </si>
  <si>
    <t>Uitvoering MEO Recreatie &amp; Sport</t>
  </si>
  <si>
    <t>Gym.Lokaal, in gebruik bij GTV "De Badhoeve", Het Voortouw</t>
  </si>
  <si>
    <t>94653204.5811</t>
  </si>
  <si>
    <t>007</t>
  </si>
  <si>
    <t>SYS</t>
  </si>
  <si>
    <t>Adelaarstraat    62</t>
  </si>
  <si>
    <t>Uitvoering Bel. Ondern, Werk,Jeugd, Ond.</t>
  </si>
  <si>
    <t>Kinderdagverblijf "De Zevensprong"</t>
  </si>
  <si>
    <t>94665002.5811</t>
  </si>
  <si>
    <t>008</t>
  </si>
  <si>
    <t>Tax 2010/2017 Ex-glasverz.</t>
  </si>
  <si>
    <t>Adrianahoeve     2</t>
  </si>
  <si>
    <t>Hoofddorp - Vrijschot-Noord</t>
  </si>
  <si>
    <t>Brandweerkazerne/ambulancedienst</t>
  </si>
  <si>
    <t>009</t>
  </si>
  <si>
    <t>Anna Blamanstraat     2+4</t>
  </si>
  <si>
    <t>Hoofddorp - Toolenburg-Oost</t>
  </si>
  <si>
    <t>Kinderdagverblijf en peuterspeelzaal Baloe+ Pippeloentje</t>
  </si>
  <si>
    <t>011</t>
  </si>
  <si>
    <t>Anne Franklaan    20</t>
  </si>
  <si>
    <t>L.O.M. school "Het Kompas" + uitbreiding hoofdgebouw</t>
  </si>
  <si>
    <t>94643300.5811</t>
  </si>
  <si>
    <t>012</t>
  </si>
  <si>
    <t>Tax 2010/2017 incl aanbouw</t>
  </si>
  <si>
    <t>Anne Franklaan    22</t>
  </si>
  <si>
    <t>Voorthuijsenschool  (vm Montessori)</t>
  </si>
  <si>
    <t>94642300.5811</t>
  </si>
  <si>
    <t>014</t>
  </si>
  <si>
    <t>Badhoevedorp - Centrum</t>
  </si>
  <si>
    <t>94651002.5811</t>
  </si>
  <si>
    <t>Arnolduspark     3</t>
  </si>
  <si>
    <t>Hoofddorp - Oost</t>
  </si>
  <si>
    <t>Fanny Blankers-Koen sporthal</t>
  </si>
  <si>
    <t>SF94653200.5811</t>
  </si>
  <si>
    <t>018</t>
  </si>
  <si>
    <t>Tax 2009-10/2017</t>
  </si>
  <si>
    <t>Assumburg     1</t>
  </si>
  <si>
    <t>Hoofddorp - Toolenburg-West</t>
  </si>
  <si>
    <t>020</t>
  </si>
  <si>
    <t>Assumburg 10</t>
  </si>
  <si>
    <t>KSH Assumburg 10 incl. 1 gymzaal</t>
  </si>
  <si>
    <t>94644300.5811</t>
  </si>
  <si>
    <t>023</t>
  </si>
  <si>
    <t>Athenelaan 11</t>
  </si>
  <si>
    <t>Nieuw-Vennep - Getsewoud-Noord</t>
  </si>
  <si>
    <t>De Fakkel (v.m. Het Kompas)</t>
  </si>
  <si>
    <t>024</t>
  </si>
  <si>
    <t>Opstal van IJmere. tax 2017</t>
  </si>
  <si>
    <t>Azollastraat    45</t>
  </si>
  <si>
    <t>Lisserbroek</t>
  </si>
  <si>
    <t>basisschool De Zilvermeeuw</t>
  </si>
  <si>
    <t>025-A</t>
  </si>
  <si>
    <t>Azollastraat 47</t>
  </si>
  <si>
    <t>Basisschool  De Reiger</t>
  </si>
  <si>
    <t>94642300,5811</t>
  </si>
  <si>
    <t>025-B</t>
  </si>
  <si>
    <t>Azollastraat 49</t>
  </si>
  <si>
    <t>Gymnastieklokaal</t>
  </si>
  <si>
    <t>SF94653204.5811</t>
  </si>
  <si>
    <t>027</t>
  </si>
  <si>
    <t>Baarsjesweg     1</t>
  </si>
  <si>
    <t>Vijfhuizen - Dorp</t>
  </si>
  <si>
    <t>onbekend</t>
  </si>
  <si>
    <t>De Tweemaster IC- Basisschool</t>
  </si>
  <si>
    <t>028</t>
  </si>
  <si>
    <t>Baarsjesweg 1</t>
  </si>
  <si>
    <t>steen/hard houten lokalen</t>
  </si>
  <si>
    <t>2 noodlokalen De Tweemaster</t>
  </si>
  <si>
    <t>94648400.5811</t>
  </si>
  <si>
    <t>029</t>
  </si>
  <si>
    <t>Baron de Coubertinlaan 2/8/10</t>
  </si>
  <si>
    <t>Hoofddorp-Floriande</t>
  </si>
  <si>
    <t>Haarlemmermeerlyceum incl. 2 gymzalen</t>
  </si>
  <si>
    <t>94644100.5811</t>
  </si>
  <si>
    <t>030</t>
  </si>
  <si>
    <t>Tax 2009-10/2017  ingangsdatum 1-12-2003</t>
  </si>
  <si>
    <t>Baron de Coubertinlaan 2</t>
  </si>
  <si>
    <t>hout/hard</t>
  </si>
  <si>
    <t>Haarlemmermeer Lyceum, Semi permanent 7-klassig</t>
  </si>
  <si>
    <t>030-B</t>
  </si>
  <si>
    <t>tax 2017</t>
  </si>
  <si>
    <t>Baron de Coubertinlaan 4/6</t>
  </si>
  <si>
    <t>Bibliotheek</t>
  </si>
  <si>
    <t>031</t>
  </si>
  <si>
    <t>Tax 2009/10/2017 ingangsdatum 1-12-2003</t>
  </si>
  <si>
    <t>Bennebroekerdijk (97)   222</t>
  </si>
  <si>
    <t>Cruquius - Dorp</t>
  </si>
  <si>
    <t>033</t>
  </si>
  <si>
    <t>Bennebroekerweg (94)   951</t>
  </si>
  <si>
    <t>Zwaanshoek - Dorp</t>
  </si>
  <si>
    <t>034</t>
  </si>
  <si>
    <t>Bennebroekerweg (94) 953</t>
  </si>
  <si>
    <t>Dorpshuis De Oase</t>
  </si>
  <si>
    <t>034-A</t>
  </si>
  <si>
    <t>Sloopwaarde. 2017 gecorr. tax.</t>
  </si>
  <si>
    <t>Beurtschipper 200</t>
  </si>
  <si>
    <t>Nieuw-Vennep - Welgelegen-Noor</t>
  </si>
  <si>
    <t>HVC, Beurtschipper 200 incl. 2 gymzalen</t>
  </si>
  <si>
    <t>040</t>
  </si>
  <si>
    <t>Boslaan (02)     1</t>
  </si>
  <si>
    <t>Hoofddorp - Zuid</t>
  </si>
  <si>
    <t>Woonhuis + 2 schuren bestemd voor part.gebruik</t>
  </si>
  <si>
    <t>043</t>
  </si>
  <si>
    <t>Bosweg 17</t>
  </si>
  <si>
    <t>Hoofddorp - Noord</t>
  </si>
  <si>
    <t>Museum,incl. betimmeringen van derden</t>
  </si>
  <si>
    <t>94656202.5811</t>
  </si>
  <si>
    <t>044</t>
  </si>
  <si>
    <t>2132 LX</t>
  </si>
  <si>
    <t>vm Kruisweg 1403.</t>
  </si>
  <si>
    <t>Broekermeerstraat    87</t>
  </si>
  <si>
    <t>Ondersteuning FM Huisvesting</t>
  </si>
  <si>
    <t>Loods en opslag gymtoestellen/tentoonst.mat.</t>
  </si>
  <si>
    <t>9590721.5811</t>
  </si>
  <si>
    <t>045</t>
  </si>
  <si>
    <t>Burg Amersfoordtln    61</t>
  </si>
  <si>
    <t>Oranje Nassau Chr.Basisschool.</t>
  </si>
  <si>
    <t>049</t>
  </si>
  <si>
    <t>Tax 2009/10/2017</t>
  </si>
  <si>
    <t>Burg Pabstlaan (04)     3-5</t>
  </si>
  <si>
    <t>De Klimop R.K. Basisschool</t>
  </si>
  <si>
    <t>051</t>
  </si>
  <si>
    <t>Chr. Huygensstraat 21</t>
  </si>
  <si>
    <t>Badhoevedorp - Noordwest</t>
  </si>
  <si>
    <t>Rietland het, soc.cult.centrum</t>
  </si>
  <si>
    <t>053</t>
  </si>
  <si>
    <t>Deltaweg 97-109</t>
  </si>
  <si>
    <t>Uitvoering Bel. Brede scholen</t>
  </si>
  <si>
    <t>Deltaweg 97-109 IJtocht -Midden school (Floriande)</t>
  </si>
  <si>
    <t>94648010.5811</t>
  </si>
  <si>
    <t>056</t>
  </si>
  <si>
    <t>2134 XS</t>
  </si>
  <si>
    <t>ENB</t>
  </si>
  <si>
    <t>Deltaweg 97</t>
  </si>
  <si>
    <t>disloc. Eerste Montessorischool 6 groepen/Middenschool</t>
  </si>
  <si>
    <t>056 A</t>
  </si>
  <si>
    <t>Tax 2010 /2017</t>
  </si>
  <si>
    <t>Deltaweg 99/101</t>
  </si>
  <si>
    <t>Brede school Floriande Midden: Auris v Gilse + Klavertje 4</t>
  </si>
  <si>
    <t>056 B+C</t>
  </si>
  <si>
    <t>Deltaweg 103</t>
  </si>
  <si>
    <t>Deltaweg 103 Montessorischool Floriande 10 klassig</t>
  </si>
  <si>
    <t>056 D</t>
  </si>
  <si>
    <t>Tax 2010 /2017 corr. 2017</t>
  </si>
  <si>
    <t>Deltaweg 105</t>
  </si>
  <si>
    <t>Deltaweg 105 Kindercentrum BSO Robbeneiland</t>
  </si>
  <si>
    <t>056 E</t>
  </si>
  <si>
    <t>Deltaweg 107</t>
  </si>
  <si>
    <t>Deltaweg 107 Sportcentrum ( 2 gymzalen )</t>
  </si>
  <si>
    <t>056 F</t>
  </si>
  <si>
    <t>Deltaweg 109</t>
  </si>
  <si>
    <t>94642100.5811</t>
  </si>
  <si>
    <t>056 G</t>
  </si>
  <si>
    <t>Uitvoering H&amp;T Team Midden</t>
  </si>
  <si>
    <t>056 GG</t>
  </si>
  <si>
    <t>Tax 2017</t>
  </si>
  <si>
    <t>Brede school Floriande Midden (vm schoolwoning H'meerlyceum)</t>
  </si>
  <si>
    <t>056-AA</t>
  </si>
  <si>
    <t>Zwanenburg - West</t>
  </si>
  <si>
    <t>Dorpstraat    45</t>
  </si>
  <si>
    <t>Nieuw-Vennep - Welgelegen</t>
  </si>
  <si>
    <t>Noodlokalen IKC Avonturijn</t>
  </si>
  <si>
    <t>062</t>
  </si>
  <si>
    <t>Dussenstraat 2-44</t>
  </si>
  <si>
    <t>In den Breedte Floriande-middenschool</t>
  </si>
  <si>
    <t>063</t>
  </si>
  <si>
    <t>2134 DL</t>
  </si>
  <si>
    <t>Dussenstraat 38</t>
  </si>
  <si>
    <t>RK-B Klavertje 4, 16 klassen</t>
  </si>
  <si>
    <t>063-A</t>
  </si>
  <si>
    <t>Dussenstraat 34</t>
  </si>
  <si>
    <t>PC-B De Brandaris, 16 klassen, incl. 13 schoolwoningen</t>
  </si>
  <si>
    <t>063-B</t>
  </si>
  <si>
    <t>Dussenstraat 30</t>
  </si>
  <si>
    <t>Sportcentrum</t>
  </si>
  <si>
    <t>94653200.5811</t>
  </si>
  <si>
    <t>063-C</t>
  </si>
  <si>
    <t>Dussenstraat 32</t>
  </si>
  <si>
    <t>Wijkcentrum/GGD</t>
  </si>
  <si>
    <t>94662802.5811</t>
  </si>
  <si>
    <t>063-E</t>
  </si>
  <si>
    <t>Dussenstraat 40-42</t>
  </si>
  <si>
    <t>SKH Mirakels (kindercentrum)</t>
  </si>
  <si>
    <t>063-F</t>
  </si>
  <si>
    <t>Dussenstraat 2</t>
  </si>
  <si>
    <t>Brede school In de Breedte  vm PCD Brandaris 13 schoolwoning</t>
  </si>
  <si>
    <t>063-G</t>
  </si>
  <si>
    <t>Tax 2010, corr.Tax 2017  in hoofdgebouw</t>
  </si>
  <si>
    <t>Dussenstraat 44</t>
  </si>
  <si>
    <t>Brede school In de Breedte vmKlavertje 4, 10 schoolwoning</t>
  </si>
  <si>
    <t>063-H</t>
  </si>
  <si>
    <t>Dussenstraat 28</t>
  </si>
  <si>
    <t>BSO De Jungle SKH.</t>
  </si>
  <si>
    <t>063-I</t>
  </si>
  <si>
    <t>inv. voor gebruiker.</t>
  </si>
  <si>
    <t>Badhoevedorp - West</t>
  </si>
  <si>
    <t>steen/staal/hard</t>
  </si>
  <si>
    <t>Rietveld Schoolgebouw en fietsenstalling</t>
  </si>
  <si>
    <t>065</t>
  </si>
  <si>
    <t>Edisonstraat 3</t>
  </si>
  <si>
    <t>Tax 209/10/2017</t>
  </si>
  <si>
    <t>Etta Palmstraat 236-272</t>
  </si>
  <si>
    <t>Wooncomplex 39 wooneenheden + een kantoor</t>
  </si>
  <si>
    <t>068</t>
  </si>
  <si>
    <t>Nieuw-Vennep - West</t>
  </si>
  <si>
    <t>Servicecentrum Nieuw-Vennep</t>
  </si>
  <si>
    <t>069</t>
  </si>
  <si>
    <t>Fietsenberging + oplaadpunten elo-bikes</t>
  </si>
  <si>
    <t>069-A</t>
  </si>
  <si>
    <t>Eugenie Previnaireweg    63</t>
  </si>
  <si>
    <t>St. Senioren Samen op Weg (ANBO opgeheven).</t>
  </si>
  <si>
    <t>070</t>
  </si>
  <si>
    <t>Femina Mullerstraat   177</t>
  </si>
  <si>
    <t>De Wilgen R.k.basisschool</t>
  </si>
  <si>
    <t>071</t>
  </si>
  <si>
    <t>Femina Mullerstraat    74</t>
  </si>
  <si>
    <t>Tabitha Prot.chr.basisschool</t>
  </si>
  <si>
    <t>073</t>
  </si>
  <si>
    <t>Femina Mullerstraat    78</t>
  </si>
  <si>
    <t>De Octopus Ob school, incl.2 noodl.</t>
  </si>
  <si>
    <t>074</t>
  </si>
  <si>
    <t>Gelevinkstraat 43</t>
  </si>
  <si>
    <t>079</t>
  </si>
  <si>
    <t>Nieuw-Vennep - Oost</t>
  </si>
  <si>
    <t>Uitvoering B&amp;O Team A&amp;B</t>
  </si>
  <si>
    <t>Graan Voor Visch 14001</t>
  </si>
  <si>
    <t>Hoofddorp - Graan voor Visch</t>
  </si>
  <si>
    <t>Opslagruimte ballen etc.Sportservice voor diverse scholen</t>
  </si>
  <si>
    <t>085</t>
  </si>
  <si>
    <t>Tax 2010/2017 ballen van Sportservice</t>
  </si>
  <si>
    <t>Gymnastieklokaal en nevenruimten</t>
  </si>
  <si>
    <t>086</t>
  </si>
  <si>
    <t>Graan Voor Visch 14302</t>
  </si>
  <si>
    <t>De Wegwijzer 14302 - ZMLK Silo(nieuw) 14302</t>
  </si>
  <si>
    <t>94643100.5811</t>
  </si>
  <si>
    <t>087</t>
  </si>
  <si>
    <t>Graan Voor Visch 14303</t>
  </si>
  <si>
    <t>Jeugd en gezinszorg, integrale zorg 14302+14303</t>
  </si>
  <si>
    <t>087-A</t>
  </si>
  <si>
    <t>inv. is van Maatvast.</t>
  </si>
  <si>
    <t>Graan Voor Visch 14301</t>
  </si>
  <si>
    <t>Gr.v.v.14301+14302+303,SiloP.Punt(Meerwaarde)/leeg, anti kr.</t>
  </si>
  <si>
    <t>088</t>
  </si>
  <si>
    <t>Graan Voor Visch 14402</t>
  </si>
  <si>
    <t>De Wegwijzer PC Basis 10 klassig, IKC Wereldwijs 14402</t>
  </si>
  <si>
    <t>089</t>
  </si>
  <si>
    <t>Haarlemmermeerse Bos</t>
  </si>
  <si>
    <t>Hoofddorp - omgeving</t>
  </si>
  <si>
    <t>Sanitaire units 5 stuks (stenen gebouwtjes)</t>
  </si>
  <si>
    <t>090</t>
  </si>
  <si>
    <t>Tax. 2017</t>
  </si>
  <si>
    <t>Haarlemmermeer</t>
  </si>
  <si>
    <t>Ondersteuning FM Services</t>
  </si>
  <si>
    <t>Computerapparatuur in alle locaties</t>
  </si>
  <si>
    <t>091</t>
  </si>
  <si>
    <t>Lenovo, Thinkpads losse app. (muis etc.)</t>
  </si>
  <si>
    <t>Hammarskjöldstraat   226 - 228</t>
  </si>
  <si>
    <t>Hoofddorp - Pax-Oost</t>
  </si>
  <si>
    <t>Hoofdvaart Coll. + De Linie, beide nevenvestigingen</t>
  </si>
  <si>
    <t>093</t>
  </si>
  <si>
    <t>2131 VN</t>
  </si>
  <si>
    <t>Hammarskjoldstraat 226-228</t>
  </si>
  <si>
    <t>Hammarskjöldstraat 230 - 236</t>
  </si>
  <si>
    <t>Octop./Vrije scho Ob.9 lok/vrije school 6 lok+1 speellok+KDV</t>
  </si>
  <si>
    <t>094</t>
  </si>
  <si>
    <t>Caleidoscoop (vh Flamingo)+Albert Schweizerschool</t>
  </si>
  <si>
    <t>094 A</t>
  </si>
  <si>
    <t>Hammarskjöldstraat   238</t>
  </si>
  <si>
    <t>095</t>
  </si>
  <si>
    <t>Hammarskjöldstraat   240</t>
  </si>
  <si>
    <t>096</t>
  </si>
  <si>
    <t>Harmonieplein 2</t>
  </si>
  <si>
    <t>Nieuw-Vennep - Centrum</t>
  </si>
  <si>
    <t>Pier-K</t>
  </si>
  <si>
    <t>097</t>
  </si>
  <si>
    <t>Harmonieplein</t>
  </si>
  <si>
    <t>Muziekkoepel</t>
  </si>
  <si>
    <t>098</t>
  </si>
  <si>
    <t>Helsinkilaan 1</t>
  </si>
  <si>
    <t>Sportcomplex "De Estafette"</t>
  </si>
  <si>
    <t>099</t>
  </si>
  <si>
    <t>Hoofdweg (86) 1730</t>
  </si>
  <si>
    <t>Abbenes - Dorp</t>
  </si>
  <si>
    <t>Dorpshuis Het Praatpunt</t>
  </si>
  <si>
    <t>100</t>
  </si>
  <si>
    <t>Hoofdweg (88)  2034</t>
  </si>
  <si>
    <t>Buitenkaag</t>
  </si>
  <si>
    <t>Willibrordus R.K. basisschool</t>
  </si>
  <si>
    <t>101</t>
  </si>
  <si>
    <t>Hoofdweg (88)  2038</t>
  </si>
  <si>
    <t>Willibrordus gymlokaal + aangebouwde ontmoetingsruimte</t>
  </si>
  <si>
    <t>102</t>
  </si>
  <si>
    <t>Hoofdweg (01)   395</t>
  </si>
  <si>
    <t>Hoofddorp - West</t>
  </si>
  <si>
    <t>Woonhuis en rijwielbergplaats</t>
  </si>
  <si>
    <t>93672411.5811</t>
  </si>
  <si>
    <t>104</t>
  </si>
  <si>
    <t>Tax 2009/2017</t>
  </si>
  <si>
    <t>Kantoor/berghok op begraafpl. Wilgenhof</t>
  </si>
  <si>
    <t>105</t>
  </si>
  <si>
    <t>Hoofdweg (01) 395</t>
  </si>
  <si>
    <t>Prefab garagebox</t>
  </si>
  <si>
    <t>105-A</t>
  </si>
  <si>
    <t>Hoofdweg (22) 395</t>
  </si>
  <si>
    <t>Aula "De Wilgenhof"</t>
  </si>
  <si>
    <t>106</t>
  </si>
  <si>
    <t>Hoofdweg (01)   671</t>
  </si>
  <si>
    <t>Kantoor/schouwburg/filmzaal.</t>
  </si>
  <si>
    <t>94654002.5811</t>
  </si>
  <si>
    <t>109</t>
  </si>
  <si>
    <t>Tax  2009/10/2017</t>
  </si>
  <si>
    <t>Hoofdweg (02) 727</t>
  </si>
  <si>
    <t>De Linie, Hoofdweg 727 incl. gymzaal</t>
  </si>
  <si>
    <t>110</t>
  </si>
  <si>
    <t>Hoofdweg (01)  737+739</t>
  </si>
  <si>
    <t>Fort, Electr.-en c.v.install. whs en schietschool</t>
  </si>
  <si>
    <t>111</t>
  </si>
  <si>
    <t>Tax 2017 Uitsluitend de opstal</t>
  </si>
  <si>
    <t>Hoofdweg (01)   741</t>
  </si>
  <si>
    <t>steen/hout/riet</t>
  </si>
  <si>
    <t>Molen "De Eersteling"</t>
  </si>
  <si>
    <t>94654101.5811</t>
  </si>
  <si>
    <t>112</t>
  </si>
  <si>
    <t>Hoofdweg (01)   741 A</t>
  </si>
  <si>
    <t>Molenaarswoning</t>
  </si>
  <si>
    <t>113</t>
  </si>
  <si>
    <t>Hoofdweg (01) 741-B</t>
  </si>
  <si>
    <t>hout</t>
  </si>
  <si>
    <t>Houten schuur nabij de molen "De Eersteling".</t>
  </si>
  <si>
    <t>113-A</t>
  </si>
  <si>
    <t>Hoofdweg (01)   743</t>
  </si>
  <si>
    <t>Woonhuis en schuur (Witte Boerderij)</t>
  </si>
  <si>
    <t>94654102.5811</t>
  </si>
  <si>
    <t>114</t>
  </si>
  <si>
    <t>Hoofdweg (01) 751</t>
  </si>
  <si>
    <t>115</t>
  </si>
  <si>
    <t>Hoofdweg (01)   776</t>
  </si>
  <si>
    <t>Grafdelverhuisje/baarhuis</t>
  </si>
  <si>
    <t>116</t>
  </si>
  <si>
    <t>Hoofdweg (22) 836</t>
  </si>
  <si>
    <t>Boerderij De Hendrikskamp</t>
  </si>
  <si>
    <t>117</t>
  </si>
  <si>
    <t>Boerderij (loods)</t>
  </si>
  <si>
    <t>118</t>
  </si>
  <si>
    <t>Aanhorigheden boerderij (hooiberg+schuur)</t>
  </si>
  <si>
    <t>119</t>
  </si>
  <si>
    <t>IJtochtkade (44) 24-B</t>
  </si>
  <si>
    <t>123-A</t>
  </si>
  <si>
    <t>1161 RC</t>
  </si>
  <si>
    <t>IJtochtkade (44) 26</t>
  </si>
  <si>
    <t>123-B</t>
  </si>
  <si>
    <t>IJtochtkade (44) 28</t>
  </si>
  <si>
    <t>123-C</t>
  </si>
  <si>
    <t>IJtochtkade (44) 30</t>
  </si>
  <si>
    <t>124</t>
  </si>
  <si>
    <t>IJtochtkade (44) 32tm34B</t>
  </si>
  <si>
    <t>125</t>
  </si>
  <si>
    <t>IJtochtkade (44) 32A</t>
  </si>
  <si>
    <t>125-A</t>
  </si>
  <si>
    <t>Tax 2010/2017 naar hs.nr. 32</t>
  </si>
  <si>
    <t>IJtochtkade (44) 32B</t>
  </si>
  <si>
    <t>125-B</t>
  </si>
  <si>
    <t>Tax 2010/2017 naar hs nr. 32</t>
  </si>
  <si>
    <t>IJtochtkade (44) 34</t>
  </si>
  <si>
    <t>126</t>
  </si>
  <si>
    <t>IJtochtkade (44) 34A</t>
  </si>
  <si>
    <t>126-A</t>
  </si>
  <si>
    <t>IJtochtkade (44) 34B</t>
  </si>
  <si>
    <t>126-B</t>
  </si>
  <si>
    <t>Tax 2010/2017 alles op hs.nr.32</t>
  </si>
  <si>
    <t>IJweg (08)  1013</t>
  </si>
  <si>
    <t>Hoofddorp - Bornholm-West</t>
  </si>
  <si>
    <t>Woonhuis en schuur</t>
  </si>
  <si>
    <t>127</t>
  </si>
  <si>
    <t>IJweg (22) 1071</t>
  </si>
  <si>
    <t>ALGEMEEN</t>
  </si>
  <si>
    <t>Boerderij</t>
  </si>
  <si>
    <t>131</t>
  </si>
  <si>
    <t>Schuur steen/staal</t>
  </si>
  <si>
    <t>132</t>
  </si>
  <si>
    <t>Schuur hout/hard</t>
  </si>
  <si>
    <t>133</t>
  </si>
  <si>
    <t>IJweg (08)  1092</t>
  </si>
  <si>
    <t>134</t>
  </si>
  <si>
    <t>IJweg (08)  1126</t>
  </si>
  <si>
    <t>Woonhuis met aangebouwde schuur+atelier boven</t>
  </si>
  <si>
    <t>136</t>
  </si>
  <si>
    <t>IJweg (08) 967</t>
  </si>
  <si>
    <t>hout/kunststof</t>
  </si>
  <si>
    <t>Boswachterslocatie (kantoor+kantine)</t>
  </si>
  <si>
    <t>140</t>
  </si>
  <si>
    <t>Tax  2010/2017</t>
  </si>
  <si>
    <t>Boswachterslocatie (kantoor + kantine)</t>
  </si>
  <si>
    <t>140-A</t>
  </si>
  <si>
    <t>Uitsluitend de inv., incl. keuken/2017</t>
  </si>
  <si>
    <t>141</t>
  </si>
  <si>
    <t>IJweg (08)   967</t>
  </si>
  <si>
    <t>Romneyloods achter IJweg 971 en 973</t>
  </si>
  <si>
    <t>142</t>
  </si>
  <si>
    <t>Johannis Bogaardstraat    16a A</t>
  </si>
  <si>
    <t>De Boog Montessorischool</t>
  </si>
  <si>
    <t>145</t>
  </si>
  <si>
    <t>Julianalaan (02)    45</t>
  </si>
  <si>
    <t>146</t>
  </si>
  <si>
    <t>Hoofddorp - Pax-West</t>
  </si>
  <si>
    <t>147</t>
  </si>
  <si>
    <t>nieuw medio 2017</t>
  </si>
  <si>
    <t>Kaj Munkweg    45</t>
  </si>
  <si>
    <t>Eerste Montessorischool</t>
  </si>
  <si>
    <t>148</t>
  </si>
  <si>
    <t>Kaj Munkweg 3</t>
  </si>
  <si>
    <t>Kaj Munk Coll., K.Munkweg 3 (hoofdgebouw) incl. gymzaal</t>
  </si>
  <si>
    <t>149</t>
  </si>
  <si>
    <t>Kaj Munk College  uitbreiding</t>
  </si>
  <si>
    <t>149-A</t>
  </si>
  <si>
    <t>Kalslagerring    19-21-A</t>
  </si>
  <si>
    <t>Nieuw-Vennep - Linquenda</t>
  </si>
  <si>
    <t>151</t>
  </si>
  <si>
    <t>Kalslagerring 7-17</t>
  </si>
  <si>
    <t>Polderrakkers/Antonius/Palet school</t>
  </si>
  <si>
    <t>153</t>
  </si>
  <si>
    <t>Kalslagerring 7-9</t>
  </si>
  <si>
    <t>Uitvoering Bel.Wonen,Welz.Zorg</t>
  </si>
  <si>
    <t>PC De Polderrakkers</t>
  </si>
  <si>
    <t>153-A</t>
  </si>
  <si>
    <t>Kalslagerring 11-13</t>
  </si>
  <si>
    <t>RK Anthoniusschool</t>
  </si>
  <si>
    <t>153-B</t>
  </si>
  <si>
    <t>2151TA</t>
  </si>
  <si>
    <t>Kalslagerring 15-17</t>
  </si>
  <si>
    <t>OB Het Palet</t>
  </si>
  <si>
    <t>153-C</t>
  </si>
  <si>
    <t>Kastanjelaan 88</t>
  </si>
  <si>
    <t>Zwanenburg - Noordwest</t>
  </si>
  <si>
    <t>153-Z</t>
  </si>
  <si>
    <t>Kinheim    10</t>
  </si>
  <si>
    <t>154</t>
  </si>
  <si>
    <t>Kinheim     4</t>
  </si>
  <si>
    <t>Aldoende Openbare basis school</t>
  </si>
  <si>
    <t>155</t>
  </si>
  <si>
    <t>Kinheim     6</t>
  </si>
  <si>
    <t>Gaandeweg schoolgebouw LEEG!! sinds 2015!!!!</t>
  </si>
  <si>
    <t>156</t>
  </si>
  <si>
    <t>Kinheim     8</t>
  </si>
  <si>
    <t>De Meerbrug, R.K. school</t>
  </si>
  <si>
    <t>157</t>
  </si>
  <si>
    <t>Kleine Belt     1</t>
  </si>
  <si>
    <t>KDV Gremlins, Naschoolse opvang</t>
  </si>
  <si>
    <t>94662702.5811</t>
  </si>
  <si>
    <t>158</t>
  </si>
  <si>
    <t>Krabbescheerstraat 1</t>
  </si>
  <si>
    <t>Meerkoet, Med.post en jeugdhonk</t>
  </si>
  <si>
    <t>158-B</t>
  </si>
  <si>
    <t>2165 XG</t>
  </si>
  <si>
    <t>tax corr. 1-7-'13/2017</t>
  </si>
  <si>
    <t>Kromme Spieringweg(67)   436</t>
  </si>
  <si>
    <t>Jongerencentrum De Spiering</t>
  </si>
  <si>
    <t>159</t>
  </si>
  <si>
    <t>Dorpshuis/Cultureel Centrum De Waterwolf</t>
  </si>
  <si>
    <t>160</t>
  </si>
  <si>
    <t>Kromme Spieringweg(67)   438</t>
  </si>
  <si>
    <t>161</t>
  </si>
  <si>
    <t>Laan van Gildestein 74</t>
  </si>
  <si>
    <t>De Ark Chr.-basisschool</t>
  </si>
  <si>
    <t>166</t>
  </si>
  <si>
    <t>Tax 2009/10-cor./2017</t>
  </si>
  <si>
    <t>Laan van Gildestein 76</t>
  </si>
  <si>
    <t>Bommelstein RK-basisschool</t>
  </si>
  <si>
    <t>167</t>
  </si>
  <si>
    <t>Tax 2009/10- corr./2017</t>
  </si>
  <si>
    <t>Langerak    42</t>
  </si>
  <si>
    <t>De Tonne Christelijke school</t>
  </si>
  <si>
    <t>168</t>
  </si>
  <si>
    <t>Langerak    42 A</t>
  </si>
  <si>
    <t>169</t>
  </si>
  <si>
    <t>Hoofddorp - Overbos-Noord</t>
  </si>
  <si>
    <t>steen/hard bijgebouwen hout</t>
  </si>
  <si>
    <t>Bosbouwers R.K. lagere school</t>
  </si>
  <si>
    <t>170</t>
  </si>
  <si>
    <t>Klimboom Prot.Chr. school</t>
  </si>
  <si>
    <t>171</t>
  </si>
  <si>
    <t>Liesbos (11) 16-A</t>
  </si>
  <si>
    <t>Kinderdagverblijf, Scholeneilend Overbos, BSO Wigwam</t>
  </si>
  <si>
    <t>172</t>
  </si>
  <si>
    <t>2134 SB</t>
  </si>
  <si>
    <t>Tax 2017(50%)</t>
  </si>
  <si>
    <t>Bosbouwers, Scholeneiland Overbos</t>
  </si>
  <si>
    <t>172-A</t>
  </si>
  <si>
    <t>50% voor de Bosbouwers</t>
  </si>
  <si>
    <t>De Bosrank Openb.basisschool</t>
  </si>
  <si>
    <t>174</t>
  </si>
  <si>
    <t>Liesbos (11)    22-26</t>
  </si>
  <si>
    <t>Boskern Cult.centr/2 gymlok./hobbyruimte/peuterspeelz.</t>
  </si>
  <si>
    <t>175</t>
  </si>
  <si>
    <t>Tax 2009/10  Ex-glasverz.</t>
  </si>
  <si>
    <t>Lisserweg (85) 1-A</t>
  </si>
  <si>
    <t>Weteringbrug</t>
  </si>
  <si>
    <t>Dorpshuis De Kern</t>
  </si>
  <si>
    <t>175-A</t>
  </si>
  <si>
    <t>Lisserweg (85) 1-B</t>
  </si>
  <si>
    <t>Club- en kleedgebouw ex SVOW</t>
  </si>
  <si>
    <t>175-AA</t>
  </si>
  <si>
    <t>2156 LA</t>
  </si>
  <si>
    <t>Lisserweg (90) 491</t>
  </si>
  <si>
    <t>Mantelzorgwoning</t>
  </si>
  <si>
    <t>176-A</t>
  </si>
  <si>
    <t>NAAST</t>
  </si>
  <si>
    <t>Lutulistraat (06) 139</t>
  </si>
  <si>
    <t>Wijkcentrum De Boerderij</t>
  </si>
  <si>
    <t>177</t>
  </si>
  <si>
    <t>Lutulistraat (06)   140</t>
  </si>
  <si>
    <t>16 onzelfstandige woningen statushouders</t>
  </si>
  <si>
    <t>177-A</t>
  </si>
  <si>
    <t>Mathilde Wibautstraat    20+22</t>
  </si>
  <si>
    <t>Buurtcentrum/gymzaal De Amazone en peuterspeelzaal Pinokkio</t>
  </si>
  <si>
    <t>178</t>
  </si>
  <si>
    <t>Marialaan (44)    84</t>
  </si>
  <si>
    <t>Woonhuis met atelier</t>
  </si>
  <si>
    <t>180</t>
  </si>
  <si>
    <t>Marialaan (44)    86</t>
  </si>
  <si>
    <t>jongerencentrum De Basis</t>
  </si>
  <si>
    <t>181</t>
  </si>
  <si>
    <t>Tax 09/2017</t>
  </si>
  <si>
    <t>Marktlaan 124</t>
  </si>
  <si>
    <t>De Polderlanden</t>
  </si>
  <si>
    <t>183</t>
  </si>
  <si>
    <t>De Polderlanden planten, geleased</t>
  </si>
  <si>
    <t>183-A</t>
  </si>
  <si>
    <t>Nachtschadestraat 52</t>
  </si>
  <si>
    <t>Nieuw-Vennep - Zuid</t>
  </si>
  <si>
    <t>vm ketelhuis</t>
  </si>
  <si>
    <t>184</t>
  </si>
  <si>
    <t>onbekende gebruiker Tax 2017</t>
  </si>
  <si>
    <t>Nieuwe Bennebroekerweg 800</t>
  </si>
  <si>
    <t>SKWA</t>
  </si>
  <si>
    <t>Sportcomplex het SKWA</t>
  </si>
  <si>
    <t>186</t>
  </si>
  <si>
    <t>Nieuwe Molenaarslaan 20</t>
  </si>
  <si>
    <t>Haarlemmermeer Lyceum Zuidrand</t>
  </si>
  <si>
    <t>187</t>
  </si>
  <si>
    <t>Nieuwstraat    43+45</t>
  </si>
  <si>
    <t>Mozaïek, vm Joh.Weststein pcb</t>
  </si>
  <si>
    <t>191</t>
  </si>
  <si>
    <t>Noorderdreef (30)   104</t>
  </si>
  <si>
    <t>195</t>
  </si>
  <si>
    <t>glas</t>
  </si>
  <si>
    <t>HVC, nieuw schoolgebouw incl. gymzaal</t>
  </si>
  <si>
    <t>197</t>
  </si>
  <si>
    <t>niet lichtdoorlatend glas en vliesgevels</t>
  </si>
  <si>
    <t>Ketelhuis  incl. ketel+electra verdeelinrichting na de trafo</t>
  </si>
  <si>
    <t>198</t>
  </si>
  <si>
    <t>ketelhuis voor oudbouw Beurtschipper 200</t>
  </si>
  <si>
    <t>Noppenstraat    90</t>
  </si>
  <si>
    <t>199</t>
  </si>
  <si>
    <t>Noppenstraat    92</t>
  </si>
  <si>
    <t>Zwanenbloem, openbare basisschool</t>
  </si>
  <si>
    <t>200</t>
  </si>
  <si>
    <t>Oostmoor 52</t>
  </si>
  <si>
    <t>Wijkgebouw Linquenda</t>
  </si>
  <si>
    <t>202-A</t>
  </si>
  <si>
    <t>Oude Venneperweg 24</t>
  </si>
  <si>
    <t>Burgerveen</t>
  </si>
  <si>
    <t>Dorpshuis Marijke</t>
  </si>
  <si>
    <t>202-B</t>
  </si>
  <si>
    <t>Tax,gecorrigeerd  2017</t>
  </si>
  <si>
    <t>Pampusstraat    28</t>
  </si>
  <si>
    <t>Rijsenhout - Dorp</t>
  </si>
  <si>
    <t>Zevensprong/W.vd Zwaardschool, openbare basisschool</t>
  </si>
  <si>
    <t>203</t>
  </si>
  <si>
    <t>Pampusstraat    30</t>
  </si>
  <si>
    <t>204</t>
  </si>
  <si>
    <t>Papaverstraat    30</t>
  </si>
  <si>
    <t>Kantoor en berging t.b.v. openbare werken</t>
  </si>
  <si>
    <t>205</t>
  </si>
  <si>
    <t>Begr.plaats Lindenhof Tax 2017</t>
  </si>
  <si>
    <t>Papegaaistraat     4</t>
  </si>
  <si>
    <t>Dr. Plesmanschool R.K. basisschool incl. 4 noodlok.</t>
  </si>
  <si>
    <t>206</t>
  </si>
  <si>
    <t>Dr. Plesmanschool speel/ gymzaal</t>
  </si>
  <si>
    <t>207</t>
  </si>
  <si>
    <t>Tax 2010/17</t>
  </si>
  <si>
    <t>Plantsoenlaan     4</t>
  </si>
  <si>
    <t>De Gaandeweg Chr.basisschool, (incl. 1 noodlok.)??</t>
  </si>
  <si>
    <t>208</t>
  </si>
  <si>
    <t>Prins Hendriklaan 33</t>
  </si>
  <si>
    <t>Uitvoering Planv. A/B OR/RO/Verkeer</t>
  </si>
  <si>
    <t>Gymzaal in gebruik bij RO als projectbureau</t>
  </si>
  <si>
    <t>212-A</t>
  </si>
  <si>
    <t>tax. 2017</t>
  </si>
  <si>
    <t>gymtoestellen  in gymzaal Pr. Hendriklaan 33</t>
  </si>
  <si>
    <t>212-AA</t>
  </si>
  <si>
    <t>Purmerstraat    17+19</t>
  </si>
  <si>
    <t>KDV Partou +BSO Partou +  Wormerstr. 29</t>
  </si>
  <si>
    <t>213</t>
  </si>
  <si>
    <t>Raadhuisplein     3 - 9</t>
  </si>
  <si>
    <t>Cultureel centrum</t>
  </si>
  <si>
    <t>9570215.5811</t>
  </si>
  <si>
    <t>217</t>
  </si>
  <si>
    <t>Ridderspoorstraat    22</t>
  </si>
  <si>
    <t>219</t>
  </si>
  <si>
    <t>Ridderspoorstraat    24</t>
  </si>
  <si>
    <t>220</t>
  </si>
  <si>
    <t>Rietkraag 5</t>
  </si>
  <si>
    <t>Beinsdorp</t>
  </si>
  <si>
    <t>Dorpshuis 't Eiland</t>
  </si>
  <si>
    <t>220-A</t>
  </si>
  <si>
    <t>Rijnlanderweg (22)   820</t>
  </si>
  <si>
    <t>Schuren, 2 stuks</t>
  </si>
  <si>
    <t>223</t>
  </si>
  <si>
    <t>Hoofddorp - Beukenhorst-Oost</t>
  </si>
  <si>
    <t>Roerdompstraat    10</t>
  </si>
  <si>
    <t>BAS School/gymlok.,Burg.Amersf.school</t>
  </si>
  <si>
    <t>231</t>
  </si>
  <si>
    <t>Roerdompstraat    14</t>
  </si>
  <si>
    <t>Oranje Nassau dislokatie kleuterschool</t>
  </si>
  <si>
    <t>233</t>
  </si>
  <si>
    <t>Rustoordstraat 17</t>
  </si>
  <si>
    <t>Berging/opslagpl./kantoor alg.begraafplaats</t>
  </si>
  <si>
    <t>235</t>
  </si>
  <si>
    <t>Sandestein 40</t>
  </si>
  <si>
    <t>inventaris in 3 gehuurde gymzalen</t>
  </si>
  <si>
    <t>SF94653205.5811</t>
  </si>
  <si>
    <t>236</t>
  </si>
  <si>
    <t>Sarabande 1-9</t>
  </si>
  <si>
    <t>Sarabande 1-9 complex Getsewoud-noord</t>
  </si>
  <si>
    <t>237</t>
  </si>
  <si>
    <t>2152 TB</t>
  </si>
  <si>
    <t>Sarabande 1</t>
  </si>
  <si>
    <t>Sarabande 1 sportcentrum</t>
  </si>
  <si>
    <t>237 A</t>
  </si>
  <si>
    <t>Sarabande 3</t>
  </si>
  <si>
    <t>Sarabande 3 buitenschoolse opvang/KDV</t>
  </si>
  <si>
    <t>237 B</t>
  </si>
  <si>
    <t>Tax 2009/10/2017 niet voor rek gemeente</t>
  </si>
  <si>
    <t>Sarabande 5</t>
  </si>
  <si>
    <t>Sarabande 5 basisschool Opmaat 10 klassig</t>
  </si>
  <si>
    <t>237 C</t>
  </si>
  <si>
    <t>Sarabande 7</t>
  </si>
  <si>
    <t>Sarabande 7 basisschool 't Venne 10 klassig</t>
  </si>
  <si>
    <t>237 D</t>
  </si>
  <si>
    <t>Sarabande 9</t>
  </si>
  <si>
    <t>Sarabande 9 basisschool Merlijn 10 klassig</t>
  </si>
  <si>
    <t>237 E</t>
  </si>
  <si>
    <t>Sarabande 7-A</t>
  </si>
  <si>
    <t>'t Venne, semi-permanent schoolgebouw</t>
  </si>
  <si>
    <t>237 F</t>
  </si>
  <si>
    <t>Schipholweg (65) 649</t>
  </si>
  <si>
    <t>Lijnden</t>
  </si>
  <si>
    <t>Verenigingsgebouw De Vluchthaven</t>
  </si>
  <si>
    <t>238</t>
  </si>
  <si>
    <t>Schipholweg (65)   651</t>
  </si>
  <si>
    <t>Verenigingsgebouw Het Vluchthonk</t>
  </si>
  <si>
    <t>238-A</t>
  </si>
  <si>
    <t>Schoolstraat 2</t>
  </si>
  <si>
    <t>Bibliotheek, huurdersbelang</t>
  </si>
  <si>
    <t>239</t>
  </si>
  <si>
    <t>uitsluitend betimmering, huurdersbelang!</t>
  </si>
  <si>
    <t>Schouwstraat    11</t>
  </si>
  <si>
    <t>Brandweerkazerne</t>
  </si>
  <si>
    <t>241</t>
  </si>
  <si>
    <t>Schouwstraat 10-14</t>
  </si>
  <si>
    <t>Dorpshuis De Reede, incl. Buurtzorg</t>
  </si>
  <si>
    <t>243</t>
  </si>
  <si>
    <t>Schouwstraat    15</t>
  </si>
  <si>
    <t>Immanuel Chr.school belending:op minder dan 10m afstand</t>
  </si>
  <si>
    <t>244</t>
  </si>
  <si>
    <t>Schuilenburg     1</t>
  </si>
  <si>
    <t>Jongerencentrum De Lans</t>
  </si>
  <si>
    <t>247</t>
  </si>
  <si>
    <t>Schuilenburg     3</t>
  </si>
  <si>
    <t>Sociaal cultureel centrum De Veste</t>
  </si>
  <si>
    <t>248</t>
  </si>
  <si>
    <t>`Tax 2009/10/2017 Ex-glasverz.</t>
  </si>
  <si>
    <t>Schuilenburg     5</t>
  </si>
  <si>
    <t>Sport-en gymzaal</t>
  </si>
  <si>
    <t>94653206.5811</t>
  </si>
  <si>
    <t>249</t>
  </si>
  <si>
    <t>TaxExploitatie WOCgebouw via  Meerwaarde</t>
  </si>
  <si>
    <t>Schuilenburg     7</t>
  </si>
  <si>
    <t>De Twickel Ob.school , incl 7 noodlokalen Geb.1</t>
  </si>
  <si>
    <t>250</t>
  </si>
  <si>
    <t>-</t>
  </si>
  <si>
    <t>Schuilenburg 7</t>
  </si>
  <si>
    <t>OB De Twickel, geb. 2,  2 verdiepingen</t>
  </si>
  <si>
    <t>94542100.5811</t>
  </si>
  <si>
    <t>250-A</t>
  </si>
  <si>
    <t>Schuilenburg    88</t>
  </si>
  <si>
    <t>Vredeburg R.K. basisschool</t>
  </si>
  <si>
    <t>251</t>
  </si>
  <si>
    <t>Scorpius 131</t>
  </si>
  <si>
    <t>Uitvoering P &amp; P, Bedrijven</t>
  </si>
  <si>
    <t>P &amp; R Parkeergarage</t>
  </si>
  <si>
    <t>253</t>
  </si>
  <si>
    <t>2132 LR</t>
  </si>
  <si>
    <t>Skagerrak   170</t>
  </si>
  <si>
    <t>Hoofddorp - Bornholm-Oost</t>
  </si>
  <si>
    <t>Vesterhavet Chr.basisschool en multi-functionele ruimten.</t>
  </si>
  <si>
    <t>255</t>
  </si>
  <si>
    <t>Klippeholm R.K. basisschool</t>
  </si>
  <si>
    <t>256</t>
  </si>
  <si>
    <t>Skagerrak   186</t>
  </si>
  <si>
    <t>Gymnastieklokalen + nevenruimten</t>
  </si>
  <si>
    <t>257</t>
  </si>
  <si>
    <t>Skagerrak   296</t>
  </si>
  <si>
    <t>Bikube Openbare basisschool</t>
  </si>
  <si>
    <t>259</t>
  </si>
  <si>
    <t>Skagerrak   324-328</t>
  </si>
  <si>
    <t>Cultureel centrum incl. vaste inv., Peuterspeelzaal etc.</t>
  </si>
  <si>
    <t>260</t>
  </si>
  <si>
    <t>Badhoevedorp - Sloterweg</t>
  </si>
  <si>
    <t>Sloterweg (55)   265-287</t>
  </si>
  <si>
    <t>Sloterweg 265/267, 281/283,285/287 (6 woningen)</t>
  </si>
  <si>
    <t>262</t>
  </si>
  <si>
    <t>Tax 2009/10/2017 nog 3 2-onder-1-kappers</t>
  </si>
  <si>
    <t>Snelliuslaan     1</t>
  </si>
  <si>
    <t>Zwembad/sporthal/kantine en restaurant</t>
  </si>
  <si>
    <t>263</t>
  </si>
  <si>
    <t>Snelliuslaan 33-35</t>
  </si>
  <si>
    <t>Dorpshuis (nieuw)</t>
  </si>
  <si>
    <t>265</t>
  </si>
  <si>
    <t>Spannenburg     2</t>
  </si>
  <si>
    <t>De Wijngaard Protestants christelijke school</t>
  </si>
  <si>
    <t>268</t>
  </si>
  <si>
    <t>Sparresholm   175</t>
  </si>
  <si>
    <t>269</t>
  </si>
  <si>
    <t>Sparresholm   195+197</t>
  </si>
  <si>
    <t>IJwegschool Openbare basisschool</t>
  </si>
  <si>
    <t>270</t>
  </si>
  <si>
    <t>Spieringweg (94) 1021</t>
  </si>
  <si>
    <t>Aula Zwaanshoek</t>
  </si>
  <si>
    <t>271</t>
  </si>
  <si>
    <t>GLAS</t>
  </si>
  <si>
    <t>Tax 2009/10/2017 incl. Glasverz.?</t>
  </si>
  <si>
    <t>Spieringweg (96) 1021</t>
  </si>
  <si>
    <t>Zwaanshoek - N.O. omgeving</t>
  </si>
  <si>
    <t>Beheerdersgebouw begraafplaats</t>
  </si>
  <si>
    <t>272</t>
  </si>
  <si>
    <t>Spieringweg (67)   570+570-A</t>
  </si>
  <si>
    <t>Noodwoning en stacaravan</t>
  </si>
  <si>
    <t>276</t>
  </si>
  <si>
    <t>Spieringweg (67)   801</t>
  </si>
  <si>
    <t>Waterlelie, + 8 perm.lokalen.</t>
  </si>
  <si>
    <t>277</t>
  </si>
  <si>
    <t>Steve Bikostraat 73-75</t>
  </si>
  <si>
    <t>Hoofdvaartcollege ex Hoofdweg 709)</t>
  </si>
  <si>
    <t>280</t>
  </si>
  <si>
    <t>Steve Bikostraat 77</t>
  </si>
  <si>
    <t>Gymacc. voormalig H'meerlyceum</t>
  </si>
  <si>
    <t>281</t>
  </si>
  <si>
    <t>Steve Bikostraat 83</t>
  </si>
  <si>
    <t>Hoofdvaart coll. Praktijklokalen (ingang Paxlaan)</t>
  </si>
  <si>
    <t>282</t>
  </si>
  <si>
    <t>IJweg 1244 en 1284, Toiletgebouw in recreatiegebied</t>
  </si>
  <si>
    <t>94656203.5811</t>
  </si>
  <si>
    <t>284</t>
  </si>
  <si>
    <t>Van Den Berghlaan   130</t>
  </si>
  <si>
    <t>Altra College</t>
  </si>
  <si>
    <t>285</t>
  </si>
  <si>
    <t>Van Den Berghlaan    72</t>
  </si>
  <si>
    <t>J.v.Stolberg Christelijke basisschool</t>
  </si>
  <si>
    <t>286</t>
  </si>
  <si>
    <t>Van Den Berghlaan 76</t>
  </si>
  <si>
    <t>Triversum, huurder, inventaris niet van de gemeente</t>
  </si>
  <si>
    <t>287</t>
  </si>
  <si>
    <t>Tax 2017 één bedrag met hs.nr. 78</t>
  </si>
  <si>
    <t>Van Den Berghlaan    78</t>
  </si>
  <si>
    <t>De Ster (vm Pion en Buitenrif)</t>
  </si>
  <si>
    <t>287-A</t>
  </si>
  <si>
    <t>Veenwortelstraat     3</t>
  </si>
  <si>
    <t>Brandweergebouw</t>
  </si>
  <si>
    <t>288</t>
  </si>
  <si>
    <t>Tax 2009/10/2017 Inv. via VRK verzekerd</t>
  </si>
  <si>
    <t>Venneperweg (30) 298</t>
  </si>
  <si>
    <t>Jongerencentrum De Hype (v.m. De Stip).</t>
  </si>
  <si>
    <t>289</t>
  </si>
  <si>
    <t>Sloopwaarde 2017 tax!</t>
  </si>
  <si>
    <t>Vertrekhal</t>
  </si>
  <si>
    <t>Schiphol-centrum</t>
  </si>
  <si>
    <t>PDV KLC Burgerzaken</t>
  </si>
  <si>
    <t>Schiphol balie</t>
  </si>
  <si>
    <t>289-AA</t>
  </si>
  <si>
    <t>Tax 2017 verbouwing+inrichting</t>
  </si>
  <si>
    <t>Vijfhuizerdijk (68) 26</t>
  </si>
  <si>
    <t>Vijfhuizen - Dijk</t>
  </si>
  <si>
    <t>loods/garagebox, particulier gebruik</t>
  </si>
  <si>
    <t>290</t>
  </si>
  <si>
    <t>Vijfhuizerdijk (68) 161</t>
  </si>
  <si>
    <t>Clubgebouw</t>
  </si>
  <si>
    <t>291</t>
  </si>
  <si>
    <t>Tax 2009/10/2017 gemeente geen eigenaar</t>
  </si>
  <si>
    <t>Vlietestein 31</t>
  </si>
  <si>
    <t>293</t>
  </si>
  <si>
    <t>en Wielestein 48+50/Vopssestein 15?</t>
  </si>
  <si>
    <t>Vlietestein 33</t>
  </si>
  <si>
    <t>Vossestein 15</t>
  </si>
  <si>
    <t>'t Joppe OB-basisschool 14 schoolwoningen</t>
  </si>
  <si>
    <t>294</t>
  </si>
  <si>
    <t>Tax 2009/10, zie Ln.v.Gildestein74-76</t>
  </si>
  <si>
    <t>Waddenweg 3</t>
  </si>
  <si>
    <t>Buurthuis Floriande Studio 5</t>
  </si>
  <si>
    <t>296</t>
  </si>
  <si>
    <t>2134 XL</t>
  </si>
  <si>
    <t>Waddenweg 81-83</t>
  </si>
  <si>
    <t>Braambos, incl. gymzaal en Hasselbraam=kinderopvang</t>
  </si>
  <si>
    <t>297</t>
  </si>
  <si>
    <t>Waddenweg 85</t>
  </si>
  <si>
    <t>gymzaal Braambos</t>
  </si>
  <si>
    <t>297-A</t>
  </si>
  <si>
    <t>Waddenweg 87</t>
  </si>
  <si>
    <t>Schoolwoningen 16 stuks Braambos</t>
  </si>
  <si>
    <t>298</t>
  </si>
  <si>
    <t>Waddenweg 85-A</t>
  </si>
  <si>
    <t>Het Braamt (Braambos), permanente locatie voor ca 15 jaar.</t>
  </si>
  <si>
    <t>299-A</t>
  </si>
  <si>
    <t>Wieger Bruinlaan     1</t>
  </si>
  <si>
    <t>De Kijkdoos, vm woonhuis met garage</t>
  </si>
  <si>
    <t>302</t>
  </si>
  <si>
    <t>Wieger Bruinlaan 7</t>
  </si>
  <si>
    <t>NMCX, Educatieruimte (vm rayonkantoor)</t>
  </si>
  <si>
    <t>303</t>
  </si>
  <si>
    <t>Wilgenlaan (46)    83</t>
  </si>
  <si>
    <t>Zwanenburg - Oost</t>
  </si>
  <si>
    <t>De Achtbaan Ob.basis school , incl. 2 noodlok.</t>
  </si>
  <si>
    <t>305</t>
  </si>
  <si>
    <t>Wilgenlaan (46) 83</t>
  </si>
  <si>
    <t>De Achtbaan, 2 noodlok.</t>
  </si>
  <si>
    <t>305-A</t>
  </si>
  <si>
    <t>Wilhelminalaan (02)    55</t>
  </si>
  <si>
    <t>(Inventaris uitsl.verz. t.b.v.) J.P.Heijeschool</t>
  </si>
  <si>
    <t>307</t>
  </si>
  <si>
    <t>St. Openbaar Primair Onderwijs</t>
  </si>
  <si>
    <t>Inv.+vloerbedekking.e.d.tbv SOPOH</t>
  </si>
  <si>
    <t>308</t>
  </si>
  <si>
    <t>2132 DV</t>
  </si>
  <si>
    <t>Wormerstraat    23</t>
  </si>
  <si>
    <t>309</t>
  </si>
  <si>
    <t>Wormerstraat    25</t>
  </si>
  <si>
    <t>Dik Trom Openbare basisschool incl. 1 noodlokaal</t>
  </si>
  <si>
    <t>310</t>
  </si>
  <si>
    <t>Zandbos   161</t>
  </si>
  <si>
    <t>Hoofddorp - Overbos-Zuid</t>
  </si>
  <si>
    <t>peuterspeelzaal en gymzaal huisnrs. 161 + 163</t>
  </si>
  <si>
    <t>312</t>
  </si>
  <si>
    <t>Zandbos    46</t>
  </si>
  <si>
    <t>De Tovercirkel Openb.basisschool</t>
  </si>
  <si>
    <t>313</t>
  </si>
  <si>
    <t>Zandbos    48</t>
  </si>
  <si>
    <t>315</t>
  </si>
  <si>
    <t>Zeemanlaan 50</t>
  </si>
  <si>
    <t>brandweerkazerne</t>
  </si>
  <si>
    <t>317</t>
  </si>
  <si>
    <t>Zijdewinde    38</t>
  </si>
  <si>
    <t>De Waterwolf openbare basisschool</t>
  </si>
  <si>
    <t>319</t>
  </si>
  <si>
    <t>Zijdewinde    40</t>
  </si>
  <si>
    <t>320</t>
  </si>
  <si>
    <t>Nieuwemeerdijk (62)</t>
  </si>
  <si>
    <t>Badhoevedorp - Dijk</t>
  </si>
  <si>
    <t>Brughuisje Badhoevedorp/Sloten (portocabin)</t>
  </si>
  <si>
    <t>93621011.5811</t>
  </si>
  <si>
    <t>322</t>
  </si>
  <si>
    <t>Tax 2009/10/2017 opstal+inventaris</t>
  </si>
  <si>
    <t>Zwanenburgerdijk (49)</t>
  </si>
  <si>
    <t>Zwanenburg - Dijk</t>
  </si>
  <si>
    <t>Brughuisje Zwanenburg/Halfweg gemetseld, op de brug</t>
  </si>
  <si>
    <t>323</t>
  </si>
  <si>
    <t>Tax 2009/10/2017 opstal + inventaris</t>
  </si>
  <si>
    <t>Hillegommerdijk (93)</t>
  </si>
  <si>
    <t>Brughuisje Beinsdorp/Hillegom gemetseld tegen de brug</t>
  </si>
  <si>
    <t>324</t>
  </si>
  <si>
    <t>Lisserdijk (90)</t>
  </si>
  <si>
    <t>Brughuisje Lisserbroek/Lisse gemetseld op de brug</t>
  </si>
  <si>
    <t>325</t>
  </si>
  <si>
    <t>Bennebroekerdijk (94)</t>
  </si>
  <si>
    <t>Brughuisje Zwaanshoek/Bennebroek gemetseld op de brug</t>
  </si>
  <si>
    <t>326</t>
  </si>
  <si>
    <t>Vijfhuizerdijk (68)</t>
  </si>
  <si>
    <t>Brughuisje Vijfhuizen/Haarlem portocabin op de wal</t>
  </si>
  <si>
    <t>327</t>
  </si>
  <si>
    <t>Tax 2009/10/2017 opstal+ inventaris</t>
  </si>
  <si>
    <t>Huigsloterdijk (85) 50</t>
  </si>
  <si>
    <t>Brughuisje Weteringbrug gemetseld op de brug</t>
  </si>
  <si>
    <t>328</t>
  </si>
  <si>
    <t>Kerkweg 26</t>
  </si>
  <si>
    <t>Spaarnwoude</t>
  </si>
  <si>
    <t>400</t>
  </si>
  <si>
    <t>Halfweg</t>
  </si>
  <si>
    <t>401</t>
  </si>
  <si>
    <t>1065 GL</t>
  </si>
  <si>
    <t>Liedeweg 79</t>
  </si>
  <si>
    <t>Haarlemmerliede</t>
  </si>
  <si>
    <t>402</t>
  </si>
  <si>
    <t>Dr. Schaepmanstraat 3</t>
  </si>
  <si>
    <t>Haarlemmerstraatweg 51</t>
  </si>
  <si>
    <t>?</t>
  </si>
  <si>
    <t>Ted. Van Berkhoutweg 3</t>
  </si>
  <si>
    <t>vm gemeentewerf</t>
  </si>
  <si>
    <t>leeg!</t>
  </si>
  <si>
    <t>Ringweg 40</t>
  </si>
  <si>
    <t>brandweerkazerne Spaarndam</t>
  </si>
  <si>
    <t>Oude Haarlemmerstraatweg 1</t>
  </si>
  <si>
    <t>liftschacht station Halfweg</t>
  </si>
  <si>
    <t>Noordzeekanaalweg 4</t>
  </si>
  <si>
    <t>dienstwoningen</t>
  </si>
  <si>
    <t>Haarlemmermeerstraat 2</t>
  </si>
  <si>
    <t>Kinderdagverblijf</t>
  </si>
  <si>
    <t>Ringweg 12A</t>
  </si>
  <si>
    <t>Verenigingsgebouw</t>
  </si>
  <si>
    <t>excl. Btw</t>
  </si>
  <si>
    <t>incl. btw</t>
  </si>
  <si>
    <t>incl.btw</t>
  </si>
  <si>
    <t>Schoolstraat 5</t>
  </si>
  <si>
    <t>Margrietschool, kleutergebouw 7-klassig Halfweg</t>
  </si>
  <si>
    <t>St. Franciscus RK Basisschool 5-klassig Haarlemmerliede</t>
  </si>
  <si>
    <t>Halverwege, 8 noodlok, 11-klassig Halfweg</t>
  </si>
  <si>
    <t>Jozef school 4-klassig Halfweg</t>
  </si>
  <si>
    <t>Claes van Kietenstraat 2</t>
  </si>
  <si>
    <t>Adalbertusschool 11-klassig Spaarndam</t>
  </si>
  <si>
    <t>Totaal</t>
  </si>
  <si>
    <t>t Kabel 47</t>
  </si>
  <si>
    <t>Nieuw-Vennep</t>
  </si>
  <si>
    <t>Stompe Toren, vm kerkgebouw</t>
  </si>
  <si>
    <t>Van IB/Projecten</t>
  </si>
  <si>
    <t>IJweg 1270 nabij('Toolenburg-recreatiegebied)</t>
  </si>
  <si>
    <t>Ijweg 1270 naast ('Toolenburg-recreatiegebied)</t>
  </si>
  <si>
    <t>Mavo garage/toiletgebouw tbv de boomkwekerij/ portocabin/</t>
  </si>
  <si>
    <t>vm gemeentehuis nu Servicecentrum Noord</t>
  </si>
  <si>
    <t>Lijnderdijk, opslag werkmaterieel</t>
  </si>
  <si>
    <t>Opslag gereedschap</t>
  </si>
  <si>
    <t>Bouwaard</t>
  </si>
  <si>
    <t>Gebouwen</t>
  </si>
  <si>
    <t>Inventaris</t>
  </si>
  <si>
    <t>Subtotaal</t>
  </si>
  <si>
    <t>index 122,9</t>
  </si>
  <si>
    <t>index 116,3</t>
  </si>
  <si>
    <t>index 139,1</t>
  </si>
  <si>
    <t>index 121,6</t>
  </si>
  <si>
    <t>Index 105</t>
  </si>
  <si>
    <t>Tax 2019-03/2025</t>
  </si>
  <si>
    <t>Inclusief zonnepanelen</t>
  </si>
  <si>
    <t>Dennenlaan 133a</t>
  </si>
  <si>
    <t>Nieuwe dorpshuis Zwanenburg</t>
  </si>
  <si>
    <t>Eugenie Previnaireweg 15-19</t>
  </si>
  <si>
    <t>altelier Oostflank</t>
  </si>
  <si>
    <t>Skagerrak   182-184</t>
  </si>
  <si>
    <t>Neptunusstraat 35</t>
  </si>
  <si>
    <t>Index 108</t>
  </si>
  <si>
    <t>Inventaris Stichting Koos</t>
  </si>
  <si>
    <t>Bredeschool Floriande Midden</t>
  </si>
  <si>
    <t>Leegstaand (alleen het Meer Team is verhuisd)</t>
  </si>
  <si>
    <t>Venneperhof 37</t>
  </si>
  <si>
    <t>Herbert Vissers College, De Symfonie 45</t>
  </si>
  <si>
    <t>Liesbos (11)    10-12</t>
  </si>
  <si>
    <t>Liesbos (11)    18-20</t>
  </si>
  <si>
    <t>Liesbos (11)    14-16</t>
  </si>
  <si>
    <t>inclusief zonnepanelen</t>
  </si>
  <si>
    <t>Hoofdweg 800</t>
  </si>
  <si>
    <t>Politiebureau</t>
  </si>
  <si>
    <t>Beurtschipper 200 / Noorderdreef 175</t>
  </si>
  <si>
    <t>School</t>
  </si>
  <si>
    <t>Sporthal Het Spectrum</t>
  </si>
  <si>
    <t>Jonkheer van de Pollstraat 18</t>
  </si>
  <si>
    <t>Clubgebouw duiven vereniging</t>
  </si>
  <si>
    <t>Adelaarstraat 70</t>
  </si>
  <si>
    <t>Steen/hard</t>
  </si>
  <si>
    <t>Staal/hout/hard</t>
  </si>
  <si>
    <t>Huur lokalen (verzekering opstal via Buko)</t>
  </si>
  <si>
    <t>Gemeente Haarlemmermeer, polisnummer 649802303</t>
  </si>
  <si>
    <t xml:space="preserve">tax 2017 </t>
  </si>
  <si>
    <t>Taurusavenue 100, Hoofddorp</t>
  </si>
  <si>
    <t>Kantoor (tijdelijke Raadhuis)</t>
  </si>
  <si>
    <t>Komt tijdelijk over van Raadhuis</t>
  </si>
  <si>
    <t>Wilgenlaan 83</t>
  </si>
  <si>
    <t>hout met geïsoleerde stalen profielplaten</t>
  </si>
  <si>
    <t xml:space="preserve">3 noodlokalen </t>
  </si>
  <si>
    <t>Van Den Berghlaan    82</t>
  </si>
  <si>
    <t>Beton/hout</t>
  </si>
  <si>
    <t>Tijdelijk gebouw J.v.Stolberg Christelijke basisschool + SKH Kinderopvang</t>
  </si>
  <si>
    <t>Inventaris is overgekomen van nr. 72</t>
  </si>
  <si>
    <t>Inventaris tijdelijk naar nr. 82</t>
  </si>
  <si>
    <t>woonhuis</t>
  </si>
  <si>
    <t>Lisserweg 588</t>
  </si>
  <si>
    <t>Huisvesting Oekrainse vluchtelingen</t>
  </si>
  <si>
    <t>Wielestein 48</t>
  </si>
  <si>
    <t>Wielestein 50</t>
  </si>
  <si>
    <t>huurdersbelang + inboedel</t>
  </si>
  <si>
    <t>Bennebroekerweg 244</t>
  </si>
  <si>
    <t>Huurdersbelang (o.a. bmi/keukenunits/douches)</t>
  </si>
  <si>
    <t>Spieringweg 835, Gebouw E, ruimte E0.24, E0.25 en E1.01, Cruquius</t>
  </si>
  <si>
    <t>Hoofdweg 574</t>
  </si>
  <si>
    <t xml:space="preserve">Fietsenberging    </t>
  </si>
  <si>
    <t>Bedrag bij gebouwen is huurdersbelang</t>
  </si>
  <si>
    <t xml:space="preserve">Opvang gezinnen </t>
  </si>
  <si>
    <t>Index 2022</t>
  </si>
  <si>
    <t>Index 2023</t>
  </si>
  <si>
    <t>Betreft een vorkbedrag. Jaarlijkse controle</t>
  </si>
  <si>
    <t>Opvang asielzoekers LET OP: VORK VAN TOEPASSING</t>
  </si>
  <si>
    <t>Antoniusschool R.K. basisschool</t>
  </si>
  <si>
    <t>Oranje Nassaustraat 19 en 7</t>
  </si>
  <si>
    <t xml:space="preserve"> Extra opmerkingen</t>
  </si>
  <si>
    <t>Rijstvogelstraat 102, 104,108,110,</t>
  </si>
  <si>
    <t>Rijstvogelstraat 102,14,108,110, 1171 EJ, Badhoevedorp. 4 woningen</t>
  </si>
  <si>
    <t>Saturnusstraat 40-62</t>
  </si>
  <si>
    <t>Saturnusstraat 40-62, Hoofddorp kantoorgeb, incl. parkeerkelder</t>
  </si>
  <si>
    <t>Kaj Munkweg  39-41</t>
  </si>
  <si>
    <t>Praktijkschool de Linie van Dunamare</t>
  </si>
  <si>
    <t>Tax 2022, Cush &amp; Wakefield dsnr T214113</t>
  </si>
  <si>
    <t>Islamitische basisschool Amsterdam</t>
  </si>
  <si>
    <t>vorkbedrag 01-01-2024 ongewijzigd.</t>
  </si>
  <si>
    <t xml:space="preserve">Graan voor Visch ong. </t>
  </si>
  <si>
    <t>metaal/kunststof/PVC dak</t>
  </si>
  <si>
    <t>Graan voor Visch ong. Hoofddorp, School voor nieuwkomers</t>
  </si>
  <si>
    <t>Planeetbaan 2</t>
  </si>
  <si>
    <t>opvang oekrainse vluchtelingen</t>
  </si>
  <si>
    <t>Index</t>
  </si>
  <si>
    <t>Q4-2023</t>
  </si>
  <si>
    <t>mutaties 2023</t>
  </si>
  <si>
    <t>bijverzekering</t>
  </si>
  <si>
    <t>wijziging bestemming</t>
  </si>
  <si>
    <t>Mutatie overzicht automatische bijverzekering</t>
  </si>
  <si>
    <t>Jaar</t>
  </si>
  <si>
    <t xml:space="preserve">Verzekerde </t>
  </si>
  <si>
    <t>Datum</t>
  </si>
  <si>
    <t>Woonplaats</t>
  </si>
  <si>
    <t>VNAB nummer</t>
  </si>
  <si>
    <t>Omschrijving bestemming</t>
  </si>
  <si>
    <t>in gebruik /leegstaand</t>
  </si>
  <si>
    <t>Waarde bij</t>
  </si>
  <si>
    <t>Waarde af</t>
  </si>
  <si>
    <t>bijzonderheden</t>
  </si>
  <si>
    <t>Clausule automatische bijverzekering</t>
  </si>
  <si>
    <t>gemeente Haarlemmermeer</t>
  </si>
  <si>
    <t>Gemeente Haarlemmermeer</t>
  </si>
  <si>
    <t>Oranje Nassaustraat 19-7</t>
  </si>
  <si>
    <t>uitbreiding met huisno. 7</t>
  </si>
  <si>
    <t>Hoofddorp</t>
  </si>
  <si>
    <t>elektronsiche app.</t>
  </si>
  <si>
    <t>Taurusavenue 100</t>
  </si>
  <si>
    <t>computerapparatuur</t>
  </si>
  <si>
    <t xml:space="preserve">Hoofddorp </t>
  </si>
  <si>
    <t>ver. Som wijzigen</t>
  </si>
  <si>
    <t>Rijnlanderweg 1005</t>
  </si>
  <si>
    <t>afvoeren ivm verkoop</t>
  </si>
  <si>
    <t>bijverzekeren</t>
  </si>
  <si>
    <t>Rijstvogelstraat 102-110</t>
  </si>
  <si>
    <t>Badhoevedorp</t>
  </si>
  <si>
    <t>Kaj Munckweg 39-41</t>
  </si>
  <si>
    <t>Spaarndam</t>
  </si>
  <si>
    <t>gebouw</t>
  </si>
  <si>
    <t>inventaris</t>
  </si>
  <si>
    <t xml:space="preserve">Zandbos 48 </t>
  </si>
  <si>
    <t>Hoofdorp</t>
  </si>
  <si>
    <t>wijziging verz. Bedrag</t>
  </si>
  <si>
    <t>bestemmin gewijzigd</t>
  </si>
  <si>
    <t xml:space="preserve">Omschrijving </t>
  </si>
  <si>
    <t>huisno. Aangepast</t>
  </si>
  <si>
    <t>Spieringsweg 536</t>
  </si>
  <si>
    <t>Vijfhuizen</t>
  </si>
  <si>
    <t xml:space="preserve">Diamantlaan 6-8 </t>
  </si>
  <si>
    <t>komende 5 jaar is het pand verhuurd, uiteindelijk wordt het object gesloopt t.b.v. woningbouw
Geen zonnepanelen aanwezig</t>
  </si>
  <si>
    <t>Bedrijfspand</t>
  </si>
  <si>
    <t>opstal verzekeren</t>
  </si>
  <si>
    <t xml:space="preserve">PI Ster Van Den Berghlaan 78 verhuizen naar Dussenstraat 32 </t>
  </si>
  <si>
    <t>De inventaris overzetten op Dussenstraat 32</t>
  </si>
  <si>
    <t>van den Berghlaan op leegstand zetten</t>
  </si>
  <si>
    <t>Kinheim 8</t>
  </si>
  <si>
    <t>Liesbos 14-16</t>
  </si>
  <si>
    <r>
      <t>Zonnepanelen aangeschaft.</t>
    </r>
    <r>
      <rPr>
        <sz val="10"/>
        <color indexed="10"/>
        <rFont val="Calibri"/>
        <family val="2"/>
      </rPr>
      <t xml:space="preserve"> Gaat de inventaris omhoog? </t>
    </r>
  </si>
  <si>
    <t>Noppenstraat 92-94</t>
  </si>
  <si>
    <t xml:space="preserve">Opstal en inventaris verzekeren bedragen zijn incl. BTW </t>
  </si>
  <si>
    <t>inventaris = € 151.250</t>
  </si>
  <si>
    <t>Rijnlanderweg 916 - 946</t>
  </si>
  <si>
    <t>Opstal AFVOEREN</t>
  </si>
  <si>
    <t>Is hier een wijziging?</t>
  </si>
  <si>
    <t>Diamantlaan 6-8</t>
  </si>
  <si>
    <t>1436BM</t>
  </si>
  <si>
    <t>1161XG</t>
  </si>
  <si>
    <t>1171TM</t>
  </si>
  <si>
    <t>2135PT</t>
  </si>
  <si>
    <t>2135HA</t>
  </si>
  <si>
    <t>2132CR</t>
  </si>
  <si>
    <t>2135BA</t>
  </si>
  <si>
    <t>2152KL</t>
  </si>
  <si>
    <t>2165XP</t>
  </si>
  <si>
    <t>2141VJ</t>
  </si>
  <si>
    <t>2134CG</t>
  </si>
  <si>
    <t>2142LE</t>
  </si>
  <si>
    <t>2136NG</t>
  </si>
  <si>
    <t>2131LX</t>
  </si>
  <si>
    <t>2131AR</t>
  </si>
  <si>
    <t>1171XL</t>
  </si>
  <si>
    <t>2134XS</t>
  </si>
  <si>
    <t>2152BA</t>
  </si>
  <si>
    <t>2134DL</t>
  </si>
  <si>
    <t>1171AL</t>
  </si>
  <si>
    <t>2135MH</t>
  </si>
  <si>
    <t>2135MS</t>
  </si>
  <si>
    <t>2132VW</t>
  </si>
  <si>
    <t>2132VJ</t>
  </si>
  <si>
    <t>2132VH</t>
  </si>
  <si>
    <t>2131VN</t>
  </si>
  <si>
    <t>2151AL</t>
  </si>
  <si>
    <t>2152KG</t>
  </si>
  <si>
    <t>2157NC</t>
  </si>
  <si>
    <t>2158MC</t>
  </si>
  <si>
    <t>2131MS</t>
  </si>
  <si>
    <t>2131BC</t>
  </si>
  <si>
    <t>2131BD</t>
  </si>
  <si>
    <t>2131MA</t>
  </si>
  <si>
    <t>2132MC</t>
  </si>
  <si>
    <t>1161XH</t>
  </si>
  <si>
    <t>2133MG</t>
  </si>
  <si>
    <t>2133MH</t>
  </si>
  <si>
    <t>2131LV</t>
  </si>
  <si>
    <t>2151AG</t>
  </si>
  <si>
    <t>2131RV</t>
  </si>
  <si>
    <t>1161VD</t>
  </si>
  <si>
    <t>1161AP</t>
  </si>
  <si>
    <t>2133ML</t>
  </si>
  <si>
    <t>2165XG</t>
  </si>
  <si>
    <t>2141AN</t>
  </si>
  <si>
    <t>2131CW</t>
  </si>
  <si>
    <t>2151HV</t>
  </si>
  <si>
    <t>2157PG</t>
  </si>
  <si>
    <t>2165AT</t>
  </si>
  <si>
    <t>2131TG</t>
  </si>
  <si>
    <t>1161XD</t>
  </si>
  <si>
    <t>2132DM</t>
  </si>
  <si>
    <t>2153EM</t>
  </si>
  <si>
    <t>2134AS</t>
  </si>
  <si>
    <t>2152AA</t>
  </si>
  <si>
    <t>2152LG</t>
  </si>
  <si>
    <t>2136AK</t>
  </si>
  <si>
    <t>2151VC</t>
  </si>
  <si>
    <t>2154MG</t>
  </si>
  <si>
    <t>1435LJ</t>
  </si>
  <si>
    <t>2153BC</t>
  </si>
  <si>
    <t>1171TK</t>
  </si>
  <si>
    <t>2132HZ</t>
  </si>
  <si>
    <t>1161VW</t>
  </si>
  <si>
    <t>2132DR</t>
  </si>
  <si>
    <t>2132TZ</t>
  </si>
  <si>
    <t>2153BV</t>
  </si>
  <si>
    <t>2144KA</t>
  </si>
  <si>
    <t>2132ML</t>
  </si>
  <si>
    <t>1171HC</t>
  </si>
  <si>
    <t>2151KG</t>
  </si>
  <si>
    <t>2152TB</t>
  </si>
  <si>
    <t>1175KR</t>
  </si>
  <si>
    <t>1435KL</t>
  </si>
  <si>
    <t>2135GJ</t>
  </si>
  <si>
    <t>2135GM</t>
  </si>
  <si>
    <t>2132LR</t>
  </si>
  <si>
    <t>2133DW</t>
  </si>
  <si>
    <t>1171CZ</t>
  </si>
  <si>
    <t>2135GP</t>
  </si>
  <si>
    <t>2133BM</t>
  </si>
  <si>
    <t>2136LL</t>
  </si>
  <si>
    <t>2142ED</t>
  </si>
  <si>
    <t>2131RZ</t>
  </si>
  <si>
    <t>2132AV</t>
  </si>
  <si>
    <t>2132AT</t>
  </si>
  <si>
    <t>2153AE</t>
  </si>
  <si>
    <t>2151KL</t>
  </si>
  <si>
    <t>2151KK</t>
  </si>
  <si>
    <t>2134XL</t>
  </si>
  <si>
    <t>2132AW</t>
  </si>
  <si>
    <t>2132AX</t>
  </si>
  <si>
    <t>2151KN</t>
  </si>
  <si>
    <t>1161JL</t>
  </si>
  <si>
    <t>2131AX</t>
  </si>
  <si>
    <t>2134DD</t>
  </si>
  <si>
    <t>2134DE</t>
  </si>
  <si>
    <t>2141VB</t>
  </si>
  <si>
    <t>2064KS</t>
  </si>
  <si>
    <t>2064KK</t>
  </si>
  <si>
    <t>2065AL</t>
  </si>
  <si>
    <t>2064XT</t>
  </si>
  <si>
    <t>Aalsmeerderdijk 456-460</t>
  </si>
  <si>
    <t>Adelaarstraat 15 B</t>
  </si>
  <si>
    <t>Adelaarstraat 62</t>
  </si>
  <si>
    <t>Adrianahoeve 2</t>
  </si>
  <si>
    <t>Anna Blamanstraat 2+4</t>
  </si>
  <si>
    <t>Anne Franklaan 20</t>
  </si>
  <si>
    <t>Anne Franklaan 22</t>
  </si>
  <si>
    <t>Arnolduspark 3</t>
  </si>
  <si>
    <t>Assumburg 1</t>
  </si>
  <si>
    <t>Azollastraat 45</t>
  </si>
  <si>
    <t>Bennebroekerdijk 222</t>
  </si>
  <si>
    <t>Bennebroekerweg 951</t>
  </si>
  <si>
    <t>Bennebroekerweg 953</t>
  </si>
  <si>
    <t>Boslaan 1</t>
  </si>
  <si>
    <t>Broekermeerstraat 87</t>
  </si>
  <si>
    <t>Burg Amersfoordtln 61</t>
  </si>
  <si>
    <t>Burg Pabstlaan 3-5</t>
  </si>
  <si>
    <t>Dorpstraat 45</t>
  </si>
  <si>
    <t>Eugenie Previnaireweg 63</t>
  </si>
  <si>
    <t>Femina Mullerstraat 177</t>
  </si>
  <si>
    <t>Femina Mullerstraat 74</t>
  </si>
  <si>
    <t>Femina Mullerstraat 78</t>
  </si>
  <si>
    <t>Hammarskjöldstraat 226 - 228</t>
  </si>
  <si>
    <t>Hammarskjöldstraat 238</t>
  </si>
  <si>
    <t>Hammarskjöldstraat 240</t>
  </si>
  <si>
    <t>Hoofdweg 1730</t>
  </si>
  <si>
    <t>Hoofdweg 2034</t>
  </si>
  <si>
    <t>Hoofdweg 2038</t>
  </si>
  <si>
    <t>Hoofdweg 395</t>
  </si>
  <si>
    <t>Hoofdweg 671</t>
  </si>
  <si>
    <t>Hoofdweg 727</t>
  </si>
  <si>
    <t>Hoofdweg 737+739</t>
  </si>
  <si>
    <t>Hoofdweg 741</t>
  </si>
  <si>
    <t>Hoofdweg 741 A</t>
  </si>
  <si>
    <t>Hoofdweg 741-B</t>
  </si>
  <si>
    <t>Hoofdweg 743</t>
  </si>
  <si>
    <t>Hoofdweg 751</t>
  </si>
  <si>
    <t>Hoofdweg 776</t>
  </si>
  <si>
    <t>Hoofdweg 836</t>
  </si>
  <si>
    <t>IJtochtkade 24-B</t>
  </si>
  <si>
    <t>IJtochtkade 26</t>
  </si>
  <si>
    <t>IJtochtkade 28</t>
  </si>
  <si>
    <t>IJtochtkade 30</t>
  </si>
  <si>
    <t>IJtochtkade 32</t>
  </si>
  <si>
    <t>IJtochtkade 32A</t>
  </si>
  <si>
    <t>IJtochtkade 32B</t>
  </si>
  <si>
    <t>IJtochtkade 34</t>
  </si>
  <si>
    <t>IJtochtkade 34A</t>
  </si>
  <si>
    <t>IJtochtkade 34B</t>
  </si>
  <si>
    <t>IJweg 1013</t>
  </si>
  <si>
    <t>IJweg 1071</t>
  </si>
  <si>
    <t>IJweg 1092</t>
  </si>
  <si>
    <t>IJweg 1270 nabij</t>
  </si>
  <si>
    <t xml:space="preserve">Ijweg 1270 naast </t>
  </si>
  <si>
    <t>IJweg 1126</t>
  </si>
  <si>
    <t>IJweg 967</t>
  </si>
  <si>
    <t>Johannis Bogaardstraat 16a A</t>
  </si>
  <si>
    <t>Julianalaan 45</t>
  </si>
  <si>
    <t>Kaj Munkweg 39-41</t>
  </si>
  <si>
    <t>Kaj Munkweg 45</t>
  </si>
  <si>
    <t>Kalslagerring 19-21-A</t>
  </si>
  <si>
    <t>Kinheim 10</t>
  </si>
  <si>
    <t>Kinheim 4</t>
  </si>
  <si>
    <t>Kinheim 6</t>
  </si>
  <si>
    <t>Kleine Belt 1</t>
  </si>
  <si>
    <t>Kromme Spieringweg 436</t>
  </si>
  <si>
    <t>Kromme Spieringweg 438</t>
  </si>
  <si>
    <t>Langerak 42</t>
  </si>
  <si>
    <t>Langerak 42 A</t>
  </si>
  <si>
    <t>Liesbos 10-12</t>
  </si>
  <si>
    <t>Liesbos 16-A</t>
  </si>
  <si>
    <t>Liesbos 18-20</t>
  </si>
  <si>
    <t>Liesbos 22-26</t>
  </si>
  <si>
    <t>Lisserweg 1-A</t>
  </si>
  <si>
    <t>Lisserweg 1-B</t>
  </si>
  <si>
    <t>Lisserweg 491</t>
  </si>
  <si>
    <t>Lutulistraat 139</t>
  </si>
  <si>
    <t>Lutulistraat 140</t>
  </si>
  <si>
    <t>Mathilde Wibautstraat 20+22</t>
  </si>
  <si>
    <t>Marialaan 84</t>
  </si>
  <si>
    <t>Marialaan 86</t>
  </si>
  <si>
    <t>Nieuwstraat 43+45</t>
  </si>
  <si>
    <t>Noorderdreef 104</t>
  </si>
  <si>
    <t>Noppenstraat 90</t>
  </si>
  <si>
    <t>Pampusstraat 28</t>
  </si>
  <si>
    <t>Pampusstraat 30</t>
  </si>
  <si>
    <t>Papaverstraat 30</t>
  </si>
  <si>
    <t>Papegaaistraat 4</t>
  </si>
  <si>
    <t>Plantsoenlaan 4</t>
  </si>
  <si>
    <t>Purmerstraat 17+19</t>
  </si>
  <si>
    <t>Raadhuisplein 3 - 9</t>
  </si>
  <si>
    <t>Ridderspoorstraat 22</t>
  </si>
  <si>
    <t>Ridderspoorstraat 24</t>
  </si>
  <si>
    <t>Rijnlanderweg 820</t>
  </si>
  <si>
    <t>Roerdompstraat 10</t>
  </si>
  <si>
    <t>Roerdompstraat 14</t>
  </si>
  <si>
    <t>Schipholweg 649</t>
  </si>
  <si>
    <t>Schipholweg 651</t>
  </si>
  <si>
    <t>Schouwstraat 11</t>
  </si>
  <si>
    <t>Schouwstraat 15</t>
  </si>
  <si>
    <t>Schuilenburg 1</t>
  </si>
  <si>
    <t>Schuilenburg 3</t>
  </si>
  <si>
    <t>Schuilenburg 5</t>
  </si>
  <si>
    <t>Schuilenburg 88</t>
  </si>
  <si>
    <t>Skagerrak 170</t>
  </si>
  <si>
    <t>Skagerrak 182-184</t>
  </si>
  <si>
    <t>Skagerrak 186</t>
  </si>
  <si>
    <t>Skagerrak 296</t>
  </si>
  <si>
    <t>Skagerrak 324-328</t>
  </si>
  <si>
    <t>Sloterweg 265-287</t>
  </si>
  <si>
    <t>Snelliuslaan 1</t>
  </si>
  <si>
    <t>Spannenburg 2</t>
  </si>
  <si>
    <t>Sparresholm 175</t>
  </si>
  <si>
    <t>Sparresholm 195+197</t>
  </si>
  <si>
    <t>Spieringweg 1021</t>
  </si>
  <si>
    <t>Spieringweg 570+570-A</t>
  </si>
  <si>
    <t>Spieringweg 801</t>
  </si>
  <si>
    <t>Van Den Berghlaan 130</t>
  </si>
  <si>
    <t>Van Den Berghlaan 72</t>
  </si>
  <si>
    <t>Van Den Berghlaan 78</t>
  </si>
  <si>
    <t>Van Den Berghlaan 82</t>
  </si>
  <si>
    <t>Veenwortelstraat 3</t>
  </si>
  <si>
    <t>Venneperweg 298</t>
  </si>
  <si>
    <t>Vijfhuizerdijk 26</t>
  </si>
  <si>
    <t>Vijfhuizerdijk 161</t>
  </si>
  <si>
    <t>Wieger Bruinlaan 1</t>
  </si>
  <si>
    <t>Wilhelminalaan 55</t>
  </si>
  <si>
    <t>Wormerstraat 23</t>
  </si>
  <si>
    <t>Wormerstraat 25</t>
  </si>
  <si>
    <t>Zandbos 161</t>
  </si>
  <si>
    <t>Zandbos 48</t>
  </si>
  <si>
    <t>Zijdewinde 38</t>
  </si>
  <si>
    <t>Zijdewinde 40</t>
  </si>
  <si>
    <t xml:space="preserve">Zwanenburgerdijk </t>
  </si>
  <si>
    <t>Huigsloterdijk 50</t>
  </si>
  <si>
    <t>Straatnaam + nr.</t>
  </si>
  <si>
    <t>Plaatsnaam</t>
  </si>
  <si>
    <t>Aalsmeerderbrug</t>
  </si>
  <si>
    <t>Zwanenburg</t>
  </si>
  <si>
    <t>Cruquius</t>
  </si>
  <si>
    <t>Zwaanshoek</t>
  </si>
  <si>
    <t>Rijsenhout</t>
  </si>
  <si>
    <t>Abbenes</t>
  </si>
  <si>
    <t>Schiphol</t>
  </si>
  <si>
    <t>1161CN</t>
  </si>
  <si>
    <t>BMI aanwezig (Ja of Nee)</t>
  </si>
  <si>
    <t>IMI aanwezig (Ja of Nee)</t>
  </si>
  <si>
    <t>Zandbos 46</t>
  </si>
  <si>
    <t>2132XE</t>
  </si>
  <si>
    <t>2151BA</t>
  </si>
  <si>
    <t>2151BB</t>
  </si>
  <si>
    <t>2151CV</t>
  </si>
  <si>
    <t>2132DT</t>
  </si>
  <si>
    <t>2134SB</t>
  </si>
  <si>
    <t>2156LA</t>
  </si>
  <si>
    <t>2135MC</t>
  </si>
  <si>
    <t>2134AB</t>
  </si>
  <si>
    <t>2152BE</t>
  </si>
  <si>
    <t>2131AV</t>
  </si>
  <si>
    <t>1171EJ</t>
  </si>
  <si>
    <t>2132HB</t>
  </si>
  <si>
    <t>1435KN</t>
  </si>
  <si>
    <t>2133DX</t>
  </si>
  <si>
    <t>2132DV</t>
  </si>
  <si>
    <t>1165GL</t>
  </si>
  <si>
    <t>1165HB</t>
  </si>
  <si>
    <t>1165GP</t>
  </si>
  <si>
    <t>2132RJ</t>
  </si>
  <si>
    <t>2133MJ</t>
  </si>
  <si>
    <t>1165HJ</t>
  </si>
  <si>
    <t>1165MJ</t>
  </si>
  <si>
    <t>2064KC</t>
  </si>
  <si>
    <t>2144KT</t>
  </si>
  <si>
    <t>Hillegommerdijk (nabij 357)</t>
  </si>
  <si>
    <t>1171NC</t>
  </si>
  <si>
    <t>Nieuwemeerdijk (nabij 57)</t>
  </si>
  <si>
    <t>2165AK</t>
  </si>
  <si>
    <t>Lisserdijk (nabij 530)</t>
  </si>
  <si>
    <t>2141BB</t>
  </si>
  <si>
    <t>Vijfhuizerdijk (nabij 41)</t>
  </si>
  <si>
    <t>2136LV</t>
  </si>
  <si>
    <t>Bennebroekerdijk (nabij 52)</t>
  </si>
  <si>
    <t>Aalsmeerderweg 670</t>
  </si>
  <si>
    <t>1437EJ</t>
  </si>
  <si>
    <t>Rozenburg</t>
  </si>
  <si>
    <t>2132WV</t>
  </si>
  <si>
    <t>Hoofdweg 397</t>
  </si>
  <si>
    <t>Kruisweg 1163</t>
  </si>
  <si>
    <t>Plantsoenlaan 6</t>
  </si>
  <si>
    <t>Raasdorperweg 28</t>
  </si>
  <si>
    <t>1175KW</t>
  </si>
  <si>
    <t>Uiverstraat 42</t>
  </si>
  <si>
    <t>1171GZ</t>
  </si>
  <si>
    <t>Volledig eigendom</t>
  </si>
  <si>
    <t>Wel in Planon ontbreekt op de lijst</t>
  </si>
  <si>
    <t>Zonnepanelen aanwezig Ja of Nee)</t>
  </si>
  <si>
    <t>Ja</t>
  </si>
  <si>
    <t>Geen eigenaar, wel inbouwpakket</t>
  </si>
  <si>
    <t>Geen eigendom</t>
  </si>
  <si>
    <t>zie Deltaweg 97-109</t>
  </si>
  <si>
    <t>zie Deltaweg 97-110</t>
  </si>
  <si>
    <t>zie Deltaweg 97-111</t>
  </si>
  <si>
    <t>zie Deltaweg 97-112</t>
  </si>
  <si>
    <t>zie Deltaweg 97-113</t>
  </si>
  <si>
    <t>zie Deltaweg 97-114</t>
  </si>
  <si>
    <t>zie Deltaweg 97-115</t>
  </si>
  <si>
    <t>zie Deltaweg 97-116</t>
  </si>
  <si>
    <t>zie Deltaweg 97-117</t>
  </si>
  <si>
    <t>zie Dussenstraat 38-44</t>
  </si>
  <si>
    <t>zie Dussenstraat 38-45</t>
  </si>
  <si>
    <t>zie Dussenstraat 38-46</t>
  </si>
  <si>
    <t>zie Dussenstraat 38-47</t>
  </si>
  <si>
    <t>zie Dussenstraat 38-48</t>
  </si>
  <si>
    <t>zie Dussenstraat 38-49</t>
  </si>
  <si>
    <t>zie Dussenstraat 38-50</t>
  </si>
  <si>
    <t>zie Dussenstraat 38-51</t>
  </si>
  <si>
    <t>Wordt gesloopt 2025</t>
  </si>
  <si>
    <t>zie Kalslagerring 7-17</t>
  </si>
  <si>
    <t>zie Kalslagerring 7-18</t>
  </si>
  <si>
    <t>zie Kalslagerring 7-19</t>
  </si>
  <si>
    <t>Zonnepanelen per eind 2024/ begin 2025 (met recht van opstal, geen eigendom gemeente)</t>
  </si>
  <si>
    <t>geen eigendom</t>
  </si>
  <si>
    <t>Zie Sarabande 1-9</t>
  </si>
  <si>
    <t>huisno. 7 is in 2023 gesloopt. Graag ook splitsing verz. Som naar herbouwwaarde</t>
  </si>
  <si>
    <t>Technisch beheerder</t>
  </si>
  <si>
    <t>Aart Dasselaar</t>
  </si>
  <si>
    <t>Pieter van Staveren</t>
  </si>
  <si>
    <t>Ruud Kool</t>
  </si>
  <si>
    <t>Jeffrey Neeven</t>
  </si>
  <si>
    <t>JA</t>
  </si>
  <si>
    <t>j</t>
  </si>
  <si>
    <t>JA (verouderd)</t>
  </si>
  <si>
    <t>jA</t>
  </si>
  <si>
    <t>Volgens mij niet, pand is 24/7 in gebruik. 
Mocht er een IBI in zitten, kan ik me voorstellen dat die niet gebruikt wordt. Probeer ik zsm definitief antwoord op te geven.</t>
  </si>
  <si>
    <t>Noppenstraat 92B</t>
  </si>
  <si>
    <t>2136 AK</t>
  </si>
  <si>
    <t>Wel bekend</t>
  </si>
  <si>
    <t xml:space="preserve">Oranje Nassaustraat 19 </t>
  </si>
  <si>
    <t>bedrag nog niet bekend</t>
  </si>
  <si>
    <t>excedent opruimingskosten</t>
  </si>
  <si>
    <t>exploitatiekosten t.b.v. sportcomplex Koning Willem |Alexander</t>
  </si>
  <si>
    <t>exploitatiekosten t.b.v. sportfondsen Haarlemmermeer B.V.</t>
  </si>
  <si>
    <t>funderingen premier risque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</si>
</sst>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0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0">
    <xf numFmtId="0" fontId="0" fillId="0" borderId="0" xfId="0"/>
    <xf numFmtId="44" fontId="5" fillId="0" borderId="1" xfId="0" applyNumberFormat="1" applyFont="1" applyBorder="1"/>
    <xf numFmtId="44" fontId="5" fillId="0" borderId="1" xfId="0" quotePrefix="1" applyNumberFormat="1" applyFont="1" applyBorder="1"/>
    <xf numFmtId="44" fontId="5" fillId="2" borderId="1" xfId="0" applyNumberFormat="1" applyFont="1" applyFill="1" applyBorder="1"/>
    <xf numFmtId="44" fontId="5" fillId="2" borderId="2" xfId="0" applyNumberFormat="1" applyFont="1" applyFill="1" applyBorder="1"/>
    <xf numFmtId="44" fontId="5" fillId="0" borderId="0" xfId="0" applyNumberFormat="1" applyFont="1"/>
    <xf numFmtId="44" fontId="5" fillId="0" borderId="2" xfId="0" applyNumberFormat="1" applyFont="1" applyBorder="1"/>
    <xf numFmtId="0" fontId="5" fillId="0" borderId="0" xfId="0" quotePrefix="1" applyFont="1"/>
    <xf numFmtId="3" fontId="5" fillId="0" borderId="0" xfId="0" quotePrefix="1" applyNumberFormat="1" applyFont="1"/>
    <xf numFmtId="4" fontId="5" fillId="0" borderId="0" xfId="0" quotePrefix="1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14" fontId="0" fillId="0" borderId="0" xfId="0" applyNumberFormat="1"/>
    <xf numFmtId="0" fontId="5" fillId="0" borderId="3" xfId="0" applyFont="1" applyBorder="1"/>
    <xf numFmtId="0" fontId="5" fillId="0" borderId="4" xfId="0" applyFont="1" applyBorder="1"/>
    <xf numFmtId="0" fontId="5" fillId="0" borderId="5" xfId="0" quotePrefix="1" applyFont="1" applyBorder="1"/>
    <xf numFmtId="3" fontId="5" fillId="0" borderId="5" xfId="0" quotePrefix="1" applyNumberFormat="1" applyFont="1" applyBorder="1"/>
    <xf numFmtId="44" fontId="0" fillId="0" borderId="0" xfId="0" applyNumberFormat="1"/>
    <xf numFmtId="3" fontId="5" fillId="0" borderId="1" xfId="0" applyNumberFormat="1" applyFont="1" applyBorder="1"/>
    <xf numFmtId="0" fontId="5" fillId="0" borderId="1" xfId="0" quotePrefix="1" applyFont="1" applyBorder="1"/>
    <xf numFmtId="0" fontId="6" fillId="0" borderId="1" xfId="0" quotePrefix="1" applyFont="1" applyBorder="1"/>
    <xf numFmtId="0" fontId="5" fillId="0" borderId="1" xfId="0" applyFont="1" applyBorder="1"/>
    <xf numFmtId="2" fontId="5" fillId="2" borderId="5" xfId="0" quotePrefix="1" applyNumberFormat="1" applyFont="1" applyFill="1" applyBorder="1"/>
    <xf numFmtId="2" fontId="5" fillId="2" borderId="2" xfId="0" applyNumberFormat="1" applyFont="1" applyFill="1" applyBorder="1"/>
    <xf numFmtId="2" fontId="5" fillId="0" borderId="5" xfId="0" quotePrefix="1" applyNumberFormat="1" applyFont="1" applyBorder="1"/>
    <xf numFmtId="2" fontId="5" fillId="0" borderId="2" xfId="0" applyNumberFormat="1" applyFont="1" applyBorder="1"/>
    <xf numFmtId="44" fontId="6" fillId="0" borderId="1" xfId="0" applyNumberFormat="1" applyFont="1" applyBorder="1"/>
    <xf numFmtId="44" fontId="7" fillId="0" borderId="1" xfId="0" applyNumberFormat="1" applyFont="1" applyBorder="1"/>
    <xf numFmtId="44" fontId="5" fillId="0" borderId="5" xfId="0" quotePrefix="1" applyNumberFormat="1" applyFont="1" applyBorder="1"/>
    <xf numFmtId="2" fontId="5" fillId="2" borderId="4" xfId="0" applyNumberFormat="1" applyFont="1" applyFill="1" applyBorder="1"/>
    <xf numFmtId="44" fontId="5" fillId="2" borderId="0" xfId="2" applyFont="1" applyFill="1" applyBorder="1"/>
    <xf numFmtId="44" fontId="5" fillId="2" borderId="1" xfId="2" applyFont="1" applyFill="1" applyBorder="1"/>
    <xf numFmtId="0" fontId="8" fillId="0" borderId="0" xfId="0" applyFont="1"/>
    <xf numFmtId="0" fontId="9" fillId="3" borderId="0" xfId="0" applyFont="1" applyFill="1"/>
    <xf numFmtId="0" fontId="10" fillId="0" borderId="0" xfId="0" applyFont="1"/>
    <xf numFmtId="0" fontId="11" fillId="3" borderId="6" xfId="0" applyFont="1" applyFill="1" applyBorder="1" applyAlignment="1">
      <alignment vertical="top"/>
    </xf>
    <xf numFmtId="0" fontId="0" fillId="0" borderId="7" xfId="0" applyBorder="1" applyAlignment="1">
      <alignment horizontal="left"/>
    </xf>
    <xf numFmtId="0" fontId="0" fillId="0" borderId="7" xfId="0" applyBorder="1"/>
    <xf numFmtId="0" fontId="11" fillId="3" borderId="8" xfId="0" applyFont="1" applyFill="1" applyBorder="1" applyAlignment="1">
      <alignment vertical="top"/>
    </xf>
    <xf numFmtId="0" fontId="5" fillId="3" borderId="0" xfId="0" applyFont="1" applyFill="1"/>
    <xf numFmtId="0" fontId="11" fillId="3" borderId="8" xfId="0" applyFont="1" applyFill="1" applyBorder="1" applyAlignment="1">
      <alignment vertical="top" wrapText="1"/>
    </xf>
    <xf numFmtId="44" fontId="10" fillId="0" borderId="0" xfId="0" applyNumberFormat="1" applyFont="1"/>
    <xf numFmtId="44" fontId="11" fillId="3" borderId="8" xfId="0" applyNumberFormat="1" applyFont="1" applyFill="1" applyBorder="1" applyAlignment="1">
      <alignment vertical="top"/>
    </xf>
    <xf numFmtId="44" fontId="10" fillId="0" borderId="0" xfId="2" applyFont="1"/>
    <xf numFmtId="44" fontId="10" fillId="0" borderId="9" xfId="2" applyFont="1" applyBorder="1"/>
    <xf numFmtId="44" fontId="11" fillId="0" borderId="0" xfId="0" applyNumberFormat="1" applyFont="1"/>
    <xf numFmtId="0" fontId="11" fillId="3" borderId="10" xfId="0" applyFont="1" applyFill="1" applyBorder="1" applyAlignment="1">
      <alignment vertical="top"/>
    </xf>
    <xf numFmtId="0" fontId="9" fillId="0" borderId="0" xfId="0" applyFont="1"/>
    <xf numFmtId="0" fontId="10" fillId="0" borderId="0" xfId="0" applyFont="1" applyAlignment="1">
      <alignment wrapText="1"/>
    </xf>
    <xf numFmtId="6" fontId="10" fillId="0" borderId="0" xfId="2" applyNumberFormat="1" applyFont="1"/>
    <xf numFmtId="15" fontId="10" fillId="0" borderId="0" xfId="0" applyNumberFormat="1" applyFont="1"/>
    <xf numFmtId="0" fontId="6" fillId="0" borderId="0" xfId="0" applyFont="1" applyAlignment="1">
      <alignment wrapText="1"/>
    </xf>
    <xf numFmtId="0" fontId="5" fillId="0" borderId="0" xfId="0" quotePrefix="1" applyFont="1" applyAlignment="1">
      <alignment horizontal="right"/>
    </xf>
    <xf numFmtId="0" fontId="5" fillId="0" borderId="0" xfId="0" quotePrefix="1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1" xfId="0" quotePrefix="1" applyBorder="1"/>
    <xf numFmtId="0" fontId="0" fillId="0" borderId="1" xfId="0" applyBorder="1"/>
    <xf numFmtId="0" fontId="0" fillId="0" borderId="0" xfId="0" quotePrefix="1"/>
    <xf numFmtId="0" fontId="0" fillId="0" borderId="0" xfId="0" quotePrefix="1" applyAlignment="1">
      <alignment horizontal="right"/>
    </xf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4" xfId="0" applyNumberFormat="1" applyBorder="1"/>
    <xf numFmtId="2" fontId="0" fillId="0" borderId="4" xfId="0" applyNumberFormat="1" applyBorder="1"/>
    <xf numFmtId="44" fontId="0" fillId="0" borderId="4" xfId="0" applyNumberFormat="1" applyBorder="1"/>
    <xf numFmtId="2" fontId="0" fillId="2" borderId="4" xfId="0" applyNumberFormat="1" applyFill="1" applyBorder="1"/>
    <xf numFmtId="3" fontId="0" fillId="0" borderId="1" xfId="0" applyNumberFormat="1" applyBorder="1"/>
    <xf numFmtId="44" fontId="0" fillId="0" borderId="1" xfId="0" applyNumberFormat="1" applyBorder="1"/>
    <xf numFmtId="44" fontId="0" fillId="0" borderId="1" xfId="0" quotePrefix="1" applyNumberFormat="1" applyBorder="1"/>
    <xf numFmtId="2" fontId="0" fillId="0" borderId="1" xfId="0" applyNumberFormat="1" applyBorder="1"/>
    <xf numFmtId="44" fontId="4" fillId="2" borderId="1" xfId="2" applyFont="1" applyFill="1" applyBorder="1"/>
    <xf numFmtId="2" fontId="0" fillId="2" borderId="1" xfId="0" applyNumberFormat="1" applyFill="1" applyBorder="1"/>
    <xf numFmtId="14" fontId="0" fillId="0" borderId="1" xfId="0" applyNumberFormat="1" applyBorder="1"/>
    <xf numFmtId="4" fontId="0" fillId="0" borderId="1" xfId="0" applyNumberFormat="1" applyBorder="1"/>
    <xf numFmtId="44" fontId="0" fillId="0" borderId="0" xfId="0" quotePrefix="1" applyNumberFormat="1"/>
    <xf numFmtId="44" fontId="4" fillId="0" borderId="0" xfId="2" applyFont="1" applyFill="1" applyBorder="1"/>
    <xf numFmtId="44" fontId="0" fillId="2" borderId="1" xfId="0" applyNumberFormat="1" applyFill="1" applyBorder="1"/>
    <xf numFmtId="44" fontId="4" fillId="2" borderId="0" xfId="2" applyFont="1" applyFill="1" applyBorder="1"/>
    <xf numFmtId="44" fontId="4" fillId="0" borderId="0" xfId="2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5" fillId="0" borderId="11" xfId="0" quotePrefix="1" applyFont="1" applyBorder="1"/>
    <xf numFmtId="0" fontId="0" fillId="0" borderId="1" xfId="0" applyBorder="1" applyAlignment="1">
      <alignment vertical="center"/>
    </xf>
    <xf numFmtId="0" fontId="6" fillId="0" borderId="1" xfId="0" applyFont="1" applyBorder="1"/>
    <xf numFmtId="0" fontId="5" fillId="4" borderId="1" xfId="0" quotePrefix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0" fillId="4" borderId="1" xfId="0" quotePrefix="1" applyFill="1" applyBorder="1"/>
    <xf numFmtId="0" fontId="0" fillId="2" borderId="1" xfId="0" quotePrefix="1" applyFill="1" applyBorder="1"/>
    <xf numFmtId="14" fontId="0" fillId="0" borderId="3" xfId="0" applyNumberFormat="1" applyBorder="1"/>
    <xf numFmtId="4" fontId="0" fillId="0" borderId="3" xfId="0" applyNumberFormat="1" applyBorder="1"/>
    <xf numFmtId="3" fontId="0" fillId="0" borderId="3" xfId="0" applyNumberFormat="1" applyBorder="1"/>
    <xf numFmtId="0" fontId="0" fillId="0" borderId="3" xfId="0" quotePrefix="1" applyBorder="1"/>
    <xf numFmtId="0" fontId="6" fillId="4" borderId="1" xfId="0" applyFont="1" applyFill="1" applyBorder="1"/>
    <xf numFmtId="0" fontId="0" fillId="4" borderId="1" xfId="0" applyFill="1" applyBorder="1" applyAlignment="1">
      <alignment vertical="center"/>
    </xf>
    <xf numFmtId="0" fontId="0" fillId="2" borderId="1" xfId="0" applyFill="1" applyBorder="1"/>
    <xf numFmtId="0" fontId="0" fillId="2" borderId="1" xfId="0" quotePrefix="1" applyFill="1" applyBorder="1" applyAlignment="1">
      <alignment wrapText="1"/>
    </xf>
    <xf numFmtId="0" fontId="0" fillId="0" borderId="0" xfId="0"/>
    <xf numFmtId="0" fontId="0" fillId="4" borderId="4" xfId="0" applyFill="1" applyBorder="1"/>
    <xf numFmtId="2" fontId="0" fillId="2" borderId="0" xfId="0" applyNumberFormat="1" applyFill="1"/>
    <xf numFmtId="44" fontId="0" fillId="2" borderId="0" xfId="2" applyFont="1" applyFill="1"/>
    <xf numFmtId="44" fontId="5" fillId="2" borderId="0" xfId="2" applyFont="1" applyFill="1"/>
    <xf numFmtId="0" fontId="0" fillId="4" borderId="0" xfId="0" applyFill="1" applyBorder="1"/>
    <xf numFmtId="44" fontId="4" fillId="2" borderId="0" xfId="2" applyFont="1" applyFill="1"/>
    <xf numFmtId="44" fontId="0" fillId="2" borderId="0" xfId="2" applyFont="1" applyFill="1" applyBorder="1"/>
    <xf numFmtId="44" fontId="0" fillId="2" borderId="7" xfId="2" applyFont="1" applyFill="1" applyBorder="1"/>
    <xf numFmtId="44" fontId="0" fillId="2" borderId="7" xfId="0" applyNumberFormat="1" applyFill="1" applyBorder="1"/>
    <xf numFmtId="0" fontId="5" fillId="2" borderId="12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/>
    <xf numFmtId="0" fontId="0" fillId="0" borderId="0" xfId="0"/>
  </cellXfs>
  <cellStyles count="4">
    <cellStyle name="Standaard" xfId="0" builtinId="0"/>
    <cellStyle name="Standaard 2" xfId="1" xr:uid="{F5A28C01-ED0B-4265-9E4E-AEDF25D8BFCF}"/>
    <cellStyle name="Valuta" xfId="2" builtinId="4"/>
    <cellStyle name="Valuta 2" xfId="3" xr:uid="{BDEC0124-26BA-4D3F-896C-E3427E57E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590550</xdr:colOff>
      <xdr:row>38</xdr:row>
      <xdr:rowOff>66675</xdr:rowOff>
    </xdr:to>
    <xdr:pic>
      <xdr:nvPicPr>
        <xdr:cNvPr id="1061" name="Afbeelding 1">
          <a:extLst>
            <a:ext uri="{FF2B5EF4-FFF2-40B4-BE49-F238E27FC236}">
              <a16:creationId xmlns:a16="http://schemas.microsoft.com/office/drawing/2014/main" id="{B5E27ADA-4247-D665-A86D-4AD0AB42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6686550" cy="692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F591-58E7-4F4F-BBEF-25E77577338B}">
  <dimension ref="A1:BW335"/>
  <sheetViews>
    <sheetView tabSelected="1" topLeftCell="M293" zoomScale="90" zoomScaleNormal="90" workbookViewId="0">
      <selection activeCell="BC336" sqref="BC336"/>
    </sheetView>
  </sheetViews>
  <sheetFormatPr defaultRowHeight="14.4" x14ac:dyDescent="0.3"/>
  <cols>
    <col min="1" max="1" width="12.44140625" customWidth="1"/>
    <col min="2" max="2" width="31" style="10" hidden="1" customWidth="1"/>
    <col min="3" max="3" width="33.44140625" style="10" customWidth="1"/>
    <col min="4" max="4" width="16.6640625" style="10" customWidth="1"/>
    <col min="5" max="5" width="31" style="10" customWidth="1"/>
    <col min="6" max="7" width="23" style="10" customWidth="1"/>
    <col min="8" max="10" width="23" hidden="1" customWidth="1"/>
    <col min="11" max="11" width="34.88671875" bestFit="1" customWidth="1"/>
    <col min="12" max="12" width="23" customWidth="1"/>
    <col min="13" max="13" width="39" customWidth="1"/>
    <col min="14" max="14" width="8.6640625" bestFit="1" customWidth="1"/>
    <col min="15" max="15" width="23.6640625" customWidth="1"/>
    <col min="16" max="16" width="65.44140625" customWidth="1"/>
    <col min="17" max="17" width="15.6640625" hidden="1" customWidth="1"/>
    <col min="18" max="18" width="13.33203125" hidden="1" customWidth="1"/>
    <col min="19" max="19" width="0" hidden="1" customWidth="1"/>
    <col min="20" max="20" width="13.6640625" style="62" hidden="1" customWidth="1"/>
    <col min="21" max="21" width="16.109375" style="62" hidden="1" customWidth="1"/>
    <col min="22" max="22" width="13.6640625" style="62" hidden="1" customWidth="1"/>
    <col min="23" max="24" width="11.6640625" style="62" hidden="1" customWidth="1"/>
    <col min="25" max="26" width="13.33203125" style="63" hidden="1" customWidth="1"/>
    <col min="27" max="27" width="0" hidden="1" customWidth="1"/>
    <col min="28" max="29" width="12" style="62" hidden="1" customWidth="1"/>
    <col min="30" max="30" width="11.33203125" hidden="1" customWidth="1"/>
    <col min="31" max="32" width="14.33203125" style="62" hidden="1" customWidth="1"/>
    <col min="33" max="33" width="9.33203125" hidden="1" customWidth="1"/>
    <col min="34" max="34" width="34.88671875" hidden="1" customWidth="1"/>
    <col min="35" max="35" width="6.88671875" hidden="1" customWidth="1"/>
    <col min="36" max="43" width="17.44140625" hidden="1" customWidth="1"/>
    <col min="44" max="44" width="17.6640625" hidden="1" customWidth="1"/>
    <col min="45" max="45" width="17.44140625" hidden="1" customWidth="1"/>
    <col min="46" max="46" width="10.5546875" style="64" hidden="1" customWidth="1"/>
    <col min="47" max="47" width="20.5546875" style="18" customWidth="1"/>
    <col min="48" max="48" width="10.5546875" style="64" customWidth="1"/>
    <col min="49" max="49" width="22" style="18" customWidth="1"/>
    <col min="50" max="50" width="10.88671875" style="64" customWidth="1"/>
    <col min="51" max="51" width="17.33203125" style="64" bestFit="1" customWidth="1"/>
    <col min="52" max="52" width="8.88671875" style="64" bestFit="1" customWidth="1"/>
    <col min="53" max="53" width="17.33203125" style="64" bestFit="1" customWidth="1"/>
    <col min="54" max="54" width="16.33203125" style="64" customWidth="1"/>
    <col min="55" max="55" width="19.109375" bestFit="1" customWidth="1"/>
    <col min="56" max="56" width="6.5546875" hidden="1" customWidth="1"/>
    <col min="57" max="59" width="0" style="63" hidden="1" customWidth="1"/>
    <col min="60" max="60" width="12.33203125" style="62" hidden="1" customWidth="1"/>
    <col min="61" max="61" width="11.44140625" style="62" hidden="1" customWidth="1"/>
    <col min="62" max="62" width="12" style="62" hidden="1" customWidth="1"/>
    <col min="63" max="63" width="12.109375" style="62" hidden="1" customWidth="1"/>
    <col min="64" max="65" width="10.44140625" hidden="1" customWidth="1"/>
    <col min="66" max="66" width="8.44140625" hidden="1" customWidth="1"/>
    <col min="67" max="67" width="8.109375" hidden="1" customWidth="1"/>
    <col min="68" max="68" width="44.33203125" customWidth="1"/>
    <col min="69" max="69" width="9.33203125" hidden="1" customWidth="1"/>
    <col min="70" max="70" width="25.5546875" customWidth="1"/>
    <col min="74" max="74" width="22.6640625" customWidth="1"/>
    <col min="75" max="75" width="16.33203125" customWidth="1"/>
  </cols>
  <sheetData>
    <row r="1" spans="1:75" x14ac:dyDescent="0.3">
      <c r="A1" s="10" t="s">
        <v>1033</v>
      </c>
    </row>
    <row r="2" spans="1:75" x14ac:dyDescent="0.3">
      <c r="B2" s="14"/>
      <c r="N2" s="65"/>
      <c r="O2" s="65"/>
      <c r="P2" s="65"/>
      <c r="U2" s="119">
        <v>2018</v>
      </c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1"/>
      <c r="AK2" s="119">
        <v>2019</v>
      </c>
      <c r="AL2" s="121"/>
      <c r="AM2" s="119">
        <v>2020</v>
      </c>
      <c r="AN2" s="121"/>
      <c r="AO2" s="119">
        <v>2021</v>
      </c>
      <c r="AP2" s="121"/>
      <c r="AQ2" s="122">
        <v>2022</v>
      </c>
      <c r="AR2" s="123"/>
      <c r="AS2" s="123"/>
      <c r="AT2" s="124"/>
      <c r="AU2" s="125">
        <v>2023</v>
      </c>
      <c r="AV2" s="126"/>
      <c r="AW2" s="126"/>
      <c r="AX2" s="127"/>
      <c r="AY2" s="116">
        <v>2024</v>
      </c>
      <c r="AZ2" s="117"/>
      <c r="BA2" s="117"/>
      <c r="BB2" s="118"/>
      <c r="BC2" s="65"/>
      <c r="BP2" s="65"/>
    </row>
    <row r="3" spans="1:75" x14ac:dyDescent="0.3">
      <c r="B3" s="15"/>
      <c r="N3" s="66"/>
      <c r="O3" s="66"/>
      <c r="P3" s="66"/>
      <c r="T3" s="67">
        <v>121.1</v>
      </c>
      <c r="U3" s="68" t="s">
        <v>999</v>
      </c>
      <c r="V3" s="67">
        <v>114.7</v>
      </c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 t="s">
        <v>1000</v>
      </c>
      <c r="AK3" s="68" t="s">
        <v>1001</v>
      </c>
      <c r="AL3" s="68" t="s">
        <v>1002</v>
      </c>
      <c r="AM3" s="69" t="s">
        <v>1003</v>
      </c>
      <c r="AN3" s="69" t="s">
        <v>1003</v>
      </c>
      <c r="AO3" s="69" t="s">
        <v>1012</v>
      </c>
      <c r="AP3" s="69" t="s">
        <v>1003</v>
      </c>
      <c r="AQ3" s="69"/>
      <c r="AR3" s="69"/>
      <c r="AS3" s="69"/>
      <c r="AT3" s="70"/>
      <c r="AU3" s="71"/>
      <c r="AV3" s="70"/>
      <c r="AW3" s="71"/>
      <c r="AX3" s="70"/>
      <c r="AY3" s="72"/>
      <c r="AZ3" s="30" t="s">
        <v>1080</v>
      </c>
      <c r="BA3" s="72"/>
      <c r="BB3" s="30" t="s">
        <v>1080</v>
      </c>
      <c r="BC3" s="66"/>
      <c r="BP3" s="66"/>
    </row>
    <row r="4" spans="1:75" s="10" customFormat="1" x14ac:dyDescent="0.3">
      <c r="A4" s="10" t="s">
        <v>1082</v>
      </c>
      <c r="B4" s="16" t="s">
        <v>0</v>
      </c>
      <c r="C4" s="7" t="s">
        <v>1379</v>
      </c>
      <c r="D4" s="53" t="s">
        <v>9</v>
      </c>
      <c r="E4" s="54" t="s">
        <v>1380</v>
      </c>
      <c r="F4" s="54" t="s">
        <v>1389</v>
      </c>
      <c r="G4" s="54" t="s">
        <v>1390</v>
      </c>
      <c r="H4" s="7" t="s">
        <v>1</v>
      </c>
      <c r="I4" s="7" t="s">
        <v>2</v>
      </c>
      <c r="J4" s="7" t="s">
        <v>3</v>
      </c>
      <c r="K4" s="7" t="s">
        <v>1439</v>
      </c>
      <c r="L4" s="7" t="s">
        <v>1468</v>
      </c>
      <c r="M4" s="7" t="s">
        <v>4</v>
      </c>
      <c r="N4" s="16" t="s">
        <v>5</v>
      </c>
      <c r="O4" s="16" t="s">
        <v>995</v>
      </c>
      <c r="P4" s="16" t="s">
        <v>6</v>
      </c>
      <c r="Q4" s="7" t="s">
        <v>7</v>
      </c>
      <c r="R4" s="7" t="s">
        <v>8</v>
      </c>
      <c r="S4" s="7" t="s">
        <v>9</v>
      </c>
      <c r="T4" s="8" t="s">
        <v>10</v>
      </c>
      <c r="U4" s="17" t="s">
        <v>996</v>
      </c>
      <c r="V4" s="8" t="s">
        <v>11</v>
      </c>
      <c r="W4" s="8" t="s">
        <v>12</v>
      </c>
      <c r="X4" s="8" t="s">
        <v>13</v>
      </c>
      <c r="Y4" s="9" t="s">
        <v>14</v>
      </c>
      <c r="Z4" s="9" t="s">
        <v>15</v>
      </c>
      <c r="AA4" s="7" t="s">
        <v>16</v>
      </c>
      <c r="AB4" s="8" t="s">
        <v>17</v>
      </c>
      <c r="AC4" s="8" t="s">
        <v>18</v>
      </c>
      <c r="AD4" s="7" t="s">
        <v>19</v>
      </c>
      <c r="AE4" s="8" t="s">
        <v>20</v>
      </c>
      <c r="AF4" s="8" t="s">
        <v>21</v>
      </c>
      <c r="AG4" s="7" t="s">
        <v>22</v>
      </c>
      <c r="AH4" s="7" t="s">
        <v>23</v>
      </c>
      <c r="AI4" s="7" t="s">
        <v>24</v>
      </c>
      <c r="AJ4" s="16" t="s">
        <v>997</v>
      </c>
      <c r="AK4" s="17" t="s">
        <v>996</v>
      </c>
      <c r="AL4" s="16" t="s">
        <v>997</v>
      </c>
      <c r="AM4" s="16" t="s">
        <v>996</v>
      </c>
      <c r="AN4" s="16" t="s">
        <v>997</v>
      </c>
      <c r="AO4" s="16" t="s">
        <v>996</v>
      </c>
      <c r="AP4" s="16" t="s">
        <v>997</v>
      </c>
      <c r="AQ4" s="16" t="s">
        <v>996</v>
      </c>
      <c r="AR4" s="16" t="s">
        <v>1059</v>
      </c>
      <c r="AS4" s="16" t="s">
        <v>997</v>
      </c>
      <c r="AT4" s="25" t="s">
        <v>1059</v>
      </c>
      <c r="AU4" s="29" t="s">
        <v>996</v>
      </c>
      <c r="AV4" s="16" t="s">
        <v>1060</v>
      </c>
      <c r="AW4" s="29" t="s">
        <v>997</v>
      </c>
      <c r="AX4" s="25" t="s">
        <v>1060</v>
      </c>
      <c r="AY4" s="23"/>
      <c r="AZ4" s="23" t="s">
        <v>1081</v>
      </c>
      <c r="BA4" s="23"/>
      <c r="BB4" s="23" t="s">
        <v>1081</v>
      </c>
      <c r="BC4" s="16" t="s">
        <v>25</v>
      </c>
      <c r="BD4" s="7" t="s">
        <v>26</v>
      </c>
      <c r="BE4" s="9" t="s">
        <v>27</v>
      </c>
      <c r="BF4" s="9" t="s">
        <v>28</v>
      </c>
      <c r="BG4" s="9" t="s">
        <v>29</v>
      </c>
      <c r="BH4" s="8" t="s">
        <v>30</v>
      </c>
      <c r="BI4" s="8" t="s">
        <v>31</v>
      </c>
      <c r="BJ4" s="8" t="s">
        <v>32</v>
      </c>
      <c r="BK4" s="8" t="s">
        <v>33</v>
      </c>
      <c r="BL4" s="7" t="s">
        <v>34</v>
      </c>
      <c r="BM4" s="7" t="s">
        <v>35</v>
      </c>
      <c r="BN4" s="7" t="s">
        <v>36</v>
      </c>
      <c r="BO4" s="7" t="s">
        <v>37</v>
      </c>
      <c r="BP4" s="16" t="s">
        <v>38</v>
      </c>
      <c r="BQ4" s="90" t="s">
        <v>38</v>
      </c>
      <c r="BR4" s="20" t="s">
        <v>1065</v>
      </c>
    </row>
    <row r="5" spans="1:75" x14ac:dyDescent="0.3">
      <c r="B5" s="20" t="s">
        <v>46</v>
      </c>
      <c r="C5" s="20" t="s">
        <v>1244</v>
      </c>
      <c r="D5" s="57" t="s">
        <v>1141</v>
      </c>
      <c r="E5" s="58" t="s">
        <v>1381</v>
      </c>
      <c r="F5" s="96"/>
      <c r="G5" s="96"/>
      <c r="H5" s="58" t="s">
        <v>47</v>
      </c>
      <c r="I5" s="58" t="s">
        <v>47</v>
      </c>
      <c r="J5" s="59">
        <v>779790</v>
      </c>
      <c r="K5" s="95" t="s">
        <v>43</v>
      </c>
      <c r="L5" s="95"/>
      <c r="M5" s="58" t="s">
        <v>48</v>
      </c>
      <c r="N5" s="59">
        <v>12</v>
      </c>
      <c r="O5" s="58" t="s">
        <v>49</v>
      </c>
      <c r="P5" s="58" t="s">
        <v>50</v>
      </c>
      <c r="Q5" s="58" t="s">
        <v>51</v>
      </c>
      <c r="R5" s="58" t="s">
        <v>52</v>
      </c>
      <c r="S5" s="58" t="s">
        <v>42</v>
      </c>
      <c r="T5" s="73">
        <v>1540000</v>
      </c>
      <c r="U5" s="74">
        <f t="shared" ref="U5:U16" si="0">122.9*T5/121.1</f>
        <v>1562890.1734104047</v>
      </c>
      <c r="V5" s="74"/>
      <c r="W5" s="74">
        <v>1420536</v>
      </c>
      <c r="X5" s="74">
        <v>37600</v>
      </c>
      <c r="Y5" s="74">
        <v>908.91</v>
      </c>
      <c r="Z5" s="74"/>
      <c r="AA5" s="75" t="s">
        <v>43</v>
      </c>
      <c r="AB5" s="74"/>
      <c r="AC5" s="74"/>
      <c r="AD5" s="75" t="s">
        <v>43</v>
      </c>
      <c r="AE5" s="74"/>
      <c r="AF5" s="74"/>
      <c r="AG5" s="74">
        <v>0</v>
      </c>
      <c r="AH5" s="75" t="s">
        <v>42</v>
      </c>
      <c r="AI5" s="74"/>
      <c r="AJ5" s="74">
        <f>116.3*V5/114.7</f>
        <v>0</v>
      </c>
      <c r="AK5" s="74">
        <f>139.1/122.9*U5</f>
        <v>1768901.7341040461</v>
      </c>
      <c r="AL5" s="74">
        <f>121.6/116.3*AJ5</f>
        <v>0</v>
      </c>
      <c r="AM5" s="74">
        <f>AK5*1.05</f>
        <v>1857346.8208092486</v>
      </c>
      <c r="AN5" s="74">
        <f>AL5*1.05</f>
        <v>0</v>
      </c>
      <c r="AO5" s="74">
        <f>AM5/105*108</f>
        <v>1910413.8728323702</v>
      </c>
      <c r="AP5" s="74">
        <f>AN5</f>
        <v>0</v>
      </c>
      <c r="AQ5" s="74">
        <f>AO5/108*113.9</f>
        <v>2014779.0751445089</v>
      </c>
      <c r="AR5" s="76">
        <v>113.9</v>
      </c>
      <c r="AS5" s="74">
        <f>AP5</f>
        <v>0</v>
      </c>
      <c r="AT5" s="76">
        <v>105</v>
      </c>
      <c r="AU5" s="74">
        <f>AQ5/AR5*AV5</f>
        <v>2193438.1502890177</v>
      </c>
      <c r="AV5" s="76">
        <v>124</v>
      </c>
      <c r="AW5" s="74">
        <f>AS5/AT5*AX5</f>
        <v>0</v>
      </c>
      <c r="AX5" s="76">
        <v>122</v>
      </c>
      <c r="AY5" s="77">
        <f>CEILING(((AU5/AV5)*AZ5),1)</f>
        <v>2214665</v>
      </c>
      <c r="AZ5" s="78">
        <v>125.2</v>
      </c>
      <c r="BA5" s="77">
        <f>CEILING(((AW5/AX5)*BB5),1)</f>
        <v>0</v>
      </c>
      <c r="BB5" s="78">
        <v>123.3</v>
      </c>
      <c r="BC5" s="79">
        <v>39083</v>
      </c>
      <c r="BD5" s="59"/>
      <c r="BE5" s="80">
        <v>860.59</v>
      </c>
      <c r="BF5" s="80">
        <v>854.95</v>
      </c>
      <c r="BG5" s="80">
        <v>844.9</v>
      </c>
      <c r="BH5" s="73"/>
      <c r="BI5" s="73"/>
      <c r="BJ5" s="73"/>
      <c r="BK5" s="73"/>
      <c r="BL5" s="79">
        <v>42964</v>
      </c>
      <c r="BM5" s="79">
        <v>39272</v>
      </c>
      <c r="BN5" s="58" t="s">
        <v>44</v>
      </c>
      <c r="BO5" s="58" t="s">
        <v>44</v>
      </c>
      <c r="BP5" s="58" t="s">
        <v>53</v>
      </c>
      <c r="BQ5">
        <v>2016</v>
      </c>
      <c r="BR5" s="59"/>
      <c r="BV5" s="18"/>
      <c r="BW5" s="18"/>
    </row>
    <row r="6" spans="1:75" x14ac:dyDescent="0.3">
      <c r="B6" s="20" t="s">
        <v>54</v>
      </c>
      <c r="C6" s="20" t="s">
        <v>54</v>
      </c>
      <c r="D6" s="57" t="s">
        <v>1142</v>
      </c>
      <c r="E6" s="58" t="s">
        <v>1382</v>
      </c>
      <c r="F6" s="96"/>
      <c r="G6" s="96"/>
      <c r="H6" s="58" t="s">
        <v>55</v>
      </c>
      <c r="I6" s="58" t="s">
        <v>55</v>
      </c>
      <c r="J6" s="59">
        <v>777772</v>
      </c>
      <c r="K6" s="95" t="s">
        <v>43</v>
      </c>
      <c r="L6" s="95"/>
      <c r="M6" s="58" t="s">
        <v>39</v>
      </c>
      <c r="N6" s="59">
        <v>11</v>
      </c>
      <c r="O6" s="58" t="s">
        <v>40</v>
      </c>
      <c r="P6" s="58" t="s">
        <v>56</v>
      </c>
      <c r="Q6" s="58" t="s">
        <v>41</v>
      </c>
      <c r="R6" s="58" t="s">
        <v>57</v>
      </c>
      <c r="S6" s="58" t="s">
        <v>58</v>
      </c>
      <c r="T6" s="73">
        <v>135000</v>
      </c>
      <c r="U6" s="74">
        <f t="shared" si="0"/>
        <v>137006.60611065236</v>
      </c>
      <c r="V6" s="74"/>
      <c r="W6" s="74">
        <v>315674</v>
      </c>
      <c r="X6" s="74"/>
      <c r="Y6" s="74">
        <v>79.680000000000007</v>
      </c>
      <c r="Z6" s="74"/>
      <c r="AA6" s="75" t="s">
        <v>43</v>
      </c>
      <c r="AB6" s="74"/>
      <c r="AC6" s="74"/>
      <c r="AD6" s="75" t="s">
        <v>43</v>
      </c>
      <c r="AE6" s="74"/>
      <c r="AF6" s="74"/>
      <c r="AG6" s="74">
        <v>0</v>
      </c>
      <c r="AH6" s="75" t="s">
        <v>42</v>
      </c>
      <c r="AI6" s="74"/>
      <c r="AJ6" s="74">
        <f>116.3*V6/114.7</f>
        <v>0</v>
      </c>
      <c r="AK6" s="74">
        <f t="shared" ref="AK6:AK48" si="1">139.1/122.9*U6</f>
        <v>155066.06110652353</v>
      </c>
      <c r="AL6" s="74">
        <f t="shared" ref="AL6:AL48" si="2">121.6/116.3*AJ6</f>
        <v>0</v>
      </c>
      <c r="AM6" s="74">
        <f t="shared" ref="AM6:AN48" si="3">AK6*1.05</f>
        <v>162819.36416184972</v>
      </c>
      <c r="AN6" s="74">
        <f t="shared" si="3"/>
        <v>0</v>
      </c>
      <c r="AO6" s="74">
        <f t="shared" ref="AO6:AO48" si="4">AM6/105*108</f>
        <v>167471.34599504541</v>
      </c>
      <c r="AP6" s="74">
        <f t="shared" ref="AP6:AP48" si="5">AN6</f>
        <v>0</v>
      </c>
      <c r="AQ6" s="74">
        <f>AO6/108*113.9</f>
        <v>176620.24360033032</v>
      </c>
      <c r="AR6" s="76">
        <v>113.9</v>
      </c>
      <c r="AS6" s="74">
        <f>AP6</f>
        <v>0</v>
      </c>
      <c r="AT6" s="76">
        <v>105</v>
      </c>
      <c r="AU6" s="74">
        <f>AQ6/AR6*AV6</f>
        <v>192281.91577208918</v>
      </c>
      <c r="AV6" s="76">
        <v>124</v>
      </c>
      <c r="AW6" s="74">
        <f>AS6/AT6*AX6</f>
        <v>0</v>
      </c>
      <c r="AX6" s="76">
        <v>122</v>
      </c>
      <c r="AY6" s="77">
        <f t="shared" ref="AY6:AY48" si="6">CEILING(((AU6/AV6)*AZ6),1)</f>
        <v>194143</v>
      </c>
      <c r="AZ6" s="78">
        <v>125.2</v>
      </c>
      <c r="BA6" s="77">
        <f t="shared" ref="BA6:BA48" si="7">CEILING(((AW6/AX6)*BB6),1)</f>
        <v>0</v>
      </c>
      <c r="BB6" s="78">
        <v>123.3</v>
      </c>
      <c r="BC6" s="79">
        <v>39448</v>
      </c>
      <c r="BD6" s="59"/>
      <c r="BE6" s="80">
        <v>186.31</v>
      </c>
      <c r="BF6" s="80">
        <v>185.06</v>
      </c>
      <c r="BG6" s="80">
        <v>182.87</v>
      </c>
      <c r="BH6" s="73"/>
      <c r="BI6" s="73"/>
      <c r="BJ6" s="73"/>
      <c r="BK6" s="73"/>
      <c r="BL6" s="79">
        <v>42964</v>
      </c>
      <c r="BM6" s="79">
        <v>39885</v>
      </c>
      <c r="BN6" s="58" t="s">
        <v>44</v>
      </c>
      <c r="BO6" s="58" t="s">
        <v>44</v>
      </c>
      <c r="BP6" s="58" t="s">
        <v>59</v>
      </c>
      <c r="BQ6">
        <v>2016</v>
      </c>
      <c r="BR6" s="59"/>
      <c r="BV6" s="18"/>
      <c r="BW6" s="18"/>
    </row>
    <row r="7" spans="1:75" x14ac:dyDescent="0.3">
      <c r="B7" s="20" t="s">
        <v>60</v>
      </c>
      <c r="C7" s="20" t="s">
        <v>60</v>
      </c>
      <c r="D7" s="57" t="s">
        <v>1142</v>
      </c>
      <c r="E7" s="58" t="s">
        <v>1382</v>
      </c>
      <c r="F7" s="96"/>
      <c r="G7" s="96"/>
      <c r="H7" s="58" t="s">
        <v>55</v>
      </c>
      <c r="I7" s="58" t="s">
        <v>55</v>
      </c>
      <c r="J7" s="59">
        <v>777772</v>
      </c>
      <c r="K7" s="95" t="s">
        <v>43</v>
      </c>
      <c r="L7" s="95"/>
      <c r="M7" s="58" t="s">
        <v>39</v>
      </c>
      <c r="N7" s="59">
        <v>11</v>
      </c>
      <c r="O7" s="58" t="s">
        <v>40</v>
      </c>
      <c r="P7" s="58" t="s">
        <v>56</v>
      </c>
      <c r="Q7" s="58" t="s">
        <v>41</v>
      </c>
      <c r="R7" s="58" t="s">
        <v>61</v>
      </c>
      <c r="S7" s="58" t="s">
        <v>58</v>
      </c>
      <c r="T7" s="73">
        <v>130000</v>
      </c>
      <c r="U7" s="74">
        <f t="shared" si="0"/>
        <v>131932.28736581339</v>
      </c>
      <c r="V7" s="74"/>
      <c r="W7" s="74">
        <v>315674</v>
      </c>
      <c r="X7" s="74"/>
      <c r="Y7" s="74">
        <v>76.73</v>
      </c>
      <c r="Z7" s="74"/>
      <c r="AA7" s="75" t="s">
        <v>43</v>
      </c>
      <c r="AB7" s="74"/>
      <c r="AC7" s="74"/>
      <c r="AD7" s="75" t="s">
        <v>43</v>
      </c>
      <c r="AE7" s="74"/>
      <c r="AF7" s="74"/>
      <c r="AG7" s="74">
        <v>0</v>
      </c>
      <c r="AH7" s="75" t="s">
        <v>42</v>
      </c>
      <c r="AI7" s="74"/>
      <c r="AJ7" s="74">
        <f>116.3*V7/114.7</f>
        <v>0</v>
      </c>
      <c r="AK7" s="74">
        <f t="shared" si="1"/>
        <v>149322.87365813379</v>
      </c>
      <c r="AL7" s="74">
        <f t="shared" si="2"/>
        <v>0</v>
      </c>
      <c r="AM7" s="74">
        <f t="shared" si="3"/>
        <v>156789.01734104048</v>
      </c>
      <c r="AN7" s="74">
        <f t="shared" si="3"/>
        <v>0</v>
      </c>
      <c r="AO7" s="74">
        <f t="shared" si="4"/>
        <v>161268.7035507845</v>
      </c>
      <c r="AP7" s="74">
        <f t="shared" si="5"/>
        <v>0</v>
      </c>
      <c r="AQ7" s="74">
        <f t="shared" ref="AQ7:AQ48" si="8">AO7/108*113.9</f>
        <v>170078.75309661438</v>
      </c>
      <c r="AR7" s="76">
        <v>113.9</v>
      </c>
      <c r="AS7" s="74">
        <f t="shared" ref="AS7:AS48" si="9">AP7</f>
        <v>0</v>
      </c>
      <c r="AT7" s="76">
        <v>105</v>
      </c>
      <c r="AU7" s="74">
        <f t="shared" ref="AU7:AU44" si="10">AQ7/AR7*AV7</f>
        <v>185160.36333608589</v>
      </c>
      <c r="AV7" s="76">
        <v>124</v>
      </c>
      <c r="AW7" s="74">
        <f t="shared" ref="AW7:AW44" si="11">AS7/AT7*AX7</f>
        <v>0</v>
      </c>
      <c r="AX7" s="76">
        <v>122</v>
      </c>
      <c r="AY7" s="77">
        <f t="shared" si="6"/>
        <v>186953</v>
      </c>
      <c r="AZ7" s="78">
        <v>125.2</v>
      </c>
      <c r="BA7" s="77">
        <f t="shared" si="7"/>
        <v>0</v>
      </c>
      <c r="BB7" s="78">
        <v>123.3</v>
      </c>
      <c r="BC7" s="79">
        <v>39448</v>
      </c>
      <c r="BD7" s="59"/>
      <c r="BE7" s="80">
        <v>186.31</v>
      </c>
      <c r="BF7" s="80">
        <v>185.06</v>
      </c>
      <c r="BG7" s="80">
        <v>182.87</v>
      </c>
      <c r="BH7" s="73"/>
      <c r="BI7" s="73"/>
      <c r="BJ7" s="73"/>
      <c r="BK7" s="73"/>
      <c r="BL7" s="79">
        <v>42964</v>
      </c>
      <c r="BM7" s="79">
        <v>39885</v>
      </c>
      <c r="BN7" s="58" t="s">
        <v>44</v>
      </c>
      <c r="BO7" s="58" t="s">
        <v>44</v>
      </c>
      <c r="BP7" s="58" t="s">
        <v>59</v>
      </c>
      <c r="BQ7">
        <v>2016</v>
      </c>
      <c r="BR7" s="59"/>
      <c r="BV7" s="18"/>
      <c r="BW7" s="18"/>
    </row>
    <row r="8" spans="1:75" x14ac:dyDescent="0.3">
      <c r="B8" s="20" t="s">
        <v>62</v>
      </c>
      <c r="C8" s="20" t="s">
        <v>62</v>
      </c>
      <c r="D8" s="57" t="s">
        <v>1142</v>
      </c>
      <c r="E8" s="58" t="s">
        <v>1382</v>
      </c>
      <c r="F8" s="96"/>
      <c r="G8" s="96"/>
      <c r="H8" s="58" t="s">
        <v>55</v>
      </c>
      <c r="I8" s="58" t="s">
        <v>55</v>
      </c>
      <c r="J8" s="59">
        <v>777772</v>
      </c>
      <c r="K8" s="95" t="s">
        <v>43</v>
      </c>
      <c r="L8" s="95"/>
      <c r="M8" s="58" t="s">
        <v>39</v>
      </c>
      <c r="N8" s="59">
        <v>11</v>
      </c>
      <c r="O8" s="58" t="s">
        <v>40</v>
      </c>
      <c r="P8" s="58" t="s">
        <v>56</v>
      </c>
      <c r="Q8" s="58" t="s">
        <v>41</v>
      </c>
      <c r="R8" s="58" t="s">
        <v>63</v>
      </c>
      <c r="S8" s="58" t="s">
        <v>58</v>
      </c>
      <c r="T8" s="73">
        <v>135000</v>
      </c>
      <c r="U8" s="74">
        <f t="shared" si="0"/>
        <v>137006.60611065236</v>
      </c>
      <c r="V8" s="74"/>
      <c r="W8" s="74">
        <v>315674</v>
      </c>
      <c r="X8" s="74"/>
      <c r="Y8" s="74">
        <v>79.680000000000007</v>
      </c>
      <c r="Z8" s="74"/>
      <c r="AA8" s="75" t="s">
        <v>43</v>
      </c>
      <c r="AB8" s="74"/>
      <c r="AC8" s="74"/>
      <c r="AD8" s="75" t="s">
        <v>43</v>
      </c>
      <c r="AE8" s="74"/>
      <c r="AF8" s="74"/>
      <c r="AG8" s="74">
        <v>0</v>
      </c>
      <c r="AH8" s="75" t="s">
        <v>42</v>
      </c>
      <c r="AI8" s="74"/>
      <c r="AJ8" s="74">
        <f>116.3*V8/114.7</f>
        <v>0</v>
      </c>
      <c r="AK8" s="74">
        <f t="shared" si="1"/>
        <v>155066.06110652353</v>
      </c>
      <c r="AL8" s="74">
        <f t="shared" si="2"/>
        <v>0</v>
      </c>
      <c r="AM8" s="74">
        <f t="shared" si="3"/>
        <v>162819.36416184972</v>
      </c>
      <c r="AN8" s="74">
        <f t="shared" si="3"/>
        <v>0</v>
      </c>
      <c r="AO8" s="74">
        <f t="shared" si="4"/>
        <v>167471.34599504541</v>
      </c>
      <c r="AP8" s="74">
        <f t="shared" si="5"/>
        <v>0</v>
      </c>
      <c r="AQ8" s="74">
        <f t="shared" si="8"/>
        <v>176620.24360033032</v>
      </c>
      <c r="AR8" s="76">
        <v>113.9</v>
      </c>
      <c r="AS8" s="74">
        <f t="shared" si="9"/>
        <v>0</v>
      </c>
      <c r="AT8" s="76">
        <v>105</v>
      </c>
      <c r="AU8" s="74">
        <f t="shared" si="10"/>
        <v>192281.91577208918</v>
      </c>
      <c r="AV8" s="76">
        <v>124</v>
      </c>
      <c r="AW8" s="74">
        <f t="shared" si="11"/>
        <v>0</v>
      </c>
      <c r="AX8" s="76">
        <v>122</v>
      </c>
      <c r="AY8" s="77">
        <f t="shared" si="6"/>
        <v>194143</v>
      </c>
      <c r="AZ8" s="78">
        <v>125.2</v>
      </c>
      <c r="BA8" s="77">
        <f t="shared" si="7"/>
        <v>0</v>
      </c>
      <c r="BB8" s="78">
        <v>123.3</v>
      </c>
      <c r="BC8" s="79">
        <v>39448</v>
      </c>
      <c r="BD8" s="59"/>
      <c r="BE8" s="80">
        <v>186.31</v>
      </c>
      <c r="BF8" s="80">
        <v>185.06</v>
      </c>
      <c r="BG8" s="80">
        <v>182.87</v>
      </c>
      <c r="BH8" s="73"/>
      <c r="BI8" s="73"/>
      <c r="BJ8" s="73"/>
      <c r="BK8" s="73"/>
      <c r="BL8" s="79">
        <v>42964</v>
      </c>
      <c r="BM8" s="79">
        <v>39885</v>
      </c>
      <c r="BN8" s="58" t="s">
        <v>44</v>
      </c>
      <c r="BO8" s="58" t="s">
        <v>44</v>
      </c>
      <c r="BP8" s="58" t="s">
        <v>59</v>
      </c>
      <c r="BQ8">
        <v>2016</v>
      </c>
      <c r="BR8" s="59"/>
      <c r="BV8" s="18"/>
      <c r="BW8" s="18"/>
    </row>
    <row r="9" spans="1:75" x14ac:dyDescent="0.3">
      <c r="B9" s="20" t="s">
        <v>64</v>
      </c>
      <c r="C9" s="20" t="s">
        <v>1245</v>
      </c>
      <c r="D9" s="57" t="s">
        <v>1143</v>
      </c>
      <c r="E9" s="58" t="s">
        <v>1111</v>
      </c>
      <c r="F9" s="96"/>
      <c r="G9" s="96"/>
      <c r="H9" s="58" t="s">
        <v>65</v>
      </c>
      <c r="I9" s="58" t="s">
        <v>65</v>
      </c>
      <c r="J9" s="59">
        <v>772724</v>
      </c>
      <c r="K9" s="95" t="s">
        <v>43</v>
      </c>
      <c r="L9" s="95"/>
      <c r="M9" s="58" t="s">
        <v>66</v>
      </c>
      <c r="N9" s="59">
        <v>11</v>
      </c>
      <c r="O9" s="58" t="s">
        <v>40</v>
      </c>
      <c r="P9" s="58" t="s">
        <v>67</v>
      </c>
      <c r="Q9" s="58" t="s">
        <v>68</v>
      </c>
      <c r="R9" s="58" t="s">
        <v>69</v>
      </c>
      <c r="S9" s="58" t="s">
        <v>42</v>
      </c>
      <c r="T9" s="73">
        <v>575000</v>
      </c>
      <c r="U9" s="74">
        <f t="shared" si="0"/>
        <v>583546.65565648233</v>
      </c>
      <c r="V9" s="74">
        <v>105000</v>
      </c>
      <c r="W9" s="74">
        <v>473512</v>
      </c>
      <c r="X9" s="74">
        <v>79758</v>
      </c>
      <c r="Y9" s="74">
        <v>339.37</v>
      </c>
      <c r="Z9" s="74">
        <v>61.97</v>
      </c>
      <c r="AA9" s="75" t="s">
        <v>43</v>
      </c>
      <c r="AB9" s="74"/>
      <c r="AC9" s="74"/>
      <c r="AD9" s="75" t="s">
        <v>43</v>
      </c>
      <c r="AE9" s="74"/>
      <c r="AF9" s="74"/>
      <c r="AG9" s="74">
        <v>0</v>
      </c>
      <c r="AH9" s="75" t="s">
        <v>42</v>
      </c>
      <c r="AI9" s="74"/>
      <c r="AJ9" s="74">
        <f t="shared" ref="AJ9:AJ48" si="12">116.3*V9/114.7</f>
        <v>106464.69049694856</v>
      </c>
      <c r="AK9" s="74">
        <f t="shared" si="1"/>
        <v>660466.55656482244</v>
      </c>
      <c r="AL9" s="74">
        <f t="shared" si="2"/>
        <v>111316.47776809067</v>
      </c>
      <c r="AM9" s="74">
        <f t="shared" si="3"/>
        <v>693489.88439306361</v>
      </c>
      <c r="AN9" s="74">
        <f t="shared" si="3"/>
        <v>116882.30165649521</v>
      </c>
      <c r="AO9" s="74">
        <f t="shared" si="4"/>
        <v>713303.88109000819</v>
      </c>
      <c r="AP9" s="74">
        <f t="shared" si="5"/>
        <v>116882.30165649521</v>
      </c>
      <c r="AQ9" s="74">
        <f t="shared" si="8"/>
        <v>752271.4079273328</v>
      </c>
      <c r="AR9" s="76">
        <v>113.9</v>
      </c>
      <c r="AS9" s="74">
        <f t="shared" si="9"/>
        <v>116882.30165649521</v>
      </c>
      <c r="AT9" s="76">
        <v>105</v>
      </c>
      <c r="AU9" s="74">
        <f t="shared" si="10"/>
        <v>818978.53014037979</v>
      </c>
      <c r="AV9" s="76">
        <v>124</v>
      </c>
      <c r="AW9" s="74">
        <f t="shared" si="11"/>
        <v>135806.10287707063</v>
      </c>
      <c r="AX9" s="76">
        <v>122</v>
      </c>
      <c r="AY9" s="77">
        <f t="shared" si="6"/>
        <v>826905</v>
      </c>
      <c r="AZ9" s="78">
        <v>125.2</v>
      </c>
      <c r="BA9" s="77">
        <f t="shared" si="7"/>
        <v>137254</v>
      </c>
      <c r="BB9" s="78">
        <v>123.3</v>
      </c>
      <c r="BC9" s="79">
        <v>36161</v>
      </c>
      <c r="BD9" s="59"/>
      <c r="BE9" s="80">
        <v>326.54000000000002</v>
      </c>
      <c r="BF9" s="80">
        <v>324.66000000000003</v>
      </c>
      <c r="BG9" s="80">
        <v>320.95999999999998</v>
      </c>
      <c r="BH9" s="73"/>
      <c r="BI9" s="73"/>
      <c r="BJ9" s="73"/>
      <c r="BK9" s="73"/>
      <c r="BL9" s="79">
        <v>42964</v>
      </c>
      <c r="BM9" s="79">
        <v>36434</v>
      </c>
      <c r="BN9" s="58" t="s">
        <v>44</v>
      </c>
      <c r="BO9" s="58" t="s">
        <v>70</v>
      </c>
      <c r="BP9" s="58" t="s">
        <v>59</v>
      </c>
      <c r="BQ9">
        <v>2016</v>
      </c>
      <c r="BR9" s="59"/>
      <c r="BV9" s="18"/>
      <c r="BW9" s="18"/>
    </row>
    <row r="10" spans="1:75" x14ac:dyDescent="0.3">
      <c r="B10" s="20" t="s">
        <v>71</v>
      </c>
      <c r="C10" s="20" t="s">
        <v>1246</v>
      </c>
      <c r="D10" s="57" t="e">
        <v>#N/A</v>
      </c>
      <c r="E10" s="58" t="s">
        <v>1111</v>
      </c>
      <c r="F10" s="96"/>
      <c r="G10" s="96"/>
      <c r="H10" s="58" t="s">
        <v>65</v>
      </c>
      <c r="I10" s="58" t="s">
        <v>65</v>
      </c>
      <c r="J10" s="59">
        <v>772723</v>
      </c>
      <c r="K10" s="95" t="s">
        <v>43</v>
      </c>
      <c r="L10" s="95"/>
      <c r="M10" s="58" t="s">
        <v>72</v>
      </c>
      <c r="N10" s="59">
        <v>11</v>
      </c>
      <c r="O10" s="58" t="s">
        <v>40</v>
      </c>
      <c r="P10" s="58" t="s">
        <v>73</v>
      </c>
      <c r="Q10" s="58" t="s">
        <v>74</v>
      </c>
      <c r="R10" s="58" t="s">
        <v>75</v>
      </c>
      <c r="S10" s="58" t="s">
        <v>42</v>
      </c>
      <c r="T10" s="73">
        <v>1210000</v>
      </c>
      <c r="U10" s="74">
        <f t="shared" si="0"/>
        <v>1227985.1362510324</v>
      </c>
      <c r="V10" s="74"/>
      <c r="W10" s="74">
        <v>1134456</v>
      </c>
      <c r="X10" s="74"/>
      <c r="Y10" s="74">
        <v>714.14</v>
      </c>
      <c r="Z10" s="74"/>
      <c r="AA10" s="75" t="s">
        <v>43</v>
      </c>
      <c r="AB10" s="74"/>
      <c r="AC10" s="74"/>
      <c r="AD10" s="75" t="s">
        <v>43</v>
      </c>
      <c r="AE10" s="74"/>
      <c r="AF10" s="74"/>
      <c r="AG10" s="74">
        <v>0</v>
      </c>
      <c r="AH10" s="75" t="s">
        <v>42</v>
      </c>
      <c r="AI10" s="74"/>
      <c r="AJ10" s="74">
        <f t="shared" si="12"/>
        <v>0</v>
      </c>
      <c r="AK10" s="74">
        <f t="shared" si="1"/>
        <v>1389851.3625103221</v>
      </c>
      <c r="AL10" s="74">
        <f t="shared" si="2"/>
        <v>0</v>
      </c>
      <c r="AM10" s="74">
        <f t="shared" si="3"/>
        <v>1459343.9306358383</v>
      </c>
      <c r="AN10" s="74">
        <f t="shared" si="3"/>
        <v>0</v>
      </c>
      <c r="AO10" s="74">
        <f t="shared" si="4"/>
        <v>1501039.4715111479</v>
      </c>
      <c r="AP10" s="74">
        <f t="shared" si="5"/>
        <v>0</v>
      </c>
      <c r="AQ10" s="74">
        <v>0</v>
      </c>
      <c r="AR10" s="76">
        <v>113.9</v>
      </c>
      <c r="AS10" s="74">
        <f t="shared" si="9"/>
        <v>0</v>
      </c>
      <c r="AT10" s="76">
        <v>105</v>
      </c>
      <c r="AU10" s="74">
        <f t="shared" si="10"/>
        <v>0</v>
      </c>
      <c r="AV10" s="76">
        <v>124</v>
      </c>
      <c r="AW10" s="74">
        <f t="shared" si="11"/>
        <v>0</v>
      </c>
      <c r="AX10" s="76">
        <v>122</v>
      </c>
      <c r="AY10" s="77">
        <f t="shared" si="6"/>
        <v>0</v>
      </c>
      <c r="AZ10" s="78">
        <v>125.2</v>
      </c>
      <c r="BA10" s="77">
        <f t="shared" si="7"/>
        <v>0</v>
      </c>
      <c r="BB10" s="78">
        <v>123.3</v>
      </c>
      <c r="BC10" s="79">
        <v>36161</v>
      </c>
      <c r="BD10" s="59"/>
      <c r="BE10" s="80">
        <v>669.56</v>
      </c>
      <c r="BF10" s="80">
        <v>665.05</v>
      </c>
      <c r="BG10" s="80">
        <v>657.18</v>
      </c>
      <c r="BH10" s="73"/>
      <c r="BI10" s="73"/>
      <c r="BJ10" s="73"/>
      <c r="BK10" s="73"/>
      <c r="BL10" s="79">
        <v>42964</v>
      </c>
      <c r="BM10" s="79">
        <v>36434</v>
      </c>
      <c r="BN10" s="58" t="s">
        <v>44</v>
      </c>
      <c r="BO10" s="58" t="s">
        <v>70</v>
      </c>
      <c r="BP10" s="58" t="s">
        <v>76</v>
      </c>
      <c r="BQ10">
        <v>2016</v>
      </c>
      <c r="BR10" s="59"/>
      <c r="BV10" s="18"/>
      <c r="BW10" s="18"/>
    </row>
    <row r="11" spans="1:75" x14ac:dyDescent="0.3">
      <c r="B11" s="20" t="s">
        <v>1029</v>
      </c>
      <c r="C11" s="20" t="s">
        <v>1029</v>
      </c>
      <c r="D11" s="57" t="e">
        <v>#N/A</v>
      </c>
      <c r="E11" s="58" t="s">
        <v>1111</v>
      </c>
      <c r="F11" s="96"/>
      <c r="G11" s="96"/>
      <c r="H11" s="58"/>
      <c r="I11" s="58"/>
      <c r="J11" s="59"/>
      <c r="K11" s="95" t="s">
        <v>43</v>
      </c>
      <c r="L11" s="95"/>
      <c r="M11" s="58"/>
      <c r="N11" s="59"/>
      <c r="O11" s="58" t="s">
        <v>1031</v>
      </c>
      <c r="P11" s="58" t="s">
        <v>1032</v>
      </c>
      <c r="Q11" s="58"/>
      <c r="R11" s="58"/>
      <c r="S11" s="58"/>
      <c r="T11" s="73"/>
      <c r="U11" s="74"/>
      <c r="V11" s="74"/>
      <c r="W11" s="74"/>
      <c r="X11" s="74"/>
      <c r="Y11" s="74"/>
      <c r="Z11" s="74"/>
      <c r="AA11" s="75"/>
      <c r="AB11" s="74"/>
      <c r="AC11" s="74"/>
      <c r="AD11" s="75"/>
      <c r="AE11" s="74"/>
      <c r="AF11" s="74"/>
      <c r="AG11" s="74"/>
      <c r="AH11" s="75"/>
      <c r="AI11" s="74"/>
      <c r="AJ11" s="74"/>
      <c r="AK11" s="74"/>
      <c r="AL11" s="74"/>
      <c r="AM11" s="74"/>
      <c r="AN11" s="74"/>
      <c r="AO11" s="74">
        <v>0</v>
      </c>
      <c r="AP11" s="74">
        <v>1088229</v>
      </c>
      <c r="AQ11" s="74">
        <f t="shared" si="8"/>
        <v>0</v>
      </c>
      <c r="AR11" s="76">
        <v>113.9</v>
      </c>
      <c r="AS11" s="74"/>
      <c r="AT11" s="76">
        <v>105</v>
      </c>
      <c r="AU11" s="74">
        <f t="shared" si="10"/>
        <v>0</v>
      </c>
      <c r="AV11" s="76">
        <v>124</v>
      </c>
      <c r="AW11" s="74">
        <f t="shared" si="11"/>
        <v>0</v>
      </c>
      <c r="AX11" s="76">
        <v>122</v>
      </c>
      <c r="AY11" s="77">
        <f t="shared" si="6"/>
        <v>0</v>
      </c>
      <c r="AZ11" s="78">
        <v>125.2</v>
      </c>
      <c r="BA11" s="77">
        <f t="shared" si="7"/>
        <v>0</v>
      </c>
      <c r="BB11" s="78">
        <v>123.3</v>
      </c>
      <c r="BC11" s="79">
        <v>44211</v>
      </c>
      <c r="BD11" s="59"/>
      <c r="BE11" s="80"/>
      <c r="BF11" s="80"/>
      <c r="BG11" s="80"/>
      <c r="BH11" s="73"/>
      <c r="BI11" s="73"/>
      <c r="BJ11" s="73"/>
      <c r="BK11" s="73"/>
      <c r="BL11" s="79"/>
      <c r="BM11" s="79"/>
      <c r="BN11" s="58"/>
      <c r="BO11" s="58"/>
      <c r="BP11" s="21"/>
      <c r="BR11" s="59"/>
      <c r="BV11" s="18"/>
      <c r="BW11" s="18"/>
    </row>
    <row r="12" spans="1:75" x14ac:dyDescent="0.3">
      <c r="B12" s="20" t="s">
        <v>77</v>
      </c>
      <c r="C12" s="20" t="s">
        <v>1247</v>
      </c>
      <c r="D12" s="57" t="e">
        <v>#N/A</v>
      </c>
      <c r="E12" s="58" t="s">
        <v>1101</v>
      </c>
      <c r="F12" s="96"/>
      <c r="G12" s="96"/>
      <c r="H12" s="58" t="s">
        <v>78</v>
      </c>
      <c r="I12" s="58" t="s">
        <v>78</v>
      </c>
      <c r="J12" s="59">
        <v>779790</v>
      </c>
      <c r="K12" s="95" t="s">
        <v>43</v>
      </c>
      <c r="L12" s="95"/>
      <c r="M12" s="58" t="s">
        <v>48</v>
      </c>
      <c r="N12" s="59">
        <v>11</v>
      </c>
      <c r="O12" s="58" t="s">
        <v>40</v>
      </c>
      <c r="P12" s="58" t="s">
        <v>79</v>
      </c>
      <c r="Q12" s="58" t="s">
        <v>51</v>
      </c>
      <c r="R12" s="58" t="s">
        <v>80</v>
      </c>
      <c r="S12" s="58" t="s">
        <v>42</v>
      </c>
      <c r="T12" s="73">
        <v>6120000</v>
      </c>
      <c r="U12" s="74">
        <f t="shared" si="0"/>
        <v>6210966.1436829073</v>
      </c>
      <c r="V12" s="74">
        <v>1820000</v>
      </c>
      <c r="W12" s="74">
        <v>5721601</v>
      </c>
      <c r="X12" s="74">
        <v>2724193</v>
      </c>
      <c r="Y12" s="74">
        <v>3612.02</v>
      </c>
      <c r="Z12" s="74">
        <v>1074.1600000000001</v>
      </c>
      <c r="AA12" s="75" t="s">
        <v>43</v>
      </c>
      <c r="AB12" s="74"/>
      <c r="AC12" s="74"/>
      <c r="AD12" s="75" t="s">
        <v>43</v>
      </c>
      <c r="AE12" s="74"/>
      <c r="AF12" s="74"/>
      <c r="AG12" s="74">
        <v>0</v>
      </c>
      <c r="AH12" s="75" t="s">
        <v>42</v>
      </c>
      <c r="AI12" s="74"/>
      <c r="AJ12" s="74">
        <f t="shared" si="12"/>
        <v>1845387.968613775</v>
      </c>
      <c r="AK12" s="74">
        <f t="shared" si="1"/>
        <v>7029661.4368290668</v>
      </c>
      <c r="AL12" s="74">
        <f t="shared" si="2"/>
        <v>1929485.6146469046</v>
      </c>
      <c r="AM12" s="74">
        <f t="shared" si="3"/>
        <v>7381144.50867052</v>
      </c>
      <c r="AN12" s="74">
        <f t="shared" si="3"/>
        <v>2025959.8953792499</v>
      </c>
      <c r="AO12" s="74"/>
      <c r="AP12" s="74"/>
      <c r="AQ12" s="74">
        <f t="shared" si="8"/>
        <v>0</v>
      </c>
      <c r="AR12" s="76">
        <v>113.9</v>
      </c>
      <c r="AS12" s="74">
        <f t="shared" si="9"/>
        <v>0</v>
      </c>
      <c r="AT12" s="76">
        <v>105</v>
      </c>
      <c r="AU12" s="74">
        <f t="shared" si="10"/>
        <v>0</v>
      </c>
      <c r="AV12" s="76">
        <v>124</v>
      </c>
      <c r="AW12" s="74">
        <f t="shared" si="11"/>
        <v>0</v>
      </c>
      <c r="AX12" s="76">
        <v>122</v>
      </c>
      <c r="AY12" s="77">
        <f t="shared" si="6"/>
        <v>0</v>
      </c>
      <c r="AZ12" s="78">
        <v>125.2</v>
      </c>
      <c r="BA12" s="77">
        <f t="shared" si="7"/>
        <v>0</v>
      </c>
      <c r="BB12" s="78">
        <v>123.3</v>
      </c>
      <c r="BC12" s="79">
        <v>36500</v>
      </c>
      <c r="BD12" s="59"/>
      <c r="BE12" s="80">
        <v>4984.71</v>
      </c>
      <c r="BF12" s="80">
        <v>4962.01</v>
      </c>
      <c r="BG12" s="80">
        <v>4908.1499999999996</v>
      </c>
      <c r="BH12" s="73"/>
      <c r="BI12" s="73"/>
      <c r="BJ12" s="73"/>
      <c r="BK12" s="73"/>
      <c r="BL12" s="79">
        <v>42964</v>
      </c>
      <c r="BM12" s="79">
        <v>36434</v>
      </c>
      <c r="BN12" s="58" t="s">
        <v>44</v>
      </c>
      <c r="BO12" s="58" t="s">
        <v>70</v>
      </c>
      <c r="BP12" s="58" t="s">
        <v>59</v>
      </c>
      <c r="BQ12">
        <v>2016</v>
      </c>
      <c r="BR12" s="59"/>
      <c r="BV12" s="18"/>
      <c r="BW12" s="18"/>
    </row>
    <row r="13" spans="1:75" x14ac:dyDescent="0.3">
      <c r="B13" s="20" t="s">
        <v>81</v>
      </c>
      <c r="C13" s="20" t="s">
        <v>1248</v>
      </c>
      <c r="D13" s="57" t="s">
        <v>1144</v>
      </c>
      <c r="E13" s="58" t="s">
        <v>1101</v>
      </c>
      <c r="F13" s="96"/>
      <c r="G13" s="96"/>
      <c r="H13" s="58" t="s">
        <v>82</v>
      </c>
      <c r="I13" s="58" t="s">
        <v>82</v>
      </c>
      <c r="J13" s="59">
        <v>772723</v>
      </c>
      <c r="K13" s="95" t="s">
        <v>43</v>
      </c>
      <c r="L13" s="95"/>
      <c r="M13" s="58" t="s">
        <v>72</v>
      </c>
      <c r="N13" s="59">
        <v>11</v>
      </c>
      <c r="O13" s="58" t="s">
        <v>40</v>
      </c>
      <c r="P13" s="58" t="s">
        <v>83</v>
      </c>
      <c r="Q13" s="58" t="s">
        <v>74</v>
      </c>
      <c r="R13" s="58" t="s">
        <v>84</v>
      </c>
      <c r="S13" s="58" t="s">
        <v>42</v>
      </c>
      <c r="T13" s="73">
        <v>1615000</v>
      </c>
      <c r="U13" s="74">
        <f t="shared" si="0"/>
        <v>1639004.9545829894</v>
      </c>
      <c r="V13" s="74"/>
      <c r="W13" s="74">
        <v>1479725</v>
      </c>
      <c r="X13" s="74"/>
      <c r="Y13" s="74">
        <v>953.17</v>
      </c>
      <c r="Z13" s="74"/>
      <c r="AA13" s="75" t="s">
        <v>43</v>
      </c>
      <c r="AB13" s="74"/>
      <c r="AC13" s="74"/>
      <c r="AD13" s="75" t="s">
        <v>43</v>
      </c>
      <c r="AE13" s="74"/>
      <c r="AF13" s="74"/>
      <c r="AG13" s="74">
        <v>0</v>
      </c>
      <c r="AH13" s="75" t="s">
        <v>42</v>
      </c>
      <c r="AI13" s="74"/>
      <c r="AJ13" s="74">
        <f t="shared" si="12"/>
        <v>0</v>
      </c>
      <c r="AK13" s="74">
        <f t="shared" si="1"/>
        <v>1855049.5458298926</v>
      </c>
      <c r="AL13" s="74">
        <f t="shared" si="2"/>
        <v>0</v>
      </c>
      <c r="AM13" s="74">
        <f t="shared" si="3"/>
        <v>1947802.0231213872</v>
      </c>
      <c r="AN13" s="74">
        <f t="shared" si="3"/>
        <v>0</v>
      </c>
      <c r="AO13" s="74">
        <f t="shared" si="4"/>
        <v>2003453.5094962842</v>
      </c>
      <c r="AP13" s="74">
        <f t="shared" si="5"/>
        <v>0</v>
      </c>
      <c r="AQ13" s="74">
        <f t="shared" si="8"/>
        <v>2112901.432700248</v>
      </c>
      <c r="AR13" s="76">
        <v>113.9</v>
      </c>
      <c r="AS13" s="74">
        <f t="shared" si="9"/>
        <v>0</v>
      </c>
      <c r="AT13" s="76">
        <v>105</v>
      </c>
      <c r="AU13" s="74">
        <f t="shared" si="10"/>
        <v>2300261.4368290668</v>
      </c>
      <c r="AV13" s="76">
        <v>124</v>
      </c>
      <c r="AW13" s="74">
        <f t="shared" si="11"/>
        <v>0</v>
      </c>
      <c r="AX13" s="76">
        <v>122</v>
      </c>
      <c r="AY13" s="77">
        <f t="shared" si="6"/>
        <v>2322523</v>
      </c>
      <c r="AZ13" s="78">
        <v>125.2</v>
      </c>
      <c r="BA13" s="77">
        <f t="shared" si="7"/>
        <v>0</v>
      </c>
      <c r="BB13" s="78">
        <v>123.3</v>
      </c>
      <c r="BC13" s="79">
        <v>36161</v>
      </c>
      <c r="BD13" s="59"/>
      <c r="BE13" s="80">
        <v>873.33</v>
      </c>
      <c r="BF13" s="80">
        <v>867.46</v>
      </c>
      <c r="BG13" s="80">
        <v>857.19</v>
      </c>
      <c r="BH13" s="73"/>
      <c r="BI13" s="73"/>
      <c r="BJ13" s="73"/>
      <c r="BK13" s="73"/>
      <c r="BL13" s="79">
        <v>42964</v>
      </c>
      <c r="BM13" s="79">
        <v>36434</v>
      </c>
      <c r="BN13" s="58" t="s">
        <v>44</v>
      </c>
      <c r="BO13" s="58" t="s">
        <v>70</v>
      </c>
      <c r="BP13" s="58" t="s">
        <v>59</v>
      </c>
      <c r="BQ13">
        <v>2016</v>
      </c>
      <c r="BR13" s="59"/>
      <c r="BV13" s="18"/>
      <c r="BW13" s="18"/>
    </row>
    <row r="14" spans="1:75" x14ac:dyDescent="0.3">
      <c r="B14" s="20" t="s">
        <v>85</v>
      </c>
      <c r="C14" s="20" t="s">
        <v>1249</v>
      </c>
      <c r="D14" s="57" t="s">
        <v>1145</v>
      </c>
      <c r="E14" s="58" t="s">
        <v>1101</v>
      </c>
      <c r="F14" s="96"/>
      <c r="G14" s="96"/>
      <c r="H14" s="58" t="s">
        <v>82</v>
      </c>
      <c r="I14" s="58" t="s">
        <v>82</v>
      </c>
      <c r="J14" s="59">
        <v>772723</v>
      </c>
      <c r="K14" s="95" t="s">
        <v>1440</v>
      </c>
      <c r="L14" s="95"/>
      <c r="M14" s="58" t="s">
        <v>72</v>
      </c>
      <c r="N14" s="59">
        <v>11</v>
      </c>
      <c r="O14" s="58" t="s">
        <v>40</v>
      </c>
      <c r="P14" s="58" t="s">
        <v>86</v>
      </c>
      <c r="Q14" s="58" t="s">
        <v>87</v>
      </c>
      <c r="R14" s="58" t="s">
        <v>88</v>
      </c>
      <c r="S14" s="58" t="s">
        <v>42</v>
      </c>
      <c r="T14" s="73">
        <v>2700000</v>
      </c>
      <c r="U14" s="74">
        <f t="shared" si="0"/>
        <v>2740132.122213047</v>
      </c>
      <c r="V14" s="74">
        <v>557500</v>
      </c>
      <c r="W14" s="74">
        <v>2430976</v>
      </c>
      <c r="X14" s="74">
        <v>496588</v>
      </c>
      <c r="Y14" s="74">
        <v>1593.54</v>
      </c>
      <c r="Z14" s="74">
        <v>329.04</v>
      </c>
      <c r="AA14" s="75" t="s">
        <v>43</v>
      </c>
      <c r="AB14" s="74"/>
      <c r="AC14" s="74"/>
      <c r="AD14" s="75" t="s">
        <v>43</v>
      </c>
      <c r="AE14" s="74"/>
      <c r="AF14" s="74"/>
      <c r="AG14" s="74">
        <v>0</v>
      </c>
      <c r="AH14" s="75" t="s">
        <v>42</v>
      </c>
      <c r="AI14" s="74"/>
      <c r="AJ14" s="74">
        <f t="shared" si="12"/>
        <v>565276.8090671316</v>
      </c>
      <c r="AK14" s="74">
        <f t="shared" si="1"/>
        <v>3101321.2221304704</v>
      </c>
      <c r="AL14" s="74">
        <f t="shared" si="2"/>
        <v>591037.48910200514</v>
      </c>
      <c r="AM14" s="74">
        <f>AK14*1.05+37534</f>
        <v>3293921.2832369939</v>
      </c>
      <c r="AN14" s="74">
        <f t="shared" si="3"/>
        <v>620589.36355710542</v>
      </c>
      <c r="AO14" s="74">
        <f>AM14/105*108</f>
        <v>3388033.319900908</v>
      </c>
      <c r="AP14" s="74">
        <f t="shared" si="5"/>
        <v>620589.36355710542</v>
      </c>
      <c r="AQ14" s="74">
        <f t="shared" si="8"/>
        <v>3573120.3253399394</v>
      </c>
      <c r="AR14" s="76">
        <v>113.9</v>
      </c>
      <c r="AS14" s="74">
        <f t="shared" si="9"/>
        <v>620589.36355710542</v>
      </c>
      <c r="AT14" s="76">
        <v>105</v>
      </c>
      <c r="AU14" s="74">
        <f t="shared" si="10"/>
        <v>3889964.1821084502</v>
      </c>
      <c r="AV14" s="76">
        <v>124</v>
      </c>
      <c r="AW14" s="74">
        <f t="shared" si="11"/>
        <v>721065.73670444638</v>
      </c>
      <c r="AX14" s="76">
        <v>122</v>
      </c>
      <c r="AY14" s="77">
        <f t="shared" si="6"/>
        <v>3927609</v>
      </c>
      <c r="AZ14" s="78">
        <v>125.2</v>
      </c>
      <c r="BA14" s="77">
        <f t="shared" si="7"/>
        <v>728750</v>
      </c>
      <c r="BB14" s="78">
        <v>123.3</v>
      </c>
      <c r="BC14" s="79">
        <v>36526</v>
      </c>
      <c r="BD14" s="59"/>
      <c r="BE14" s="80">
        <v>1727.85</v>
      </c>
      <c r="BF14" s="80">
        <v>1718.21</v>
      </c>
      <c r="BG14" s="80">
        <v>1698.75</v>
      </c>
      <c r="BH14" s="73"/>
      <c r="BI14" s="73"/>
      <c r="BJ14" s="73"/>
      <c r="BK14" s="73"/>
      <c r="BL14" s="79">
        <v>43014</v>
      </c>
      <c r="BM14" s="79">
        <v>36434</v>
      </c>
      <c r="BN14" s="58" t="s">
        <v>44</v>
      </c>
      <c r="BO14" s="58" t="s">
        <v>70</v>
      </c>
      <c r="BP14" s="58" t="s">
        <v>89</v>
      </c>
      <c r="BQ14">
        <v>2016</v>
      </c>
      <c r="BR14" s="59" t="s">
        <v>1005</v>
      </c>
      <c r="BV14" s="18"/>
      <c r="BW14" s="18"/>
    </row>
    <row r="15" spans="1:75" x14ac:dyDescent="0.3">
      <c r="B15" s="20" t="s">
        <v>90</v>
      </c>
      <c r="C15" s="20" t="s">
        <v>1250</v>
      </c>
      <c r="D15" s="57" t="s">
        <v>1145</v>
      </c>
      <c r="E15" s="58" t="s">
        <v>1101</v>
      </c>
      <c r="F15" s="96"/>
      <c r="G15" s="96"/>
      <c r="H15" s="58" t="s">
        <v>82</v>
      </c>
      <c r="I15" s="58" t="s">
        <v>82</v>
      </c>
      <c r="J15" s="59">
        <v>772723</v>
      </c>
      <c r="K15" s="95" t="s">
        <v>1440</v>
      </c>
      <c r="L15" s="95"/>
      <c r="M15" s="58" t="s">
        <v>72</v>
      </c>
      <c r="N15" s="59">
        <v>11</v>
      </c>
      <c r="O15" s="58" t="s">
        <v>40</v>
      </c>
      <c r="P15" s="58" t="s">
        <v>91</v>
      </c>
      <c r="Q15" s="58" t="s">
        <v>92</v>
      </c>
      <c r="R15" s="58" t="s">
        <v>93</v>
      </c>
      <c r="S15" s="58" t="s">
        <v>42</v>
      </c>
      <c r="T15" s="73">
        <v>1420000</v>
      </c>
      <c r="U15" s="74">
        <f t="shared" si="0"/>
        <v>1441106.5235342693</v>
      </c>
      <c r="V15" s="74">
        <v>422500</v>
      </c>
      <c r="W15" s="74">
        <v>1272562</v>
      </c>
      <c r="X15" s="74">
        <v>393799</v>
      </c>
      <c r="Y15" s="74">
        <v>838.08</v>
      </c>
      <c r="Z15" s="74">
        <v>249.36</v>
      </c>
      <c r="AA15" s="75" t="s">
        <v>43</v>
      </c>
      <c r="AB15" s="74"/>
      <c r="AC15" s="74"/>
      <c r="AD15" s="75" t="s">
        <v>43</v>
      </c>
      <c r="AE15" s="74"/>
      <c r="AF15" s="74"/>
      <c r="AG15" s="74">
        <v>0</v>
      </c>
      <c r="AH15" s="75" t="s">
        <v>42</v>
      </c>
      <c r="AI15" s="74"/>
      <c r="AJ15" s="74">
        <f t="shared" si="12"/>
        <v>428393.63557105494</v>
      </c>
      <c r="AK15" s="74">
        <f t="shared" si="1"/>
        <v>1631065.2353426919</v>
      </c>
      <c r="AL15" s="74">
        <f t="shared" si="2"/>
        <v>447916.30340017437</v>
      </c>
      <c r="AM15" s="74">
        <f t="shared" si="3"/>
        <v>1712618.4971098267</v>
      </c>
      <c r="AN15" s="74">
        <f t="shared" si="3"/>
        <v>470312.11857018311</v>
      </c>
      <c r="AO15" s="74">
        <f t="shared" si="4"/>
        <v>1761550.4541701074</v>
      </c>
      <c r="AP15" s="74">
        <f t="shared" si="5"/>
        <v>470312.11857018311</v>
      </c>
      <c r="AQ15" s="74">
        <f t="shared" si="8"/>
        <v>1857783.3030553262</v>
      </c>
      <c r="AR15" s="76">
        <v>113.9</v>
      </c>
      <c r="AS15" s="74">
        <f t="shared" si="9"/>
        <v>470312.11857018311</v>
      </c>
      <c r="AT15" s="76">
        <v>105</v>
      </c>
      <c r="AU15" s="74">
        <f t="shared" si="10"/>
        <v>2022520.8918249381</v>
      </c>
      <c r="AV15" s="76">
        <v>124</v>
      </c>
      <c r="AW15" s="74">
        <f t="shared" si="11"/>
        <v>546457.89014821267</v>
      </c>
      <c r="AX15" s="76">
        <v>122</v>
      </c>
      <c r="AY15" s="77">
        <f t="shared" si="6"/>
        <v>2042094</v>
      </c>
      <c r="AZ15" s="78">
        <v>125.2</v>
      </c>
      <c r="BA15" s="77">
        <f t="shared" si="7"/>
        <v>552281</v>
      </c>
      <c r="BB15" s="78">
        <v>123.3</v>
      </c>
      <c r="BC15" s="79">
        <v>36526</v>
      </c>
      <c r="BD15" s="59"/>
      <c r="BE15" s="80">
        <v>983.49</v>
      </c>
      <c r="BF15" s="80">
        <v>978.44</v>
      </c>
      <c r="BG15" s="80">
        <v>967.56</v>
      </c>
      <c r="BH15" s="73"/>
      <c r="BI15" s="73"/>
      <c r="BJ15" s="73"/>
      <c r="BK15" s="73"/>
      <c r="BL15" s="79">
        <v>43046</v>
      </c>
      <c r="BM15" s="79">
        <v>36434</v>
      </c>
      <c r="BN15" s="58" t="s">
        <v>44</v>
      </c>
      <c r="BO15" s="58" t="s">
        <v>70</v>
      </c>
      <c r="BP15" s="58" t="s">
        <v>59</v>
      </c>
      <c r="BQ15">
        <v>2016</v>
      </c>
      <c r="BR15" s="59"/>
      <c r="BV15" s="18"/>
      <c r="BW15" s="18"/>
    </row>
    <row r="16" spans="1:75" x14ac:dyDescent="0.3">
      <c r="B16" s="20" t="s">
        <v>96</v>
      </c>
      <c r="C16" s="20" t="s">
        <v>1251</v>
      </c>
      <c r="D16" s="57" t="s">
        <v>1146</v>
      </c>
      <c r="E16" s="58" t="s">
        <v>1101</v>
      </c>
      <c r="F16" s="96"/>
      <c r="G16" s="96"/>
      <c r="H16" s="58" t="s">
        <v>97</v>
      </c>
      <c r="I16" s="58" t="s">
        <v>97</v>
      </c>
      <c r="J16" s="59">
        <v>772724</v>
      </c>
      <c r="K16" s="95" t="s">
        <v>43</v>
      </c>
      <c r="L16" s="95"/>
      <c r="M16" s="58" t="s">
        <v>66</v>
      </c>
      <c r="N16" s="59">
        <v>11</v>
      </c>
      <c r="O16" s="58" t="s">
        <v>40</v>
      </c>
      <c r="P16" s="58" t="s">
        <v>98</v>
      </c>
      <c r="Q16" s="58" t="s">
        <v>99</v>
      </c>
      <c r="R16" s="58" t="s">
        <v>100</v>
      </c>
      <c r="S16" s="58" t="s">
        <v>42</v>
      </c>
      <c r="T16" s="73">
        <v>3600000</v>
      </c>
      <c r="U16" s="74">
        <f t="shared" si="0"/>
        <v>3653509.496284063</v>
      </c>
      <c r="V16" s="74">
        <v>175000</v>
      </c>
      <c r="W16" s="74">
        <v>3255394</v>
      </c>
      <c r="X16" s="74">
        <v>443647</v>
      </c>
      <c r="Y16" s="74">
        <v>2124.7199999999998</v>
      </c>
      <c r="Z16" s="74">
        <v>103.29</v>
      </c>
      <c r="AA16" s="75" t="s">
        <v>43</v>
      </c>
      <c r="AB16" s="74"/>
      <c r="AC16" s="74"/>
      <c r="AD16" s="75" t="s">
        <v>43</v>
      </c>
      <c r="AE16" s="74"/>
      <c r="AF16" s="74"/>
      <c r="AG16" s="74">
        <v>0</v>
      </c>
      <c r="AH16" s="75" t="s">
        <v>42</v>
      </c>
      <c r="AI16" s="74"/>
      <c r="AJ16" s="74">
        <f t="shared" si="12"/>
        <v>177441.1508282476</v>
      </c>
      <c r="AK16" s="74">
        <f t="shared" si="1"/>
        <v>4135094.9628406274</v>
      </c>
      <c r="AL16" s="74">
        <f t="shared" si="2"/>
        <v>185527.46294681777</v>
      </c>
      <c r="AM16" s="74">
        <f t="shared" si="3"/>
        <v>4341849.7109826589</v>
      </c>
      <c r="AN16" s="74">
        <f t="shared" si="3"/>
        <v>194803.83609415867</v>
      </c>
      <c r="AO16" s="74">
        <f t="shared" si="4"/>
        <v>4465902.5598678775</v>
      </c>
      <c r="AP16" s="74">
        <f t="shared" si="5"/>
        <v>194803.83609415867</v>
      </c>
      <c r="AQ16" s="74">
        <f t="shared" si="8"/>
        <v>4709873.1626754748</v>
      </c>
      <c r="AR16" s="76">
        <v>113.9</v>
      </c>
      <c r="AS16" s="74">
        <f t="shared" si="9"/>
        <v>194803.83609415867</v>
      </c>
      <c r="AT16" s="76">
        <v>105</v>
      </c>
      <c r="AU16" s="74">
        <f t="shared" si="10"/>
        <v>5127517.7539223777</v>
      </c>
      <c r="AV16" s="76">
        <v>124</v>
      </c>
      <c r="AW16" s="74">
        <f t="shared" si="11"/>
        <v>226343.50479511771</v>
      </c>
      <c r="AX16" s="76">
        <v>122</v>
      </c>
      <c r="AY16" s="77">
        <f t="shared" si="6"/>
        <v>5177139</v>
      </c>
      <c r="AZ16" s="78">
        <v>125.2</v>
      </c>
      <c r="BA16" s="77">
        <f t="shared" si="7"/>
        <v>228756</v>
      </c>
      <c r="BB16" s="78">
        <v>123.3</v>
      </c>
      <c r="BC16" s="79">
        <v>36482</v>
      </c>
      <c r="BD16" s="59"/>
      <c r="BE16" s="80">
        <v>2183.17</v>
      </c>
      <c r="BF16" s="80">
        <v>2170.2600000000002</v>
      </c>
      <c r="BG16" s="80">
        <v>2145.35</v>
      </c>
      <c r="BH16" s="73"/>
      <c r="BI16" s="73"/>
      <c r="BJ16" s="73"/>
      <c r="BK16" s="73"/>
      <c r="BL16" s="79">
        <v>42964</v>
      </c>
      <c r="BM16" s="79">
        <v>36434</v>
      </c>
      <c r="BN16" s="58" t="s">
        <v>44</v>
      </c>
      <c r="BO16" s="58" t="s">
        <v>70</v>
      </c>
      <c r="BP16" s="58" t="s">
        <v>101</v>
      </c>
      <c r="BQ16">
        <v>2016</v>
      </c>
      <c r="BR16" s="59"/>
      <c r="BV16" s="18"/>
      <c r="BW16" s="18"/>
    </row>
    <row r="17" spans="2:75" x14ac:dyDescent="0.3">
      <c r="B17" s="20" t="s">
        <v>102</v>
      </c>
      <c r="C17" s="20" t="s">
        <v>1252</v>
      </c>
      <c r="D17" s="57" t="s">
        <v>1147</v>
      </c>
      <c r="E17" s="58" t="s">
        <v>1101</v>
      </c>
      <c r="F17" s="96"/>
      <c r="G17" s="96"/>
      <c r="H17" s="58" t="s">
        <v>103</v>
      </c>
      <c r="I17" s="58" t="s">
        <v>103</v>
      </c>
      <c r="J17" s="59">
        <v>772724</v>
      </c>
      <c r="K17" s="95" t="s">
        <v>1440</v>
      </c>
      <c r="L17" s="95"/>
      <c r="M17" s="58" t="s">
        <v>66</v>
      </c>
      <c r="N17" s="59">
        <v>11</v>
      </c>
      <c r="O17" s="58" t="s">
        <v>40</v>
      </c>
      <c r="P17" s="58" t="s">
        <v>1026</v>
      </c>
      <c r="Q17" s="58" t="s">
        <v>99</v>
      </c>
      <c r="R17" s="58" t="s">
        <v>104</v>
      </c>
      <c r="S17" s="58" t="s">
        <v>42</v>
      </c>
      <c r="T17" s="73">
        <v>12860000</v>
      </c>
      <c r="U17" s="74">
        <v>4932238</v>
      </c>
      <c r="V17" s="74">
        <v>430000</v>
      </c>
      <c r="W17" s="74">
        <v>12331034</v>
      </c>
      <c r="X17" s="74">
        <v>1314846</v>
      </c>
      <c r="Y17" s="74">
        <v>7589.97</v>
      </c>
      <c r="Z17" s="74">
        <v>253.79</v>
      </c>
      <c r="AA17" s="75" t="s">
        <v>43</v>
      </c>
      <c r="AB17" s="74"/>
      <c r="AC17" s="74"/>
      <c r="AD17" s="75" t="s">
        <v>43</v>
      </c>
      <c r="AE17" s="74"/>
      <c r="AF17" s="74"/>
      <c r="AG17" s="74">
        <v>0</v>
      </c>
      <c r="AH17" s="75" t="s">
        <v>42</v>
      </c>
      <c r="AI17" s="74"/>
      <c r="AJ17" s="74">
        <v>207860</v>
      </c>
      <c r="AK17" s="74">
        <f t="shared" si="1"/>
        <v>5582378.4035801459</v>
      </c>
      <c r="AL17" s="74">
        <f t="shared" si="2"/>
        <v>217332.55374032672</v>
      </c>
      <c r="AM17" s="74">
        <v>4320000</v>
      </c>
      <c r="AN17" s="74">
        <v>280000</v>
      </c>
      <c r="AO17" s="74">
        <f>AM17/105*108+45615</f>
        <v>4489043.5714285718</v>
      </c>
      <c r="AP17" s="74">
        <f t="shared" si="5"/>
        <v>280000</v>
      </c>
      <c r="AQ17" s="74">
        <f t="shared" si="8"/>
        <v>4734278.3591269841</v>
      </c>
      <c r="AR17" s="76">
        <v>113.9</v>
      </c>
      <c r="AS17" s="74">
        <f t="shared" si="9"/>
        <v>280000</v>
      </c>
      <c r="AT17" s="76">
        <v>105</v>
      </c>
      <c r="AU17" s="74">
        <f t="shared" si="10"/>
        <v>5154087.0634920634</v>
      </c>
      <c r="AV17" s="76">
        <v>124</v>
      </c>
      <c r="AW17" s="74">
        <f t="shared" si="11"/>
        <v>325333.33333333331</v>
      </c>
      <c r="AX17" s="76">
        <v>122</v>
      </c>
      <c r="AY17" s="77">
        <f t="shared" si="6"/>
        <v>5203966</v>
      </c>
      <c r="AZ17" s="78">
        <v>125.2</v>
      </c>
      <c r="BA17" s="77">
        <f t="shared" si="7"/>
        <v>328800</v>
      </c>
      <c r="BB17" s="78">
        <v>123.3</v>
      </c>
      <c r="BC17" s="79">
        <v>36482</v>
      </c>
      <c r="BD17" s="59"/>
      <c r="BE17" s="80">
        <v>8053.8</v>
      </c>
      <c r="BF17" s="80">
        <v>8004.87</v>
      </c>
      <c r="BG17" s="80">
        <v>7912.43</v>
      </c>
      <c r="BH17" s="73"/>
      <c r="BI17" s="73"/>
      <c r="BJ17" s="73"/>
      <c r="BK17" s="73"/>
      <c r="BL17" s="79">
        <v>42964</v>
      </c>
      <c r="BM17" s="79">
        <v>36434</v>
      </c>
      <c r="BN17" s="58" t="s">
        <v>44</v>
      </c>
      <c r="BO17" s="58" t="s">
        <v>70</v>
      </c>
      <c r="BP17" s="58" t="s">
        <v>1004</v>
      </c>
      <c r="BQ17">
        <v>2016</v>
      </c>
      <c r="BR17" s="91" t="s">
        <v>1005</v>
      </c>
      <c r="BV17" s="18"/>
      <c r="BW17" s="18"/>
    </row>
    <row r="18" spans="2:75" x14ac:dyDescent="0.3">
      <c r="B18" s="20" t="s">
        <v>105</v>
      </c>
      <c r="C18" s="20" t="s">
        <v>105</v>
      </c>
      <c r="D18" s="57" t="s">
        <v>1147</v>
      </c>
      <c r="E18" s="58" t="s">
        <v>1101</v>
      </c>
      <c r="F18" s="97" t="s">
        <v>1473</v>
      </c>
      <c r="G18" s="97" t="s">
        <v>1473</v>
      </c>
      <c r="H18" s="58" t="s">
        <v>103</v>
      </c>
      <c r="I18" s="58" t="s">
        <v>103</v>
      </c>
      <c r="J18" s="59">
        <v>772723</v>
      </c>
      <c r="K18" s="95" t="s">
        <v>1440</v>
      </c>
      <c r="L18" s="104" t="s">
        <v>1472</v>
      </c>
      <c r="M18" s="58" t="s">
        <v>72</v>
      </c>
      <c r="N18" s="59">
        <v>11</v>
      </c>
      <c r="O18" s="58" t="s">
        <v>40</v>
      </c>
      <c r="P18" s="58" t="s">
        <v>106</v>
      </c>
      <c r="Q18" s="58" t="s">
        <v>107</v>
      </c>
      <c r="R18" s="58" t="s">
        <v>108</v>
      </c>
      <c r="S18" s="58" t="s">
        <v>42</v>
      </c>
      <c r="T18" s="73">
        <v>19500000</v>
      </c>
      <c r="U18" s="74">
        <f t="shared" ref="U18:U48" si="13">122.9*T18/121.1</f>
        <v>19789843.104872007</v>
      </c>
      <c r="V18" s="74">
        <v>3957500</v>
      </c>
      <c r="W18" s="74">
        <v>18378172</v>
      </c>
      <c r="X18" s="74">
        <v>3524254</v>
      </c>
      <c r="Y18" s="74">
        <v>11508.9</v>
      </c>
      <c r="Z18" s="74">
        <v>2335.7199999999998</v>
      </c>
      <c r="AA18" s="75" t="s">
        <v>43</v>
      </c>
      <c r="AB18" s="74"/>
      <c r="AC18" s="74"/>
      <c r="AD18" s="75" t="s">
        <v>43</v>
      </c>
      <c r="AE18" s="74"/>
      <c r="AF18" s="74"/>
      <c r="AG18" s="74">
        <v>0</v>
      </c>
      <c r="AH18" s="75" t="s">
        <v>42</v>
      </c>
      <c r="AI18" s="74"/>
      <c r="AJ18" s="74">
        <f t="shared" si="12"/>
        <v>4012704.8823016565</v>
      </c>
      <c r="AK18" s="74">
        <f t="shared" si="1"/>
        <v>22398431.048720066</v>
      </c>
      <c r="AL18" s="74">
        <f t="shared" si="2"/>
        <v>4195571.0549258934</v>
      </c>
      <c r="AM18" s="74">
        <f t="shared" si="3"/>
        <v>23518352.601156071</v>
      </c>
      <c r="AN18" s="74">
        <v>4617850</v>
      </c>
      <c r="AO18" s="74">
        <f t="shared" si="4"/>
        <v>24190305.532617673</v>
      </c>
      <c r="AP18" s="74">
        <f t="shared" si="5"/>
        <v>4617850</v>
      </c>
      <c r="AQ18" s="74">
        <f t="shared" si="8"/>
        <v>25511812.964492157</v>
      </c>
      <c r="AR18" s="76">
        <v>113.9</v>
      </c>
      <c r="AS18" s="74">
        <f t="shared" si="9"/>
        <v>4617850</v>
      </c>
      <c r="AT18" s="76">
        <v>105</v>
      </c>
      <c r="AU18" s="74">
        <f t="shared" si="10"/>
        <v>27774054.500412881</v>
      </c>
      <c r="AV18" s="76">
        <v>124</v>
      </c>
      <c r="AW18" s="74">
        <f t="shared" si="11"/>
        <v>5365501.9047619049</v>
      </c>
      <c r="AX18" s="76">
        <v>122</v>
      </c>
      <c r="AY18" s="77">
        <f t="shared" si="6"/>
        <v>28042836</v>
      </c>
      <c r="AZ18" s="78">
        <v>125.2</v>
      </c>
      <c r="BA18" s="77">
        <f t="shared" si="7"/>
        <v>5422676</v>
      </c>
      <c r="BB18" s="78">
        <v>123.3</v>
      </c>
      <c r="BC18" s="79">
        <v>37622</v>
      </c>
      <c r="BD18" s="59"/>
      <c r="BE18" s="80">
        <v>12926.81</v>
      </c>
      <c r="BF18" s="80">
        <v>12853.89</v>
      </c>
      <c r="BG18" s="80">
        <v>12708.01</v>
      </c>
      <c r="BH18" s="73"/>
      <c r="BI18" s="73"/>
      <c r="BJ18" s="73"/>
      <c r="BK18" s="73"/>
      <c r="BL18" s="79">
        <v>43046</v>
      </c>
      <c r="BM18" s="79">
        <v>37735</v>
      </c>
      <c r="BN18" s="58" t="s">
        <v>44</v>
      </c>
      <c r="BO18" s="58" t="s">
        <v>44</v>
      </c>
      <c r="BP18" s="58" t="s">
        <v>59</v>
      </c>
      <c r="BQ18">
        <v>2016</v>
      </c>
      <c r="BR18" s="59" t="s">
        <v>1005</v>
      </c>
      <c r="BV18" s="18"/>
      <c r="BW18" s="18"/>
    </row>
    <row r="19" spans="2:75" x14ac:dyDescent="0.3">
      <c r="B19" s="20" t="s">
        <v>109</v>
      </c>
      <c r="C19" s="20" t="s">
        <v>109</v>
      </c>
      <c r="D19" s="57" t="s">
        <v>1148</v>
      </c>
      <c r="E19" s="58" t="s">
        <v>986</v>
      </c>
      <c r="F19" s="96"/>
      <c r="G19" s="96"/>
      <c r="H19" s="58" t="s">
        <v>110</v>
      </c>
      <c r="I19" s="58" t="s">
        <v>110</v>
      </c>
      <c r="J19" s="59">
        <v>777772</v>
      </c>
      <c r="K19" s="95" t="s">
        <v>43</v>
      </c>
      <c r="L19" s="95"/>
      <c r="M19" s="58" t="s">
        <v>39</v>
      </c>
      <c r="N19" s="59">
        <v>11</v>
      </c>
      <c r="O19" s="58" t="s">
        <v>40</v>
      </c>
      <c r="P19" s="58" t="s">
        <v>111</v>
      </c>
      <c r="Q19" s="58" t="s">
        <v>42</v>
      </c>
      <c r="R19" s="58" t="s">
        <v>112</v>
      </c>
      <c r="S19" s="58" t="s">
        <v>42</v>
      </c>
      <c r="T19" s="73"/>
      <c r="U19" s="74">
        <f t="shared" si="13"/>
        <v>0</v>
      </c>
      <c r="V19" s="74">
        <v>355000</v>
      </c>
      <c r="W19" s="74"/>
      <c r="X19" s="74">
        <v>304073</v>
      </c>
      <c r="Y19" s="74"/>
      <c r="Z19" s="74">
        <v>209.52</v>
      </c>
      <c r="AA19" s="75" t="s">
        <v>43</v>
      </c>
      <c r="AB19" s="74"/>
      <c r="AC19" s="74"/>
      <c r="AD19" s="75" t="s">
        <v>43</v>
      </c>
      <c r="AE19" s="74"/>
      <c r="AF19" s="74"/>
      <c r="AG19" s="74">
        <v>0</v>
      </c>
      <c r="AH19" s="75" t="s">
        <v>42</v>
      </c>
      <c r="AI19" s="74"/>
      <c r="AJ19" s="74">
        <f t="shared" si="12"/>
        <v>359952.04882301658</v>
      </c>
      <c r="AK19" s="74">
        <f t="shared" si="1"/>
        <v>0</v>
      </c>
      <c r="AL19" s="74">
        <f t="shared" si="2"/>
        <v>376355.71054925892</v>
      </c>
      <c r="AM19" s="74">
        <f t="shared" si="3"/>
        <v>0</v>
      </c>
      <c r="AN19" s="74">
        <f t="shared" si="3"/>
        <v>395173.49607672187</v>
      </c>
      <c r="AO19" s="74">
        <f t="shared" si="4"/>
        <v>0</v>
      </c>
      <c r="AP19" s="74">
        <f t="shared" si="5"/>
        <v>395173.49607672187</v>
      </c>
      <c r="AQ19" s="74">
        <f t="shared" si="8"/>
        <v>0</v>
      </c>
      <c r="AR19" s="76">
        <v>113.9</v>
      </c>
      <c r="AS19" s="74">
        <f t="shared" si="9"/>
        <v>395173.49607672187</v>
      </c>
      <c r="AT19" s="76">
        <v>105</v>
      </c>
      <c r="AU19" s="74">
        <f t="shared" si="10"/>
        <v>0</v>
      </c>
      <c r="AV19" s="76">
        <v>124</v>
      </c>
      <c r="AW19" s="74">
        <f t="shared" si="11"/>
        <v>459153.96687009593</v>
      </c>
      <c r="AX19" s="76">
        <v>122</v>
      </c>
      <c r="AY19" s="77">
        <f t="shared" si="6"/>
        <v>0</v>
      </c>
      <c r="AZ19" s="78">
        <v>125.2</v>
      </c>
      <c r="BA19" s="77">
        <f t="shared" si="7"/>
        <v>464047</v>
      </c>
      <c r="BB19" s="78">
        <v>123.3</v>
      </c>
      <c r="BC19" s="79">
        <v>40625</v>
      </c>
      <c r="BD19" s="59"/>
      <c r="BE19" s="80">
        <v>179.46</v>
      </c>
      <c r="BF19" s="80">
        <v>179.46</v>
      </c>
      <c r="BG19" s="80">
        <v>177.89</v>
      </c>
      <c r="BH19" s="73"/>
      <c r="BI19" s="73"/>
      <c r="BJ19" s="73"/>
      <c r="BK19" s="73"/>
      <c r="BL19" s="79">
        <v>42964</v>
      </c>
      <c r="BM19" s="79">
        <v>40749</v>
      </c>
      <c r="BN19" s="58" t="s">
        <v>44</v>
      </c>
      <c r="BO19" s="58" t="s">
        <v>44</v>
      </c>
      <c r="BP19" s="58" t="s">
        <v>113</v>
      </c>
      <c r="BQ19">
        <v>2016</v>
      </c>
      <c r="BR19" s="59"/>
      <c r="BV19" s="18"/>
      <c r="BW19" s="18"/>
    </row>
    <row r="20" spans="2:75" x14ac:dyDescent="0.3">
      <c r="B20" s="20" t="s">
        <v>114</v>
      </c>
      <c r="C20" s="20" t="s">
        <v>1253</v>
      </c>
      <c r="D20" s="57" t="s">
        <v>1149</v>
      </c>
      <c r="E20" s="58" t="s">
        <v>115</v>
      </c>
      <c r="F20" s="96"/>
      <c r="G20" s="96"/>
      <c r="H20" s="58" t="s">
        <v>115</v>
      </c>
      <c r="I20" s="58" t="s">
        <v>115</v>
      </c>
      <c r="J20" s="59">
        <v>772723</v>
      </c>
      <c r="K20" s="95" t="s">
        <v>43</v>
      </c>
      <c r="L20" s="95"/>
      <c r="M20" s="58" t="s">
        <v>72</v>
      </c>
      <c r="N20" s="59">
        <v>11</v>
      </c>
      <c r="O20" s="58" t="s">
        <v>40</v>
      </c>
      <c r="P20" s="58" t="s">
        <v>116</v>
      </c>
      <c r="Q20" s="58" t="s">
        <v>92</v>
      </c>
      <c r="R20" s="58" t="s">
        <v>117</v>
      </c>
      <c r="S20" s="58" t="s">
        <v>42</v>
      </c>
      <c r="T20" s="73">
        <v>1800000</v>
      </c>
      <c r="U20" s="74">
        <f t="shared" si="13"/>
        <v>1826754.7481420315</v>
      </c>
      <c r="V20" s="74">
        <v>280000</v>
      </c>
      <c r="W20" s="74">
        <v>1686885</v>
      </c>
      <c r="X20" s="74">
        <v>249239</v>
      </c>
      <c r="Y20" s="74">
        <v>1062.3599999999999</v>
      </c>
      <c r="Z20" s="74">
        <v>165.26</v>
      </c>
      <c r="AA20" s="75" t="s">
        <v>43</v>
      </c>
      <c r="AB20" s="74"/>
      <c r="AC20" s="74"/>
      <c r="AD20" s="75" t="s">
        <v>43</v>
      </c>
      <c r="AE20" s="74"/>
      <c r="AF20" s="74"/>
      <c r="AG20" s="74">
        <v>0</v>
      </c>
      <c r="AH20" s="75" t="s">
        <v>42</v>
      </c>
      <c r="AI20" s="74"/>
      <c r="AJ20" s="74">
        <f t="shared" si="12"/>
        <v>283905.84132519615</v>
      </c>
      <c r="AK20" s="74">
        <f t="shared" si="1"/>
        <v>2067547.4814203137</v>
      </c>
      <c r="AL20" s="74">
        <f t="shared" si="2"/>
        <v>296843.94071490841</v>
      </c>
      <c r="AM20" s="74">
        <f t="shared" si="3"/>
        <v>2170924.8554913295</v>
      </c>
      <c r="AN20" s="74">
        <f t="shared" si="3"/>
        <v>311686.13775065384</v>
      </c>
      <c r="AO20" s="74">
        <f t="shared" si="4"/>
        <v>2232951.2799339388</v>
      </c>
      <c r="AP20" s="74">
        <f t="shared" si="5"/>
        <v>311686.13775065384</v>
      </c>
      <c r="AQ20" s="74">
        <f t="shared" si="8"/>
        <v>2354936.5813377374</v>
      </c>
      <c r="AR20" s="76">
        <v>113.9</v>
      </c>
      <c r="AS20" s="74">
        <v>0</v>
      </c>
      <c r="AT20" s="76">
        <v>105</v>
      </c>
      <c r="AU20" s="74">
        <f t="shared" si="10"/>
        <v>2563758.8769611889</v>
      </c>
      <c r="AV20" s="76">
        <v>124</v>
      </c>
      <c r="AW20" s="74">
        <f t="shared" si="11"/>
        <v>0</v>
      </c>
      <c r="AX20" s="76">
        <v>122</v>
      </c>
      <c r="AY20" s="77">
        <f t="shared" si="6"/>
        <v>2588570</v>
      </c>
      <c r="AZ20" s="78">
        <v>125.2</v>
      </c>
      <c r="BA20" s="77">
        <f t="shared" si="7"/>
        <v>0</v>
      </c>
      <c r="BB20" s="78">
        <v>123.3</v>
      </c>
      <c r="BC20" s="79">
        <v>36161</v>
      </c>
      <c r="BD20" s="59"/>
      <c r="BE20" s="80">
        <v>1142.7</v>
      </c>
      <c r="BF20" s="80">
        <v>1136.01</v>
      </c>
      <c r="BG20" s="80">
        <v>1123</v>
      </c>
      <c r="BH20" s="73"/>
      <c r="BI20" s="73"/>
      <c r="BJ20" s="73"/>
      <c r="BK20" s="73"/>
      <c r="BL20" s="79">
        <v>43046</v>
      </c>
      <c r="BM20" s="79">
        <v>36434</v>
      </c>
      <c r="BN20" s="58" t="s">
        <v>44</v>
      </c>
      <c r="BO20" s="58" t="s">
        <v>70</v>
      </c>
      <c r="BP20" s="58" t="s">
        <v>59</v>
      </c>
      <c r="BQ20">
        <v>2016</v>
      </c>
      <c r="BR20" s="59"/>
      <c r="BV20" s="18"/>
      <c r="BW20" s="18"/>
    </row>
    <row r="21" spans="2:75" x14ac:dyDescent="0.3">
      <c r="B21" s="20" t="s">
        <v>118</v>
      </c>
      <c r="C21" s="20" t="s">
        <v>118</v>
      </c>
      <c r="D21" s="57" t="s">
        <v>1149</v>
      </c>
      <c r="E21" s="58" t="s">
        <v>115</v>
      </c>
      <c r="F21" s="96"/>
      <c r="G21" s="96"/>
      <c r="H21" s="58" t="s">
        <v>115</v>
      </c>
      <c r="I21" s="58" t="s">
        <v>115</v>
      </c>
      <c r="J21" s="59">
        <v>772723</v>
      </c>
      <c r="K21" s="95" t="s">
        <v>1440</v>
      </c>
      <c r="L21" s="95"/>
      <c r="M21" s="58" t="s">
        <v>72</v>
      </c>
      <c r="N21" s="59">
        <v>11</v>
      </c>
      <c r="O21" s="58" t="s">
        <v>40</v>
      </c>
      <c r="P21" s="58" t="s">
        <v>119</v>
      </c>
      <c r="Q21" s="58" t="s">
        <v>120</v>
      </c>
      <c r="R21" s="58" t="s">
        <v>121</v>
      </c>
      <c r="S21" s="58" t="s">
        <v>42</v>
      </c>
      <c r="T21" s="73">
        <v>1890000</v>
      </c>
      <c r="U21" s="74">
        <f t="shared" si="13"/>
        <v>1918092.485549133</v>
      </c>
      <c r="V21" s="74">
        <v>460000</v>
      </c>
      <c r="W21" s="74">
        <v>1775668</v>
      </c>
      <c r="X21" s="74">
        <v>416232</v>
      </c>
      <c r="Y21" s="74">
        <v>1115.48</v>
      </c>
      <c r="Z21" s="74">
        <v>271.49</v>
      </c>
      <c r="AA21" s="75" t="s">
        <v>43</v>
      </c>
      <c r="AB21" s="74"/>
      <c r="AC21" s="74"/>
      <c r="AD21" s="75" t="s">
        <v>43</v>
      </c>
      <c r="AE21" s="74"/>
      <c r="AF21" s="74"/>
      <c r="AG21" s="74">
        <v>0</v>
      </c>
      <c r="AH21" s="75" t="s">
        <v>42</v>
      </c>
      <c r="AI21" s="74"/>
      <c r="AJ21" s="74">
        <f t="shared" si="12"/>
        <v>466416.73931996513</v>
      </c>
      <c r="AK21" s="74">
        <f t="shared" si="1"/>
        <v>2170924.8554913295</v>
      </c>
      <c r="AL21" s="74">
        <f t="shared" si="2"/>
        <v>487672.18831734959</v>
      </c>
      <c r="AM21" s="74">
        <f t="shared" si="3"/>
        <v>2279471.0982658961</v>
      </c>
      <c r="AN21" s="74">
        <f t="shared" si="3"/>
        <v>512055.79773321707</v>
      </c>
      <c r="AO21" s="74">
        <f>AM21/105*108+36641</f>
        <v>2381239.8439306356</v>
      </c>
      <c r="AP21" s="74">
        <f t="shared" si="5"/>
        <v>512055.79773321707</v>
      </c>
      <c r="AQ21" s="74">
        <f t="shared" si="8"/>
        <v>2511326.0946638836</v>
      </c>
      <c r="AR21" s="76">
        <v>113.9</v>
      </c>
      <c r="AS21" s="74">
        <f t="shared" si="9"/>
        <v>512055.79773321707</v>
      </c>
      <c r="AT21" s="76">
        <v>105</v>
      </c>
      <c r="AU21" s="74">
        <f t="shared" si="10"/>
        <v>2734016.1171055445</v>
      </c>
      <c r="AV21" s="76">
        <v>124</v>
      </c>
      <c r="AW21" s="74">
        <f t="shared" si="11"/>
        <v>594960.06974716659</v>
      </c>
      <c r="AX21" s="76">
        <v>122</v>
      </c>
      <c r="AY21" s="77">
        <f t="shared" si="6"/>
        <v>2760475</v>
      </c>
      <c r="AZ21" s="78">
        <v>125.2</v>
      </c>
      <c r="BA21" s="77">
        <f t="shared" si="7"/>
        <v>601300</v>
      </c>
      <c r="BB21" s="78">
        <v>123.3</v>
      </c>
      <c r="BC21" s="79">
        <v>40179</v>
      </c>
      <c r="BD21" s="59"/>
      <c r="BE21" s="80">
        <v>1293.6600000000001</v>
      </c>
      <c r="BF21" s="80">
        <v>1286.6099999999999</v>
      </c>
      <c r="BG21" s="80">
        <v>1272.1199999999999</v>
      </c>
      <c r="BH21" s="73"/>
      <c r="BI21" s="73"/>
      <c r="BJ21" s="73"/>
      <c r="BK21" s="73"/>
      <c r="BL21" s="79">
        <v>43046</v>
      </c>
      <c r="BM21" s="79">
        <v>40603</v>
      </c>
      <c r="BN21" s="58" t="s">
        <v>44</v>
      </c>
      <c r="BO21" s="58" t="s">
        <v>44</v>
      </c>
      <c r="BP21" s="58" t="s">
        <v>59</v>
      </c>
      <c r="BQ21">
        <v>2016</v>
      </c>
      <c r="BR21" s="59" t="s">
        <v>1005</v>
      </c>
      <c r="BV21" s="18"/>
      <c r="BW21" s="18"/>
    </row>
    <row r="22" spans="2:75" x14ac:dyDescent="0.3">
      <c r="B22" s="20" t="s">
        <v>122</v>
      </c>
      <c r="C22" s="20" t="s">
        <v>122</v>
      </c>
      <c r="D22" s="57" t="s">
        <v>1149</v>
      </c>
      <c r="E22" s="58" t="s">
        <v>115</v>
      </c>
      <c r="F22" s="96"/>
      <c r="G22" s="96"/>
      <c r="H22" s="58" t="s">
        <v>115</v>
      </c>
      <c r="I22" s="58" t="s">
        <v>115</v>
      </c>
      <c r="J22" s="59">
        <v>772724</v>
      </c>
      <c r="K22" s="95" t="s">
        <v>43</v>
      </c>
      <c r="L22" s="95"/>
      <c r="M22" s="58" t="s">
        <v>66</v>
      </c>
      <c r="N22" s="59">
        <v>11</v>
      </c>
      <c r="O22" s="58" t="s">
        <v>40</v>
      </c>
      <c r="P22" s="58" t="s">
        <v>123</v>
      </c>
      <c r="Q22" s="58" t="s">
        <v>124</v>
      </c>
      <c r="R22" s="58" t="s">
        <v>125</v>
      </c>
      <c r="S22" s="58" t="s">
        <v>42</v>
      </c>
      <c r="T22" s="73">
        <v>550000</v>
      </c>
      <c r="U22" s="74">
        <f t="shared" si="13"/>
        <v>558175.06193228741</v>
      </c>
      <c r="V22" s="74">
        <v>85000</v>
      </c>
      <c r="W22" s="74">
        <v>532701</v>
      </c>
      <c r="X22" s="74">
        <v>84742</v>
      </c>
      <c r="Y22" s="74">
        <v>324.61</v>
      </c>
      <c r="Z22" s="74">
        <v>50.17</v>
      </c>
      <c r="AA22" s="75" t="s">
        <v>43</v>
      </c>
      <c r="AB22" s="74"/>
      <c r="AC22" s="74"/>
      <c r="AD22" s="75" t="s">
        <v>43</v>
      </c>
      <c r="AE22" s="74"/>
      <c r="AF22" s="74"/>
      <c r="AG22" s="74">
        <v>0</v>
      </c>
      <c r="AH22" s="75" t="s">
        <v>42</v>
      </c>
      <c r="AI22" s="74"/>
      <c r="AJ22" s="74">
        <f t="shared" si="12"/>
        <v>86185.701830863123</v>
      </c>
      <c r="AK22" s="74">
        <f t="shared" si="1"/>
        <v>631750.61932287365</v>
      </c>
      <c r="AL22" s="74">
        <f t="shared" si="2"/>
        <v>90113.339145597201</v>
      </c>
      <c r="AM22" s="74">
        <f t="shared" si="3"/>
        <v>663338.15028901736</v>
      </c>
      <c r="AN22" s="74">
        <f t="shared" si="3"/>
        <v>94619.006102877072</v>
      </c>
      <c r="AO22" s="74">
        <f t="shared" si="4"/>
        <v>682290.66886870365</v>
      </c>
      <c r="AP22" s="74">
        <f t="shared" si="5"/>
        <v>94619.006102877072</v>
      </c>
      <c r="AQ22" s="74">
        <f t="shared" si="8"/>
        <v>719563.95540875325</v>
      </c>
      <c r="AR22" s="76">
        <v>113.9</v>
      </c>
      <c r="AS22" s="74">
        <f t="shared" si="9"/>
        <v>94619.006102877072</v>
      </c>
      <c r="AT22" s="76">
        <v>105</v>
      </c>
      <c r="AU22" s="74">
        <f t="shared" si="10"/>
        <v>783370.76796036342</v>
      </c>
      <c r="AV22" s="76">
        <v>124</v>
      </c>
      <c r="AW22" s="74">
        <f t="shared" si="11"/>
        <v>109938.2737576286</v>
      </c>
      <c r="AX22" s="76">
        <v>122</v>
      </c>
      <c r="AY22" s="77">
        <f t="shared" si="6"/>
        <v>790952</v>
      </c>
      <c r="AZ22" s="78">
        <v>125.2</v>
      </c>
      <c r="BA22" s="77">
        <f t="shared" si="7"/>
        <v>111110</v>
      </c>
      <c r="BB22" s="78">
        <v>123.3</v>
      </c>
      <c r="BC22" s="79">
        <v>36482</v>
      </c>
      <c r="BD22" s="59"/>
      <c r="BE22" s="80">
        <v>364.41</v>
      </c>
      <c r="BF22" s="80">
        <v>362.3</v>
      </c>
      <c r="BG22" s="80">
        <v>358.17</v>
      </c>
      <c r="BH22" s="73"/>
      <c r="BI22" s="73"/>
      <c r="BJ22" s="73"/>
      <c r="BK22" s="73"/>
      <c r="BL22" s="79">
        <v>42964</v>
      </c>
      <c r="BM22" s="79">
        <v>36434</v>
      </c>
      <c r="BN22" s="58" t="s">
        <v>44</v>
      </c>
      <c r="BO22" s="58" t="s">
        <v>70</v>
      </c>
      <c r="BP22" s="58" t="s">
        <v>59</v>
      </c>
      <c r="BQ22">
        <v>2016</v>
      </c>
      <c r="BR22" s="59"/>
      <c r="BV22" s="18"/>
      <c r="BW22" s="18"/>
    </row>
    <row r="23" spans="2:75" x14ac:dyDescent="0.3">
      <c r="B23" s="20" t="s">
        <v>126</v>
      </c>
      <c r="C23" s="20" t="s">
        <v>131</v>
      </c>
      <c r="D23" s="57" t="s">
        <v>1150</v>
      </c>
      <c r="E23" s="58" t="s">
        <v>1123</v>
      </c>
      <c r="F23" s="96"/>
      <c r="G23" s="96"/>
      <c r="H23" s="58" t="s">
        <v>127</v>
      </c>
      <c r="I23" s="58" t="s">
        <v>127</v>
      </c>
      <c r="J23" s="59">
        <v>772723</v>
      </c>
      <c r="K23" s="95" t="s">
        <v>1440</v>
      </c>
      <c r="L23" s="95"/>
      <c r="M23" s="58" t="s">
        <v>72</v>
      </c>
      <c r="N23" s="59">
        <v>99</v>
      </c>
      <c r="O23" s="58" t="s">
        <v>128</v>
      </c>
      <c r="P23" s="58" t="s">
        <v>129</v>
      </c>
      <c r="Q23" s="58" t="s">
        <v>92</v>
      </c>
      <c r="R23" s="58" t="s">
        <v>130</v>
      </c>
      <c r="S23" s="58" t="s">
        <v>42</v>
      </c>
      <c r="T23" s="73">
        <v>3640000</v>
      </c>
      <c r="U23" s="74">
        <f t="shared" si="13"/>
        <v>3694104.0462427749</v>
      </c>
      <c r="V23" s="74">
        <v>680000</v>
      </c>
      <c r="W23" s="74">
        <v>3452689</v>
      </c>
      <c r="X23" s="74">
        <v>518419</v>
      </c>
      <c r="Y23" s="74">
        <v>2148.33</v>
      </c>
      <c r="Z23" s="74">
        <v>401.34</v>
      </c>
      <c r="AA23" s="75" t="s">
        <v>43</v>
      </c>
      <c r="AB23" s="74"/>
      <c r="AC23" s="74"/>
      <c r="AD23" s="75" t="s">
        <v>43</v>
      </c>
      <c r="AE23" s="74"/>
      <c r="AF23" s="74"/>
      <c r="AG23" s="74">
        <v>0</v>
      </c>
      <c r="AH23" s="75" t="s">
        <v>42</v>
      </c>
      <c r="AI23" s="74"/>
      <c r="AJ23" s="74">
        <f t="shared" si="12"/>
        <v>689485.61464690499</v>
      </c>
      <c r="AK23" s="74">
        <f t="shared" si="1"/>
        <v>4181040.4624277456</v>
      </c>
      <c r="AL23" s="74">
        <f t="shared" si="2"/>
        <v>720906.71316477761</v>
      </c>
      <c r="AM23" s="74">
        <f>AK23*1.05+8400</f>
        <v>4398492.4855491333</v>
      </c>
      <c r="AN23" s="74">
        <f t="shared" si="3"/>
        <v>756952.04882301658</v>
      </c>
      <c r="AO23" s="74">
        <f>AM23/105*108+49353</f>
        <v>4573516.6994219655</v>
      </c>
      <c r="AP23" s="74">
        <f t="shared" si="5"/>
        <v>756952.04882301658</v>
      </c>
      <c r="AQ23" s="74">
        <f t="shared" si="8"/>
        <v>4823366.2228163145</v>
      </c>
      <c r="AR23" s="76">
        <v>113.9</v>
      </c>
      <c r="AS23" s="74">
        <f t="shared" si="9"/>
        <v>756952.04882301658</v>
      </c>
      <c r="AT23" s="76">
        <v>105</v>
      </c>
      <c r="AU23" s="74">
        <f t="shared" si="10"/>
        <v>5251074.7289659614</v>
      </c>
      <c r="AV23" s="76">
        <v>124</v>
      </c>
      <c r="AW23" s="74">
        <f t="shared" si="11"/>
        <v>879506.19006102881</v>
      </c>
      <c r="AX23" s="76">
        <v>122</v>
      </c>
      <c r="AY23" s="77">
        <f t="shared" si="6"/>
        <v>5301892</v>
      </c>
      <c r="AZ23" s="78">
        <v>125.2</v>
      </c>
      <c r="BA23" s="77">
        <f t="shared" si="7"/>
        <v>888878</v>
      </c>
      <c r="BB23" s="78">
        <v>123.3</v>
      </c>
      <c r="BC23" s="79">
        <v>36161</v>
      </c>
      <c r="BD23" s="59"/>
      <c r="BE23" s="80">
        <v>2343.75</v>
      </c>
      <c r="BF23" s="80">
        <v>2330.0500000000002</v>
      </c>
      <c r="BG23" s="80">
        <v>2303.38</v>
      </c>
      <c r="BH23" s="73"/>
      <c r="BI23" s="73"/>
      <c r="BJ23" s="73"/>
      <c r="BK23" s="73"/>
      <c r="BL23" s="79">
        <v>42964</v>
      </c>
      <c r="BM23" s="79">
        <v>36434</v>
      </c>
      <c r="BN23" s="58" t="s">
        <v>44</v>
      </c>
      <c r="BO23" s="58" t="s">
        <v>70</v>
      </c>
      <c r="BP23" s="58" t="s">
        <v>59</v>
      </c>
      <c r="BQ23">
        <v>2016</v>
      </c>
      <c r="BR23" s="59" t="s">
        <v>1005</v>
      </c>
      <c r="BV23" s="18"/>
      <c r="BW23" s="18"/>
    </row>
    <row r="24" spans="2:75" x14ac:dyDescent="0.3">
      <c r="B24" s="20" t="s">
        <v>131</v>
      </c>
      <c r="C24" s="20" t="s">
        <v>131</v>
      </c>
      <c r="D24" s="57" t="s">
        <v>1150</v>
      </c>
      <c r="E24" s="58" t="s">
        <v>1123</v>
      </c>
      <c r="F24" s="96"/>
      <c r="G24" s="96"/>
      <c r="H24" s="58" t="s">
        <v>127</v>
      </c>
      <c r="I24" s="58" t="s">
        <v>127</v>
      </c>
      <c r="J24" s="59">
        <v>772723</v>
      </c>
      <c r="K24" s="95" t="s">
        <v>43</v>
      </c>
      <c r="L24" s="95"/>
      <c r="M24" s="58" t="s">
        <v>72</v>
      </c>
      <c r="N24" s="59">
        <v>14</v>
      </c>
      <c r="O24" s="58" t="s">
        <v>132</v>
      </c>
      <c r="P24" s="58" t="s">
        <v>133</v>
      </c>
      <c r="Q24" s="58" t="s">
        <v>134</v>
      </c>
      <c r="R24" s="58" t="s">
        <v>135</v>
      </c>
      <c r="S24" s="58" t="s">
        <v>42</v>
      </c>
      <c r="T24" s="73">
        <v>250000</v>
      </c>
      <c r="U24" s="74">
        <f t="shared" si="13"/>
        <v>253715.93724194882</v>
      </c>
      <c r="V24" s="74">
        <v>45000</v>
      </c>
      <c r="W24" s="74">
        <v>611621</v>
      </c>
      <c r="X24" s="74">
        <v>196899</v>
      </c>
      <c r="Y24" s="74">
        <v>147.55000000000001</v>
      </c>
      <c r="Z24" s="74">
        <v>26.56</v>
      </c>
      <c r="AA24" s="75" t="s">
        <v>43</v>
      </c>
      <c r="AB24" s="74"/>
      <c r="AC24" s="74"/>
      <c r="AD24" s="75" t="s">
        <v>43</v>
      </c>
      <c r="AE24" s="74"/>
      <c r="AF24" s="74"/>
      <c r="AG24" s="74">
        <v>0</v>
      </c>
      <c r="AH24" s="75" t="s">
        <v>42</v>
      </c>
      <c r="AI24" s="74"/>
      <c r="AJ24" s="74">
        <f t="shared" si="12"/>
        <v>45627.724498692238</v>
      </c>
      <c r="AK24" s="74">
        <f t="shared" si="1"/>
        <v>287159.37241948803</v>
      </c>
      <c r="AL24" s="74">
        <f t="shared" si="2"/>
        <v>47707.061900610279</v>
      </c>
      <c r="AM24" s="74">
        <f t="shared" si="3"/>
        <v>301517.34104046243</v>
      </c>
      <c r="AN24" s="74">
        <f t="shared" si="3"/>
        <v>50092.414995640793</v>
      </c>
      <c r="AO24" s="74">
        <f t="shared" si="4"/>
        <v>310132.12221304711</v>
      </c>
      <c r="AP24" s="74">
        <f t="shared" si="5"/>
        <v>50092.414995640793</v>
      </c>
      <c r="AQ24" s="74">
        <f t="shared" si="8"/>
        <v>327074.52518579696</v>
      </c>
      <c r="AR24" s="76">
        <v>113.9</v>
      </c>
      <c r="AS24" s="74">
        <f t="shared" si="9"/>
        <v>50092.414995640793</v>
      </c>
      <c r="AT24" s="76">
        <v>105</v>
      </c>
      <c r="AU24" s="74">
        <f t="shared" si="10"/>
        <v>356077.62180016522</v>
      </c>
      <c r="AV24" s="76">
        <v>124</v>
      </c>
      <c r="AW24" s="74">
        <f t="shared" si="11"/>
        <v>58202.61551874454</v>
      </c>
      <c r="AX24" s="76">
        <v>122</v>
      </c>
      <c r="AY24" s="77">
        <f t="shared" si="6"/>
        <v>359524</v>
      </c>
      <c r="AZ24" s="78">
        <v>125.2</v>
      </c>
      <c r="BA24" s="77">
        <f t="shared" si="7"/>
        <v>58823</v>
      </c>
      <c r="BB24" s="78">
        <v>123.3</v>
      </c>
      <c r="BC24" s="79">
        <v>37699</v>
      </c>
      <c r="BD24" s="59"/>
      <c r="BE24" s="80">
        <v>477.19</v>
      </c>
      <c r="BF24" s="80">
        <v>474.76</v>
      </c>
      <c r="BG24" s="80">
        <v>469.49</v>
      </c>
      <c r="BH24" s="73"/>
      <c r="BI24" s="73"/>
      <c r="BJ24" s="73"/>
      <c r="BK24" s="73"/>
      <c r="BL24" s="79">
        <v>43046</v>
      </c>
      <c r="BM24" s="79">
        <v>37845</v>
      </c>
      <c r="BN24" s="58" t="s">
        <v>44</v>
      </c>
      <c r="BO24" s="58" t="s">
        <v>44</v>
      </c>
      <c r="BP24" s="58" t="s">
        <v>59</v>
      </c>
      <c r="BQ24">
        <v>2016</v>
      </c>
      <c r="BR24" s="59"/>
      <c r="BV24" s="18"/>
      <c r="BW24" s="18"/>
    </row>
    <row r="25" spans="2:75" x14ac:dyDescent="0.3">
      <c r="B25" s="20" t="s">
        <v>136</v>
      </c>
      <c r="C25" s="20" t="s">
        <v>136</v>
      </c>
      <c r="D25" s="57" t="s">
        <v>1151</v>
      </c>
      <c r="E25" s="58" t="s">
        <v>1101</v>
      </c>
      <c r="F25" s="97" t="s">
        <v>1473</v>
      </c>
      <c r="G25" s="97" t="s">
        <v>1473</v>
      </c>
      <c r="H25" s="58" t="s">
        <v>137</v>
      </c>
      <c r="I25" s="58" t="s">
        <v>137</v>
      </c>
      <c r="J25" s="59">
        <v>772723</v>
      </c>
      <c r="K25" s="95" t="s">
        <v>1440</v>
      </c>
      <c r="L25" s="104" t="s">
        <v>1472</v>
      </c>
      <c r="M25" s="58" t="s">
        <v>72</v>
      </c>
      <c r="N25" s="59">
        <v>11</v>
      </c>
      <c r="O25" s="58" t="s">
        <v>40</v>
      </c>
      <c r="P25" s="58" t="s">
        <v>138</v>
      </c>
      <c r="Q25" s="58" t="s">
        <v>139</v>
      </c>
      <c r="R25" s="58" t="s">
        <v>140</v>
      </c>
      <c r="S25" s="58" t="s">
        <v>42</v>
      </c>
      <c r="T25" s="73">
        <v>15133613</v>
      </c>
      <c r="U25" s="74">
        <f t="shared" si="13"/>
        <v>15358555.224607764</v>
      </c>
      <c r="V25" s="74">
        <v>4233000</v>
      </c>
      <c r="W25" s="74">
        <v>14057378</v>
      </c>
      <c r="X25" s="74">
        <v>4212156</v>
      </c>
      <c r="Y25" s="74">
        <v>8931.86</v>
      </c>
      <c r="Z25" s="74">
        <v>2498.3200000000002</v>
      </c>
      <c r="AA25" s="75" t="s">
        <v>43</v>
      </c>
      <c r="AB25" s="74"/>
      <c r="AC25" s="74"/>
      <c r="AD25" s="75" t="s">
        <v>43</v>
      </c>
      <c r="AE25" s="74"/>
      <c r="AF25" s="74"/>
      <c r="AG25" s="74">
        <v>0</v>
      </c>
      <c r="AH25" s="75" t="s">
        <v>42</v>
      </c>
      <c r="AI25" s="74"/>
      <c r="AJ25" s="74">
        <f t="shared" si="12"/>
        <v>4292047.9511769833</v>
      </c>
      <c r="AK25" s="74">
        <f t="shared" si="1"/>
        <v>17383035.246077623</v>
      </c>
      <c r="AL25" s="74">
        <f t="shared" si="2"/>
        <v>4487644.2894507404</v>
      </c>
      <c r="AM25" s="74">
        <f t="shared" si="3"/>
        <v>18252187.008381505</v>
      </c>
      <c r="AN25" s="74">
        <f t="shared" si="3"/>
        <v>4712026.5039232774</v>
      </c>
      <c r="AO25" s="74">
        <f>AM25/105*108+280418</f>
        <v>19054096.065763831</v>
      </c>
      <c r="AP25" s="74">
        <f t="shared" si="5"/>
        <v>4712026.5039232774</v>
      </c>
      <c r="AQ25" s="74">
        <f t="shared" si="8"/>
        <v>20095014.276763894</v>
      </c>
      <c r="AR25" s="76">
        <v>113.9</v>
      </c>
      <c r="AS25" s="74">
        <f t="shared" si="9"/>
        <v>4712026.5039232774</v>
      </c>
      <c r="AT25" s="76">
        <v>105</v>
      </c>
      <c r="AU25" s="74">
        <f t="shared" si="10"/>
        <v>21876925.112543657</v>
      </c>
      <c r="AV25" s="76">
        <v>124</v>
      </c>
      <c r="AW25" s="74">
        <f t="shared" si="11"/>
        <v>5474926.0331299035</v>
      </c>
      <c r="AX25" s="76">
        <v>122</v>
      </c>
      <c r="AY25" s="77">
        <f t="shared" si="6"/>
        <v>22088638</v>
      </c>
      <c r="AZ25" s="78">
        <v>125.2</v>
      </c>
      <c r="BA25" s="77">
        <f t="shared" si="7"/>
        <v>5533266</v>
      </c>
      <c r="BB25" s="78">
        <v>123.3</v>
      </c>
      <c r="BC25" s="79">
        <v>37987</v>
      </c>
      <c r="BD25" s="59"/>
      <c r="BE25" s="80">
        <v>10782.67</v>
      </c>
      <c r="BF25" s="80">
        <v>10726.9</v>
      </c>
      <c r="BG25" s="80">
        <v>10607.45</v>
      </c>
      <c r="BH25" s="73"/>
      <c r="BI25" s="73"/>
      <c r="BJ25" s="73"/>
      <c r="BK25" s="73"/>
      <c r="BL25" s="79">
        <v>43207</v>
      </c>
      <c r="BM25" s="79">
        <v>37995</v>
      </c>
      <c r="BN25" s="58" t="s">
        <v>44</v>
      </c>
      <c r="BO25" s="58" t="s">
        <v>44</v>
      </c>
      <c r="BP25" s="58" t="s">
        <v>141</v>
      </c>
      <c r="BQ25">
        <v>2016</v>
      </c>
      <c r="BR25" s="59" t="s">
        <v>1005</v>
      </c>
      <c r="BV25" s="18"/>
      <c r="BW25" s="18"/>
    </row>
    <row r="26" spans="2:75" x14ac:dyDescent="0.3">
      <c r="B26" s="20" t="s">
        <v>142</v>
      </c>
      <c r="C26" s="20" t="s">
        <v>142</v>
      </c>
      <c r="D26" s="57" t="s">
        <v>1151</v>
      </c>
      <c r="E26" s="58" t="s">
        <v>1101</v>
      </c>
      <c r="F26" s="96"/>
      <c r="G26" s="96"/>
      <c r="H26" s="58" t="s">
        <v>137</v>
      </c>
      <c r="I26" s="58" t="s">
        <v>137</v>
      </c>
      <c r="J26" s="59">
        <v>772723</v>
      </c>
      <c r="K26" s="95" t="s">
        <v>1440</v>
      </c>
      <c r="L26" s="95"/>
      <c r="M26" s="58" t="s">
        <v>72</v>
      </c>
      <c r="N26" s="59">
        <v>21</v>
      </c>
      <c r="O26" s="58" t="s">
        <v>143</v>
      </c>
      <c r="P26" s="58" t="s">
        <v>144</v>
      </c>
      <c r="Q26" s="58" t="s">
        <v>42</v>
      </c>
      <c r="R26" s="58" t="s">
        <v>145</v>
      </c>
      <c r="S26" s="58" t="s">
        <v>42</v>
      </c>
      <c r="T26" s="73">
        <v>400000</v>
      </c>
      <c r="U26" s="74">
        <f t="shared" si="13"/>
        <v>405945.4995871181</v>
      </c>
      <c r="V26" s="74">
        <v>125000</v>
      </c>
      <c r="W26" s="74">
        <v>448095</v>
      </c>
      <c r="X26" s="74">
        <v>44344</v>
      </c>
      <c r="Y26" s="74">
        <v>236.08</v>
      </c>
      <c r="Z26" s="74">
        <v>73.78</v>
      </c>
      <c r="AA26" s="75" t="s">
        <v>43</v>
      </c>
      <c r="AB26" s="74"/>
      <c r="AC26" s="74"/>
      <c r="AD26" s="75" t="s">
        <v>43</v>
      </c>
      <c r="AE26" s="74"/>
      <c r="AF26" s="74"/>
      <c r="AG26" s="74">
        <v>0</v>
      </c>
      <c r="AH26" s="75" t="s">
        <v>42</v>
      </c>
      <c r="AI26" s="74"/>
      <c r="AJ26" s="74">
        <f t="shared" si="12"/>
        <v>126743.679163034</v>
      </c>
      <c r="AK26" s="74">
        <f t="shared" si="1"/>
        <v>459454.99587118084</v>
      </c>
      <c r="AL26" s="74">
        <f t="shared" si="2"/>
        <v>132519.61639058412</v>
      </c>
      <c r="AM26" s="74">
        <f t="shared" si="3"/>
        <v>482427.74566473992</v>
      </c>
      <c r="AN26" s="74">
        <f t="shared" si="3"/>
        <v>139145.59721011334</v>
      </c>
      <c r="AO26" s="74">
        <f t="shared" si="4"/>
        <v>496211.39554087532</v>
      </c>
      <c r="AP26" s="74">
        <f t="shared" si="5"/>
        <v>139145.59721011334</v>
      </c>
      <c r="AQ26" s="74">
        <f t="shared" si="8"/>
        <v>523319.24029727501</v>
      </c>
      <c r="AR26" s="76">
        <v>113.9</v>
      </c>
      <c r="AS26" s="74">
        <f t="shared" si="9"/>
        <v>139145.59721011334</v>
      </c>
      <c r="AT26" s="76">
        <v>105</v>
      </c>
      <c r="AU26" s="74">
        <f t="shared" si="10"/>
        <v>569724.19488026423</v>
      </c>
      <c r="AV26" s="76">
        <v>124</v>
      </c>
      <c r="AW26" s="74">
        <f t="shared" si="11"/>
        <v>161673.93199651263</v>
      </c>
      <c r="AX26" s="76">
        <v>122</v>
      </c>
      <c r="AY26" s="77">
        <f t="shared" si="6"/>
        <v>575238</v>
      </c>
      <c r="AZ26" s="78">
        <v>125.2</v>
      </c>
      <c r="BA26" s="77">
        <f t="shared" si="7"/>
        <v>163397</v>
      </c>
      <c r="BB26" s="78">
        <v>123.3</v>
      </c>
      <c r="BC26" s="79">
        <v>42667</v>
      </c>
      <c r="BD26" s="59"/>
      <c r="BE26" s="80">
        <v>290.64</v>
      </c>
      <c r="BF26" s="80"/>
      <c r="BG26" s="80"/>
      <c r="BH26" s="73"/>
      <c r="BI26" s="73"/>
      <c r="BJ26" s="73"/>
      <c r="BK26" s="73"/>
      <c r="BL26" s="79">
        <v>42964</v>
      </c>
      <c r="BM26" s="79">
        <v>42808</v>
      </c>
      <c r="BN26" s="58" t="s">
        <v>44</v>
      </c>
      <c r="BO26" s="58" t="s">
        <v>44</v>
      </c>
      <c r="BP26" s="58" t="s">
        <v>146</v>
      </c>
      <c r="BQ26">
        <v>2016</v>
      </c>
      <c r="BR26" s="59"/>
      <c r="BV26" s="18"/>
      <c r="BW26" s="18"/>
    </row>
    <row r="27" spans="2:75" x14ac:dyDescent="0.3">
      <c r="B27" s="20" t="s">
        <v>147</v>
      </c>
      <c r="C27" s="20" t="s">
        <v>147</v>
      </c>
      <c r="D27" s="57" t="s">
        <v>1151</v>
      </c>
      <c r="E27" s="58" t="s">
        <v>1101</v>
      </c>
      <c r="F27" s="96"/>
      <c r="G27" s="96"/>
      <c r="H27" s="58" t="s">
        <v>137</v>
      </c>
      <c r="I27" s="58" t="s">
        <v>137</v>
      </c>
      <c r="J27" s="59">
        <v>772724</v>
      </c>
      <c r="K27" s="95" t="s">
        <v>43</v>
      </c>
      <c r="L27" s="95"/>
      <c r="M27" s="58" t="s">
        <v>66</v>
      </c>
      <c r="N27" s="59">
        <v>11</v>
      </c>
      <c r="O27" s="58" t="s">
        <v>40</v>
      </c>
      <c r="P27" s="58" t="s">
        <v>148</v>
      </c>
      <c r="Q27" s="58" t="s">
        <v>95</v>
      </c>
      <c r="R27" s="58" t="s">
        <v>149</v>
      </c>
      <c r="S27" s="58" t="s">
        <v>42</v>
      </c>
      <c r="T27" s="73">
        <v>4680000</v>
      </c>
      <c r="U27" s="74">
        <f t="shared" si="13"/>
        <v>4749562.3451692816</v>
      </c>
      <c r="V27" s="74"/>
      <c r="W27" s="74">
        <v>4439173</v>
      </c>
      <c r="X27" s="74"/>
      <c r="Y27" s="74">
        <v>2762.14</v>
      </c>
      <c r="Z27" s="74"/>
      <c r="AA27" s="75" t="s">
        <v>43</v>
      </c>
      <c r="AB27" s="74"/>
      <c r="AC27" s="74"/>
      <c r="AD27" s="75" t="s">
        <v>43</v>
      </c>
      <c r="AE27" s="74"/>
      <c r="AF27" s="74"/>
      <c r="AG27" s="74">
        <v>0</v>
      </c>
      <c r="AH27" s="75" t="s">
        <v>42</v>
      </c>
      <c r="AI27" s="74"/>
      <c r="AJ27" s="74">
        <f t="shared" si="12"/>
        <v>0</v>
      </c>
      <c r="AK27" s="74">
        <f t="shared" si="1"/>
        <v>5375623.4516928159</v>
      </c>
      <c r="AL27" s="74">
        <f t="shared" si="2"/>
        <v>0</v>
      </c>
      <c r="AM27" s="74">
        <f t="shared" si="3"/>
        <v>5644404.6242774567</v>
      </c>
      <c r="AN27" s="74">
        <f t="shared" si="3"/>
        <v>0</v>
      </c>
      <c r="AO27" s="74">
        <f t="shared" si="4"/>
        <v>5805673.3278282415</v>
      </c>
      <c r="AP27" s="74">
        <f t="shared" si="5"/>
        <v>0</v>
      </c>
      <c r="AQ27" s="74">
        <f t="shared" si="8"/>
        <v>6122835.1114781182</v>
      </c>
      <c r="AR27" s="76">
        <v>113.9</v>
      </c>
      <c r="AS27" s="74">
        <f t="shared" si="9"/>
        <v>0</v>
      </c>
      <c r="AT27" s="76">
        <v>105</v>
      </c>
      <c r="AU27" s="74">
        <f t="shared" si="10"/>
        <v>6665773.0800990919</v>
      </c>
      <c r="AV27" s="76">
        <v>124</v>
      </c>
      <c r="AW27" s="74">
        <f t="shared" si="11"/>
        <v>0</v>
      </c>
      <c r="AX27" s="76">
        <v>122</v>
      </c>
      <c r="AY27" s="77">
        <f t="shared" si="6"/>
        <v>6730281</v>
      </c>
      <c r="AZ27" s="78">
        <v>125.2</v>
      </c>
      <c r="BA27" s="77">
        <f t="shared" si="7"/>
        <v>0</v>
      </c>
      <c r="BB27" s="78">
        <v>123.3</v>
      </c>
      <c r="BC27" s="79">
        <v>37987</v>
      </c>
      <c r="BD27" s="59"/>
      <c r="BE27" s="80">
        <v>2620</v>
      </c>
      <c r="BF27" s="80">
        <v>2602.39</v>
      </c>
      <c r="BG27" s="80">
        <v>2571.56</v>
      </c>
      <c r="BH27" s="73"/>
      <c r="BI27" s="73"/>
      <c r="BJ27" s="73"/>
      <c r="BK27" s="73"/>
      <c r="BL27" s="79">
        <v>42964</v>
      </c>
      <c r="BM27" s="79">
        <v>37995</v>
      </c>
      <c r="BN27" s="58" t="s">
        <v>44</v>
      </c>
      <c r="BO27" s="58" t="s">
        <v>44</v>
      </c>
      <c r="BP27" s="58" t="s">
        <v>150</v>
      </c>
      <c r="BQ27">
        <v>2016</v>
      </c>
      <c r="BR27" s="59"/>
      <c r="BV27" s="18"/>
      <c r="BW27" s="18"/>
    </row>
    <row r="28" spans="2:75" x14ac:dyDescent="0.3">
      <c r="B28" s="20" t="s">
        <v>151</v>
      </c>
      <c r="C28" s="20" t="s">
        <v>1254</v>
      </c>
      <c r="D28" s="57" t="s">
        <v>1152</v>
      </c>
      <c r="E28" s="58" t="s">
        <v>1383</v>
      </c>
      <c r="F28" s="96"/>
      <c r="G28" s="96"/>
      <c r="H28" s="58" t="s">
        <v>152</v>
      </c>
      <c r="I28" s="58" t="s">
        <v>152</v>
      </c>
      <c r="J28" s="59">
        <v>777772</v>
      </c>
      <c r="K28" s="95" t="s">
        <v>43</v>
      </c>
      <c r="L28" s="95"/>
      <c r="M28" s="58" t="s">
        <v>39</v>
      </c>
      <c r="N28" s="59">
        <v>11</v>
      </c>
      <c r="O28" s="58" t="s">
        <v>40</v>
      </c>
      <c r="P28" s="58" t="s">
        <v>45</v>
      </c>
      <c r="Q28" s="58" t="s">
        <v>41</v>
      </c>
      <c r="R28" s="58" t="s">
        <v>153</v>
      </c>
      <c r="S28" s="58" t="s">
        <v>42</v>
      </c>
      <c r="T28" s="73">
        <v>240000</v>
      </c>
      <c r="U28" s="74">
        <f t="shared" si="13"/>
        <v>243567.29975227086</v>
      </c>
      <c r="V28" s="74"/>
      <c r="W28" s="74">
        <v>226891</v>
      </c>
      <c r="X28" s="74"/>
      <c r="Y28" s="74">
        <v>141.65</v>
      </c>
      <c r="Z28" s="74"/>
      <c r="AA28" s="75" t="s">
        <v>43</v>
      </c>
      <c r="AB28" s="74"/>
      <c r="AC28" s="74"/>
      <c r="AD28" s="75" t="s">
        <v>43</v>
      </c>
      <c r="AE28" s="74"/>
      <c r="AF28" s="74"/>
      <c r="AG28" s="74">
        <v>0</v>
      </c>
      <c r="AH28" s="75" t="s">
        <v>42</v>
      </c>
      <c r="AI28" s="74"/>
      <c r="AJ28" s="74">
        <f t="shared" si="12"/>
        <v>0</v>
      </c>
      <c r="AK28" s="74">
        <f t="shared" si="1"/>
        <v>275672.99752270849</v>
      </c>
      <c r="AL28" s="74">
        <f t="shared" si="2"/>
        <v>0</v>
      </c>
      <c r="AM28" s="74">
        <f t="shared" si="3"/>
        <v>289456.64739884395</v>
      </c>
      <c r="AN28" s="74">
        <f t="shared" si="3"/>
        <v>0</v>
      </c>
      <c r="AO28" s="74">
        <f t="shared" si="4"/>
        <v>297726.83732452517</v>
      </c>
      <c r="AP28" s="74">
        <f t="shared" si="5"/>
        <v>0</v>
      </c>
      <c r="AQ28" s="74">
        <f t="shared" si="8"/>
        <v>313991.54417836503</v>
      </c>
      <c r="AR28" s="76">
        <v>113.9</v>
      </c>
      <c r="AS28" s="74">
        <f t="shared" si="9"/>
        <v>0</v>
      </c>
      <c r="AT28" s="76">
        <v>105</v>
      </c>
      <c r="AU28" s="74">
        <f t="shared" si="10"/>
        <v>341834.51692815853</v>
      </c>
      <c r="AV28" s="76">
        <v>124</v>
      </c>
      <c r="AW28" s="74">
        <f t="shared" si="11"/>
        <v>0</v>
      </c>
      <c r="AX28" s="76">
        <v>122</v>
      </c>
      <c r="AY28" s="77">
        <f t="shared" si="6"/>
        <v>345143</v>
      </c>
      <c r="AZ28" s="78">
        <v>125.2</v>
      </c>
      <c r="BA28" s="77">
        <f t="shared" si="7"/>
        <v>0</v>
      </c>
      <c r="BB28" s="78">
        <v>123.3</v>
      </c>
      <c r="BC28" s="79">
        <v>36161</v>
      </c>
      <c r="BD28" s="59"/>
      <c r="BE28" s="80">
        <v>133.91</v>
      </c>
      <c r="BF28" s="80">
        <v>133.01</v>
      </c>
      <c r="BG28" s="80">
        <v>131.44</v>
      </c>
      <c r="BH28" s="73"/>
      <c r="BI28" s="73"/>
      <c r="BJ28" s="73"/>
      <c r="BK28" s="73"/>
      <c r="BL28" s="79">
        <v>42968</v>
      </c>
      <c r="BM28" s="79">
        <v>36434</v>
      </c>
      <c r="BN28" s="58" t="s">
        <v>44</v>
      </c>
      <c r="BO28" s="58" t="s">
        <v>70</v>
      </c>
      <c r="BP28" s="58" t="s">
        <v>59</v>
      </c>
      <c r="BQ28">
        <v>2016</v>
      </c>
      <c r="BR28" s="59"/>
      <c r="BV28" s="18"/>
      <c r="BW28" s="18"/>
    </row>
    <row r="29" spans="2:75" x14ac:dyDescent="0.3">
      <c r="B29" s="20" t="s">
        <v>1052</v>
      </c>
      <c r="C29" s="20" t="s">
        <v>1052</v>
      </c>
      <c r="D29" s="57" t="s">
        <v>1152</v>
      </c>
      <c r="E29" s="58" t="s">
        <v>1383</v>
      </c>
      <c r="F29" s="96"/>
      <c r="G29" s="96"/>
      <c r="H29" s="58"/>
      <c r="I29" s="58"/>
      <c r="J29" s="59"/>
      <c r="K29" s="95" t="s">
        <v>43</v>
      </c>
      <c r="L29" s="95"/>
      <c r="M29" s="58"/>
      <c r="N29" s="59"/>
      <c r="O29" s="58" t="s">
        <v>40</v>
      </c>
      <c r="P29" s="58" t="s">
        <v>1048</v>
      </c>
      <c r="Q29" s="58"/>
      <c r="R29" s="58"/>
      <c r="S29" s="58"/>
      <c r="T29" s="73"/>
      <c r="U29" s="74"/>
      <c r="V29" s="74"/>
      <c r="W29" s="74"/>
      <c r="X29" s="74"/>
      <c r="Y29" s="74"/>
      <c r="Z29" s="74"/>
      <c r="AA29" s="75"/>
      <c r="AB29" s="74"/>
      <c r="AC29" s="74"/>
      <c r="AD29" s="75"/>
      <c r="AE29" s="74"/>
      <c r="AF29" s="74"/>
      <c r="AG29" s="74"/>
      <c r="AH29" s="75"/>
      <c r="AI29" s="74"/>
      <c r="AJ29" s="74"/>
      <c r="AK29" s="74"/>
      <c r="AL29" s="74"/>
      <c r="AM29" s="74"/>
      <c r="AN29" s="74"/>
      <c r="AO29" s="74"/>
      <c r="AP29" s="74"/>
      <c r="AQ29" s="74">
        <v>100000</v>
      </c>
      <c r="AR29" s="76">
        <v>113.9</v>
      </c>
      <c r="AS29" s="74">
        <v>0</v>
      </c>
      <c r="AT29" s="76">
        <v>105</v>
      </c>
      <c r="AU29" s="74">
        <f t="shared" si="10"/>
        <v>108867.42756804214</v>
      </c>
      <c r="AV29" s="76">
        <v>124</v>
      </c>
      <c r="AW29" s="74">
        <f t="shared" si="11"/>
        <v>0</v>
      </c>
      <c r="AX29" s="76">
        <v>122</v>
      </c>
      <c r="AY29" s="77">
        <f t="shared" si="6"/>
        <v>109921</v>
      </c>
      <c r="AZ29" s="78">
        <v>125.2</v>
      </c>
      <c r="BA29" s="77">
        <f t="shared" si="7"/>
        <v>0</v>
      </c>
      <c r="BB29" s="78">
        <v>123.3</v>
      </c>
      <c r="BC29" s="79"/>
      <c r="BD29" s="59"/>
      <c r="BE29" s="80"/>
      <c r="BF29" s="80"/>
      <c r="BG29" s="80"/>
      <c r="BH29" s="73"/>
      <c r="BI29" s="73"/>
      <c r="BJ29" s="73"/>
      <c r="BK29" s="73"/>
      <c r="BL29" s="79"/>
      <c r="BM29" s="79"/>
      <c r="BN29" s="58"/>
      <c r="BO29" s="58"/>
      <c r="BP29" s="58" t="s">
        <v>1053</v>
      </c>
      <c r="BR29" s="59" t="s">
        <v>1441</v>
      </c>
      <c r="BV29" s="18"/>
      <c r="BW29" s="18"/>
    </row>
    <row r="30" spans="2:75" x14ac:dyDescent="0.3">
      <c r="B30" s="20" t="s">
        <v>154</v>
      </c>
      <c r="C30" s="20" t="s">
        <v>1255</v>
      </c>
      <c r="D30" s="57" t="s">
        <v>1153</v>
      </c>
      <c r="E30" s="58" t="s">
        <v>1384</v>
      </c>
      <c r="F30" s="96"/>
      <c r="G30" s="96"/>
      <c r="H30" s="58" t="s">
        <v>155</v>
      </c>
      <c r="I30" s="58" t="s">
        <v>155</v>
      </c>
      <c r="J30" s="59">
        <v>777772</v>
      </c>
      <c r="K30" s="95" t="s">
        <v>43</v>
      </c>
      <c r="L30" s="95"/>
      <c r="M30" s="58" t="s">
        <v>39</v>
      </c>
      <c r="N30" s="59">
        <v>11</v>
      </c>
      <c r="O30" s="58" t="s">
        <v>40</v>
      </c>
      <c r="P30" s="58" t="s">
        <v>45</v>
      </c>
      <c r="Q30" s="58" t="s">
        <v>41</v>
      </c>
      <c r="R30" s="58" t="s">
        <v>156</v>
      </c>
      <c r="S30" s="58" t="s">
        <v>42</v>
      </c>
      <c r="T30" s="73">
        <v>325000</v>
      </c>
      <c r="U30" s="74">
        <f t="shared" si="13"/>
        <v>329830.71841453348</v>
      </c>
      <c r="V30" s="74"/>
      <c r="W30" s="74">
        <v>305810</v>
      </c>
      <c r="X30" s="74"/>
      <c r="Y30" s="74">
        <v>191.82</v>
      </c>
      <c r="Z30" s="74"/>
      <c r="AA30" s="75" t="s">
        <v>43</v>
      </c>
      <c r="AB30" s="74"/>
      <c r="AC30" s="74"/>
      <c r="AD30" s="75" t="s">
        <v>43</v>
      </c>
      <c r="AE30" s="74"/>
      <c r="AF30" s="74"/>
      <c r="AG30" s="74">
        <v>0</v>
      </c>
      <c r="AH30" s="75" t="s">
        <v>42</v>
      </c>
      <c r="AI30" s="74"/>
      <c r="AJ30" s="74">
        <f t="shared" si="12"/>
        <v>0</v>
      </c>
      <c r="AK30" s="74">
        <f t="shared" si="1"/>
        <v>373307.18414533447</v>
      </c>
      <c r="AL30" s="74">
        <f t="shared" si="2"/>
        <v>0</v>
      </c>
      <c r="AM30" s="74">
        <f t="shared" si="3"/>
        <v>391972.54335260123</v>
      </c>
      <c r="AN30" s="74">
        <f t="shared" si="3"/>
        <v>0</v>
      </c>
      <c r="AO30" s="74">
        <f t="shared" si="4"/>
        <v>403171.75887696131</v>
      </c>
      <c r="AP30" s="74">
        <f t="shared" si="5"/>
        <v>0</v>
      </c>
      <c r="AQ30" s="74">
        <f t="shared" si="8"/>
        <v>425196.88274153607</v>
      </c>
      <c r="AR30" s="76">
        <v>113.9</v>
      </c>
      <c r="AS30" s="74">
        <f t="shared" si="9"/>
        <v>0</v>
      </c>
      <c r="AT30" s="76">
        <v>105</v>
      </c>
      <c r="AU30" s="74">
        <f t="shared" si="10"/>
        <v>462900.90834021481</v>
      </c>
      <c r="AV30" s="76">
        <v>124</v>
      </c>
      <c r="AW30" s="74">
        <f t="shared" si="11"/>
        <v>0</v>
      </c>
      <c r="AX30" s="76">
        <v>122</v>
      </c>
      <c r="AY30" s="77">
        <f t="shared" si="6"/>
        <v>467381</v>
      </c>
      <c r="AZ30" s="78">
        <v>125.2</v>
      </c>
      <c r="BA30" s="77">
        <f t="shared" si="7"/>
        <v>0</v>
      </c>
      <c r="BB30" s="78">
        <v>123.3</v>
      </c>
      <c r="BC30" s="79">
        <v>36526</v>
      </c>
      <c r="BD30" s="59"/>
      <c r="BE30" s="80">
        <v>180.49</v>
      </c>
      <c r="BF30" s="80">
        <v>179.28</v>
      </c>
      <c r="BG30" s="80">
        <v>177.15</v>
      </c>
      <c r="BH30" s="73"/>
      <c r="BI30" s="73"/>
      <c r="BJ30" s="73"/>
      <c r="BK30" s="73"/>
      <c r="BL30" s="79">
        <v>42968</v>
      </c>
      <c r="BM30" s="79">
        <v>36434</v>
      </c>
      <c r="BN30" s="58" t="s">
        <v>44</v>
      </c>
      <c r="BO30" s="58" t="s">
        <v>70</v>
      </c>
      <c r="BP30" s="58" t="s">
        <v>59</v>
      </c>
      <c r="BQ30">
        <v>2016</v>
      </c>
      <c r="BR30" s="59"/>
      <c r="BV30" s="18"/>
      <c r="BW30" s="18"/>
    </row>
    <row r="31" spans="2:75" x14ac:dyDescent="0.3">
      <c r="B31" s="20" t="s">
        <v>157</v>
      </c>
      <c r="C31" s="20" t="s">
        <v>1256</v>
      </c>
      <c r="D31" s="57" t="s">
        <v>1153</v>
      </c>
      <c r="E31" s="58" t="s">
        <v>1384</v>
      </c>
      <c r="F31" s="96"/>
      <c r="G31" s="96"/>
      <c r="H31" s="58" t="s">
        <v>155</v>
      </c>
      <c r="I31" s="58" t="s">
        <v>155</v>
      </c>
      <c r="J31" s="59">
        <v>777772</v>
      </c>
      <c r="K31" s="95" t="s">
        <v>43</v>
      </c>
      <c r="L31" s="95"/>
      <c r="M31" s="58" t="s">
        <v>39</v>
      </c>
      <c r="N31" s="59">
        <v>12</v>
      </c>
      <c r="O31" s="58" t="s">
        <v>49</v>
      </c>
      <c r="P31" s="58" t="s">
        <v>158</v>
      </c>
      <c r="Q31" s="58" t="s">
        <v>42</v>
      </c>
      <c r="R31" s="58" t="s">
        <v>159</v>
      </c>
      <c r="S31" s="58" t="s">
        <v>42</v>
      </c>
      <c r="T31" s="73">
        <v>25000</v>
      </c>
      <c r="U31" s="74">
        <f t="shared" si="13"/>
        <v>25371.593724194881</v>
      </c>
      <c r="V31" s="74"/>
      <c r="W31" s="74">
        <v>51337</v>
      </c>
      <c r="X31" s="74"/>
      <c r="Y31" s="74">
        <v>14.76</v>
      </c>
      <c r="Z31" s="74"/>
      <c r="AA31" s="75" t="s">
        <v>43</v>
      </c>
      <c r="AB31" s="74"/>
      <c r="AC31" s="74"/>
      <c r="AD31" s="75" t="s">
        <v>43</v>
      </c>
      <c r="AE31" s="74"/>
      <c r="AF31" s="74"/>
      <c r="AG31" s="74">
        <v>0</v>
      </c>
      <c r="AH31" s="75" t="s">
        <v>42</v>
      </c>
      <c r="AI31" s="74"/>
      <c r="AJ31" s="74">
        <f t="shared" si="12"/>
        <v>0</v>
      </c>
      <c r="AK31" s="74">
        <f t="shared" si="1"/>
        <v>28715.937241948803</v>
      </c>
      <c r="AL31" s="74">
        <f t="shared" si="2"/>
        <v>0</v>
      </c>
      <c r="AM31" s="74">
        <f t="shared" si="3"/>
        <v>30151.734104046245</v>
      </c>
      <c r="AN31" s="74">
        <f t="shared" si="3"/>
        <v>0</v>
      </c>
      <c r="AO31" s="74">
        <f t="shared" si="4"/>
        <v>31013.212221304708</v>
      </c>
      <c r="AP31" s="74">
        <f t="shared" si="5"/>
        <v>0</v>
      </c>
      <c r="AQ31" s="74">
        <f t="shared" si="8"/>
        <v>32707.452518579688</v>
      </c>
      <c r="AR31" s="76">
        <v>113.9</v>
      </c>
      <c r="AS31" s="74">
        <f t="shared" si="9"/>
        <v>0</v>
      </c>
      <c r="AT31" s="76">
        <v>105</v>
      </c>
      <c r="AU31" s="74">
        <f t="shared" si="10"/>
        <v>35607.762180016514</v>
      </c>
      <c r="AV31" s="76">
        <v>124</v>
      </c>
      <c r="AW31" s="74">
        <f t="shared" si="11"/>
        <v>0</v>
      </c>
      <c r="AX31" s="76">
        <v>122</v>
      </c>
      <c r="AY31" s="77">
        <f t="shared" si="6"/>
        <v>35953</v>
      </c>
      <c r="AZ31" s="78">
        <v>125.2</v>
      </c>
      <c r="BA31" s="77">
        <f t="shared" si="7"/>
        <v>0</v>
      </c>
      <c r="BB31" s="78">
        <v>123.3</v>
      </c>
      <c r="BC31" s="79">
        <v>41275</v>
      </c>
      <c r="BD31" s="59"/>
      <c r="BE31" s="80">
        <v>30.3</v>
      </c>
      <c r="BF31" s="80">
        <v>30.1</v>
      </c>
      <c r="BG31" s="80">
        <v>29.74</v>
      </c>
      <c r="BH31" s="73"/>
      <c r="BI31" s="73"/>
      <c r="BJ31" s="73"/>
      <c r="BK31" s="73"/>
      <c r="BL31" s="79">
        <v>43045</v>
      </c>
      <c r="BM31" s="79">
        <v>41652</v>
      </c>
      <c r="BN31" s="58" t="s">
        <v>44</v>
      </c>
      <c r="BO31" s="58" t="s">
        <v>44</v>
      </c>
      <c r="BP31" s="58" t="s">
        <v>160</v>
      </c>
      <c r="BQ31">
        <v>2016</v>
      </c>
      <c r="BR31" s="59"/>
      <c r="BV31" s="18"/>
      <c r="BW31" s="18"/>
    </row>
    <row r="32" spans="2:75" x14ac:dyDescent="0.3">
      <c r="B32" s="20" t="s">
        <v>1024</v>
      </c>
      <c r="C32" s="20" t="s">
        <v>1024</v>
      </c>
      <c r="D32" s="57" t="s">
        <v>1197</v>
      </c>
      <c r="E32" s="58" t="s">
        <v>986</v>
      </c>
      <c r="F32" s="97" t="s">
        <v>1473</v>
      </c>
      <c r="G32" s="97" t="s">
        <v>1473</v>
      </c>
      <c r="H32" s="58" t="s">
        <v>162</v>
      </c>
      <c r="I32" s="58" t="s">
        <v>162</v>
      </c>
      <c r="J32" s="59">
        <v>772723</v>
      </c>
      <c r="K32" s="95" t="s">
        <v>1440</v>
      </c>
      <c r="L32" s="104" t="s">
        <v>1472</v>
      </c>
      <c r="M32" s="58" t="s">
        <v>72</v>
      </c>
      <c r="N32" s="59">
        <v>11</v>
      </c>
      <c r="O32" s="58" t="s">
        <v>40</v>
      </c>
      <c r="P32" s="58" t="s">
        <v>163</v>
      </c>
      <c r="Q32" s="58" t="s">
        <v>107</v>
      </c>
      <c r="R32" s="58" t="s">
        <v>164</v>
      </c>
      <c r="S32" s="58" t="s">
        <v>42</v>
      </c>
      <c r="T32" s="73">
        <v>18710000</v>
      </c>
      <c r="U32" s="74">
        <f t="shared" si="13"/>
        <v>18988100.74318745</v>
      </c>
      <c r="V32" s="74">
        <v>4545000</v>
      </c>
      <c r="W32" s="74">
        <v>17411420</v>
      </c>
      <c r="X32" s="74">
        <v>4212157</v>
      </c>
      <c r="Y32" s="74">
        <v>11042.64</v>
      </c>
      <c r="Z32" s="74">
        <v>2682.46</v>
      </c>
      <c r="AA32" s="75" t="s">
        <v>43</v>
      </c>
      <c r="AB32" s="74"/>
      <c r="AC32" s="74"/>
      <c r="AD32" s="75" t="s">
        <v>43</v>
      </c>
      <c r="AE32" s="74"/>
      <c r="AF32" s="74"/>
      <c r="AG32" s="74">
        <v>0</v>
      </c>
      <c r="AH32" s="75" t="s">
        <v>42</v>
      </c>
      <c r="AI32" s="74"/>
      <c r="AJ32" s="74">
        <f t="shared" si="12"/>
        <v>4608400.1743679158</v>
      </c>
      <c r="AK32" s="74">
        <f t="shared" si="1"/>
        <v>21491007.431874484</v>
      </c>
      <c r="AL32" s="74">
        <f t="shared" si="2"/>
        <v>4818413.2519616382</v>
      </c>
      <c r="AM32" s="74">
        <f t="shared" si="3"/>
        <v>22565557.803468209</v>
      </c>
      <c r="AN32" s="74">
        <v>5351834</v>
      </c>
      <c r="AO32" s="74">
        <f t="shared" si="4"/>
        <v>23210288.026424445</v>
      </c>
      <c r="AP32" s="74">
        <f t="shared" si="5"/>
        <v>5351834</v>
      </c>
      <c r="AQ32" s="74">
        <f t="shared" si="8"/>
        <v>24478257.464905038</v>
      </c>
      <c r="AR32" s="76">
        <v>113.9</v>
      </c>
      <c r="AS32" s="74">
        <f t="shared" si="9"/>
        <v>5351834</v>
      </c>
      <c r="AT32" s="76">
        <v>105</v>
      </c>
      <c r="AU32" s="74">
        <f t="shared" si="10"/>
        <v>26648849.215524361</v>
      </c>
      <c r="AV32" s="76">
        <v>124</v>
      </c>
      <c r="AW32" s="74">
        <f t="shared" si="11"/>
        <v>6218321.4095238093</v>
      </c>
      <c r="AX32" s="76">
        <v>122</v>
      </c>
      <c r="AY32" s="77">
        <f t="shared" si="6"/>
        <v>26906742</v>
      </c>
      <c r="AZ32" s="78">
        <v>125.2</v>
      </c>
      <c r="BA32" s="77">
        <f t="shared" si="7"/>
        <v>6284583</v>
      </c>
      <c r="BB32" s="78">
        <v>123.3</v>
      </c>
      <c r="BC32" s="79">
        <v>37622</v>
      </c>
      <c r="BD32" s="59"/>
      <c r="BE32" s="80">
        <v>12762.24</v>
      </c>
      <c r="BF32" s="80">
        <v>12693.16</v>
      </c>
      <c r="BG32" s="80">
        <v>12550.41</v>
      </c>
      <c r="BH32" s="73"/>
      <c r="BI32" s="73"/>
      <c r="BJ32" s="73"/>
      <c r="BK32" s="73"/>
      <c r="BL32" s="79">
        <v>43046</v>
      </c>
      <c r="BM32" s="79">
        <v>37735</v>
      </c>
      <c r="BN32" s="58" t="s">
        <v>44</v>
      </c>
      <c r="BO32" s="58" t="s">
        <v>44</v>
      </c>
      <c r="BP32" s="58" t="s">
        <v>101</v>
      </c>
      <c r="BQ32">
        <v>2016</v>
      </c>
      <c r="BR32" s="59" t="s">
        <v>1005</v>
      </c>
      <c r="BV32" s="18"/>
      <c r="BW32" s="18"/>
    </row>
    <row r="33" spans="2:75" x14ac:dyDescent="0.3">
      <c r="B33" s="20" t="s">
        <v>165</v>
      </c>
      <c r="C33" s="20" t="s">
        <v>1257</v>
      </c>
      <c r="D33" s="57" t="s">
        <v>1411</v>
      </c>
      <c r="E33" s="58" t="s">
        <v>1101</v>
      </c>
      <c r="F33" s="96"/>
      <c r="G33" s="96"/>
      <c r="H33" s="58" t="s">
        <v>166</v>
      </c>
      <c r="I33" s="58" t="s">
        <v>166</v>
      </c>
      <c r="J33" s="59">
        <v>777772</v>
      </c>
      <c r="K33" s="95" t="s">
        <v>43</v>
      </c>
      <c r="L33" s="95"/>
      <c r="M33" s="58" t="s">
        <v>39</v>
      </c>
      <c r="N33" s="59">
        <v>11</v>
      </c>
      <c r="O33" s="58" t="s">
        <v>40</v>
      </c>
      <c r="P33" s="58" t="s">
        <v>167</v>
      </c>
      <c r="Q33" s="58" t="s">
        <v>41</v>
      </c>
      <c r="R33" s="58" t="s">
        <v>168</v>
      </c>
      <c r="S33" s="58" t="s">
        <v>42</v>
      </c>
      <c r="T33" s="73">
        <v>575000</v>
      </c>
      <c r="U33" s="74">
        <f t="shared" si="13"/>
        <v>583546.65565648233</v>
      </c>
      <c r="V33" s="74"/>
      <c r="W33" s="74">
        <v>532701</v>
      </c>
      <c r="X33" s="74"/>
      <c r="Y33" s="74">
        <v>339.37</v>
      </c>
      <c r="Z33" s="74"/>
      <c r="AA33" s="75" t="s">
        <v>43</v>
      </c>
      <c r="AB33" s="74"/>
      <c r="AC33" s="74"/>
      <c r="AD33" s="75" t="s">
        <v>43</v>
      </c>
      <c r="AE33" s="74"/>
      <c r="AF33" s="74"/>
      <c r="AG33" s="74">
        <v>0</v>
      </c>
      <c r="AH33" s="75" t="s">
        <v>42</v>
      </c>
      <c r="AI33" s="74"/>
      <c r="AJ33" s="74">
        <f t="shared" si="12"/>
        <v>0</v>
      </c>
      <c r="AK33" s="74">
        <f t="shared" si="1"/>
        <v>660466.55656482244</v>
      </c>
      <c r="AL33" s="74">
        <f t="shared" si="2"/>
        <v>0</v>
      </c>
      <c r="AM33" s="74">
        <f t="shared" si="3"/>
        <v>693489.88439306361</v>
      </c>
      <c r="AN33" s="74">
        <f t="shared" si="3"/>
        <v>0</v>
      </c>
      <c r="AO33" s="74">
        <f t="shared" si="4"/>
        <v>713303.88109000819</v>
      </c>
      <c r="AP33" s="74">
        <f t="shared" si="5"/>
        <v>0</v>
      </c>
      <c r="AQ33" s="74">
        <f t="shared" si="8"/>
        <v>752271.4079273328</v>
      </c>
      <c r="AR33" s="76">
        <v>113.9</v>
      </c>
      <c r="AS33" s="74">
        <f t="shared" si="9"/>
        <v>0</v>
      </c>
      <c r="AT33" s="76">
        <v>105</v>
      </c>
      <c r="AU33" s="74">
        <f t="shared" si="10"/>
        <v>818978.53014037979</v>
      </c>
      <c r="AV33" s="76">
        <v>124</v>
      </c>
      <c r="AW33" s="74">
        <f t="shared" si="11"/>
        <v>0</v>
      </c>
      <c r="AX33" s="76">
        <v>122</v>
      </c>
      <c r="AY33" s="77">
        <f t="shared" si="6"/>
        <v>826905</v>
      </c>
      <c r="AZ33" s="78">
        <v>125.2</v>
      </c>
      <c r="BA33" s="77">
        <f t="shared" si="7"/>
        <v>0</v>
      </c>
      <c r="BB33" s="78">
        <v>123.3</v>
      </c>
      <c r="BC33" s="79">
        <v>36161</v>
      </c>
      <c r="BD33" s="59"/>
      <c r="BE33" s="80">
        <v>314.39999999999998</v>
      </c>
      <c r="BF33" s="80">
        <v>312.29000000000002</v>
      </c>
      <c r="BG33" s="80">
        <v>308.58999999999997</v>
      </c>
      <c r="BH33" s="73"/>
      <c r="BI33" s="73"/>
      <c r="BJ33" s="73"/>
      <c r="BK33" s="73"/>
      <c r="BL33" s="79">
        <v>42969</v>
      </c>
      <c r="BM33" s="79">
        <v>36434</v>
      </c>
      <c r="BN33" s="58" t="s">
        <v>44</v>
      </c>
      <c r="BO33" s="58" t="s">
        <v>70</v>
      </c>
      <c r="BP33" s="58" t="s">
        <v>59</v>
      </c>
      <c r="BQ33">
        <v>2016</v>
      </c>
      <c r="BR33" s="59"/>
      <c r="BV33" s="18"/>
      <c r="BW33" s="18"/>
    </row>
    <row r="34" spans="2:75" x14ac:dyDescent="0.3">
      <c r="B34" s="20" t="s">
        <v>169</v>
      </c>
      <c r="C34" s="20" t="s">
        <v>169</v>
      </c>
      <c r="D34" s="57" t="s">
        <v>1154</v>
      </c>
      <c r="E34" s="58" t="s">
        <v>1101</v>
      </c>
      <c r="F34" s="96"/>
      <c r="G34" s="96"/>
      <c r="H34" s="58" t="s">
        <v>170</v>
      </c>
      <c r="I34" s="58" t="s">
        <v>170</v>
      </c>
      <c r="J34" s="59">
        <v>772724</v>
      </c>
      <c r="K34" s="95" t="s">
        <v>43</v>
      </c>
      <c r="L34" s="95"/>
      <c r="M34" s="58" t="s">
        <v>66</v>
      </c>
      <c r="N34" s="59">
        <v>99</v>
      </c>
      <c r="O34" s="58" t="s">
        <v>128</v>
      </c>
      <c r="P34" s="58" t="s">
        <v>171</v>
      </c>
      <c r="Q34" s="58" t="s">
        <v>172</v>
      </c>
      <c r="R34" s="58" t="s">
        <v>173</v>
      </c>
      <c r="S34" s="58" t="s">
        <v>174</v>
      </c>
      <c r="T34" s="73">
        <v>1600000</v>
      </c>
      <c r="U34" s="74">
        <f t="shared" si="13"/>
        <v>1623781.9983484724</v>
      </c>
      <c r="V34" s="74"/>
      <c r="W34" s="74">
        <v>1450129</v>
      </c>
      <c r="X34" s="74"/>
      <c r="Y34" s="74">
        <v>944.32</v>
      </c>
      <c r="Z34" s="74"/>
      <c r="AA34" s="75" t="s">
        <v>43</v>
      </c>
      <c r="AB34" s="74"/>
      <c r="AC34" s="74"/>
      <c r="AD34" s="75" t="s">
        <v>43</v>
      </c>
      <c r="AE34" s="74"/>
      <c r="AF34" s="74"/>
      <c r="AG34" s="74">
        <v>0</v>
      </c>
      <c r="AH34" s="75" t="s">
        <v>175</v>
      </c>
      <c r="AI34" s="74"/>
      <c r="AJ34" s="74">
        <f t="shared" si="12"/>
        <v>0</v>
      </c>
      <c r="AK34" s="74">
        <f t="shared" si="1"/>
        <v>1837819.9834847234</v>
      </c>
      <c r="AL34" s="74">
        <f t="shared" si="2"/>
        <v>0</v>
      </c>
      <c r="AM34" s="74">
        <f t="shared" si="3"/>
        <v>1929710.9826589597</v>
      </c>
      <c r="AN34" s="74">
        <f t="shared" si="3"/>
        <v>0</v>
      </c>
      <c r="AO34" s="74">
        <f t="shared" si="4"/>
        <v>1984845.5821635013</v>
      </c>
      <c r="AP34" s="74">
        <f t="shared" si="5"/>
        <v>0</v>
      </c>
      <c r="AQ34" s="74">
        <f t="shared" si="8"/>
        <v>2093276.9611891001</v>
      </c>
      <c r="AR34" s="76">
        <v>113.9</v>
      </c>
      <c r="AS34" s="74">
        <f t="shared" si="9"/>
        <v>0</v>
      </c>
      <c r="AT34" s="76">
        <v>105</v>
      </c>
      <c r="AU34" s="74">
        <f t="shared" si="10"/>
        <v>2278896.7795210569</v>
      </c>
      <c r="AV34" s="76">
        <v>124</v>
      </c>
      <c r="AW34" s="74">
        <f t="shared" si="11"/>
        <v>0</v>
      </c>
      <c r="AX34" s="76">
        <v>122</v>
      </c>
      <c r="AY34" s="77">
        <f t="shared" si="6"/>
        <v>2300951</v>
      </c>
      <c r="AZ34" s="78">
        <v>125.2</v>
      </c>
      <c r="BA34" s="77">
        <f t="shared" si="7"/>
        <v>0</v>
      </c>
      <c r="BB34" s="78">
        <v>123.3</v>
      </c>
      <c r="BC34" s="79">
        <v>40179</v>
      </c>
      <c r="BD34" s="59"/>
      <c r="BE34" s="80">
        <v>855.87</v>
      </c>
      <c r="BF34" s="80">
        <v>850.11</v>
      </c>
      <c r="BG34" s="80">
        <v>840.04</v>
      </c>
      <c r="BH34" s="73"/>
      <c r="BI34" s="73"/>
      <c r="BJ34" s="73"/>
      <c r="BK34" s="73"/>
      <c r="BL34" s="79">
        <v>42969</v>
      </c>
      <c r="BM34" s="79">
        <v>36434</v>
      </c>
      <c r="BN34" s="58" t="s">
        <v>44</v>
      </c>
      <c r="BO34" s="58" t="s">
        <v>70</v>
      </c>
      <c r="BP34" s="58" t="s">
        <v>146</v>
      </c>
      <c r="BQ34">
        <v>2016</v>
      </c>
      <c r="BR34" s="59"/>
      <c r="BV34" s="18"/>
      <c r="BW34" s="18"/>
    </row>
    <row r="35" spans="2:75" x14ac:dyDescent="0.3">
      <c r="B35" s="20" t="s">
        <v>176</v>
      </c>
      <c r="C35" s="20" t="s">
        <v>1258</v>
      </c>
      <c r="D35" s="57" t="s">
        <v>1155</v>
      </c>
      <c r="E35" s="58" t="s">
        <v>1101</v>
      </c>
      <c r="F35" s="96"/>
      <c r="G35" s="96"/>
      <c r="H35" s="58" t="s">
        <v>170</v>
      </c>
      <c r="I35" s="58" t="s">
        <v>170</v>
      </c>
      <c r="J35" s="59">
        <v>997973</v>
      </c>
      <c r="K35" s="95" t="s">
        <v>43</v>
      </c>
      <c r="L35" s="95"/>
      <c r="M35" s="58" t="s">
        <v>177</v>
      </c>
      <c r="N35" s="59">
        <v>11</v>
      </c>
      <c r="O35" s="58" t="s">
        <v>40</v>
      </c>
      <c r="P35" s="58" t="s">
        <v>178</v>
      </c>
      <c r="Q35" s="58" t="s">
        <v>179</v>
      </c>
      <c r="R35" s="58" t="s">
        <v>180</v>
      </c>
      <c r="S35" s="58" t="s">
        <v>42</v>
      </c>
      <c r="T35" s="73">
        <v>840000</v>
      </c>
      <c r="U35" s="74">
        <f t="shared" si="13"/>
        <v>852485.54913294804</v>
      </c>
      <c r="V35" s="74">
        <v>350000</v>
      </c>
      <c r="W35" s="74">
        <v>789187</v>
      </c>
      <c r="X35" s="74">
        <v>302462</v>
      </c>
      <c r="Y35" s="74">
        <v>495.77</v>
      </c>
      <c r="Z35" s="74">
        <v>206.57</v>
      </c>
      <c r="AA35" s="75" t="s">
        <v>43</v>
      </c>
      <c r="AB35" s="74"/>
      <c r="AC35" s="74"/>
      <c r="AD35" s="75" t="s">
        <v>43</v>
      </c>
      <c r="AE35" s="74"/>
      <c r="AF35" s="74"/>
      <c r="AG35" s="74">
        <v>0</v>
      </c>
      <c r="AH35" s="75" t="s">
        <v>42</v>
      </c>
      <c r="AI35" s="74"/>
      <c r="AJ35" s="74">
        <f t="shared" si="12"/>
        <v>354882.3016564952</v>
      </c>
      <c r="AK35" s="74">
        <f t="shared" si="1"/>
        <v>964855.49132947973</v>
      </c>
      <c r="AL35" s="74">
        <f t="shared" si="2"/>
        <v>371054.92589363555</v>
      </c>
      <c r="AM35" s="74">
        <f t="shared" si="3"/>
        <v>1013098.2658959538</v>
      </c>
      <c r="AN35" s="74">
        <f t="shared" si="3"/>
        <v>389607.67218831734</v>
      </c>
      <c r="AO35" s="74">
        <f t="shared" si="4"/>
        <v>1042043.9306358382</v>
      </c>
      <c r="AP35" s="74">
        <f t="shared" si="5"/>
        <v>389607.67218831734</v>
      </c>
      <c r="AQ35" s="74">
        <f t="shared" si="8"/>
        <v>1098970.4046242775</v>
      </c>
      <c r="AR35" s="76">
        <v>113.9</v>
      </c>
      <c r="AS35" s="74">
        <f t="shared" si="9"/>
        <v>389607.67218831734</v>
      </c>
      <c r="AT35" s="76">
        <v>105</v>
      </c>
      <c r="AU35" s="74">
        <f t="shared" si="10"/>
        <v>1196420.809248555</v>
      </c>
      <c r="AV35" s="76">
        <v>124</v>
      </c>
      <c r="AW35" s="74">
        <f t="shared" si="11"/>
        <v>452687.00959023542</v>
      </c>
      <c r="AX35" s="76">
        <v>122</v>
      </c>
      <c r="AY35" s="77">
        <f t="shared" si="6"/>
        <v>1208000</v>
      </c>
      <c r="AZ35" s="78">
        <v>125.2</v>
      </c>
      <c r="BA35" s="77">
        <f t="shared" si="7"/>
        <v>457511</v>
      </c>
      <c r="BB35" s="78">
        <v>123.3</v>
      </c>
      <c r="BC35" s="79">
        <v>36161</v>
      </c>
      <c r="BD35" s="59"/>
      <c r="BE35" s="80">
        <v>644.29</v>
      </c>
      <c r="BF35" s="80">
        <v>641.16</v>
      </c>
      <c r="BG35" s="80">
        <v>634.11</v>
      </c>
      <c r="BH35" s="73"/>
      <c r="BI35" s="73"/>
      <c r="BJ35" s="73"/>
      <c r="BK35" s="73"/>
      <c r="BL35" s="79">
        <v>42969</v>
      </c>
      <c r="BM35" s="79">
        <v>36434</v>
      </c>
      <c r="BN35" s="58" t="s">
        <v>44</v>
      </c>
      <c r="BO35" s="58" t="s">
        <v>70</v>
      </c>
      <c r="BP35" s="58" t="s">
        <v>59</v>
      </c>
      <c r="BQ35">
        <v>2016</v>
      </c>
      <c r="BR35" s="59"/>
      <c r="BV35" s="18"/>
      <c r="BW35" s="18"/>
    </row>
    <row r="36" spans="2:75" x14ac:dyDescent="0.3">
      <c r="B36" s="20" t="s">
        <v>181</v>
      </c>
      <c r="C36" s="20" t="s">
        <v>1259</v>
      </c>
      <c r="D36" s="57" t="s">
        <v>1156</v>
      </c>
      <c r="E36" s="58" t="s">
        <v>1111</v>
      </c>
      <c r="F36" s="96"/>
      <c r="G36" s="96"/>
      <c r="H36" s="58" t="s">
        <v>94</v>
      </c>
      <c r="I36" s="58" t="s">
        <v>94</v>
      </c>
      <c r="J36" s="59">
        <v>772723</v>
      </c>
      <c r="K36" s="95" t="s">
        <v>1440</v>
      </c>
      <c r="L36" s="95"/>
      <c r="M36" s="58" t="s">
        <v>72</v>
      </c>
      <c r="N36" s="59">
        <v>11</v>
      </c>
      <c r="O36" s="58" t="s">
        <v>40</v>
      </c>
      <c r="P36" s="58" t="s">
        <v>182</v>
      </c>
      <c r="Q36" s="58" t="s">
        <v>92</v>
      </c>
      <c r="R36" s="58" t="s">
        <v>183</v>
      </c>
      <c r="S36" s="58" t="s">
        <v>42</v>
      </c>
      <c r="T36" s="73">
        <v>3300000</v>
      </c>
      <c r="U36" s="74">
        <f t="shared" si="13"/>
        <v>3349050.3715937245</v>
      </c>
      <c r="V36" s="74">
        <v>825000</v>
      </c>
      <c r="W36" s="74">
        <v>2032155</v>
      </c>
      <c r="X36" s="74">
        <v>897264</v>
      </c>
      <c r="Y36" s="74">
        <v>1947.66</v>
      </c>
      <c r="Z36" s="74">
        <v>486.92</v>
      </c>
      <c r="AA36" s="75" t="s">
        <v>43</v>
      </c>
      <c r="AB36" s="74"/>
      <c r="AC36" s="74"/>
      <c r="AD36" s="75" t="s">
        <v>43</v>
      </c>
      <c r="AE36" s="74"/>
      <c r="AF36" s="74"/>
      <c r="AG36" s="74">
        <v>0</v>
      </c>
      <c r="AH36" s="75" t="s">
        <v>42</v>
      </c>
      <c r="AI36" s="74"/>
      <c r="AJ36" s="74">
        <f t="shared" si="12"/>
        <v>836508.28247602435</v>
      </c>
      <c r="AK36" s="74">
        <f t="shared" si="1"/>
        <v>3790503.7159372419</v>
      </c>
      <c r="AL36" s="74">
        <f t="shared" si="2"/>
        <v>874629.46817785513</v>
      </c>
      <c r="AM36" s="74">
        <f t="shared" si="3"/>
        <v>3980028.9017341044</v>
      </c>
      <c r="AN36" s="74">
        <f t="shared" si="3"/>
        <v>918360.94158674788</v>
      </c>
      <c r="AO36" s="74">
        <f t="shared" si="4"/>
        <v>4093744.0132122212</v>
      </c>
      <c r="AP36" s="74">
        <f t="shared" si="5"/>
        <v>918360.94158674788</v>
      </c>
      <c r="AQ36" s="74">
        <f t="shared" si="8"/>
        <v>4317383.7324525192</v>
      </c>
      <c r="AR36" s="76">
        <v>113.9</v>
      </c>
      <c r="AS36" s="74">
        <f t="shared" si="9"/>
        <v>918360.94158674788</v>
      </c>
      <c r="AT36" s="76">
        <v>105</v>
      </c>
      <c r="AU36" s="74">
        <f t="shared" si="10"/>
        <v>4700224.6077621812</v>
      </c>
      <c r="AV36" s="76">
        <v>124</v>
      </c>
      <c r="AW36" s="74">
        <f t="shared" si="11"/>
        <v>1067047.9511769831</v>
      </c>
      <c r="AX36" s="76">
        <v>122</v>
      </c>
      <c r="AY36" s="77">
        <f t="shared" si="6"/>
        <v>4745711</v>
      </c>
      <c r="AZ36" s="78">
        <v>125.2</v>
      </c>
      <c r="BA36" s="77">
        <f t="shared" si="7"/>
        <v>1078419</v>
      </c>
      <c r="BB36" s="78">
        <v>123.3</v>
      </c>
      <c r="BC36" s="79">
        <v>36161</v>
      </c>
      <c r="BD36" s="59"/>
      <c r="BE36" s="80">
        <v>1728.95</v>
      </c>
      <c r="BF36" s="80">
        <v>1720.88</v>
      </c>
      <c r="BG36" s="80">
        <v>1702.11</v>
      </c>
      <c r="BH36" s="73"/>
      <c r="BI36" s="73"/>
      <c r="BJ36" s="73"/>
      <c r="BK36" s="73"/>
      <c r="BL36" s="79">
        <v>42969</v>
      </c>
      <c r="BM36" s="79">
        <v>36434</v>
      </c>
      <c r="BN36" s="58" t="s">
        <v>44</v>
      </c>
      <c r="BO36" s="58" t="s">
        <v>70</v>
      </c>
      <c r="BP36" s="58" t="s">
        <v>184</v>
      </c>
      <c r="BQ36">
        <v>2016</v>
      </c>
      <c r="BR36" s="59"/>
      <c r="BV36" s="18"/>
      <c r="BW36" s="18"/>
    </row>
    <row r="37" spans="2:75" x14ac:dyDescent="0.3">
      <c r="B37" s="20" t="s">
        <v>185</v>
      </c>
      <c r="C37" s="20" t="s">
        <v>1260</v>
      </c>
      <c r="D37" s="57" t="s">
        <v>1392</v>
      </c>
      <c r="E37" s="58" t="s">
        <v>1101</v>
      </c>
      <c r="F37" s="96"/>
      <c r="G37" s="96"/>
      <c r="H37" s="58" t="s">
        <v>97</v>
      </c>
      <c r="I37" s="58" t="s">
        <v>97</v>
      </c>
      <c r="J37" s="59">
        <v>772723</v>
      </c>
      <c r="K37" s="95" t="s">
        <v>1440</v>
      </c>
      <c r="L37" s="95"/>
      <c r="M37" s="58" t="s">
        <v>72</v>
      </c>
      <c r="N37" s="59">
        <v>11</v>
      </c>
      <c r="O37" s="58" t="s">
        <v>40</v>
      </c>
      <c r="P37" s="58" t="s">
        <v>186</v>
      </c>
      <c r="Q37" s="58" t="s">
        <v>92</v>
      </c>
      <c r="R37" s="58" t="s">
        <v>187</v>
      </c>
      <c r="S37" s="58" t="s">
        <v>42</v>
      </c>
      <c r="T37" s="73">
        <v>3745000</v>
      </c>
      <c r="U37" s="74">
        <f t="shared" si="13"/>
        <v>3800664.7398843933</v>
      </c>
      <c r="V37" s="74">
        <v>987500</v>
      </c>
      <c r="W37" s="74">
        <v>2607575</v>
      </c>
      <c r="X37" s="74">
        <v>827476</v>
      </c>
      <c r="Y37" s="74">
        <v>2210.3000000000002</v>
      </c>
      <c r="Z37" s="74">
        <v>582.82000000000005</v>
      </c>
      <c r="AA37" s="75" t="s">
        <v>43</v>
      </c>
      <c r="AB37" s="74"/>
      <c r="AC37" s="74"/>
      <c r="AD37" s="75" t="s">
        <v>43</v>
      </c>
      <c r="AE37" s="74"/>
      <c r="AF37" s="74"/>
      <c r="AG37" s="74">
        <v>0</v>
      </c>
      <c r="AH37" s="75" t="s">
        <v>42</v>
      </c>
      <c r="AI37" s="74"/>
      <c r="AJ37" s="74">
        <f t="shared" si="12"/>
        <v>1001275.0653879686</v>
      </c>
      <c r="AK37" s="74">
        <f t="shared" si="1"/>
        <v>4301647.3988439301</v>
      </c>
      <c r="AL37" s="74">
        <f t="shared" si="2"/>
        <v>1046904.9694856144</v>
      </c>
      <c r="AM37" s="74">
        <f>AK37*1.05+(60690.75*1.21)</f>
        <v>4590165.5762861269</v>
      </c>
      <c r="AN37" s="74">
        <f t="shared" si="3"/>
        <v>1099250.2179598953</v>
      </c>
      <c r="AO37" s="74">
        <f>AM37/105*108</f>
        <v>4721313.1641800161</v>
      </c>
      <c r="AP37" s="74">
        <f t="shared" si="5"/>
        <v>1099250.2179598953</v>
      </c>
      <c r="AQ37" s="74">
        <f t="shared" si="8"/>
        <v>4979236.7537046652</v>
      </c>
      <c r="AR37" s="76">
        <v>113.9</v>
      </c>
      <c r="AS37" s="74">
        <f t="shared" si="9"/>
        <v>1099250.2179598953</v>
      </c>
      <c r="AT37" s="76">
        <v>105</v>
      </c>
      <c r="AU37" s="74">
        <f t="shared" si="10"/>
        <v>5420766.9662807584</v>
      </c>
      <c r="AV37" s="76">
        <v>124</v>
      </c>
      <c r="AW37" s="74">
        <f t="shared" si="11"/>
        <v>1277224.0627724496</v>
      </c>
      <c r="AX37" s="76">
        <v>122</v>
      </c>
      <c r="AY37" s="77">
        <f t="shared" si="6"/>
        <v>5473227</v>
      </c>
      <c r="AZ37" s="78">
        <v>125.2</v>
      </c>
      <c r="BA37" s="77">
        <f t="shared" si="7"/>
        <v>1290834</v>
      </c>
      <c r="BB37" s="78">
        <v>123.3</v>
      </c>
      <c r="BC37" s="79">
        <v>36161</v>
      </c>
      <c r="BD37" s="59"/>
      <c r="BE37" s="80">
        <v>2027.37</v>
      </c>
      <c r="BF37" s="80">
        <v>2017.02</v>
      </c>
      <c r="BG37" s="80">
        <v>1994.62</v>
      </c>
      <c r="BH37" s="73"/>
      <c r="BI37" s="73"/>
      <c r="BJ37" s="73"/>
      <c r="BK37" s="73"/>
      <c r="BL37" s="79">
        <v>42969</v>
      </c>
      <c r="BM37" s="79">
        <v>36434</v>
      </c>
      <c r="BN37" s="58" t="s">
        <v>44</v>
      </c>
      <c r="BO37" s="58" t="s">
        <v>70</v>
      </c>
      <c r="BP37" s="58" t="s">
        <v>184</v>
      </c>
      <c r="BQ37">
        <v>2016</v>
      </c>
      <c r="BR37" s="59" t="s">
        <v>1005</v>
      </c>
      <c r="BV37" s="18"/>
      <c r="BW37" s="18"/>
    </row>
    <row r="38" spans="2:75" x14ac:dyDescent="0.3">
      <c r="B38" s="20" t="s">
        <v>188</v>
      </c>
      <c r="C38" s="20" t="s">
        <v>188</v>
      </c>
      <c r="D38" s="57" t="s">
        <v>1156</v>
      </c>
      <c r="E38" s="58" t="s">
        <v>1111</v>
      </c>
      <c r="F38" s="96"/>
      <c r="G38" s="96"/>
      <c r="H38" s="58" t="s">
        <v>189</v>
      </c>
      <c r="I38" s="58" t="s">
        <v>189</v>
      </c>
      <c r="J38" s="59">
        <v>777772</v>
      </c>
      <c r="K38" s="95" t="s">
        <v>43</v>
      </c>
      <c r="L38" s="95"/>
      <c r="M38" s="58" t="s">
        <v>39</v>
      </c>
      <c r="N38" s="59">
        <v>12</v>
      </c>
      <c r="O38" s="58" t="s">
        <v>49</v>
      </c>
      <c r="P38" s="58" t="s">
        <v>190</v>
      </c>
      <c r="Q38" s="58" t="s">
        <v>42</v>
      </c>
      <c r="R38" s="58" t="s">
        <v>191</v>
      </c>
      <c r="S38" s="58" t="s">
        <v>42</v>
      </c>
      <c r="T38" s="73">
        <v>650000</v>
      </c>
      <c r="U38" s="74">
        <f t="shared" si="13"/>
        <v>659661.43682906695</v>
      </c>
      <c r="V38" s="74"/>
      <c r="W38" s="74">
        <v>256687</v>
      </c>
      <c r="X38" s="74"/>
      <c r="Y38" s="74">
        <v>383.63</v>
      </c>
      <c r="Z38" s="74"/>
      <c r="AA38" s="75" t="s">
        <v>43</v>
      </c>
      <c r="AB38" s="74"/>
      <c r="AC38" s="74"/>
      <c r="AD38" s="75" t="s">
        <v>43</v>
      </c>
      <c r="AE38" s="74"/>
      <c r="AF38" s="74"/>
      <c r="AG38" s="74">
        <v>0</v>
      </c>
      <c r="AH38" s="75" t="s">
        <v>42</v>
      </c>
      <c r="AI38" s="74"/>
      <c r="AJ38" s="74">
        <f t="shared" si="12"/>
        <v>0</v>
      </c>
      <c r="AK38" s="74">
        <f t="shared" si="1"/>
        <v>746614.36829066894</v>
      </c>
      <c r="AL38" s="74">
        <f t="shared" si="2"/>
        <v>0</v>
      </c>
      <c r="AM38" s="74">
        <f t="shared" si="3"/>
        <v>783945.08670520247</v>
      </c>
      <c r="AN38" s="74">
        <f t="shared" si="3"/>
        <v>0</v>
      </c>
      <c r="AO38" s="74">
        <f t="shared" si="4"/>
        <v>806343.51775392261</v>
      </c>
      <c r="AP38" s="74">
        <f t="shared" si="5"/>
        <v>0</v>
      </c>
      <c r="AQ38" s="74">
        <f t="shared" si="8"/>
        <v>850393.76548307214</v>
      </c>
      <c r="AR38" s="76">
        <v>113.9</v>
      </c>
      <c r="AS38" s="74">
        <f t="shared" si="9"/>
        <v>0</v>
      </c>
      <c r="AT38" s="76">
        <v>105</v>
      </c>
      <c r="AU38" s="74">
        <f t="shared" si="10"/>
        <v>925801.81668042962</v>
      </c>
      <c r="AV38" s="76">
        <v>124</v>
      </c>
      <c r="AW38" s="74">
        <f t="shared" si="11"/>
        <v>0</v>
      </c>
      <c r="AX38" s="76">
        <v>122</v>
      </c>
      <c r="AY38" s="77">
        <f t="shared" si="6"/>
        <v>934762</v>
      </c>
      <c r="AZ38" s="78">
        <v>125.2</v>
      </c>
      <c r="BA38" s="77">
        <f t="shared" si="7"/>
        <v>0</v>
      </c>
      <c r="BB38" s="78">
        <v>123.3</v>
      </c>
      <c r="BC38" s="79">
        <v>41275</v>
      </c>
      <c r="BD38" s="59"/>
      <c r="BE38" s="80">
        <v>151.5</v>
      </c>
      <c r="BF38" s="80">
        <v>150.47999999999999</v>
      </c>
      <c r="BG38" s="80">
        <v>148.69999999999999</v>
      </c>
      <c r="BH38" s="73"/>
      <c r="BI38" s="73"/>
      <c r="BJ38" s="73"/>
      <c r="BK38" s="73"/>
      <c r="BL38" s="79">
        <v>42969</v>
      </c>
      <c r="BM38" s="79">
        <v>41348</v>
      </c>
      <c r="BN38" s="58" t="s">
        <v>44</v>
      </c>
      <c r="BO38" s="58" t="s">
        <v>44</v>
      </c>
      <c r="BP38" s="58" t="s">
        <v>146</v>
      </c>
      <c r="BQ38">
        <v>2016</v>
      </c>
      <c r="BR38" s="59"/>
      <c r="BV38" s="18"/>
      <c r="BW38" s="18"/>
    </row>
    <row r="39" spans="2:75" x14ac:dyDescent="0.3">
      <c r="B39" s="20" t="s">
        <v>192</v>
      </c>
      <c r="C39" s="20" t="s">
        <v>192</v>
      </c>
      <c r="D39" s="57" t="s">
        <v>1157</v>
      </c>
      <c r="E39" s="58" t="s">
        <v>1101</v>
      </c>
      <c r="F39" s="97" t="s">
        <v>1473</v>
      </c>
      <c r="G39" s="97" t="s">
        <v>1473</v>
      </c>
      <c r="H39" s="58" t="s">
        <v>137</v>
      </c>
      <c r="I39" s="58" t="s">
        <v>137</v>
      </c>
      <c r="J39" s="59">
        <v>772720</v>
      </c>
      <c r="K39" s="95" t="s">
        <v>1440</v>
      </c>
      <c r="L39" s="104" t="s">
        <v>1472</v>
      </c>
      <c r="M39" s="58" t="s">
        <v>193</v>
      </c>
      <c r="N39" s="59">
        <v>11</v>
      </c>
      <c r="O39" s="58" t="s">
        <v>40</v>
      </c>
      <c r="P39" s="58" t="s">
        <v>194</v>
      </c>
      <c r="Q39" s="58" t="s">
        <v>195</v>
      </c>
      <c r="R39" s="58" t="s">
        <v>196</v>
      </c>
      <c r="S39" s="58" t="s">
        <v>197</v>
      </c>
      <c r="T39" s="73">
        <v>17130000</v>
      </c>
      <c r="U39" s="74">
        <f t="shared" si="13"/>
        <v>17384616.019818332</v>
      </c>
      <c r="V39" s="74"/>
      <c r="W39" s="74">
        <v>16256492</v>
      </c>
      <c r="X39" s="74">
        <v>5593</v>
      </c>
      <c r="Y39" s="74">
        <v>10110.129999999999</v>
      </c>
      <c r="Z39" s="74"/>
      <c r="AA39" s="75" t="s">
        <v>43</v>
      </c>
      <c r="AB39" s="74"/>
      <c r="AC39" s="74"/>
      <c r="AD39" s="75" t="s">
        <v>43</v>
      </c>
      <c r="AE39" s="74"/>
      <c r="AF39" s="74"/>
      <c r="AG39" s="74">
        <v>0</v>
      </c>
      <c r="AH39" s="75" t="s">
        <v>42</v>
      </c>
      <c r="AI39" s="74"/>
      <c r="AJ39" s="74">
        <f t="shared" si="12"/>
        <v>0</v>
      </c>
      <c r="AK39" s="74">
        <f t="shared" si="1"/>
        <v>19676160.198183317</v>
      </c>
      <c r="AL39" s="74">
        <f t="shared" si="2"/>
        <v>0</v>
      </c>
      <c r="AM39" s="74">
        <f t="shared" si="3"/>
        <v>20659968.208092485</v>
      </c>
      <c r="AN39" s="74">
        <f t="shared" si="3"/>
        <v>0</v>
      </c>
      <c r="AO39" s="74">
        <f>AM39/105*108</f>
        <v>21250253.014037985</v>
      </c>
      <c r="AP39" s="74">
        <f t="shared" si="5"/>
        <v>0</v>
      </c>
      <c r="AQ39" s="74">
        <f t="shared" si="8"/>
        <v>22411146.465730801</v>
      </c>
      <c r="AR39" s="76">
        <v>113.9</v>
      </c>
      <c r="AS39" s="74">
        <f t="shared" si="9"/>
        <v>0</v>
      </c>
      <c r="AT39" s="76">
        <v>105</v>
      </c>
      <c r="AU39" s="74">
        <f t="shared" si="10"/>
        <v>24398438.645747315</v>
      </c>
      <c r="AV39" s="76">
        <v>124</v>
      </c>
      <c r="AW39" s="74">
        <f t="shared" si="11"/>
        <v>0</v>
      </c>
      <c r="AX39" s="76">
        <v>122</v>
      </c>
      <c r="AY39" s="77">
        <f t="shared" si="6"/>
        <v>24634553</v>
      </c>
      <c r="AZ39" s="78">
        <v>125.2</v>
      </c>
      <c r="BA39" s="77">
        <f t="shared" si="7"/>
        <v>0</v>
      </c>
      <c r="BB39" s="78">
        <v>123.3</v>
      </c>
      <c r="BC39" s="79">
        <v>38548</v>
      </c>
      <c r="BD39" s="59"/>
      <c r="BE39" s="80">
        <v>9597.8799999999992</v>
      </c>
      <c r="BF39" s="80">
        <v>9458.64</v>
      </c>
      <c r="BG39" s="80">
        <v>9346.61</v>
      </c>
      <c r="BH39" s="73"/>
      <c r="BI39" s="73"/>
      <c r="BJ39" s="73"/>
      <c r="BK39" s="73"/>
      <c r="BL39" s="79">
        <v>43045</v>
      </c>
      <c r="BM39" s="79">
        <v>38544</v>
      </c>
      <c r="BN39" s="58" t="s">
        <v>44</v>
      </c>
      <c r="BO39" s="58" t="s">
        <v>198</v>
      </c>
      <c r="BP39" s="58" t="s">
        <v>146</v>
      </c>
      <c r="BQ39">
        <v>2016</v>
      </c>
      <c r="BR39" s="59" t="s">
        <v>1005</v>
      </c>
      <c r="BV39" s="18"/>
      <c r="BW39" s="18"/>
    </row>
    <row r="40" spans="2:75" x14ac:dyDescent="0.3">
      <c r="B40" s="20" t="s">
        <v>199</v>
      </c>
      <c r="C40" s="20" t="s">
        <v>199</v>
      </c>
      <c r="D40" s="57" t="s">
        <v>1157</v>
      </c>
      <c r="E40" s="58" t="s">
        <v>1101</v>
      </c>
      <c r="F40" s="96"/>
      <c r="G40" s="96"/>
      <c r="H40" s="58" t="s">
        <v>137</v>
      </c>
      <c r="I40" s="58" t="s">
        <v>137</v>
      </c>
      <c r="J40" s="59">
        <v>772723</v>
      </c>
      <c r="K40" s="95" t="s">
        <v>1443</v>
      </c>
      <c r="L40" s="95"/>
      <c r="M40" s="58" t="s">
        <v>72</v>
      </c>
      <c r="N40" s="59">
        <v>11</v>
      </c>
      <c r="O40" s="58" t="s">
        <v>40</v>
      </c>
      <c r="P40" s="58" t="s">
        <v>200</v>
      </c>
      <c r="Q40" s="58" t="s">
        <v>92</v>
      </c>
      <c r="R40" s="58" t="s">
        <v>201</v>
      </c>
      <c r="S40" s="58" t="s">
        <v>197</v>
      </c>
      <c r="T40" s="73"/>
      <c r="U40" s="74">
        <f t="shared" si="13"/>
        <v>0</v>
      </c>
      <c r="V40" s="74">
        <v>690000</v>
      </c>
      <c r="W40" s="74"/>
      <c r="X40" s="74">
        <v>135177</v>
      </c>
      <c r="Y40" s="74"/>
      <c r="Z40" s="74">
        <v>407.24</v>
      </c>
      <c r="AA40" s="75" t="s">
        <v>43</v>
      </c>
      <c r="AB40" s="74"/>
      <c r="AC40" s="74"/>
      <c r="AD40" s="75" t="s">
        <v>43</v>
      </c>
      <c r="AE40" s="74"/>
      <c r="AF40" s="74"/>
      <c r="AG40" s="74">
        <v>0</v>
      </c>
      <c r="AH40" s="75" t="s">
        <v>42</v>
      </c>
      <c r="AI40" s="74"/>
      <c r="AJ40" s="74">
        <f t="shared" si="12"/>
        <v>699625.10897994763</v>
      </c>
      <c r="AK40" s="74">
        <f t="shared" si="1"/>
        <v>0</v>
      </c>
      <c r="AL40" s="74">
        <f t="shared" si="2"/>
        <v>731508.28247602424</v>
      </c>
      <c r="AM40" s="74">
        <f t="shared" si="3"/>
        <v>0</v>
      </c>
      <c r="AN40" s="74">
        <f t="shared" si="3"/>
        <v>768083.69659982552</v>
      </c>
      <c r="AO40" s="74">
        <f t="shared" si="4"/>
        <v>0</v>
      </c>
      <c r="AP40" s="74">
        <f t="shared" si="5"/>
        <v>768083.69659982552</v>
      </c>
      <c r="AQ40" s="74">
        <f t="shared" si="8"/>
        <v>0</v>
      </c>
      <c r="AR40" s="76">
        <v>113.9</v>
      </c>
      <c r="AS40" s="74">
        <f t="shared" si="9"/>
        <v>768083.69659982552</v>
      </c>
      <c r="AT40" s="76">
        <v>105</v>
      </c>
      <c r="AU40" s="74">
        <f t="shared" si="10"/>
        <v>0</v>
      </c>
      <c r="AV40" s="76">
        <v>124</v>
      </c>
      <c r="AW40" s="74">
        <f t="shared" si="11"/>
        <v>892440.1046207496</v>
      </c>
      <c r="AX40" s="76">
        <v>122</v>
      </c>
      <c r="AY40" s="77">
        <f t="shared" si="6"/>
        <v>0</v>
      </c>
      <c r="AZ40" s="78">
        <v>125.2</v>
      </c>
      <c r="BA40" s="77">
        <f t="shared" si="7"/>
        <v>901950</v>
      </c>
      <c r="BB40" s="78">
        <v>123.3</v>
      </c>
      <c r="BC40" s="79">
        <v>38548</v>
      </c>
      <c r="BD40" s="59"/>
      <c r="BE40" s="80">
        <v>79.78</v>
      </c>
      <c r="BF40" s="80">
        <v>79.78</v>
      </c>
      <c r="BG40" s="80">
        <v>79.08</v>
      </c>
      <c r="BH40" s="73"/>
      <c r="BI40" s="73"/>
      <c r="BJ40" s="73"/>
      <c r="BK40" s="73"/>
      <c r="BL40" s="79">
        <v>43004</v>
      </c>
      <c r="BM40" s="79">
        <v>38544</v>
      </c>
      <c r="BN40" s="58" t="s">
        <v>44</v>
      </c>
      <c r="BO40" s="58" t="s">
        <v>198</v>
      </c>
      <c r="BP40" s="58" t="s">
        <v>202</v>
      </c>
      <c r="BQ40">
        <v>2016</v>
      </c>
      <c r="BR40" s="59"/>
      <c r="BV40" s="18"/>
      <c r="BW40" s="18"/>
    </row>
    <row r="41" spans="2:75" x14ac:dyDescent="0.3">
      <c r="B41" s="20" t="s">
        <v>203</v>
      </c>
      <c r="C41" s="20" t="s">
        <v>203</v>
      </c>
      <c r="D41" s="57" t="s">
        <v>1157</v>
      </c>
      <c r="E41" s="58" t="s">
        <v>1101</v>
      </c>
      <c r="F41" s="96"/>
      <c r="G41" s="96"/>
      <c r="H41" s="58" t="s">
        <v>137</v>
      </c>
      <c r="I41" s="58" t="s">
        <v>137</v>
      </c>
      <c r="J41" s="59">
        <v>772723</v>
      </c>
      <c r="K41" s="95" t="s">
        <v>1444</v>
      </c>
      <c r="L41" s="95"/>
      <c r="M41" s="58" t="s">
        <v>72</v>
      </c>
      <c r="N41" s="59">
        <v>11</v>
      </c>
      <c r="O41" s="58" t="s">
        <v>40</v>
      </c>
      <c r="P41" s="58" t="s">
        <v>204</v>
      </c>
      <c r="Q41" s="58" t="s">
        <v>139</v>
      </c>
      <c r="R41" s="58" t="s">
        <v>205</v>
      </c>
      <c r="S41" s="58" t="s">
        <v>197</v>
      </c>
      <c r="T41" s="73"/>
      <c r="U41" s="74">
        <f t="shared" si="13"/>
        <v>0</v>
      </c>
      <c r="V41" s="74">
        <v>115000</v>
      </c>
      <c r="W41" s="74"/>
      <c r="X41" s="74">
        <v>262405</v>
      </c>
      <c r="Y41" s="74"/>
      <c r="Z41" s="74">
        <v>67.87</v>
      </c>
      <c r="AA41" s="75" t="s">
        <v>43</v>
      </c>
      <c r="AB41" s="74"/>
      <c r="AC41" s="74"/>
      <c r="AD41" s="75" t="s">
        <v>43</v>
      </c>
      <c r="AE41" s="74"/>
      <c r="AF41" s="74"/>
      <c r="AG41" s="74">
        <v>0</v>
      </c>
      <c r="AH41" s="75" t="s">
        <v>42</v>
      </c>
      <c r="AI41" s="74"/>
      <c r="AJ41" s="74">
        <f t="shared" si="12"/>
        <v>116604.18482999128</v>
      </c>
      <c r="AK41" s="74">
        <f t="shared" si="1"/>
        <v>0</v>
      </c>
      <c r="AL41" s="74">
        <f t="shared" si="2"/>
        <v>121918.0470793374</v>
      </c>
      <c r="AM41" s="74">
        <f t="shared" si="3"/>
        <v>0</v>
      </c>
      <c r="AN41" s="74">
        <f t="shared" si="3"/>
        <v>128013.94943330427</v>
      </c>
      <c r="AO41" s="74">
        <f t="shared" si="4"/>
        <v>0</v>
      </c>
      <c r="AP41" s="74">
        <f t="shared" si="5"/>
        <v>128013.94943330427</v>
      </c>
      <c r="AQ41" s="74">
        <f t="shared" si="8"/>
        <v>0</v>
      </c>
      <c r="AR41" s="76">
        <v>113.9</v>
      </c>
      <c r="AS41" s="74">
        <f t="shared" si="9"/>
        <v>128013.94943330427</v>
      </c>
      <c r="AT41" s="76">
        <v>105</v>
      </c>
      <c r="AU41" s="74">
        <f t="shared" si="10"/>
        <v>0</v>
      </c>
      <c r="AV41" s="76">
        <v>124</v>
      </c>
      <c r="AW41" s="74">
        <f t="shared" si="11"/>
        <v>148740.01743679165</v>
      </c>
      <c r="AX41" s="76">
        <v>122</v>
      </c>
      <c r="AY41" s="77">
        <f t="shared" si="6"/>
        <v>0</v>
      </c>
      <c r="AZ41" s="78">
        <v>125.2</v>
      </c>
      <c r="BA41" s="77">
        <f t="shared" si="7"/>
        <v>150325</v>
      </c>
      <c r="BB41" s="78">
        <v>123.3</v>
      </c>
      <c r="BC41" s="79">
        <v>38548</v>
      </c>
      <c r="BD41" s="59"/>
      <c r="BE41" s="80">
        <v>154.87</v>
      </c>
      <c r="BF41" s="80">
        <v>154.87</v>
      </c>
      <c r="BG41" s="80">
        <v>153.51</v>
      </c>
      <c r="BH41" s="73"/>
      <c r="BI41" s="73"/>
      <c r="BJ41" s="73"/>
      <c r="BK41" s="73"/>
      <c r="BL41" s="79">
        <v>43004</v>
      </c>
      <c r="BM41" s="79">
        <v>38544</v>
      </c>
      <c r="BN41" s="58" t="s">
        <v>44</v>
      </c>
      <c r="BO41" s="58" t="s">
        <v>198</v>
      </c>
      <c r="BP41" s="58" t="s">
        <v>202</v>
      </c>
      <c r="BQ41">
        <v>2016</v>
      </c>
      <c r="BR41" s="59"/>
      <c r="BV41" s="18"/>
      <c r="BW41" s="18"/>
    </row>
    <row r="42" spans="2:75" x14ac:dyDescent="0.3">
      <c r="B42" s="20" t="s">
        <v>206</v>
      </c>
      <c r="C42" s="20" t="s">
        <v>206</v>
      </c>
      <c r="D42" s="57" t="s">
        <v>1157</v>
      </c>
      <c r="E42" s="58" t="s">
        <v>1101</v>
      </c>
      <c r="F42" s="96"/>
      <c r="G42" s="96"/>
      <c r="H42" s="58" t="s">
        <v>137</v>
      </c>
      <c r="I42" s="58" t="s">
        <v>137</v>
      </c>
      <c r="J42" s="59">
        <v>772723</v>
      </c>
      <c r="K42" s="95" t="s">
        <v>1445</v>
      </c>
      <c r="L42" s="95"/>
      <c r="M42" s="58" t="s">
        <v>72</v>
      </c>
      <c r="N42" s="59">
        <v>11</v>
      </c>
      <c r="O42" s="58" t="s">
        <v>40</v>
      </c>
      <c r="P42" s="58" t="s">
        <v>207</v>
      </c>
      <c r="Q42" s="58" t="s">
        <v>92</v>
      </c>
      <c r="R42" s="58" t="s">
        <v>208</v>
      </c>
      <c r="S42" s="58" t="s">
        <v>197</v>
      </c>
      <c r="T42" s="73"/>
      <c r="U42" s="74">
        <f t="shared" si="13"/>
        <v>0</v>
      </c>
      <c r="V42" s="74">
        <v>610000</v>
      </c>
      <c r="W42" s="74"/>
      <c r="X42" s="74">
        <v>413479</v>
      </c>
      <c r="Y42" s="74"/>
      <c r="Z42" s="74">
        <v>360.02</v>
      </c>
      <c r="AA42" s="75" t="s">
        <v>43</v>
      </c>
      <c r="AB42" s="74"/>
      <c r="AC42" s="74"/>
      <c r="AD42" s="75" t="s">
        <v>43</v>
      </c>
      <c r="AE42" s="74"/>
      <c r="AF42" s="74"/>
      <c r="AG42" s="74">
        <v>0</v>
      </c>
      <c r="AH42" s="75" t="s">
        <v>42</v>
      </c>
      <c r="AI42" s="74"/>
      <c r="AJ42" s="74">
        <f t="shared" si="12"/>
        <v>618509.15431560588</v>
      </c>
      <c r="AK42" s="74">
        <f t="shared" si="1"/>
        <v>0</v>
      </c>
      <c r="AL42" s="74">
        <f t="shared" si="2"/>
        <v>646695.72798605042</v>
      </c>
      <c r="AM42" s="74">
        <f t="shared" si="3"/>
        <v>0</v>
      </c>
      <c r="AN42" s="74">
        <f>AL42*1.05</f>
        <v>679030.51438535296</v>
      </c>
      <c r="AO42" s="74">
        <f t="shared" si="4"/>
        <v>0</v>
      </c>
      <c r="AP42" s="74">
        <f t="shared" si="5"/>
        <v>679030.51438535296</v>
      </c>
      <c r="AQ42" s="74">
        <f t="shared" si="8"/>
        <v>0</v>
      </c>
      <c r="AR42" s="76">
        <v>113.9</v>
      </c>
      <c r="AS42" s="74">
        <f t="shared" si="9"/>
        <v>679030.51438535296</v>
      </c>
      <c r="AT42" s="76">
        <v>105</v>
      </c>
      <c r="AU42" s="74">
        <f t="shared" si="10"/>
        <v>0</v>
      </c>
      <c r="AV42" s="76">
        <v>124</v>
      </c>
      <c r="AW42" s="74">
        <f t="shared" si="11"/>
        <v>788968.78814298147</v>
      </c>
      <c r="AX42" s="76">
        <v>122</v>
      </c>
      <c r="AY42" s="77">
        <f t="shared" si="6"/>
        <v>0</v>
      </c>
      <c r="AZ42" s="78">
        <v>125.2</v>
      </c>
      <c r="BA42" s="77">
        <f t="shared" si="7"/>
        <v>797376</v>
      </c>
      <c r="BB42" s="78">
        <v>123.3</v>
      </c>
      <c r="BC42" s="79">
        <v>38548</v>
      </c>
      <c r="BD42" s="59"/>
      <c r="BE42" s="80">
        <v>244.04</v>
      </c>
      <c r="BF42" s="80">
        <v>244.04</v>
      </c>
      <c r="BG42" s="80">
        <v>241.89</v>
      </c>
      <c r="BH42" s="73"/>
      <c r="BI42" s="73"/>
      <c r="BJ42" s="73"/>
      <c r="BK42" s="73"/>
      <c r="BL42" s="79">
        <v>43045</v>
      </c>
      <c r="BM42" s="79">
        <v>38544</v>
      </c>
      <c r="BN42" s="58" t="s">
        <v>44</v>
      </c>
      <c r="BO42" s="58" t="s">
        <v>198</v>
      </c>
      <c r="BP42" s="58" t="s">
        <v>209</v>
      </c>
      <c r="BQ42">
        <v>2016</v>
      </c>
      <c r="BR42" s="59"/>
      <c r="BV42" s="18"/>
      <c r="BW42" s="18"/>
    </row>
    <row r="43" spans="2:75" x14ac:dyDescent="0.3">
      <c r="B43" s="20" t="s">
        <v>206</v>
      </c>
      <c r="C43" s="20" t="s">
        <v>206</v>
      </c>
      <c r="D43" s="57" t="s">
        <v>1157</v>
      </c>
      <c r="E43" s="58" t="s">
        <v>1101</v>
      </c>
      <c r="F43" s="96"/>
      <c r="G43" s="96"/>
      <c r="H43" s="58"/>
      <c r="I43" s="58"/>
      <c r="J43" s="59"/>
      <c r="K43" s="95" t="s">
        <v>1446</v>
      </c>
      <c r="L43" s="95"/>
      <c r="M43" s="58"/>
      <c r="N43" s="59">
        <v>11</v>
      </c>
      <c r="O43" s="58" t="s">
        <v>40</v>
      </c>
      <c r="P43" s="58" t="s">
        <v>1013</v>
      </c>
      <c r="Q43" s="58"/>
      <c r="R43" s="58"/>
      <c r="S43" s="58"/>
      <c r="T43" s="73"/>
      <c r="U43" s="74"/>
      <c r="V43" s="74"/>
      <c r="W43" s="74"/>
      <c r="X43" s="74"/>
      <c r="Y43" s="74"/>
      <c r="Z43" s="74"/>
      <c r="AA43" s="75"/>
      <c r="AB43" s="74"/>
      <c r="AC43" s="74"/>
      <c r="AD43" s="75"/>
      <c r="AE43" s="74"/>
      <c r="AF43" s="74"/>
      <c r="AG43" s="74"/>
      <c r="AH43" s="75"/>
      <c r="AI43" s="74"/>
      <c r="AJ43" s="74"/>
      <c r="AK43" s="74"/>
      <c r="AL43" s="74"/>
      <c r="AM43" s="74"/>
      <c r="AN43" s="74">
        <v>30543</v>
      </c>
      <c r="AO43" s="74">
        <f t="shared" si="4"/>
        <v>0</v>
      </c>
      <c r="AP43" s="74">
        <f t="shared" si="5"/>
        <v>30543</v>
      </c>
      <c r="AQ43" s="74">
        <f t="shared" si="8"/>
        <v>0</v>
      </c>
      <c r="AR43" s="76">
        <v>113.9</v>
      </c>
      <c r="AS43" s="74">
        <f t="shared" si="9"/>
        <v>30543</v>
      </c>
      <c r="AT43" s="76">
        <v>105</v>
      </c>
      <c r="AU43" s="74">
        <f t="shared" si="10"/>
        <v>0</v>
      </c>
      <c r="AV43" s="76">
        <v>124</v>
      </c>
      <c r="AW43" s="74">
        <f t="shared" si="11"/>
        <v>35488.057142857142</v>
      </c>
      <c r="AX43" s="76">
        <v>122</v>
      </c>
      <c r="AY43" s="77">
        <f t="shared" si="6"/>
        <v>0</v>
      </c>
      <c r="AZ43" s="78">
        <v>125.2</v>
      </c>
      <c r="BA43" s="77">
        <f t="shared" si="7"/>
        <v>35867</v>
      </c>
      <c r="BB43" s="78">
        <v>123.3</v>
      </c>
      <c r="BC43" s="79">
        <v>43831</v>
      </c>
      <c r="BD43" s="59"/>
      <c r="BE43" s="80"/>
      <c r="BF43" s="80"/>
      <c r="BG43" s="80"/>
      <c r="BH43" s="73"/>
      <c r="BI43" s="73"/>
      <c r="BJ43" s="73"/>
      <c r="BK43" s="73"/>
      <c r="BL43" s="79"/>
      <c r="BM43" s="79"/>
      <c r="BN43" s="58"/>
      <c r="BO43" s="58"/>
      <c r="BP43" s="58"/>
      <c r="BR43" s="59"/>
      <c r="BV43" s="18"/>
      <c r="BW43" s="18"/>
    </row>
    <row r="44" spans="2:75" x14ac:dyDescent="0.3">
      <c r="B44" s="20" t="s">
        <v>210</v>
      </c>
      <c r="C44" s="20" t="s">
        <v>210</v>
      </c>
      <c r="D44" s="57" t="s">
        <v>1157</v>
      </c>
      <c r="E44" s="58" t="s">
        <v>1101</v>
      </c>
      <c r="F44" s="96"/>
      <c r="G44" s="96"/>
      <c r="H44" s="58" t="s">
        <v>137</v>
      </c>
      <c r="I44" s="58" t="s">
        <v>137</v>
      </c>
      <c r="J44" s="59">
        <v>772723</v>
      </c>
      <c r="K44" s="95" t="s">
        <v>1447</v>
      </c>
      <c r="L44" s="95"/>
      <c r="M44" s="58" t="s">
        <v>72</v>
      </c>
      <c r="N44" s="59">
        <v>11</v>
      </c>
      <c r="O44" s="58" t="s">
        <v>40</v>
      </c>
      <c r="P44" s="58" t="s">
        <v>211</v>
      </c>
      <c r="Q44" s="58" t="s">
        <v>74</v>
      </c>
      <c r="R44" s="58" t="s">
        <v>212</v>
      </c>
      <c r="S44" s="58" t="s">
        <v>197</v>
      </c>
      <c r="T44" s="73"/>
      <c r="U44" s="74">
        <f t="shared" si="13"/>
        <v>0</v>
      </c>
      <c r="V44" s="74"/>
      <c r="W44" s="74"/>
      <c r="X44" s="74">
        <v>318060</v>
      </c>
      <c r="Y44" s="74"/>
      <c r="Z44" s="74"/>
      <c r="AA44" s="75" t="s">
        <v>43</v>
      </c>
      <c r="AB44" s="74"/>
      <c r="AC44" s="74"/>
      <c r="AD44" s="75" t="s">
        <v>43</v>
      </c>
      <c r="AE44" s="74"/>
      <c r="AF44" s="74"/>
      <c r="AG44" s="74">
        <v>0</v>
      </c>
      <c r="AH44" s="75" t="s">
        <v>42</v>
      </c>
      <c r="AI44" s="74"/>
      <c r="AJ44" s="74">
        <f t="shared" si="12"/>
        <v>0</v>
      </c>
      <c r="AK44" s="74">
        <f t="shared" si="1"/>
        <v>0</v>
      </c>
      <c r="AL44" s="74">
        <f t="shared" si="2"/>
        <v>0</v>
      </c>
      <c r="AM44" s="74">
        <f t="shared" si="3"/>
        <v>0</v>
      </c>
      <c r="AN44" s="74">
        <f t="shared" si="3"/>
        <v>0</v>
      </c>
      <c r="AO44" s="74">
        <f t="shared" si="4"/>
        <v>0</v>
      </c>
      <c r="AP44" s="74">
        <f t="shared" si="5"/>
        <v>0</v>
      </c>
      <c r="AQ44" s="74">
        <f t="shared" si="8"/>
        <v>0</v>
      </c>
      <c r="AR44" s="76">
        <v>113.9</v>
      </c>
      <c r="AS44" s="74">
        <f t="shared" si="9"/>
        <v>0</v>
      </c>
      <c r="AT44" s="76">
        <v>105</v>
      </c>
      <c r="AU44" s="74">
        <f t="shared" si="10"/>
        <v>0</v>
      </c>
      <c r="AV44" s="76">
        <v>124</v>
      </c>
      <c r="AW44" s="74">
        <f t="shared" si="11"/>
        <v>0</v>
      </c>
      <c r="AX44" s="76">
        <v>122</v>
      </c>
      <c r="AY44" s="77">
        <f t="shared" si="6"/>
        <v>0</v>
      </c>
      <c r="AZ44" s="78">
        <v>125.2</v>
      </c>
      <c r="BA44" s="77">
        <f t="shared" si="7"/>
        <v>0</v>
      </c>
      <c r="BB44" s="78">
        <v>123.3</v>
      </c>
      <c r="BC44" s="79">
        <v>38548</v>
      </c>
      <c r="BD44" s="59"/>
      <c r="BE44" s="80">
        <v>187.72</v>
      </c>
      <c r="BF44" s="80">
        <v>187.72</v>
      </c>
      <c r="BG44" s="80">
        <v>186.07</v>
      </c>
      <c r="BH44" s="73"/>
      <c r="BI44" s="73"/>
      <c r="BJ44" s="73"/>
      <c r="BK44" s="73"/>
      <c r="BL44" s="79">
        <v>43004</v>
      </c>
      <c r="BM44" s="79">
        <v>38544</v>
      </c>
      <c r="BN44" s="58" t="s">
        <v>44</v>
      </c>
      <c r="BO44" s="58" t="s">
        <v>198</v>
      </c>
      <c r="BP44" s="58" t="s">
        <v>202</v>
      </c>
      <c r="BQ44">
        <v>2016</v>
      </c>
      <c r="BR44" s="59"/>
      <c r="BV44" s="18"/>
      <c r="BW44" s="18"/>
    </row>
    <row r="45" spans="2:75" x14ac:dyDescent="0.3">
      <c r="B45" s="20" t="s">
        <v>213</v>
      </c>
      <c r="C45" s="20" t="s">
        <v>213</v>
      </c>
      <c r="D45" s="57" t="s">
        <v>1157</v>
      </c>
      <c r="E45" s="58" t="s">
        <v>1101</v>
      </c>
      <c r="F45" s="96"/>
      <c r="G45" s="96"/>
      <c r="H45" s="58" t="s">
        <v>137</v>
      </c>
      <c r="I45" s="58" t="s">
        <v>137</v>
      </c>
      <c r="J45" s="59">
        <v>772724</v>
      </c>
      <c r="K45" s="95" t="s">
        <v>1448</v>
      </c>
      <c r="L45" s="95"/>
      <c r="M45" s="58" t="s">
        <v>66</v>
      </c>
      <c r="N45" s="59">
        <v>11</v>
      </c>
      <c r="O45" s="58" t="s">
        <v>40</v>
      </c>
      <c r="P45" s="58" t="s">
        <v>214</v>
      </c>
      <c r="Q45" s="58" t="s">
        <v>99</v>
      </c>
      <c r="R45" s="58" t="s">
        <v>215</v>
      </c>
      <c r="S45" s="58" t="s">
        <v>197</v>
      </c>
      <c r="T45" s="73"/>
      <c r="U45" s="74">
        <f t="shared" si="13"/>
        <v>0</v>
      </c>
      <c r="V45" s="74">
        <v>210000</v>
      </c>
      <c r="W45" s="74"/>
      <c r="X45" s="74">
        <v>206745</v>
      </c>
      <c r="Y45" s="74"/>
      <c r="Z45" s="74">
        <v>123.94</v>
      </c>
      <c r="AA45" s="75" t="s">
        <v>43</v>
      </c>
      <c r="AB45" s="74"/>
      <c r="AC45" s="74"/>
      <c r="AD45" s="75" t="s">
        <v>43</v>
      </c>
      <c r="AE45" s="74"/>
      <c r="AF45" s="74"/>
      <c r="AG45" s="74">
        <v>0</v>
      </c>
      <c r="AH45" s="75" t="s">
        <v>42</v>
      </c>
      <c r="AI45" s="74"/>
      <c r="AJ45" s="74">
        <f t="shared" si="12"/>
        <v>212929.38099389712</v>
      </c>
      <c r="AK45" s="74">
        <f t="shared" si="1"/>
        <v>0</v>
      </c>
      <c r="AL45" s="74">
        <f t="shared" si="2"/>
        <v>222632.95553618134</v>
      </c>
      <c r="AM45" s="74">
        <f t="shared" si="3"/>
        <v>0</v>
      </c>
      <c r="AN45" s="74">
        <f t="shared" si="3"/>
        <v>233764.60331299042</v>
      </c>
      <c r="AO45" s="74">
        <f t="shared" si="4"/>
        <v>0</v>
      </c>
      <c r="AP45" s="74">
        <f t="shared" si="5"/>
        <v>233764.60331299042</v>
      </c>
      <c r="AQ45" s="74">
        <f t="shared" si="8"/>
        <v>0</v>
      </c>
      <c r="AR45" s="76">
        <v>113.9</v>
      </c>
      <c r="AS45" s="74">
        <f t="shared" si="9"/>
        <v>233764.60331299042</v>
      </c>
      <c r="AT45" s="76">
        <v>105</v>
      </c>
      <c r="AU45" s="74">
        <f>AQ45/AR45*AV45</f>
        <v>0</v>
      </c>
      <c r="AV45" s="76">
        <v>124</v>
      </c>
      <c r="AW45" s="74">
        <f>AS45/AT45*AX45</f>
        <v>271612.20575414127</v>
      </c>
      <c r="AX45" s="76">
        <v>122</v>
      </c>
      <c r="AY45" s="77">
        <f t="shared" si="6"/>
        <v>0</v>
      </c>
      <c r="AZ45" s="78">
        <v>125.2</v>
      </c>
      <c r="BA45" s="77">
        <f t="shared" si="7"/>
        <v>274507</v>
      </c>
      <c r="BB45" s="78">
        <v>123.3</v>
      </c>
      <c r="BC45" s="79">
        <v>38548</v>
      </c>
      <c r="BD45" s="59"/>
      <c r="BE45" s="80">
        <v>122.02</v>
      </c>
      <c r="BF45" s="80">
        <v>122.02</v>
      </c>
      <c r="BG45" s="80">
        <v>120.95</v>
      </c>
      <c r="BH45" s="73"/>
      <c r="BI45" s="73"/>
      <c r="BJ45" s="73"/>
      <c r="BK45" s="73"/>
      <c r="BL45" s="79">
        <v>43004</v>
      </c>
      <c r="BM45" s="79">
        <v>38544</v>
      </c>
      <c r="BN45" s="58" t="s">
        <v>44</v>
      </c>
      <c r="BO45" s="58" t="s">
        <v>198</v>
      </c>
      <c r="BP45" s="58" t="s">
        <v>202</v>
      </c>
      <c r="BQ45">
        <v>2016</v>
      </c>
      <c r="BR45" s="59"/>
      <c r="BV45" s="18"/>
      <c r="BW45" s="18"/>
    </row>
    <row r="46" spans="2:75" x14ac:dyDescent="0.3">
      <c r="B46" s="20" t="s">
        <v>216</v>
      </c>
      <c r="C46" s="20" t="s">
        <v>216</v>
      </c>
      <c r="D46" s="57" t="s">
        <v>1157</v>
      </c>
      <c r="E46" s="58" t="s">
        <v>1101</v>
      </c>
      <c r="F46" s="96"/>
      <c r="G46" s="96"/>
      <c r="H46" s="58" t="s">
        <v>137</v>
      </c>
      <c r="I46" s="58" t="s">
        <v>137</v>
      </c>
      <c r="J46" s="59">
        <v>772723</v>
      </c>
      <c r="K46" s="95" t="s">
        <v>1449</v>
      </c>
      <c r="L46" s="95"/>
      <c r="M46" s="58" t="s">
        <v>72</v>
      </c>
      <c r="N46" s="59">
        <v>11</v>
      </c>
      <c r="O46" s="58" t="s">
        <v>40</v>
      </c>
      <c r="P46" s="58" t="s">
        <v>1014</v>
      </c>
      <c r="Q46" s="58" t="s">
        <v>217</v>
      </c>
      <c r="R46" s="58" t="s">
        <v>218</v>
      </c>
      <c r="S46" s="58" t="s">
        <v>197</v>
      </c>
      <c r="T46" s="73"/>
      <c r="U46" s="74">
        <f t="shared" si="13"/>
        <v>0</v>
      </c>
      <c r="V46" s="74">
        <v>675000</v>
      </c>
      <c r="W46" s="74"/>
      <c r="X46" s="74">
        <v>810982</v>
      </c>
      <c r="Y46" s="74"/>
      <c r="Z46" s="74">
        <v>398.39</v>
      </c>
      <c r="AA46" s="75" t="s">
        <v>43</v>
      </c>
      <c r="AB46" s="74"/>
      <c r="AC46" s="74"/>
      <c r="AD46" s="75" t="s">
        <v>43</v>
      </c>
      <c r="AE46" s="74"/>
      <c r="AF46" s="74"/>
      <c r="AG46" s="74">
        <v>0</v>
      </c>
      <c r="AH46" s="75" t="s">
        <v>42</v>
      </c>
      <c r="AI46" s="74"/>
      <c r="AJ46" s="74">
        <f t="shared" si="12"/>
        <v>684415.8674803836</v>
      </c>
      <c r="AK46" s="74">
        <f t="shared" si="1"/>
        <v>0</v>
      </c>
      <c r="AL46" s="74">
        <f t="shared" si="2"/>
        <v>715605.92850915424</v>
      </c>
      <c r="AM46" s="74">
        <f t="shared" si="3"/>
        <v>0</v>
      </c>
      <c r="AN46" s="74">
        <f>AL46*1.05</f>
        <v>751386.22493461194</v>
      </c>
      <c r="AO46" s="74">
        <f t="shared" si="4"/>
        <v>0</v>
      </c>
      <c r="AP46" s="74">
        <f t="shared" si="5"/>
        <v>751386.22493461194</v>
      </c>
      <c r="AQ46" s="74">
        <f t="shared" si="8"/>
        <v>0</v>
      </c>
      <c r="AR46" s="76">
        <v>113.9</v>
      </c>
      <c r="AS46" s="74">
        <f t="shared" si="9"/>
        <v>751386.22493461194</v>
      </c>
      <c r="AT46" s="76">
        <v>105</v>
      </c>
      <c r="AU46" s="74">
        <f>AQ46/AR46*AV46</f>
        <v>0</v>
      </c>
      <c r="AV46" s="76">
        <v>124</v>
      </c>
      <c r="AW46" s="74">
        <f>AS46/AT46*AX46</f>
        <v>873039.23278116807</v>
      </c>
      <c r="AX46" s="76">
        <v>122</v>
      </c>
      <c r="AY46" s="77">
        <f t="shared" si="6"/>
        <v>0</v>
      </c>
      <c r="AZ46" s="78">
        <v>125.2</v>
      </c>
      <c r="BA46" s="77">
        <f t="shared" si="7"/>
        <v>882343</v>
      </c>
      <c r="BB46" s="78">
        <v>123.3</v>
      </c>
      <c r="BC46" s="79">
        <v>38548</v>
      </c>
      <c r="BD46" s="59"/>
      <c r="BE46" s="80">
        <v>478.64</v>
      </c>
      <c r="BF46" s="80">
        <v>478.64</v>
      </c>
      <c r="BG46" s="80">
        <v>474.44</v>
      </c>
      <c r="BH46" s="73"/>
      <c r="BI46" s="73"/>
      <c r="BJ46" s="73"/>
      <c r="BK46" s="73"/>
      <c r="BL46" s="79">
        <v>43004</v>
      </c>
      <c r="BM46" s="79">
        <v>38544</v>
      </c>
      <c r="BN46" s="58" t="s">
        <v>44</v>
      </c>
      <c r="BO46" s="58" t="s">
        <v>198</v>
      </c>
      <c r="BP46" s="58" t="s">
        <v>202</v>
      </c>
      <c r="BQ46">
        <v>2016</v>
      </c>
      <c r="BR46" s="59"/>
      <c r="BV46" s="18"/>
      <c r="BW46" s="18"/>
    </row>
    <row r="47" spans="2:75" x14ac:dyDescent="0.3">
      <c r="B47" s="20" t="s">
        <v>216</v>
      </c>
      <c r="C47" s="20" t="s">
        <v>216</v>
      </c>
      <c r="D47" s="57" t="s">
        <v>1157</v>
      </c>
      <c r="E47" s="58" t="s">
        <v>1101</v>
      </c>
      <c r="F47" s="96"/>
      <c r="G47" s="96"/>
      <c r="H47" s="58" t="s">
        <v>137</v>
      </c>
      <c r="I47" s="58" t="s">
        <v>137</v>
      </c>
      <c r="J47" s="59">
        <v>778785</v>
      </c>
      <c r="K47" s="95" t="s">
        <v>1450</v>
      </c>
      <c r="L47" s="95"/>
      <c r="M47" s="58" t="s">
        <v>219</v>
      </c>
      <c r="N47" s="59">
        <v>11</v>
      </c>
      <c r="O47" s="58" t="s">
        <v>40</v>
      </c>
      <c r="P47" s="58" t="s">
        <v>1015</v>
      </c>
      <c r="Q47" s="58" t="s">
        <v>42</v>
      </c>
      <c r="R47" s="58" t="s">
        <v>220</v>
      </c>
      <c r="S47" s="58" t="s">
        <v>42</v>
      </c>
      <c r="T47" s="73"/>
      <c r="U47" s="74">
        <f t="shared" si="13"/>
        <v>0</v>
      </c>
      <c r="V47" s="74">
        <v>150000</v>
      </c>
      <c r="W47" s="74">
        <v>40271</v>
      </c>
      <c r="X47" s="74">
        <v>55000</v>
      </c>
      <c r="Y47" s="74"/>
      <c r="Z47" s="74">
        <v>88.53</v>
      </c>
      <c r="AA47" s="75" t="s">
        <v>43</v>
      </c>
      <c r="AB47" s="74"/>
      <c r="AC47" s="74"/>
      <c r="AD47" s="75" t="s">
        <v>43</v>
      </c>
      <c r="AE47" s="74"/>
      <c r="AF47" s="74"/>
      <c r="AG47" s="74">
        <v>0</v>
      </c>
      <c r="AH47" s="75" t="s">
        <v>42</v>
      </c>
      <c r="AI47" s="74"/>
      <c r="AJ47" s="74">
        <f t="shared" si="12"/>
        <v>152092.41499564081</v>
      </c>
      <c r="AK47" s="74">
        <f t="shared" si="1"/>
        <v>0</v>
      </c>
      <c r="AL47" s="74">
        <f t="shared" si="2"/>
        <v>159023.53966870095</v>
      </c>
      <c r="AM47" s="74">
        <f t="shared" si="3"/>
        <v>0</v>
      </c>
      <c r="AN47" s="74"/>
      <c r="AO47" s="74">
        <f t="shared" si="4"/>
        <v>0</v>
      </c>
      <c r="AP47" s="74">
        <f t="shared" si="5"/>
        <v>0</v>
      </c>
      <c r="AQ47" s="74">
        <f t="shared" si="8"/>
        <v>0</v>
      </c>
      <c r="AR47" s="76">
        <v>113.9</v>
      </c>
      <c r="AS47" s="74">
        <f t="shared" si="9"/>
        <v>0</v>
      </c>
      <c r="AT47" s="76">
        <v>105</v>
      </c>
      <c r="AU47" s="74">
        <f t="shared" ref="AU47:AU48" si="14">AQ47/AR47*AV47</f>
        <v>0</v>
      </c>
      <c r="AV47" s="76">
        <v>124</v>
      </c>
      <c r="AW47" s="74">
        <f t="shared" ref="AW47:AW48" si="15">AS47/AT47*AX47</f>
        <v>0</v>
      </c>
      <c r="AX47" s="76">
        <v>122</v>
      </c>
      <c r="AY47" s="77">
        <f t="shared" si="6"/>
        <v>0</v>
      </c>
      <c r="AZ47" s="78">
        <v>125.2</v>
      </c>
      <c r="BA47" s="77">
        <f t="shared" si="7"/>
        <v>0</v>
      </c>
      <c r="BB47" s="78">
        <v>123.3</v>
      </c>
      <c r="BC47" s="79">
        <v>42073</v>
      </c>
      <c r="BD47" s="59"/>
      <c r="BE47" s="80">
        <v>56.23</v>
      </c>
      <c r="BF47" s="80">
        <v>56.07</v>
      </c>
      <c r="BG47" s="80"/>
      <c r="BH47" s="73"/>
      <c r="BI47" s="73"/>
      <c r="BJ47" s="73"/>
      <c r="BK47" s="73"/>
      <c r="BL47" s="79">
        <v>43004</v>
      </c>
      <c r="BM47" s="79">
        <v>42405</v>
      </c>
      <c r="BN47" s="58" t="s">
        <v>44</v>
      </c>
      <c r="BO47" s="58" t="s">
        <v>44</v>
      </c>
      <c r="BP47" s="58" t="s">
        <v>221</v>
      </c>
      <c r="BQ47">
        <v>2016</v>
      </c>
      <c r="BR47" s="59"/>
      <c r="BV47" s="18"/>
      <c r="BW47" s="18"/>
    </row>
    <row r="48" spans="2:75" x14ac:dyDescent="0.3">
      <c r="B48" s="20" t="s">
        <v>199</v>
      </c>
      <c r="C48" s="20" t="s">
        <v>199</v>
      </c>
      <c r="D48" s="57" t="s">
        <v>1157</v>
      </c>
      <c r="E48" s="58" t="s">
        <v>1101</v>
      </c>
      <c r="F48" s="96"/>
      <c r="G48" s="96"/>
      <c r="H48" s="58" t="s">
        <v>137</v>
      </c>
      <c r="I48" s="58" t="s">
        <v>137</v>
      </c>
      <c r="J48" s="59">
        <v>772723</v>
      </c>
      <c r="K48" s="95" t="s">
        <v>1451</v>
      </c>
      <c r="L48" s="95"/>
      <c r="M48" s="58" t="s">
        <v>72</v>
      </c>
      <c r="N48" s="59">
        <v>11</v>
      </c>
      <c r="O48" s="58" t="s">
        <v>40</v>
      </c>
      <c r="P48" s="58" t="s">
        <v>222</v>
      </c>
      <c r="Q48" s="58" t="s">
        <v>139</v>
      </c>
      <c r="R48" s="58" t="s">
        <v>223</v>
      </c>
      <c r="S48" s="58" t="s">
        <v>42</v>
      </c>
      <c r="T48" s="73"/>
      <c r="U48" s="74">
        <f t="shared" si="13"/>
        <v>0</v>
      </c>
      <c r="V48" s="74">
        <v>80000</v>
      </c>
      <c r="W48" s="74"/>
      <c r="X48" s="74">
        <v>126220</v>
      </c>
      <c r="Y48" s="74"/>
      <c r="Z48" s="74">
        <v>47.22</v>
      </c>
      <c r="AA48" s="75" t="s">
        <v>43</v>
      </c>
      <c r="AB48" s="74"/>
      <c r="AC48" s="74"/>
      <c r="AD48" s="75" t="s">
        <v>43</v>
      </c>
      <c r="AE48" s="74"/>
      <c r="AF48" s="74"/>
      <c r="AG48" s="74">
        <v>0</v>
      </c>
      <c r="AH48" s="75" t="s">
        <v>42</v>
      </c>
      <c r="AI48" s="74"/>
      <c r="AJ48" s="74">
        <f t="shared" si="12"/>
        <v>81115.954664341756</v>
      </c>
      <c r="AK48" s="74">
        <f t="shared" si="1"/>
        <v>0</v>
      </c>
      <c r="AL48" s="74">
        <f t="shared" si="2"/>
        <v>84812.554489973831</v>
      </c>
      <c r="AM48" s="74">
        <f t="shared" si="3"/>
        <v>0</v>
      </c>
      <c r="AN48" s="74">
        <f t="shared" si="3"/>
        <v>89053.18221447253</v>
      </c>
      <c r="AO48" s="74">
        <f t="shared" si="4"/>
        <v>0</v>
      </c>
      <c r="AP48" s="74">
        <f t="shared" si="5"/>
        <v>89053.18221447253</v>
      </c>
      <c r="AQ48" s="74">
        <f t="shared" si="8"/>
        <v>0</v>
      </c>
      <c r="AR48" s="76">
        <v>113.9</v>
      </c>
      <c r="AS48" s="74">
        <f t="shared" si="9"/>
        <v>89053.18221447253</v>
      </c>
      <c r="AT48" s="76">
        <v>105</v>
      </c>
      <c r="AU48" s="74">
        <f t="shared" si="14"/>
        <v>0</v>
      </c>
      <c r="AV48" s="76">
        <v>124</v>
      </c>
      <c r="AW48" s="74">
        <f t="shared" si="15"/>
        <v>103471.31647776809</v>
      </c>
      <c r="AX48" s="76">
        <v>122</v>
      </c>
      <c r="AY48" s="77">
        <f t="shared" si="6"/>
        <v>0</v>
      </c>
      <c r="AZ48" s="78">
        <v>125.2</v>
      </c>
      <c r="BA48" s="77">
        <f t="shared" si="7"/>
        <v>104574</v>
      </c>
      <c r="BB48" s="78">
        <v>123.3</v>
      </c>
      <c r="BC48" s="79">
        <v>38777</v>
      </c>
      <c r="BD48" s="59"/>
      <c r="BE48" s="80">
        <v>74.5</v>
      </c>
      <c r="BF48" s="80">
        <v>74.5</v>
      </c>
      <c r="BG48" s="80">
        <v>73.84</v>
      </c>
      <c r="BH48" s="73"/>
      <c r="BI48" s="73"/>
      <c r="BJ48" s="73"/>
      <c r="BK48" s="73"/>
      <c r="BL48" s="79">
        <v>43045</v>
      </c>
      <c r="BM48" s="79">
        <v>38848</v>
      </c>
      <c r="BN48" s="58" t="s">
        <v>44</v>
      </c>
      <c r="BO48" s="58" t="s">
        <v>44</v>
      </c>
      <c r="BP48" s="58" t="s">
        <v>202</v>
      </c>
      <c r="BQ48">
        <v>2016</v>
      </c>
      <c r="BR48" s="59"/>
      <c r="BV48" s="18"/>
      <c r="BW48" s="18"/>
    </row>
    <row r="49" spans="2:75" x14ac:dyDescent="0.3">
      <c r="B49" s="20" t="s">
        <v>1006</v>
      </c>
      <c r="C49" s="20" t="s">
        <v>1006</v>
      </c>
      <c r="D49" s="57" t="s">
        <v>1388</v>
      </c>
      <c r="E49" s="58" t="s">
        <v>1382</v>
      </c>
      <c r="F49" s="97" t="s">
        <v>1473</v>
      </c>
      <c r="G49" s="97" t="s">
        <v>1473</v>
      </c>
      <c r="H49" s="58"/>
      <c r="I49" s="58"/>
      <c r="J49" s="59"/>
      <c r="K49" s="95" t="s">
        <v>1440</v>
      </c>
      <c r="L49" s="104" t="s">
        <v>1469</v>
      </c>
      <c r="M49" s="58"/>
      <c r="N49" s="59"/>
      <c r="O49" s="58" t="s">
        <v>40</v>
      </c>
      <c r="P49" s="58" t="s">
        <v>1007</v>
      </c>
      <c r="Q49" s="58"/>
      <c r="R49" s="58"/>
      <c r="S49" s="58"/>
      <c r="T49" s="73"/>
      <c r="U49" s="74"/>
      <c r="V49" s="74"/>
      <c r="W49" s="74"/>
      <c r="X49" s="74"/>
      <c r="Y49" s="74"/>
      <c r="Z49" s="74"/>
      <c r="AA49" s="75"/>
      <c r="AB49" s="74"/>
      <c r="AC49" s="74"/>
      <c r="AD49" s="75"/>
      <c r="AE49" s="74"/>
      <c r="AF49" s="74"/>
      <c r="AG49" s="74"/>
      <c r="AH49" s="75"/>
      <c r="AI49" s="74"/>
      <c r="AJ49" s="74"/>
      <c r="AK49" s="74"/>
      <c r="AL49" s="74"/>
      <c r="AM49" s="74">
        <v>8000000</v>
      </c>
      <c r="AN49" s="74"/>
      <c r="AO49" s="74">
        <f>AM49/105*108+130862</f>
        <v>8359433.4285714282</v>
      </c>
      <c r="AP49" s="74">
        <f t="shared" ref="AP49:AP59" si="16">AN49</f>
        <v>0</v>
      </c>
      <c r="AQ49" s="74">
        <f t="shared" ref="AQ49:AQ59" si="17">AO49/108*113.9</f>
        <v>8816106.1806878299</v>
      </c>
      <c r="AR49" s="76">
        <v>113.9</v>
      </c>
      <c r="AS49" s="74">
        <f t="shared" ref="AS49:AS59" si="18">AP49</f>
        <v>0</v>
      </c>
      <c r="AT49" s="76">
        <v>105</v>
      </c>
      <c r="AU49" s="74">
        <f t="shared" ref="AU49:AU83" si="19">AQ49/AR49*AV49</f>
        <v>9597868.0105820093</v>
      </c>
      <c r="AV49" s="76">
        <v>124</v>
      </c>
      <c r="AW49" s="74">
        <f t="shared" ref="AW49:AW76" si="20">AS49/AT49*AX49</f>
        <v>0</v>
      </c>
      <c r="AX49" s="76">
        <v>122</v>
      </c>
      <c r="AY49" s="77">
        <f t="shared" ref="AY49:AY76" si="21">CEILING(((AU49/AV49)*AZ49),1)</f>
        <v>9690751</v>
      </c>
      <c r="AZ49" s="78">
        <v>125.2</v>
      </c>
      <c r="BA49" s="77">
        <f t="shared" ref="BA49:BA76" si="22">CEILING(((AW49/AX49)*BB49),1)</f>
        <v>0</v>
      </c>
      <c r="BB49" s="78">
        <v>123.3</v>
      </c>
      <c r="BC49" s="79">
        <v>43917</v>
      </c>
      <c r="BD49" s="59"/>
      <c r="BE49" s="80"/>
      <c r="BF49" s="80"/>
      <c r="BG49" s="80"/>
      <c r="BH49" s="73"/>
      <c r="BI49" s="73"/>
      <c r="BJ49" s="73"/>
      <c r="BK49" s="73"/>
      <c r="BL49" s="79"/>
      <c r="BM49" s="79"/>
      <c r="BN49" s="58"/>
      <c r="BO49" s="58"/>
      <c r="BP49" s="58"/>
      <c r="BR49" s="59" t="s">
        <v>1005</v>
      </c>
      <c r="BV49" s="18"/>
      <c r="BW49" s="18"/>
    </row>
    <row r="50" spans="2:75" x14ac:dyDescent="0.3">
      <c r="B50" s="20" t="s">
        <v>225</v>
      </c>
      <c r="C50" s="20" t="s">
        <v>1261</v>
      </c>
      <c r="D50" s="57" t="s">
        <v>1158</v>
      </c>
      <c r="E50" s="58" t="s">
        <v>986</v>
      </c>
      <c r="F50" s="96"/>
      <c r="G50" s="96"/>
      <c r="H50" s="58" t="s">
        <v>226</v>
      </c>
      <c r="I50" s="58" t="s">
        <v>226</v>
      </c>
      <c r="J50" s="59">
        <v>772723</v>
      </c>
      <c r="K50" s="95" t="s">
        <v>43</v>
      </c>
      <c r="L50" s="95"/>
      <c r="M50" s="58" t="s">
        <v>72</v>
      </c>
      <c r="N50" s="59">
        <v>11</v>
      </c>
      <c r="O50" s="58" t="s">
        <v>40</v>
      </c>
      <c r="P50" s="58" t="s">
        <v>227</v>
      </c>
      <c r="Q50" s="58" t="s">
        <v>217</v>
      </c>
      <c r="R50" s="58" t="s">
        <v>228</v>
      </c>
      <c r="S50" s="58" t="s">
        <v>42</v>
      </c>
      <c r="T50" s="73">
        <v>1200000</v>
      </c>
      <c r="U50" s="74">
        <f t="shared" ref="U50:U83" si="23">122.9*T50/121.1</f>
        <v>1217836.4987613542</v>
      </c>
      <c r="V50" s="74">
        <v>360000</v>
      </c>
      <c r="W50" s="74">
        <v>986483</v>
      </c>
      <c r="X50" s="74">
        <v>269179</v>
      </c>
      <c r="Y50" s="74">
        <v>708.24</v>
      </c>
      <c r="Z50" s="74">
        <v>212.47</v>
      </c>
      <c r="AA50" s="75" t="s">
        <v>43</v>
      </c>
      <c r="AB50" s="74"/>
      <c r="AC50" s="74"/>
      <c r="AD50" s="75" t="s">
        <v>43</v>
      </c>
      <c r="AE50" s="74"/>
      <c r="AF50" s="74"/>
      <c r="AG50" s="74">
        <v>0</v>
      </c>
      <c r="AH50" s="75" t="s">
        <v>42</v>
      </c>
      <c r="AI50" s="74"/>
      <c r="AJ50" s="74">
        <f t="shared" ref="AJ50:AJ83" si="24">116.3*V50/114.7</f>
        <v>365021.7959895379</v>
      </c>
      <c r="AK50" s="74">
        <f t="shared" ref="AK50:AK83" si="25">139.1/122.9*U50</f>
        <v>1378364.9876135425</v>
      </c>
      <c r="AL50" s="74">
        <f t="shared" ref="AL50:AL83" si="26">121.6/116.3*AJ50</f>
        <v>381656.49520488223</v>
      </c>
      <c r="AM50" s="74">
        <f t="shared" ref="AM50:AM60" si="27">AK50*1.05</f>
        <v>1447283.2369942197</v>
      </c>
      <c r="AN50" s="74">
        <f t="shared" ref="AN50:AN60" si="28">AL50*1.05</f>
        <v>400739.31996512634</v>
      </c>
      <c r="AO50" s="74">
        <f t="shared" ref="AO50:AO59" si="29">AM50/105*108</f>
        <v>1488634.1866226259</v>
      </c>
      <c r="AP50" s="74">
        <f t="shared" si="16"/>
        <v>400739.31996512634</v>
      </c>
      <c r="AQ50" s="74">
        <f t="shared" si="17"/>
        <v>1569957.7208918249</v>
      </c>
      <c r="AR50" s="76">
        <v>113.9</v>
      </c>
      <c r="AS50" s="74">
        <f t="shared" si="18"/>
        <v>400739.31996512634</v>
      </c>
      <c r="AT50" s="76">
        <v>105</v>
      </c>
      <c r="AU50" s="74">
        <f t="shared" si="19"/>
        <v>1709172.5846407928</v>
      </c>
      <c r="AV50" s="76">
        <v>124</v>
      </c>
      <c r="AW50" s="74">
        <f t="shared" si="20"/>
        <v>465620.92414995632</v>
      </c>
      <c r="AX50" s="76">
        <v>122</v>
      </c>
      <c r="AY50" s="77">
        <f t="shared" si="21"/>
        <v>1725713</v>
      </c>
      <c r="AZ50" s="78">
        <v>125.2</v>
      </c>
      <c r="BA50" s="77">
        <f t="shared" si="22"/>
        <v>470583</v>
      </c>
      <c r="BB50" s="78">
        <v>123.3</v>
      </c>
      <c r="BC50" s="79">
        <v>36161</v>
      </c>
      <c r="BD50" s="59"/>
      <c r="BE50" s="80">
        <v>741.09</v>
      </c>
      <c r="BF50" s="80">
        <v>737.18</v>
      </c>
      <c r="BG50" s="80">
        <v>728.93</v>
      </c>
      <c r="BH50" s="73"/>
      <c r="BI50" s="73"/>
      <c r="BJ50" s="73"/>
      <c r="BK50" s="73"/>
      <c r="BL50" s="79">
        <v>42969</v>
      </c>
      <c r="BM50" s="79">
        <v>36434</v>
      </c>
      <c r="BN50" s="58" t="s">
        <v>44</v>
      </c>
      <c r="BO50" s="58" t="s">
        <v>70</v>
      </c>
      <c r="BP50" s="58" t="s">
        <v>59</v>
      </c>
      <c r="BQ50">
        <v>2016</v>
      </c>
      <c r="BR50" s="59"/>
      <c r="BV50" s="18"/>
      <c r="BW50" s="18"/>
    </row>
    <row r="51" spans="2:75" x14ac:dyDescent="0.3">
      <c r="B51" s="20" t="s">
        <v>229</v>
      </c>
      <c r="C51" s="20" t="s">
        <v>229</v>
      </c>
      <c r="D51" s="57" t="e">
        <v>#N/A</v>
      </c>
      <c r="E51" s="58" t="s">
        <v>1101</v>
      </c>
      <c r="F51" s="97" t="s">
        <v>1473</v>
      </c>
      <c r="G51" s="97" t="s">
        <v>1473</v>
      </c>
      <c r="H51" s="58" t="s">
        <v>137</v>
      </c>
      <c r="I51" s="58" t="s">
        <v>137</v>
      </c>
      <c r="J51" s="59">
        <v>772720</v>
      </c>
      <c r="K51" s="95" t="s">
        <v>1440</v>
      </c>
      <c r="L51" s="104" t="s">
        <v>1472</v>
      </c>
      <c r="M51" s="58" t="s">
        <v>193</v>
      </c>
      <c r="N51" s="59">
        <v>11</v>
      </c>
      <c r="O51" s="58" t="s">
        <v>40</v>
      </c>
      <c r="P51" s="58" t="s">
        <v>230</v>
      </c>
      <c r="Q51" s="58" t="s">
        <v>195</v>
      </c>
      <c r="R51" s="58" t="s">
        <v>231</v>
      </c>
      <c r="S51" s="58" t="s">
        <v>232</v>
      </c>
      <c r="T51" s="73">
        <v>21030000</v>
      </c>
      <c r="U51" s="74">
        <f t="shared" si="23"/>
        <v>21342584.640792735</v>
      </c>
      <c r="V51" s="74"/>
      <c r="W51" s="74">
        <v>19964330</v>
      </c>
      <c r="X51" s="74"/>
      <c r="Y51" s="74">
        <v>12411.91</v>
      </c>
      <c r="Z51" s="74"/>
      <c r="AA51" s="75" t="s">
        <v>43</v>
      </c>
      <c r="AB51" s="74"/>
      <c r="AC51" s="74"/>
      <c r="AD51" s="75" t="s">
        <v>43</v>
      </c>
      <c r="AE51" s="74"/>
      <c r="AF51" s="74"/>
      <c r="AG51" s="74">
        <v>0</v>
      </c>
      <c r="AH51" s="75" t="s">
        <v>42</v>
      </c>
      <c r="AI51" s="74"/>
      <c r="AJ51" s="74">
        <f t="shared" si="24"/>
        <v>0</v>
      </c>
      <c r="AK51" s="74">
        <f t="shared" si="25"/>
        <v>24155846.407927334</v>
      </c>
      <c r="AL51" s="74">
        <f t="shared" si="26"/>
        <v>0</v>
      </c>
      <c r="AM51" s="74">
        <f t="shared" si="27"/>
        <v>25363638.728323702</v>
      </c>
      <c r="AN51" s="74">
        <f t="shared" si="28"/>
        <v>0</v>
      </c>
      <c r="AO51" s="74">
        <f t="shared" si="29"/>
        <v>26088314.120561522</v>
      </c>
      <c r="AP51" s="74">
        <f t="shared" si="16"/>
        <v>0</v>
      </c>
      <c r="AQ51" s="74">
        <f t="shared" si="17"/>
        <v>27513509.058629233</v>
      </c>
      <c r="AR51" s="76">
        <v>113.9</v>
      </c>
      <c r="AS51" s="74">
        <f t="shared" si="18"/>
        <v>0</v>
      </c>
      <c r="AT51" s="76">
        <v>105</v>
      </c>
      <c r="AU51" s="74">
        <f t="shared" si="19"/>
        <v>29953249.545829896</v>
      </c>
      <c r="AV51" s="76">
        <v>124</v>
      </c>
      <c r="AW51" s="74">
        <f t="shared" si="20"/>
        <v>0</v>
      </c>
      <c r="AX51" s="76">
        <v>122</v>
      </c>
      <c r="AY51" s="77">
        <f t="shared" si="21"/>
        <v>30243120</v>
      </c>
      <c r="AZ51" s="78">
        <v>125.2</v>
      </c>
      <c r="BA51" s="77">
        <f t="shared" si="22"/>
        <v>0</v>
      </c>
      <c r="BB51" s="78">
        <v>123.3</v>
      </c>
      <c r="BC51" s="79">
        <v>38930</v>
      </c>
      <c r="BD51" s="59"/>
      <c r="BE51" s="80">
        <v>11782.95</v>
      </c>
      <c r="BF51" s="80">
        <v>11537.24</v>
      </c>
      <c r="BG51" s="80">
        <v>11400.59</v>
      </c>
      <c r="BH51" s="73"/>
      <c r="BI51" s="73"/>
      <c r="BJ51" s="73"/>
      <c r="BK51" s="73"/>
      <c r="BL51" s="79">
        <v>43045</v>
      </c>
      <c r="BM51" s="79">
        <v>39010</v>
      </c>
      <c r="BN51" s="58" t="s">
        <v>44</v>
      </c>
      <c r="BO51" s="58" t="s">
        <v>44</v>
      </c>
      <c r="BP51" s="58" t="s">
        <v>146</v>
      </c>
      <c r="BQ51">
        <v>2016</v>
      </c>
      <c r="BR51" s="59" t="s">
        <v>1005</v>
      </c>
      <c r="BV51" s="18"/>
      <c r="BW51" s="18"/>
    </row>
    <row r="52" spans="2:75" x14ac:dyDescent="0.3">
      <c r="B52" s="20" t="s">
        <v>233</v>
      </c>
      <c r="C52" s="20" t="s">
        <v>233</v>
      </c>
      <c r="D52" s="57" t="s">
        <v>1159</v>
      </c>
      <c r="E52" s="58" t="s">
        <v>1101</v>
      </c>
      <c r="F52" s="96"/>
      <c r="G52" s="96"/>
      <c r="H52" s="58" t="s">
        <v>137</v>
      </c>
      <c r="I52" s="58" t="s">
        <v>137</v>
      </c>
      <c r="J52" s="59">
        <v>772723</v>
      </c>
      <c r="K52" s="95" t="s">
        <v>1452</v>
      </c>
      <c r="L52" s="95"/>
      <c r="M52" s="58" t="s">
        <v>72</v>
      </c>
      <c r="N52" s="59">
        <v>11</v>
      </c>
      <c r="O52" s="58" t="s">
        <v>40</v>
      </c>
      <c r="P52" s="58" t="s">
        <v>234</v>
      </c>
      <c r="Q52" s="58" t="s">
        <v>92</v>
      </c>
      <c r="R52" s="58" t="s">
        <v>235</v>
      </c>
      <c r="S52" s="58" t="s">
        <v>42</v>
      </c>
      <c r="T52" s="73"/>
      <c r="U52" s="74">
        <f t="shared" si="23"/>
        <v>0</v>
      </c>
      <c r="V52" s="74">
        <v>1330000</v>
      </c>
      <c r="W52" s="74"/>
      <c r="X52" s="74">
        <v>802398</v>
      </c>
      <c r="Y52" s="74"/>
      <c r="Z52" s="74">
        <v>784.97</v>
      </c>
      <c r="AA52" s="75" t="s">
        <v>43</v>
      </c>
      <c r="AB52" s="74"/>
      <c r="AC52" s="74"/>
      <c r="AD52" s="75" t="s">
        <v>43</v>
      </c>
      <c r="AE52" s="74"/>
      <c r="AF52" s="74"/>
      <c r="AG52" s="74">
        <v>0</v>
      </c>
      <c r="AH52" s="75" t="s">
        <v>42</v>
      </c>
      <c r="AI52" s="74"/>
      <c r="AJ52" s="74">
        <f t="shared" si="24"/>
        <v>1348552.7462946817</v>
      </c>
      <c r="AK52" s="74">
        <f t="shared" si="25"/>
        <v>0</v>
      </c>
      <c r="AL52" s="74">
        <f t="shared" si="26"/>
        <v>1410008.718395815</v>
      </c>
      <c r="AM52" s="74">
        <f t="shared" si="27"/>
        <v>0</v>
      </c>
      <c r="AN52" s="74">
        <f t="shared" si="28"/>
        <v>1480509.1543156058</v>
      </c>
      <c r="AO52" s="74">
        <f t="shared" si="29"/>
        <v>0</v>
      </c>
      <c r="AP52" s="74">
        <f t="shared" si="16"/>
        <v>1480509.1543156058</v>
      </c>
      <c r="AQ52" s="74">
        <f t="shared" si="17"/>
        <v>0</v>
      </c>
      <c r="AR52" s="76">
        <v>113.9</v>
      </c>
      <c r="AS52" s="74">
        <f t="shared" si="18"/>
        <v>1480509.1543156058</v>
      </c>
      <c r="AT52" s="76">
        <v>105</v>
      </c>
      <c r="AU52" s="74">
        <f t="shared" si="19"/>
        <v>0</v>
      </c>
      <c r="AV52" s="76">
        <v>124</v>
      </c>
      <c r="AW52" s="74">
        <f t="shared" si="20"/>
        <v>1720210.6364428943</v>
      </c>
      <c r="AX52" s="76">
        <v>122</v>
      </c>
      <c r="AY52" s="77">
        <f t="shared" si="21"/>
        <v>0</v>
      </c>
      <c r="AZ52" s="78">
        <v>125.2</v>
      </c>
      <c r="BA52" s="77">
        <f t="shared" si="22"/>
        <v>1738541</v>
      </c>
      <c r="BB52" s="78">
        <v>123.3</v>
      </c>
      <c r="BC52" s="79">
        <v>38930</v>
      </c>
      <c r="BD52" s="59"/>
      <c r="BE52" s="80">
        <v>473.58</v>
      </c>
      <c r="BF52" s="80">
        <v>473.58</v>
      </c>
      <c r="BG52" s="80">
        <v>469.41</v>
      </c>
      <c r="BH52" s="73"/>
      <c r="BI52" s="73"/>
      <c r="BJ52" s="73"/>
      <c r="BK52" s="73"/>
      <c r="BL52" s="79">
        <v>42969</v>
      </c>
      <c r="BM52" s="79">
        <v>39010</v>
      </c>
      <c r="BN52" s="58" t="s">
        <v>44</v>
      </c>
      <c r="BO52" s="58" t="s">
        <v>44</v>
      </c>
      <c r="BP52" s="58" t="s">
        <v>59</v>
      </c>
      <c r="BQ52">
        <v>2016</v>
      </c>
      <c r="BR52" s="59"/>
      <c r="BV52" s="18"/>
      <c r="BW52" s="18"/>
    </row>
    <row r="53" spans="2:75" x14ac:dyDescent="0.3">
      <c r="B53" s="20" t="s">
        <v>236</v>
      </c>
      <c r="C53" s="20" t="s">
        <v>236</v>
      </c>
      <c r="D53" s="57" t="s">
        <v>1159</v>
      </c>
      <c r="E53" s="58" t="s">
        <v>1101</v>
      </c>
      <c r="F53" s="96"/>
      <c r="G53" s="96"/>
      <c r="H53" s="58" t="s">
        <v>137</v>
      </c>
      <c r="I53" s="58" t="s">
        <v>137</v>
      </c>
      <c r="J53" s="59">
        <v>772723</v>
      </c>
      <c r="K53" s="95" t="s">
        <v>1453</v>
      </c>
      <c r="L53" s="95"/>
      <c r="M53" s="58" t="s">
        <v>72</v>
      </c>
      <c r="N53" s="59">
        <v>11</v>
      </c>
      <c r="O53" s="58" t="s">
        <v>40</v>
      </c>
      <c r="P53" s="58" t="s">
        <v>237</v>
      </c>
      <c r="Q53" s="58" t="s">
        <v>92</v>
      </c>
      <c r="R53" s="58" t="s">
        <v>238</v>
      </c>
      <c r="S53" s="58" t="s">
        <v>42</v>
      </c>
      <c r="T53" s="73"/>
      <c r="U53" s="74">
        <f t="shared" si="23"/>
        <v>0</v>
      </c>
      <c r="V53" s="74">
        <v>1010000</v>
      </c>
      <c r="W53" s="74"/>
      <c r="X53" s="74">
        <v>802398</v>
      </c>
      <c r="Y53" s="74"/>
      <c r="Z53" s="74">
        <v>596.1</v>
      </c>
      <c r="AA53" s="75" t="s">
        <v>43</v>
      </c>
      <c r="AB53" s="74"/>
      <c r="AC53" s="74"/>
      <c r="AD53" s="75" t="s">
        <v>43</v>
      </c>
      <c r="AE53" s="74"/>
      <c r="AF53" s="74"/>
      <c r="AG53" s="74">
        <v>0</v>
      </c>
      <c r="AH53" s="75" t="s">
        <v>42</v>
      </c>
      <c r="AI53" s="74"/>
      <c r="AJ53" s="74">
        <f t="shared" si="24"/>
        <v>1024088.9276373147</v>
      </c>
      <c r="AK53" s="74">
        <f t="shared" si="25"/>
        <v>0</v>
      </c>
      <c r="AL53" s="74">
        <f t="shared" si="26"/>
        <v>1070758.5004359197</v>
      </c>
      <c r="AM53" s="74">
        <f t="shared" si="27"/>
        <v>0</v>
      </c>
      <c r="AN53" s="74">
        <f t="shared" si="28"/>
        <v>1124296.4254577158</v>
      </c>
      <c r="AO53" s="74">
        <f t="shared" si="29"/>
        <v>0</v>
      </c>
      <c r="AP53" s="74">
        <f t="shared" si="16"/>
        <v>1124296.4254577158</v>
      </c>
      <c r="AQ53" s="74">
        <f t="shared" si="17"/>
        <v>0</v>
      </c>
      <c r="AR53" s="76">
        <v>113.9</v>
      </c>
      <c r="AS53" s="74">
        <f t="shared" si="18"/>
        <v>1124296.4254577158</v>
      </c>
      <c r="AT53" s="76">
        <v>105</v>
      </c>
      <c r="AU53" s="74">
        <f t="shared" si="19"/>
        <v>0</v>
      </c>
      <c r="AV53" s="76">
        <v>124</v>
      </c>
      <c r="AW53" s="74">
        <f t="shared" si="20"/>
        <v>1306325.3705318221</v>
      </c>
      <c r="AX53" s="76">
        <v>122</v>
      </c>
      <c r="AY53" s="77">
        <f t="shared" si="21"/>
        <v>0</v>
      </c>
      <c r="AZ53" s="78">
        <v>125.2</v>
      </c>
      <c r="BA53" s="77">
        <f t="shared" si="22"/>
        <v>1320246</v>
      </c>
      <c r="BB53" s="78">
        <v>123.3</v>
      </c>
      <c r="BC53" s="79">
        <v>38930</v>
      </c>
      <c r="BD53" s="59"/>
      <c r="BE53" s="80">
        <v>473.58</v>
      </c>
      <c r="BF53" s="80">
        <v>473.58</v>
      </c>
      <c r="BG53" s="80">
        <v>469.41</v>
      </c>
      <c r="BH53" s="73"/>
      <c r="BI53" s="73"/>
      <c r="BJ53" s="73"/>
      <c r="BK53" s="73"/>
      <c r="BL53" s="79">
        <v>43045</v>
      </c>
      <c r="BM53" s="79">
        <v>39010</v>
      </c>
      <c r="BN53" s="58" t="s">
        <v>44</v>
      </c>
      <c r="BO53" s="58" t="s">
        <v>44</v>
      </c>
      <c r="BP53" s="58" t="s">
        <v>59</v>
      </c>
      <c r="BQ53">
        <v>2016</v>
      </c>
      <c r="BR53" s="59"/>
      <c r="BV53" s="18"/>
      <c r="BW53" s="18"/>
    </row>
    <row r="54" spans="2:75" x14ac:dyDescent="0.3">
      <c r="B54" s="20" t="s">
        <v>239</v>
      </c>
      <c r="C54" s="20" t="s">
        <v>239</v>
      </c>
      <c r="D54" s="57" t="s">
        <v>1159</v>
      </c>
      <c r="E54" s="58" t="s">
        <v>1101</v>
      </c>
      <c r="F54" s="96"/>
      <c r="G54" s="96"/>
      <c r="H54" s="58" t="s">
        <v>137</v>
      </c>
      <c r="I54" s="58" t="s">
        <v>137</v>
      </c>
      <c r="J54" s="59">
        <v>772724</v>
      </c>
      <c r="K54" s="95" t="s">
        <v>1454</v>
      </c>
      <c r="L54" s="95"/>
      <c r="M54" s="58" t="s">
        <v>66</v>
      </c>
      <c r="N54" s="59">
        <v>11</v>
      </c>
      <c r="O54" s="58" t="s">
        <v>40</v>
      </c>
      <c r="P54" s="58" t="s">
        <v>240</v>
      </c>
      <c r="Q54" s="58" t="s">
        <v>241</v>
      </c>
      <c r="R54" s="58" t="s">
        <v>242</v>
      </c>
      <c r="S54" s="58" t="s">
        <v>42</v>
      </c>
      <c r="T54" s="73"/>
      <c r="U54" s="74">
        <f t="shared" si="23"/>
        <v>0</v>
      </c>
      <c r="V54" s="74">
        <v>140000</v>
      </c>
      <c r="W54" s="74"/>
      <c r="X54" s="74">
        <v>159514</v>
      </c>
      <c r="Y54" s="74"/>
      <c r="Z54" s="74">
        <v>82.63</v>
      </c>
      <c r="AA54" s="75" t="s">
        <v>43</v>
      </c>
      <c r="AB54" s="74"/>
      <c r="AC54" s="74"/>
      <c r="AD54" s="75" t="s">
        <v>43</v>
      </c>
      <c r="AE54" s="74"/>
      <c r="AF54" s="74"/>
      <c r="AG54" s="74">
        <v>0</v>
      </c>
      <c r="AH54" s="75" t="s">
        <v>42</v>
      </c>
      <c r="AI54" s="74"/>
      <c r="AJ54" s="74">
        <f t="shared" si="24"/>
        <v>141952.92066259807</v>
      </c>
      <c r="AK54" s="74">
        <f t="shared" si="25"/>
        <v>0</v>
      </c>
      <c r="AL54" s="74">
        <f t="shared" si="26"/>
        <v>148421.97035745421</v>
      </c>
      <c r="AM54" s="74">
        <f t="shared" si="27"/>
        <v>0</v>
      </c>
      <c r="AN54" s="74">
        <f t="shared" si="28"/>
        <v>155843.06887532692</v>
      </c>
      <c r="AO54" s="74">
        <f t="shared" si="29"/>
        <v>0</v>
      </c>
      <c r="AP54" s="74">
        <f t="shared" si="16"/>
        <v>155843.06887532692</v>
      </c>
      <c r="AQ54" s="74">
        <f t="shared" si="17"/>
        <v>0</v>
      </c>
      <c r="AR54" s="76">
        <v>113.9</v>
      </c>
      <c r="AS54" s="74">
        <f t="shared" si="18"/>
        <v>155843.06887532692</v>
      </c>
      <c r="AT54" s="76">
        <v>105</v>
      </c>
      <c r="AU54" s="74">
        <f t="shared" si="19"/>
        <v>0</v>
      </c>
      <c r="AV54" s="76">
        <v>124</v>
      </c>
      <c r="AW54" s="74">
        <f t="shared" si="20"/>
        <v>181074.80383609413</v>
      </c>
      <c r="AX54" s="76">
        <v>122</v>
      </c>
      <c r="AY54" s="77">
        <f t="shared" si="21"/>
        <v>0</v>
      </c>
      <c r="AZ54" s="78">
        <v>125.2</v>
      </c>
      <c r="BA54" s="77">
        <f t="shared" si="22"/>
        <v>183005</v>
      </c>
      <c r="BB54" s="78">
        <v>123.3</v>
      </c>
      <c r="BC54" s="79">
        <v>38930</v>
      </c>
      <c r="BD54" s="59"/>
      <c r="BE54" s="80">
        <v>94.15</v>
      </c>
      <c r="BF54" s="80">
        <v>94.15</v>
      </c>
      <c r="BG54" s="80">
        <v>93.32</v>
      </c>
      <c r="BH54" s="73"/>
      <c r="BI54" s="73"/>
      <c r="BJ54" s="73"/>
      <c r="BK54" s="73"/>
      <c r="BL54" s="79">
        <v>42969</v>
      </c>
      <c r="BM54" s="79">
        <v>39010</v>
      </c>
      <c r="BN54" s="58" t="s">
        <v>44</v>
      </c>
      <c r="BO54" s="58" t="s">
        <v>44</v>
      </c>
      <c r="BP54" s="58" t="s">
        <v>59</v>
      </c>
      <c r="BQ54">
        <v>2016</v>
      </c>
      <c r="BR54" s="59"/>
      <c r="BV54" s="18"/>
      <c r="BW54" s="18"/>
    </row>
    <row r="55" spans="2:75" x14ac:dyDescent="0.3">
      <c r="B55" s="20" t="s">
        <v>243</v>
      </c>
      <c r="C55" s="20" t="s">
        <v>243</v>
      </c>
      <c r="D55" s="57" t="s">
        <v>1159</v>
      </c>
      <c r="E55" s="58" t="s">
        <v>1101</v>
      </c>
      <c r="F55" s="96"/>
      <c r="G55" s="96"/>
      <c r="H55" s="58" t="s">
        <v>137</v>
      </c>
      <c r="I55" s="58" t="s">
        <v>137</v>
      </c>
      <c r="J55" s="59">
        <v>772723</v>
      </c>
      <c r="K55" s="95" t="s">
        <v>1455</v>
      </c>
      <c r="L55" s="95"/>
      <c r="M55" s="58" t="s">
        <v>72</v>
      </c>
      <c r="N55" s="59">
        <v>11</v>
      </c>
      <c r="O55" s="58" t="s">
        <v>40</v>
      </c>
      <c r="P55" s="58" t="s">
        <v>244</v>
      </c>
      <c r="Q55" s="58" t="s">
        <v>245</v>
      </c>
      <c r="R55" s="58" t="s">
        <v>246</v>
      </c>
      <c r="S55" s="58" t="s">
        <v>42</v>
      </c>
      <c r="T55" s="73"/>
      <c r="U55" s="74">
        <f t="shared" si="23"/>
        <v>0</v>
      </c>
      <c r="V55" s="74">
        <v>175000</v>
      </c>
      <c r="W55" s="74"/>
      <c r="X55" s="74">
        <v>266686</v>
      </c>
      <c r="Y55" s="74"/>
      <c r="Z55" s="74">
        <v>103.29</v>
      </c>
      <c r="AA55" s="75" t="s">
        <v>43</v>
      </c>
      <c r="AB55" s="74"/>
      <c r="AC55" s="74"/>
      <c r="AD55" s="75" t="s">
        <v>43</v>
      </c>
      <c r="AE55" s="74"/>
      <c r="AF55" s="74"/>
      <c r="AG55" s="74">
        <v>0</v>
      </c>
      <c r="AH55" s="75" t="s">
        <v>42</v>
      </c>
      <c r="AI55" s="74"/>
      <c r="AJ55" s="74">
        <f t="shared" si="24"/>
        <v>177441.1508282476</v>
      </c>
      <c r="AK55" s="74">
        <f t="shared" si="25"/>
        <v>0</v>
      </c>
      <c r="AL55" s="74">
        <f t="shared" si="26"/>
        <v>185527.46294681777</v>
      </c>
      <c r="AM55" s="74">
        <f t="shared" si="27"/>
        <v>0</v>
      </c>
      <c r="AN55" s="74">
        <f t="shared" si="28"/>
        <v>194803.83609415867</v>
      </c>
      <c r="AO55" s="74">
        <f t="shared" si="29"/>
        <v>0</v>
      </c>
      <c r="AP55" s="74">
        <f t="shared" si="16"/>
        <v>194803.83609415867</v>
      </c>
      <c r="AQ55" s="74">
        <f t="shared" si="17"/>
        <v>0</v>
      </c>
      <c r="AR55" s="76">
        <v>113.9</v>
      </c>
      <c r="AS55" s="74">
        <f t="shared" si="18"/>
        <v>194803.83609415867</v>
      </c>
      <c r="AT55" s="76">
        <v>105</v>
      </c>
      <c r="AU55" s="74">
        <f t="shared" si="19"/>
        <v>0</v>
      </c>
      <c r="AV55" s="76">
        <v>124</v>
      </c>
      <c r="AW55" s="74">
        <f t="shared" si="20"/>
        <v>226343.50479511771</v>
      </c>
      <c r="AX55" s="76">
        <v>122</v>
      </c>
      <c r="AY55" s="77">
        <f t="shared" si="21"/>
        <v>0</v>
      </c>
      <c r="AZ55" s="78">
        <v>125.2</v>
      </c>
      <c r="BA55" s="77">
        <f t="shared" si="22"/>
        <v>228756</v>
      </c>
      <c r="BB55" s="78">
        <v>123.3</v>
      </c>
      <c r="BC55" s="79">
        <v>38930</v>
      </c>
      <c r="BD55" s="59"/>
      <c r="BE55" s="80">
        <v>157.4</v>
      </c>
      <c r="BF55" s="80">
        <v>157.4</v>
      </c>
      <c r="BG55" s="80">
        <v>156.02000000000001</v>
      </c>
      <c r="BH55" s="73"/>
      <c r="BI55" s="73"/>
      <c r="BJ55" s="73"/>
      <c r="BK55" s="73"/>
      <c r="BL55" s="79">
        <v>42969</v>
      </c>
      <c r="BM55" s="79">
        <v>39093</v>
      </c>
      <c r="BN55" s="58" t="s">
        <v>44</v>
      </c>
      <c r="BO55" s="58" t="s">
        <v>44</v>
      </c>
      <c r="BP55" s="58" t="s">
        <v>59</v>
      </c>
      <c r="BQ55">
        <v>2016</v>
      </c>
      <c r="BR55" s="59"/>
      <c r="BV55" s="18"/>
      <c r="BW55" s="18"/>
    </row>
    <row r="56" spans="2:75" x14ac:dyDescent="0.3">
      <c r="B56" s="20" t="s">
        <v>247</v>
      </c>
      <c r="C56" s="20" t="s">
        <v>247</v>
      </c>
      <c r="D56" s="57" t="s">
        <v>1159</v>
      </c>
      <c r="E56" s="58" t="s">
        <v>1101</v>
      </c>
      <c r="F56" s="96"/>
      <c r="G56" s="96"/>
      <c r="H56" s="58" t="s">
        <v>137</v>
      </c>
      <c r="I56" s="58" t="s">
        <v>137</v>
      </c>
      <c r="J56" s="59">
        <v>772723</v>
      </c>
      <c r="K56" s="95" t="s">
        <v>1456</v>
      </c>
      <c r="L56" s="95"/>
      <c r="M56" s="58" t="s">
        <v>72</v>
      </c>
      <c r="N56" s="59">
        <v>11</v>
      </c>
      <c r="O56" s="58" t="s">
        <v>40</v>
      </c>
      <c r="P56" s="58" t="s">
        <v>248</v>
      </c>
      <c r="Q56" s="58" t="s">
        <v>74</v>
      </c>
      <c r="R56" s="58" t="s">
        <v>249</v>
      </c>
      <c r="S56" s="58" t="s">
        <v>232</v>
      </c>
      <c r="T56" s="73"/>
      <c r="U56" s="74">
        <f t="shared" si="23"/>
        <v>0</v>
      </c>
      <c r="V56" s="74"/>
      <c r="W56" s="74"/>
      <c r="X56" s="74">
        <v>382075</v>
      </c>
      <c r="Y56" s="74"/>
      <c r="Z56" s="74"/>
      <c r="AA56" s="75" t="s">
        <v>43</v>
      </c>
      <c r="AB56" s="74"/>
      <c r="AC56" s="74"/>
      <c r="AD56" s="75" t="s">
        <v>43</v>
      </c>
      <c r="AE56" s="74"/>
      <c r="AF56" s="74"/>
      <c r="AG56" s="74">
        <v>0</v>
      </c>
      <c r="AH56" s="75" t="s">
        <v>42</v>
      </c>
      <c r="AI56" s="74"/>
      <c r="AJ56" s="74">
        <f t="shared" si="24"/>
        <v>0</v>
      </c>
      <c r="AK56" s="74">
        <f t="shared" si="25"/>
        <v>0</v>
      </c>
      <c r="AL56" s="74">
        <f t="shared" si="26"/>
        <v>0</v>
      </c>
      <c r="AM56" s="74">
        <f t="shared" si="27"/>
        <v>0</v>
      </c>
      <c r="AN56" s="74">
        <f t="shared" si="28"/>
        <v>0</v>
      </c>
      <c r="AO56" s="74">
        <f t="shared" si="29"/>
        <v>0</v>
      </c>
      <c r="AP56" s="74">
        <f t="shared" si="16"/>
        <v>0</v>
      </c>
      <c r="AQ56" s="74">
        <f t="shared" si="17"/>
        <v>0</v>
      </c>
      <c r="AR56" s="76">
        <v>113.9</v>
      </c>
      <c r="AS56" s="74">
        <f t="shared" si="18"/>
        <v>0</v>
      </c>
      <c r="AT56" s="76">
        <v>105</v>
      </c>
      <c r="AU56" s="74">
        <f t="shared" si="19"/>
        <v>0</v>
      </c>
      <c r="AV56" s="76">
        <v>124</v>
      </c>
      <c r="AW56" s="74">
        <f t="shared" si="20"/>
        <v>0</v>
      </c>
      <c r="AX56" s="76">
        <v>122</v>
      </c>
      <c r="AY56" s="77">
        <f t="shared" si="21"/>
        <v>0</v>
      </c>
      <c r="AZ56" s="78">
        <v>125.2</v>
      </c>
      <c r="BA56" s="77">
        <f t="shared" si="22"/>
        <v>0</v>
      </c>
      <c r="BB56" s="78">
        <v>123.3</v>
      </c>
      <c r="BC56" s="79">
        <v>38930</v>
      </c>
      <c r="BD56" s="59"/>
      <c r="BE56" s="80">
        <v>225.5</v>
      </c>
      <c r="BF56" s="80">
        <v>225.5</v>
      </c>
      <c r="BG56" s="80">
        <v>223.52</v>
      </c>
      <c r="BH56" s="73"/>
      <c r="BI56" s="73"/>
      <c r="BJ56" s="73"/>
      <c r="BK56" s="73"/>
      <c r="BL56" s="79">
        <v>42969</v>
      </c>
      <c r="BM56" s="79">
        <v>39010</v>
      </c>
      <c r="BN56" s="58" t="s">
        <v>44</v>
      </c>
      <c r="BO56" s="58" t="s">
        <v>44</v>
      </c>
      <c r="BP56" s="58" t="s">
        <v>59</v>
      </c>
      <c r="BQ56">
        <v>2016</v>
      </c>
      <c r="BR56" s="59"/>
      <c r="BV56" s="18"/>
      <c r="BW56" s="18"/>
    </row>
    <row r="57" spans="2:75" x14ac:dyDescent="0.3">
      <c r="B57" s="20" t="s">
        <v>250</v>
      </c>
      <c r="C57" s="20" t="s">
        <v>250</v>
      </c>
      <c r="D57" s="57" t="e">
        <v>#N/A</v>
      </c>
      <c r="E57" s="58" t="s">
        <v>1101</v>
      </c>
      <c r="F57" s="96"/>
      <c r="G57" s="96"/>
      <c r="H57" s="58" t="s">
        <v>137</v>
      </c>
      <c r="I57" s="58" t="s">
        <v>137</v>
      </c>
      <c r="J57" s="59">
        <v>772723</v>
      </c>
      <c r="K57" s="95" t="s">
        <v>1457</v>
      </c>
      <c r="L57" s="95"/>
      <c r="M57" s="58" t="s">
        <v>72</v>
      </c>
      <c r="N57" s="59">
        <v>11</v>
      </c>
      <c r="O57" s="58" t="s">
        <v>40</v>
      </c>
      <c r="P57" s="58" t="s">
        <v>251</v>
      </c>
      <c r="Q57" s="58" t="s">
        <v>92</v>
      </c>
      <c r="R57" s="58" t="s">
        <v>252</v>
      </c>
      <c r="S57" s="58" t="s">
        <v>42</v>
      </c>
      <c r="T57" s="73"/>
      <c r="U57" s="74">
        <f t="shared" si="23"/>
        <v>0</v>
      </c>
      <c r="V57" s="74"/>
      <c r="W57" s="74"/>
      <c r="X57" s="74">
        <v>399843</v>
      </c>
      <c r="Y57" s="74"/>
      <c r="Z57" s="74"/>
      <c r="AA57" s="75" t="s">
        <v>43</v>
      </c>
      <c r="AB57" s="74"/>
      <c r="AC57" s="74"/>
      <c r="AD57" s="75" t="s">
        <v>43</v>
      </c>
      <c r="AE57" s="74"/>
      <c r="AF57" s="74"/>
      <c r="AG57" s="74">
        <v>0</v>
      </c>
      <c r="AH57" s="75" t="s">
        <v>42</v>
      </c>
      <c r="AI57" s="74"/>
      <c r="AJ57" s="74">
        <f t="shared" si="24"/>
        <v>0</v>
      </c>
      <c r="AK57" s="74">
        <f t="shared" si="25"/>
        <v>0</v>
      </c>
      <c r="AL57" s="74">
        <f t="shared" si="26"/>
        <v>0</v>
      </c>
      <c r="AM57" s="74">
        <f t="shared" si="27"/>
        <v>0</v>
      </c>
      <c r="AN57" s="74">
        <f t="shared" si="28"/>
        <v>0</v>
      </c>
      <c r="AO57" s="74">
        <f t="shared" si="29"/>
        <v>0</v>
      </c>
      <c r="AP57" s="74">
        <f t="shared" si="16"/>
        <v>0</v>
      </c>
      <c r="AQ57" s="74">
        <f t="shared" si="17"/>
        <v>0</v>
      </c>
      <c r="AR57" s="76">
        <v>113.9</v>
      </c>
      <c r="AS57" s="74">
        <f t="shared" si="18"/>
        <v>0</v>
      </c>
      <c r="AT57" s="76">
        <v>105</v>
      </c>
      <c r="AU57" s="74">
        <f t="shared" si="19"/>
        <v>0</v>
      </c>
      <c r="AV57" s="76">
        <v>124</v>
      </c>
      <c r="AW57" s="74">
        <f t="shared" si="20"/>
        <v>0</v>
      </c>
      <c r="AX57" s="76">
        <v>122</v>
      </c>
      <c r="AY57" s="77">
        <f t="shared" si="21"/>
        <v>0</v>
      </c>
      <c r="AZ57" s="78">
        <v>125.2</v>
      </c>
      <c r="BA57" s="77">
        <f t="shared" si="22"/>
        <v>0</v>
      </c>
      <c r="BB57" s="78">
        <v>123.3</v>
      </c>
      <c r="BC57" s="79">
        <v>38930</v>
      </c>
      <c r="BD57" s="59"/>
      <c r="BE57" s="80">
        <v>235.99</v>
      </c>
      <c r="BF57" s="80">
        <v>235.99</v>
      </c>
      <c r="BG57" s="80">
        <v>233.91</v>
      </c>
      <c r="BH57" s="73"/>
      <c r="BI57" s="73"/>
      <c r="BJ57" s="73"/>
      <c r="BK57" s="73"/>
      <c r="BL57" s="79">
        <v>43080</v>
      </c>
      <c r="BM57" s="79">
        <v>39093</v>
      </c>
      <c r="BN57" s="58" t="s">
        <v>44</v>
      </c>
      <c r="BO57" s="58" t="s">
        <v>44</v>
      </c>
      <c r="BP57" s="58" t="s">
        <v>253</v>
      </c>
      <c r="BQ57">
        <v>2016</v>
      </c>
      <c r="BR57" s="59"/>
      <c r="BV57" s="18"/>
      <c r="BW57" s="18"/>
    </row>
    <row r="58" spans="2:75" x14ac:dyDescent="0.3">
      <c r="B58" s="20" t="s">
        <v>254</v>
      </c>
      <c r="C58" s="20" t="s">
        <v>254</v>
      </c>
      <c r="D58" s="57" t="s">
        <v>1159</v>
      </c>
      <c r="E58" s="58" t="s">
        <v>1101</v>
      </c>
      <c r="F58" s="96"/>
      <c r="G58" s="96"/>
      <c r="H58" s="58" t="s">
        <v>137</v>
      </c>
      <c r="I58" s="58" t="s">
        <v>137</v>
      </c>
      <c r="J58" s="59">
        <v>772723</v>
      </c>
      <c r="K58" s="95" t="s">
        <v>1458</v>
      </c>
      <c r="L58" s="95"/>
      <c r="M58" s="58" t="s">
        <v>72</v>
      </c>
      <c r="N58" s="59">
        <v>11</v>
      </c>
      <c r="O58" s="58" t="s">
        <v>40</v>
      </c>
      <c r="P58" s="58" t="s">
        <v>255</v>
      </c>
      <c r="Q58" s="58" t="s">
        <v>92</v>
      </c>
      <c r="R58" s="58" t="s">
        <v>256</v>
      </c>
      <c r="S58" s="58" t="s">
        <v>232</v>
      </c>
      <c r="T58" s="73"/>
      <c r="U58" s="74">
        <f t="shared" si="23"/>
        <v>0</v>
      </c>
      <c r="V58" s="74">
        <v>175000</v>
      </c>
      <c r="W58" s="74"/>
      <c r="X58" s="74">
        <v>307572</v>
      </c>
      <c r="Y58" s="74"/>
      <c r="Z58" s="74">
        <v>103.29</v>
      </c>
      <c r="AA58" s="75" t="s">
        <v>43</v>
      </c>
      <c r="AB58" s="74"/>
      <c r="AC58" s="74"/>
      <c r="AD58" s="75" t="s">
        <v>43</v>
      </c>
      <c r="AE58" s="74"/>
      <c r="AF58" s="74"/>
      <c r="AG58" s="74">
        <v>0</v>
      </c>
      <c r="AH58" s="75" t="s">
        <v>42</v>
      </c>
      <c r="AI58" s="74"/>
      <c r="AJ58" s="74">
        <f t="shared" si="24"/>
        <v>177441.1508282476</v>
      </c>
      <c r="AK58" s="74">
        <f t="shared" si="25"/>
        <v>0</v>
      </c>
      <c r="AL58" s="74">
        <f t="shared" si="26"/>
        <v>185527.46294681777</v>
      </c>
      <c r="AM58" s="74">
        <f t="shared" si="27"/>
        <v>0</v>
      </c>
      <c r="AN58" s="74">
        <f t="shared" si="28"/>
        <v>194803.83609415867</v>
      </c>
      <c r="AO58" s="74">
        <f t="shared" si="29"/>
        <v>0</v>
      </c>
      <c r="AP58" s="74">
        <f t="shared" si="16"/>
        <v>194803.83609415867</v>
      </c>
      <c r="AQ58" s="74">
        <f t="shared" si="17"/>
        <v>0</v>
      </c>
      <c r="AR58" s="76">
        <v>113.9</v>
      </c>
      <c r="AS58" s="74">
        <f t="shared" si="18"/>
        <v>194803.83609415867</v>
      </c>
      <c r="AT58" s="76">
        <v>105</v>
      </c>
      <c r="AU58" s="74">
        <f t="shared" si="19"/>
        <v>0</v>
      </c>
      <c r="AV58" s="76">
        <v>124</v>
      </c>
      <c r="AW58" s="74">
        <f t="shared" si="20"/>
        <v>226343.50479511771</v>
      </c>
      <c r="AX58" s="76">
        <v>122</v>
      </c>
      <c r="AY58" s="77">
        <f t="shared" si="21"/>
        <v>0</v>
      </c>
      <c r="AZ58" s="78">
        <v>125.2</v>
      </c>
      <c r="BA58" s="77">
        <f t="shared" si="22"/>
        <v>228756</v>
      </c>
      <c r="BB58" s="78">
        <v>123.3</v>
      </c>
      <c r="BC58" s="79">
        <v>38930</v>
      </c>
      <c r="BD58" s="59"/>
      <c r="BE58" s="80">
        <v>181.53</v>
      </c>
      <c r="BF58" s="80">
        <v>181.53</v>
      </c>
      <c r="BG58" s="80">
        <v>179.93</v>
      </c>
      <c r="BH58" s="73"/>
      <c r="BI58" s="73"/>
      <c r="BJ58" s="73"/>
      <c r="BK58" s="73"/>
      <c r="BL58" s="79">
        <v>42969</v>
      </c>
      <c r="BM58" s="79">
        <v>39010</v>
      </c>
      <c r="BN58" s="58" t="s">
        <v>44</v>
      </c>
      <c r="BO58" s="58" t="s">
        <v>44</v>
      </c>
      <c r="BP58" s="58" t="s">
        <v>59</v>
      </c>
      <c r="BQ58">
        <v>2016</v>
      </c>
      <c r="BR58" s="59"/>
      <c r="BV58" s="18"/>
      <c r="BW58" s="18"/>
    </row>
    <row r="59" spans="2:75" x14ac:dyDescent="0.3">
      <c r="B59" s="20" t="s">
        <v>257</v>
      </c>
      <c r="C59" s="20" t="s">
        <v>257</v>
      </c>
      <c r="D59" s="57" t="s">
        <v>1159</v>
      </c>
      <c r="E59" s="58" t="s">
        <v>1101</v>
      </c>
      <c r="F59" s="96"/>
      <c r="G59" s="96"/>
      <c r="H59" s="58" t="s">
        <v>137</v>
      </c>
      <c r="I59" s="58" t="s">
        <v>137</v>
      </c>
      <c r="J59" s="59">
        <v>772723</v>
      </c>
      <c r="K59" s="95" t="s">
        <v>1459</v>
      </c>
      <c r="L59" s="95"/>
      <c r="M59" s="58" t="s">
        <v>72</v>
      </c>
      <c r="N59" s="59">
        <v>12</v>
      </c>
      <c r="O59" s="58" t="s">
        <v>49</v>
      </c>
      <c r="P59" s="58" t="s">
        <v>258</v>
      </c>
      <c r="Q59" s="58" t="s">
        <v>42</v>
      </c>
      <c r="R59" s="58" t="s">
        <v>259</v>
      </c>
      <c r="S59" s="58" t="s">
        <v>42</v>
      </c>
      <c r="T59" s="73"/>
      <c r="U59" s="74">
        <f t="shared" si="23"/>
        <v>0</v>
      </c>
      <c r="V59" s="74"/>
      <c r="W59" s="74"/>
      <c r="X59" s="74"/>
      <c r="Y59" s="74"/>
      <c r="Z59" s="74"/>
      <c r="AA59" s="75" t="s">
        <v>43</v>
      </c>
      <c r="AB59" s="74"/>
      <c r="AC59" s="74"/>
      <c r="AD59" s="75" t="s">
        <v>43</v>
      </c>
      <c r="AE59" s="74"/>
      <c r="AF59" s="74"/>
      <c r="AG59" s="74">
        <v>0</v>
      </c>
      <c r="AH59" s="75" t="s">
        <v>42</v>
      </c>
      <c r="AI59" s="74"/>
      <c r="AJ59" s="74">
        <f t="shared" si="24"/>
        <v>0</v>
      </c>
      <c r="AK59" s="74">
        <f t="shared" si="25"/>
        <v>0</v>
      </c>
      <c r="AL59" s="74">
        <f t="shared" si="26"/>
        <v>0</v>
      </c>
      <c r="AM59" s="74">
        <f t="shared" si="27"/>
        <v>0</v>
      </c>
      <c r="AN59" s="74">
        <f t="shared" si="28"/>
        <v>0</v>
      </c>
      <c r="AO59" s="74">
        <f t="shared" si="29"/>
        <v>0</v>
      </c>
      <c r="AP59" s="74">
        <f t="shared" si="16"/>
        <v>0</v>
      </c>
      <c r="AQ59" s="74">
        <f t="shared" si="17"/>
        <v>0</v>
      </c>
      <c r="AR59" s="76">
        <v>113.9</v>
      </c>
      <c r="AS59" s="74">
        <f t="shared" si="18"/>
        <v>0</v>
      </c>
      <c r="AT59" s="76">
        <v>105</v>
      </c>
      <c r="AU59" s="74">
        <f t="shared" si="19"/>
        <v>0</v>
      </c>
      <c r="AV59" s="76">
        <v>124</v>
      </c>
      <c r="AW59" s="74">
        <f t="shared" si="20"/>
        <v>0</v>
      </c>
      <c r="AX59" s="76">
        <v>122</v>
      </c>
      <c r="AY59" s="77">
        <f t="shared" si="21"/>
        <v>0</v>
      </c>
      <c r="AZ59" s="78">
        <v>125.2</v>
      </c>
      <c r="BA59" s="77">
        <f t="shared" si="22"/>
        <v>0</v>
      </c>
      <c r="BB59" s="78">
        <v>123.3</v>
      </c>
      <c r="BC59" s="79">
        <v>42186</v>
      </c>
      <c r="BD59" s="59"/>
      <c r="BE59" s="80"/>
      <c r="BF59" s="80"/>
      <c r="BG59" s="80"/>
      <c r="BH59" s="73"/>
      <c r="BI59" s="73"/>
      <c r="BJ59" s="73"/>
      <c r="BK59" s="73"/>
      <c r="BL59" s="79">
        <v>42969</v>
      </c>
      <c r="BM59" s="79">
        <v>42409</v>
      </c>
      <c r="BN59" s="58" t="s">
        <v>44</v>
      </c>
      <c r="BO59" s="58" t="s">
        <v>44</v>
      </c>
      <c r="BP59" s="58" t="s">
        <v>260</v>
      </c>
      <c r="BQ59">
        <v>2016</v>
      </c>
      <c r="BR59" s="59"/>
      <c r="BV59" s="18"/>
      <c r="BW59" s="18"/>
    </row>
    <row r="60" spans="2:75" x14ac:dyDescent="0.3">
      <c r="B60" s="20" t="s">
        <v>265</v>
      </c>
      <c r="C60" s="20" t="s">
        <v>265</v>
      </c>
      <c r="D60" s="57" t="s">
        <v>1160</v>
      </c>
      <c r="E60" s="58" t="s">
        <v>1111</v>
      </c>
      <c r="F60" s="97" t="s">
        <v>1473</v>
      </c>
      <c r="G60" s="97" t="s">
        <v>1473</v>
      </c>
      <c r="H60" s="58" t="s">
        <v>261</v>
      </c>
      <c r="I60" s="58" t="s">
        <v>261</v>
      </c>
      <c r="J60" s="59">
        <v>772723</v>
      </c>
      <c r="K60" s="95" t="s">
        <v>1440</v>
      </c>
      <c r="L60" s="104" t="s">
        <v>1472</v>
      </c>
      <c r="M60" s="58" t="s">
        <v>72</v>
      </c>
      <c r="N60" s="59">
        <v>16</v>
      </c>
      <c r="O60" s="58" t="s">
        <v>262</v>
      </c>
      <c r="P60" s="58" t="s">
        <v>263</v>
      </c>
      <c r="Q60" s="58" t="s">
        <v>217</v>
      </c>
      <c r="R60" s="58" t="s">
        <v>264</v>
      </c>
      <c r="S60" s="58" t="s">
        <v>42</v>
      </c>
      <c r="T60" s="73">
        <v>1400000</v>
      </c>
      <c r="U60" s="74">
        <f t="shared" si="23"/>
        <v>1420809.2485549133</v>
      </c>
      <c r="V60" s="74">
        <v>327500</v>
      </c>
      <c r="W60" s="74">
        <v>1262698</v>
      </c>
      <c r="X60" s="74">
        <v>545836</v>
      </c>
      <c r="Y60" s="74">
        <v>826.28</v>
      </c>
      <c r="Z60" s="74">
        <v>193.29</v>
      </c>
      <c r="AA60" s="75" t="s">
        <v>43</v>
      </c>
      <c r="AB60" s="74"/>
      <c r="AC60" s="74"/>
      <c r="AD60" s="75" t="s">
        <v>43</v>
      </c>
      <c r="AE60" s="74"/>
      <c r="AF60" s="74"/>
      <c r="AG60" s="74">
        <v>0</v>
      </c>
      <c r="AH60" s="75" t="s">
        <v>42</v>
      </c>
      <c r="AI60" s="74"/>
      <c r="AJ60" s="74">
        <f t="shared" si="24"/>
        <v>332068.4394071491</v>
      </c>
      <c r="AK60" s="74">
        <f t="shared" si="25"/>
        <v>1608092.4855491328</v>
      </c>
      <c r="AL60" s="74">
        <f t="shared" si="26"/>
        <v>347201.39494333044</v>
      </c>
      <c r="AM60" s="74">
        <f t="shared" si="27"/>
        <v>1688497.1098265895</v>
      </c>
      <c r="AN60" s="74">
        <f t="shared" si="28"/>
        <v>364561.46469049697</v>
      </c>
      <c r="AO60" s="74">
        <v>1736740</v>
      </c>
      <c r="AP60" s="74">
        <v>0</v>
      </c>
      <c r="AQ60" s="74">
        <f>AO60/108*113.9+7139000</f>
        <v>8970617.4629629627</v>
      </c>
      <c r="AR60" s="76">
        <v>113.9</v>
      </c>
      <c r="AS60" s="28">
        <v>1700357</v>
      </c>
      <c r="AT60" s="76">
        <v>105</v>
      </c>
      <c r="AU60" s="74">
        <f t="shared" si="19"/>
        <v>9766080.4688973427</v>
      </c>
      <c r="AV60" s="76">
        <v>124</v>
      </c>
      <c r="AW60" s="74">
        <f t="shared" si="20"/>
        <v>1975652.8952380952</v>
      </c>
      <c r="AX60" s="76">
        <v>122</v>
      </c>
      <c r="AY60" s="77">
        <f t="shared" si="21"/>
        <v>9860591</v>
      </c>
      <c r="AZ60" s="78">
        <v>125.2</v>
      </c>
      <c r="BA60" s="77">
        <f t="shared" si="22"/>
        <v>1996705</v>
      </c>
      <c r="BB60" s="78">
        <v>123.3</v>
      </c>
      <c r="BC60" s="79">
        <v>36161</v>
      </c>
      <c r="BD60" s="59"/>
      <c r="BE60" s="80">
        <v>1067.3900000000001</v>
      </c>
      <c r="BF60" s="80">
        <v>1062.3800000000001</v>
      </c>
      <c r="BG60" s="80">
        <v>1050.79</v>
      </c>
      <c r="BH60" s="73"/>
      <c r="BI60" s="73"/>
      <c r="BJ60" s="73"/>
      <c r="BK60" s="73"/>
      <c r="BL60" s="79">
        <v>42969</v>
      </c>
      <c r="BM60" s="79">
        <v>36434</v>
      </c>
      <c r="BN60" s="58" t="s">
        <v>44</v>
      </c>
      <c r="BO60" s="58" t="s">
        <v>70</v>
      </c>
      <c r="BP60" s="21"/>
      <c r="BQ60">
        <v>2016</v>
      </c>
      <c r="BR60" s="59"/>
      <c r="BV60" s="18"/>
      <c r="BW60" s="18"/>
    </row>
    <row r="61" spans="2:75" x14ac:dyDescent="0.3">
      <c r="B61" s="20" t="s">
        <v>267</v>
      </c>
      <c r="C61" s="20" t="s">
        <v>267</v>
      </c>
      <c r="D61" s="57" t="e">
        <v>#N/A</v>
      </c>
      <c r="E61" s="58" t="s">
        <v>1101</v>
      </c>
      <c r="F61" s="96"/>
      <c r="G61" s="96"/>
      <c r="H61" s="58" t="s">
        <v>82</v>
      </c>
      <c r="I61" s="58" t="s">
        <v>82</v>
      </c>
      <c r="J61" s="59">
        <v>777772</v>
      </c>
      <c r="K61" s="95" t="s">
        <v>43</v>
      </c>
      <c r="L61" s="95"/>
      <c r="M61" s="58" t="s">
        <v>39</v>
      </c>
      <c r="N61" s="59">
        <v>11</v>
      </c>
      <c r="O61" s="58" t="s">
        <v>40</v>
      </c>
      <c r="P61" s="58" t="s">
        <v>268</v>
      </c>
      <c r="Q61" s="58" t="s">
        <v>42</v>
      </c>
      <c r="R61" s="58" t="s">
        <v>269</v>
      </c>
      <c r="S61" s="58" t="s">
        <v>42</v>
      </c>
      <c r="T61" s="73">
        <v>2870000</v>
      </c>
      <c r="U61" s="74">
        <f t="shared" si="23"/>
        <v>2912658.9595375722</v>
      </c>
      <c r="V61" s="74"/>
      <c r="W61" s="74">
        <v>2696072</v>
      </c>
      <c r="X61" s="74"/>
      <c r="Y61" s="74">
        <v>1693.87</v>
      </c>
      <c r="Z61" s="74"/>
      <c r="AA61" s="75" t="s">
        <v>43</v>
      </c>
      <c r="AB61" s="74"/>
      <c r="AC61" s="74"/>
      <c r="AD61" s="75" t="s">
        <v>43</v>
      </c>
      <c r="AE61" s="74"/>
      <c r="AF61" s="74"/>
      <c r="AG61" s="74">
        <v>0</v>
      </c>
      <c r="AH61" s="75" t="s">
        <v>42</v>
      </c>
      <c r="AI61" s="74"/>
      <c r="AJ61" s="74">
        <f t="shared" si="24"/>
        <v>0</v>
      </c>
      <c r="AK61" s="74">
        <f t="shared" si="25"/>
        <v>3296589.5953757223</v>
      </c>
      <c r="AL61" s="74">
        <f t="shared" si="26"/>
        <v>0</v>
      </c>
      <c r="AM61" s="74">
        <f t="shared" ref="AM61:AM83" si="30">AK61*1.05</f>
        <v>3461419.0751445084</v>
      </c>
      <c r="AN61" s="74">
        <v>15702</v>
      </c>
      <c r="AO61" s="74">
        <f>AM61/105*108</f>
        <v>3560316.7630057801</v>
      </c>
      <c r="AP61" s="74">
        <f>AN61</f>
        <v>15702</v>
      </c>
      <c r="AQ61" s="74">
        <f t="shared" ref="AQ61:AQ64" si="31">AO61/108*113.9</f>
        <v>3754815.5491329478</v>
      </c>
      <c r="AR61" s="76">
        <v>113.9</v>
      </c>
      <c r="AS61" s="74">
        <f t="shared" ref="AS61:AS64" si="32">AP61</f>
        <v>15702</v>
      </c>
      <c r="AT61" s="76">
        <v>105</v>
      </c>
      <c r="AU61" s="74">
        <f t="shared" si="19"/>
        <v>4087771.0982658956</v>
      </c>
      <c r="AV61" s="76">
        <v>124</v>
      </c>
      <c r="AW61" s="74">
        <f t="shared" si="20"/>
        <v>18244.228571428572</v>
      </c>
      <c r="AX61" s="76">
        <v>122</v>
      </c>
      <c r="AY61" s="77">
        <f t="shared" si="21"/>
        <v>4127331</v>
      </c>
      <c r="AZ61" s="78">
        <v>125.2</v>
      </c>
      <c r="BA61" s="77">
        <f t="shared" si="22"/>
        <v>18439</v>
      </c>
      <c r="BB61" s="78">
        <v>123.3</v>
      </c>
      <c r="BC61" s="79">
        <v>42726</v>
      </c>
      <c r="BD61" s="59"/>
      <c r="BE61" s="80">
        <v>1591.22</v>
      </c>
      <c r="BF61" s="80"/>
      <c r="BG61" s="80"/>
      <c r="BH61" s="73"/>
      <c r="BI61" s="73"/>
      <c r="BJ61" s="73"/>
      <c r="BK61" s="73"/>
      <c r="BL61" s="79">
        <v>42969</v>
      </c>
      <c r="BM61" s="79">
        <v>42808</v>
      </c>
      <c r="BN61" s="58" t="s">
        <v>44</v>
      </c>
      <c r="BO61" s="58" t="s">
        <v>44</v>
      </c>
      <c r="BP61" s="58" t="s">
        <v>221</v>
      </c>
      <c r="BQ61">
        <v>2016</v>
      </c>
      <c r="BR61" s="59"/>
      <c r="BV61" s="18"/>
      <c r="BW61" s="18"/>
    </row>
    <row r="62" spans="2:75" x14ac:dyDescent="0.3">
      <c r="B62" s="20" t="s">
        <v>1008</v>
      </c>
      <c r="C62" s="20" t="s">
        <v>1008</v>
      </c>
      <c r="D62" s="56" t="s">
        <v>1393</v>
      </c>
      <c r="E62" s="58" t="s">
        <v>986</v>
      </c>
      <c r="F62" s="96"/>
      <c r="G62" s="96"/>
      <c r="H62" s="58" t="s">
        <v>270</v>
      </c>
      <c r="I62" s="58" t="s">
        <v>270</v>
      </c>
      <c r="J62" s="59">
        <v>997973</v>
      </c>
      <c r="K62" s="95" t="s">
        <v>43</v>
      </c>
      <c r="L62" s="95"/>
      <c r="M62" s="58" t="s">
        <v>177</v>
      </c>
      <c r="N62" s="59">
        <v>11</v>
      </c>
      <c r="O62" s="58" t="s">
        <v>40</v>
      </c>
      <c r="P62" s="58" t="s">
        <v>271</v>
      </c>
      <c r="Q62" s="58" t="s">
        <v>179</v>
      </c>
      <c r="R62" s="58" t="s">
        <v>272</v>
      </c>
      <c r="S62" s="58" t="s">
        <v>42</v>
      </c>
      <c r="T62" s="73"/>
      <c r="U62" s="74">
        <f t="shared" si="23"/>
        <v>0</v>
      </c>
      <c r="V62" s="74">
        <v>410000</v>
      </c>
      <c r="W62" s="74">
        <v>98648</v>
      </c>
      <c r="X62" s="74">
        <v>304073</v>
      </c>
      <c r="Y62" s="74"/>
      <c r="Z62" s="74">
        <v>241.98</v>
      </c>
      <c r="AA62" s="75" t="s">
        <v>43</v>
      </c>
      <c r="AB62" s="74"/>
      <c r="AC62" s="74"/>
      <c r="AD62" s="75" t="s">
        <v>43</v>
      </c>
      <c r="AE62" s="74"/>
      <c r="AF62" s="74"/>
      <c r="AG62" s="74">
        <v>0</v>
      </c>
      <c r="AH62" s="75" t="s">
        <v>42</v>
      </c>
      <c r="AI62" s="74"/>
      <c r="AJ62" s="74">
        <f t="shared" si="24"/>
        <v>415719.26765475154</v>
      </c>
      <c r="AK62" s="74">
        <f t="shared" si="25"/>
        <v>0</v>
      </c>
      <c r="AL62" s="74">
        <f t="shared" si="26"/>
        <v>434664.34176111594</v>
      </c>
      <c r="AM62" s="74">
        <f t="shared" si="30"/>
        <v>0</v>
      </c>
      <c r="AN62" s="74">
        <f t="shared" ref="AN62:AN75" si="33">AL62*1.05</f>
        <v>456397.55884917174</v>
      </c>
      <c r="AO62" s="74">
        <f>AM62/105*108</f>
        <v>0</v>
      </c>
      <c r="AP62" s="74">
        <f>AN62+1985</f>
        <v>458382.55884917174</v>
      </c>
      <c r="AQ62" s="74">
        <f t="shared" si="31"/>
        <v>0</v>
      </c>
      <c r="AR62" s="76">
        <v>113.9</v>
      </c>
      <c r="AS62" s="74">
        <f t="shared" si="32"/>
        <v>458382.55884917174</v>
      </c>
      <c r="AT62" s="76">
        <v>105</v>
      </c>
      <c r="AU62" s="74">
        <f t="shared" si="19"/>
        <v>0</v>
      </c>
      <c r="AV62" s="76">
        <v>124</v>
      </c>
      <c r="AW62" s="74">
        <f t="shared" si="20"/>
        <v>532596.87790094235</v>
      </c>
      <c r="AX62" s="76">
        <v>122</v>
      </c>
      <c r="AY62" s="77">
        <f t="shared" si="21"/>
        <v>0</v>
      </c>
      <c r="AZ62" s="78">
        <v>125.2</v>
      </c>
      <c r="BA62" s="77">
        <f t="shared" si="22"/>
        <v>538273</v>
      </c>
      <c r="BB62" s="78">
        <v>123.3</v>
      </c>
      <c r="BC62" s="79">
        <v>38784</v>
      </c>
      <c r="BD62" s="59"/>
      <c r="BE62" s="80">
        <v>237.68</v>
      </c>
      <c r="BF62" s="80">
        <v>237.29</v>
      </c>
      <c r="BG62" s="80">
        <v>235.04</v>
      </c>
      <c r="BH62" s="73"/>
      <c r="BI62" s="73"/>
      <c r="BJ62" s="73"/>
      <c r="BK62" s="73"/>
      <c r="BL62" s="79">
        <v>43003</v>
      </c>
      <c r="BM62" s="79">
        <v>39010</v>
      </c>
      <c r="BN62" s="58" t="s">
        <v>44</v>
      </c>
      <c r="BO62" s="58" t="s">
        <v>44</v>
      </c>
      <c r="BP62" s="58" t="s">
        <v>184</v>
      </c>
      <c r="BQ62">
        <v>2016</v>
      </c>
      <c r="BR62" s="59"/>
      <c r="BV62" s="18"/>
      <c r="BW62" s="18"/>
    </row>
    <row r="63" spans="2:75" x14ac:dyDescent="0.3">
      <c r="B63" s="20" t="s">
        <v>1008</v>
      </c>
      <c r="C63" s="20" t="s">
        <v>1008</v>
      </c>
      <c r="D63" s="56" t="s">
        <v>1393</v>
      </c>
      <c r="E63" s="58" t="s">
        <v>986</v>
      </c>
      <c r="F63" s="96"/>
      <c r="G63" s="96"/>
      <c r="H63" s="58" t="s">
        <v>270</v>
      </c>
      <c r="I63" s="58" t="s">
        <v>270</v>
      </c>
      <c r="J63" s="59">
        <v>997973</v>
      </c>
      <c r="K63" s="95" t="s">
        <v>43</v>
      </c>
      <c r="L63" s="95"/>
      <c r="M63" s="58" t="s">
        <v>177</v>
      </c>
      <c r="N63" s="59">
        <v>21</v>
      </c>
      <c r="O63" s="58" t="s">
        <v>143</v>
      </c>
      <c r="P63" s="58" t="s">
        <v>273</v>
      </c>
      <c r="Q63" s="58" t="s">
        <v>42</v>
      </c>
      <c r="R63" s="58" t="s">
        <v>274</v>
      </c>
      <c r="S63" s="58" t="s">
        <v>42</v>
      </c>
      <c r="T63" s="73">
        <v>2600</v>
      </c>
      <c r="U63" s="74">
        <f t="shared" si="23"/>
        <v>2638.6457473162677</v>
      </c>
      <c r="V63" s="74">
        <v>1200</v>
      </c>
      <c r="W63" s="74"/>
      <c r="X63" s="74"/>
      <c r="Y63" s="74">
        <v>1.53</v>
      </c>
      <c r="Z63" s="74">
        <v>0.71</v>
      </c>
      <c r="AA63" s="75" t="s">
        <v>43</v>
      </c>
      <c r="AB63" s="74"/>
      <c r="AC63" s="74"/>
      <c r="AD63" s="75" t="s">
        <v>43</v>
      </c>
      <c r="AE63" s="74"/>
      <c r="AF63" s="74"/>
      <c r="AG63" s="74">
        <v>0</v>
      </c>
      <c r="AH63" s="75" t="s">
        <v>42</v>
      </c>
      <c r="AI63" s="74"/>
      <c r="AJ63" s="74">
        <f t="shared" si="24"/>
        <v>1216.7393199651265</v>
      </c>
      <c r="AK63" s="74">
        <f t="shared" si="25"/>
        <v>2986.4574731626753</v>
      </c>
      <c r="AL63" s="74">
        <f t="shared" si="26"/>
        <v>1272.1883173496076</v>
      </c>
      <c r="AM63" s="74">
        <f t="shared" si="30"/>
        <v>3135.7803468208094</v>
      </c>
      <c r="AN63" s="74">
        <f t="shared" si="33"/>
        <v>1335.7977332170881</v>
      </c>
      <c r="AO63" s="74">
        <f>AM63/105*108</f>
        <v>3225.3740710156899</v>
      </c>
      <c r="AP63" s="74">
        <f t="shared" ref="AP63:AP83" si="34">AN63</f>
        <v>1335.7977332170881</v>
      </c>
      <c r="AQ63" s="74">
        <f t="shared" si="31"/>
        <v>3401.5750619322876</v>
      </c>
      <c r="AR63" s="76">
        <v>113.9</v>
      </c>
      <c r="AS63" s="74">
        <f t="shared" si="32"/>
        <v>1335.7977332170881</v>
      </c>
      <c r="AT63" s="76">
        <v>105</v>
      </c>
      <c r="AU63" s="74">
        <f t="shared" si="19"/>
        <v>3703.2072667217176</v>
      </c>
      <c r="AV63" s="76">
        <v>124</v>
      </c>
      <c r="AW63" s="74">
        <f t="shared" si="20"/>
        <v>1552.0697471665212</v>
      </c>
      <c r="AX63" s="76">
        <v>122</v>
      </c>
      <c r="AY63" s="77">
        <f t="shared" si="21"/>
        <v>3740</v>
      </c>
      <c r="AZ63" s="78">
        <v>125.2</v>
      </c>
      <c r="BA63" s="77">
        <f t="shared" si="22"/>
        <v>1569</v>
      </c>
      <c r="BB63" s="78">
        <v>123.3</v>
      </c>
      <c r="BC63" s="79">
        <v>42899</v>
      </c>
      <c r="BD63" s="59"/>
      <c r="BE63" s="80"/>
      <c r="BF63" s="80"/>
      <c r="BG63" s="80"/>
      <c r="BH63" s="73"/>
      <c r="BI63" s="73"/>
      <c r="BJ63" s="73"/>
      <c r="BK63" s="73"/>
      <c r="BL63" s="79">
        <v>43150</v>
      </c>
      <c r="BM63" s="79">
        <v>43146</v>
      </c>
      <c r="BN63" s="58" t="s">
        <v>44</v>
      </c>
      <c r="BO63" s="58" t="s">
        <v>44</v>
      </c>
      <c r="BP63" s="58" t="s">
        <v>42</v>
      </c>
      <c r="BQ63">
        <v>0</v>
      </c>
      <c r="BR63" s="59"/>
      <c r="BV63" s="18"/>
      <c r="BW63" s="18"/>
    </row>
    <row r="64" spans="2:75" x14ac:dyDescent="0.3">
      <c r="B64" s="20" t="s">
        <v>275</v>
      </c>
      <c r="C64" s="20" t="s">
        <v>1262</v>
      </c>
      <c r="D64" s="57" t="s">
        <v>1394</v>
      </c>
      <c r="E64" s="58" t="s">
        <v>986</v>
      </c>
      <c r="F64" s="96"/>
      <c r="G64" s="96"/>
      <c r="H64" s="58" t="s">
        <v>270</v>
      </c>
      <c r="I64" s="58" t="s">
        <v>270</v>
      </c>
      <c r="J64" s="59">
        <v>777772</v>
      </c>
      <c r="K64" s="95"/>
      <c r="L64" s="95"/>
      <c r="M64" s="58" t="s">
        <v>39</v>
      </c>
      <c r="N64" s="59">
        <v>11</v>
      </c>
      <c r="O64" s="58" t="s">
        <v>40</v>
      </c>
      <c r="P64" s="58" t="s">
        <v>276</v>
      </c>
      <c r="Q64" s="58" t="s">
        <v>41</v>
      </c>
      <c r="R64" s="58" t="s">
        <v>277</v>
      </c>
      <c r="S64" s="58" t="s">
        <v>42</v>
      </c>
      <c r="T64" s="73">
        <v>680000</v>
      </c>
      <c r="U64" s="74">
        <f t="shared" si="23"/>
        <v>690107.3492981008</v>
      </c>
      <c r="V64" s="74"/>
      <c r="W64" s="74">
        <v>1134456</v>
      </c>
      <c r="X64" s="74"/>
      <c r="Y64" s="74">
        <v>401.34</v>
      </c>
      <c r="Z64" s="74"/>
      <c r="AA64" s="75" t="s">
        <v>43</v>
      </c>
      <c r="AB64" s="74"/>
      <c r="AC64" s="74"/>
      <c r="AD64" s="75" t="s">
        <v>43</v>
      </c>
      <c r="AE64" s="74"/>
      <c r="AF64" s="74"/>
      <c r="AG64" s="74">
        <v>0</v>
      </c>
      <c r="AH64" s="75" t="s">
        <v>42</v>
      </c>
      <c r="AI64" s="74"/>
      <c r="AJ64" s="74">
        <f t="shared" si="24"/>
        <v>0</v>
      </c>
      <c r="AK64" s="74">
        <f t="shared" si="25"/>
        <v>781073.49298100744</v>
      </c>
      <c r="AL64" s="74">
        <f t="shared" si="26"/>
        <v>0</v>
      </c>
      <c r="AM64" s="74">
        <f t="shared" si="30"/>
        <v>820127.1676300579</v>
      </c>
      <c r="AN64" s="74">
        <f t="shared" si="33"/>
        <v>0</v>
      </c>
      <c r="AO64" s="74">
        <f>AM64/105*108</f>
        <v>843559.37241948815</v>
      </c>
      <c r="AP64" s="74">
        <f t="shared" si="34"/>
        <v>0</v>
      </c>
      <c r="AQ64" s="74">
        <f t="shared" si="31"/>
        <v>889642.70850536763</v>
      </c>
      <c r="AR64" s="76">
        <v>113.9</v>
      </c>
      <c r="AS64" s="74">
        <f t="shared" si="32"/>
        <v>0</v>
      </c>
      <c r="AT64" s="76">
        <v>105</v>
      </c>
      <c r="AU64" s="74">
        <f t="shared" si="19"/>
        <v>968531.13129644934</v>
      </c>
      <c r="AV64" s="76">
        <v>124</v>
      </c>
      <c r="AW64" s="74">
        <f t="shared" si="20"/>
        <v>0</v>
      </c>
      <c r="AX64" s="76">
        <v>122</v>
      </c>
      <c r="AY64" s="77">
        <f t="shared" si="21"/>
        <v>977905</v>
      </c>
      <c r="AZ64" s="78">
        <v>125.2</v>
      </c>
      <c r="BA64" s="77">
        <f t="shared" si="22"/>
        <v>0</v>
      </c>
      <c r="BB64" s="78">
        <v>123.3</v>
      </c>
      <c r="BC64" s="79">
        <v>36161</v>
      </c>
      <c r="BD64" s="59"/>
      <c r="BE64" s="80">
        <v>669.56</v>
      </c>
      <c r="BF64" s="80">
        <v>665.05</v>
      </c>
      <c r="BG64" s="80">
        <v>657.18</v>
      </c>
      <c r="BH64" s="73"/>
      <c r="BI64" s="73"/>
      <c r="BJ64" s="73"/>
      <c r="BK64" s="73"/>
      <c r="BL64" s="79">
        <v>43004</v>
      </c>
      <c r="BM64" s="79">
        <v>36434</v>
      </c>
      <c r="BN64" s="58" t="s">
        <v>44</v>
      </c>
      <c r="BO64" s="58" t="s">
        <v>70</v>
      </c>
      <c r="BP64" s="58" t="s">
        <v>59</v>
      </c>
      <c r="BQ64">
        <v>2016</v>
      </c>
      <c r="BR64" s="59" t="s">
        <v>1460</v>
      </c>
      <c r="BV64" s="18"/>
      <c r="BW64" s="18"/>
    </row>
    <row r="65" spans="2:75" x14ac:dyDescent="0.3">
      <c r="B65" s="20" t="s">
        <v>278</v>
      </c>
      <c r="C65" s="20" t="s">
        <v>1263</v>
      </c>
      <c r="D65" s="57" t="s">
        <v>1161</v>
      </c>
      <c r="E65" s="58" t="s">
        <v>1101</v>
      </c>
      <c r="F65" s="96"/>
      <c r="G65" s="96"/>
      <c r="H65" s="58" t="s">
        <v>82</v>
      </c>
      <c r="I65" s="58" t="s">
        <v>82</v>
      </c>
      <c r="J65" s="59">
        <v>772723</v>
      </c>
      <c r="K65" s="95" t="s">
        <v>1440</v>
      </c>
      <c r="L65" s="95"/>
      <c r="M65" s="58" t="s">
        <v>72</v>
      </c>
      <c r="N65" s="59">
        <v>99</v>
      </c>
      <c r="O65" s="58" t="s">
        <v>128</v>
      </c>
      <c r="P65" s="58" t="s">
        <v>279</v>
      </c>
      <c r="Q65" s="58" t="s">
        <v>92</v>
      </c>
      <c r="R65" s="58" t="s">
        <v>280</v>
      </c>
      <c r="S65" s="58" t="s">
        <v>42</v>
      </c>
      <c r="T65" s="73">
        <v>2030000</v>
      </c>
      <c r="U65" s="74">
        <f t="shared" si="23"/>
        <v>2060173.4104046244</v>
      </c>
      <c r="V65" s="74">
        <v>405000</v>
      </c>
      <c r="W65" s="74">
        <v>1479725</v>
      </c>
      <c r="X65" s="74">
        <v>398784</v>
      </c>
      <c r="Y65" s="74">
        <v>1198.1099999999999</v>
      </c>
      <c r="Z65" s="74">
        <v>239.03</v>
      </c>
      <c r="AA65" s="75" t="s">
        <v>43</v>
      </c>
      <c r="AB65" s="74"/>
      <c r="AC65" s="74"/>
      <c r="AD65" s="75" t="s">
        <v>43</v>
      </c>
      <c r="AE65" s="74"/>
      <c r="AF65" s="74"/>
      <c r="AG65" s="74">
        <v>0</v>
      </c>
      <c r="AH65" s="75" t="s">
        <v>42</v>
      </c>
      <c r="AI65" s="74"/>
      <c r="AJ65" s="74">
        <f t="shared" si="24"/>
        <v>410649.52048823016</v>
      </c>
      <c r="AK65" s="74">
        <f t="shared" si="25"/>
        <v>2331734.1040462428</v>
      </c>
      <c r="AL65" s="74">
        <f t="shared" si="26"/>
        <v>429363.55710549257</v>
      </c>
      <c r="AM65" s="74">
        <f t="shared" si="30"/>
        <v>2448320.809248555</v>
      </c>
      <c r="AN65" s="74">
        <f t="shared" si="33"/>
        <v>450831.73496076721</v>
      </c>
      <c r="AO65" s="74">
        <f>AM65/105*108+(38331)</f>
        <v>2556603.8323699422</v>
      </c>
      <c r="AP65" s="74">
        <f t="shared" si="34"/>
        <v>450831.73496076721</v>
      </c>
      <c r="AQ65" s="74">
        <f t="shared" ref="AQ65:AQ83" si="35">AO65/108*113.9</f>
        <v>2696270.1528420039</v>
      </c>
      <c r="AR65" s="76">
        <v>113.9</v>
      </c>
      <c r="AS65" s="74">
        <f t="shared" ref="AS65:AS83" si="36">AP65</f>
        <v>450831.73496076721</v>
      </c>
      <c r="AT65" s="76">
        <v>105</v>
      </c>
      <c r="AU65" s="74">
        <f t="shared" si="19"/>
        <v>2935359.9556840076</v>
      </c>
      <c r="AV65" s="76">
        <v>124</v>
      </c>
      <c r="AW65" s="74">
        <f t="shared" si="20"/>
        <v>523823.53966870095</v>
      </c>
      <c r="AX65" s="76">
        <v>122</v>
      </c>
      <c r="AY65" s="77">
        <f t="shared" si="21"/>
        <v>2963767</v>
      </c>
      <c r="AZ65" s="78">
        <v>125.2</v>
      </c>
      <c r="BA65" s="77">
        <f t="shared" si="22"/>
        <v>529406</v>
      </c>
      <c r="BB65" s="78">
        <v>123.3</v>
      </c>
      <c r="BC65" s="79">
        <v>36526</v>
      </c>
      <c r="BD65" s="59"/>
      <c r="BE65" s="80">
        <v>1108.69</v>
      </c>
      <c r="BF65" s="80">
        <v>1102.82</v>
      </c>
      <c r="BG65" s="80">
        <v>1090.48</v>
      </c>
      <c r="BH65" s="73"/>
      <c r="BI65" s="73"/>
      <c r="BJ65" s="73"/>
      <c r="BK65" s="73"/>
      <c r="BL65" s="79">
        <v>42969</v>
      </c>
      <c r="BM65" s="79">
        <v>36434</v>
      </c>
      <c r="BN65" s="58" t="s">
        <v>44</v>
      </c>
      <c r="BO65" s="58" t="s">
        <v>70</v>
      </c>
      <c r="BP65" s="58" t="s">
        <v>184</v>
      </c>
      <c r="BQ65">
        <v>2016</v>
      </c>
      <c r="BR65" s="59" t="s">
        <v>1005</v>
      </c>
      <c r="BV65" s="18"/>
      <c r="BW65" s="18"/>
    </row>
    <row r="66" spans="2:75" x14ac:dyDescent="0.3">
      <c r="B66" s="20" t="s">
        <v>281</v>
      </c>
      <c r="C66" s="20" t="s">
        <v>1264</v>
      </c>
      <c r="D66" s="57" t="s">
        <v>1162</v>
      </c>
      <c r="E66" s="58" t="s">
        <v>1101</v>
      </c>
      <c r="F66" s="96"/>
      <c r="G66" s="96"/>
      <c r="H66" s="58" t="s">
        <v>82</v>
      </c>
      <c r="I66" s="58" t="s">
        <v>82</v>
      </c>
      <c r="J66" s="59">
        <v>772723</v>
      </c>
      <c r="K66" s="95" t="s">
        <v>1440</v>
      </c>
      <c r="L66" s="95"/>
      <c r="M66" s="58" t="s">
        <v>72</v>
      </c>
      <c r="N66" s="59">
        <v>99</v>
      </c>
      <c r="O66" s="58" t="s">
        <v>128</v>
      </c>
      <c r="P66" s="58" t="s">
        <v>282</v>
      </c>
      <c r="Q66" s="58" t="s">
        <v>92</v>
      </c>
      <c r="R66" s="58" t="s">
        <v>283</v>
      </c>
      <c r="S66" s="58" t="s">
        <v>42</v>
      </c>
      <c r="T66" s="73">
        <v>2210000</v>
      </c>
      <c r="U66" s="74">
        <f t="shared" si="23"/>
        <v>2242848.8852188275</v>
      </c>
      <c r="V66" s="74">
        <v>475000</v>
      </c>
      <c r="W66" s="74">
        <v>2071614</v>
      </c>
      <c r="X66" s="74">
        <v>553313</v>
      </c>
      <c r="Y66" s="74">
        <v>1304.3399999999999</v>
      </c>
      <c r="Z66" s="74">
        <v>280.35000000000002</v>
      </c>
      <c r="AA66" s="75" t="s">
        <v>43</v>
      </c>
      <c r="AB66" s="74"/>
      <c r="AC66" s="74"/>
      <c r="AD66" s="75" t="s">
        <v>43</v>
      </c>
      <c r="AE66" s="74"/>
      <c r="AF66" s="74"/>
      <c r="AG66" s="74">
        <v>0</v>
      </c>
      <c r="AH66" s="75" t="s">
        <v>42</v>
      </c>
      <c r="AI66" s="74"/>
      <c r="AJ66" s="74">
        <f t="shared" si="24"/>
        <v>481625.98081952921</v>
      </c>
      <c r="AK66" s="74">
        <f t="shared" si="25"/>
        <v>2538488.8521882743</v>
      </c>
      <c r="AL66" s="74">
        <f t="shared" si="26"/>
        <v>503574.5422842197</v>
      </c>
      <c r="AM66" s="74">
        <f t="shared" si="30"/>
        <v>2665413.2947976883</v>
      </c>
      <c r="AN66" s="74">
        <f t="shared" si="33"/>
        <v>528753.26939843071</v>
      </c>
      <c r="AO66" s="74">
        <f>AM66/105*108+(47874)</f>
        <v>2789441.9603633364</v>
      </c>
      <c r="AP66" s="74">
        <f t="shared" si="34"/>
        <v>528753.26939843071</v>
      </c>
      <c r="AQ66" s="74">
        <f t="shared" si="35"/>
        <v>2941828.1415313338</v>
      </c>
      <c r="AR66" s="76">
        <v>113.9</v>
      </c>
      <c r="AS66" s="74">
        <f t="shared" si="36"/>
        <v>528753.26939843071</v>
      </c>
      <c r="AT66" s="76">
        <v>105</v>
      </c>
      <c r="AU66" s="74">
        <f t="shared" si="19"/>
        <v>3202692.6211579046</v>
      </c>
      <c r="AV66" s="76">
        <v>124</v>
      </c>
      <c r="AW66" s="74">
        <f t="shared" si="20"/>
        <v>614360.94158674811</v>
      </c>
      <c r="AX66" s="76">
        <v>122</v>
      </c>
      <c r="AY66" s="77">
        <f t="shared" si="21"/>
        <v>3233687</v>
      </c>
      <c r="AZ66" s="78">
        <v>125.2</v>
      </c>
      <c r="BA66" s="77">
        <f t="shared" si="22"/>
        <v>620908</v>
      </c>
      <c r="BB66" s="78">
        <v>123.3</v>
      </c>
      <c r="BC66" s="79">
        <v>36526</v>
      </c>
      <c r="BD66" s="59"/>
      <c r="BE66" s="80">
        <v>1549.24</v>
      </c>
      <c r="BF66" s="80">
        <v>1541.02</v>
      </c>
      <c r="BG66" s="80">
        <v>1523.76</v>
      </c>
      <c r="BH66" s="73"/>
      <c r="BI66" s="73"/>
      <c r="BJ66" s="73"/>
      <c r="BK66" s="73"/>
      <c r="BL66" s="79">
        <v>42969</v>
      </c>
      <c r="BM66" s="79">
        <v>36434</v>
      </c>
      <c r="BN66" s="58" t="s">
        <v>44</v>
      </c>
      <c r="BO66" s="58" t="s">
        <v>70</v>
      </c>
      <c r="BP66" s="58" t="s">
        <v>184</v>
      </c>
      <c r="BQ66">
        <v>2016</v>
      </c>
      <c r="BR66" s="59" t="s">
        <v>1005</v>
      </c>
      <c r="BV66" s="18"/>
      <c r="BW66" s="18"/>
    </row>
    <row r="67" spans="2:75" x14ac:dyDescent="0.3">
      <c r="B67" s="20" t="s">
        <v>284</v>
      </c>
      <c r="C67" s="20" t="s">
        <v>1265</v>
      </c>
      <c r="D67" s="57" t="s">
        <v>1162</v>
      </c>
      <c r="E67" s="58" t="s">
        <v>1101</v>
      </c>
      <c r="F67" s="96"/>
      <c r="G67" s="96"/>
      <c r="H67" s="58" t="s">
        <v>82</v>
      </c>
      <c r="I67" s="58" t="s">
        <v>82</v>
      </c>
      <c r="J67" s="59">
        <v>772723</v>
      </c>
      <c r="K67" s="95" t="s">
        <v>43</v>
      </c>
      <c r="L67" s="95"/>
      <c r="M67" s="58" t="s">
        <v>72</v>
      </c>
      <c r="N67" s="59">
        <v>99</v>
      </c>
      <c r="O67" s="58" t="s">
        <v>128</v>
      </c>
      <c r="P67" s="58" t="s">
        <v>285</v>
      </c>
      <c r="Q67" s="58" t="s">
        <v>217</v>
      </c>
      <c r="R67" s="58" t="s">
        <v>286</v>
      </c>
      <c r="S67" s="58" t="s">
        <v>42</v>
      </c>
      <c r="T67" s="73">
        <v>4070000</v>
      </c>
      <c r="U67" s="74">
        <f t="shared" si="23"/>
        <v>4130495.4582989267</v>
      </c>
      <c r="V67" s="74">
        <v>1020000</v>
      </c>
      <c r="W67" s="74">
        <v>3797959</v>
      </c>
      <c r="X67" s="74">
        <v>1004437</v>
      </c>
      <c r="Y67" s="74">
        <v>2402.11</v>
      </c>
      <c r="Z67" s="74">
        <v>602</v>
      </c>
      <c r="AA67" s="75" t="s">
        <v>43</v>
      </c>
      <c r="AB67" s="74"/>
      <c r="AC67" s="74"/>
      <c r="AD67" s="75" t="s">
        <v>43</v>
      </c>
      <c r="AE67" s="74"/>
      <c r="AF67" s="74"/>
      <c r="AG67" s="74">
        <v>0</v>
      </c>
      <c r="AH67" s="75" t="s">
        <v>42</v>
      </c>
      <c r="AI67" s="74"/>
      <c r="AJ67" s="74">
        <f t="shared" si="24"/>
        <v>1034228.4219703574</v>
      </c>
      <c r="AK67" s="74">
        <f t="shared" si="25"/>
        <v>4674954.5829892652</v>
      </c>
      <c r="AL67" s="74">
        <f t="shared" si="26"/>
        <v>1081360.0697471665</v>
      </c>
      <c r="AM67" s="74">
        <f t="shared" si="30"/>
        <v>4908702.3121387288</v>
      </c>
      <c r="AN67" s="74">
        <f t="shared" si="33"/>
        <v>1135428.0732345248</v>
      </c>
      <c r="AO67" s="74">
        <f t="shared" ref="AO67:AO77" si="37">AM67/105*108</f>
        <v>5048950.9496284062</v>
      </c>
      <c r="AP67" s="74">
        <f t="shared" si="34"/>
        <v>1135428.0732345248</v>
      </c>
      <c r="AQ67" s="74">
        <f t="shared" si="35"/>
        <v>5324773.2700247737</v>
      </c>
      <c r="AR67" s="76">
        <v>113.9</v>
      </c>
      <c r="AS67" s="74">
        <f t="shared" si="36"/>
        <v>1135428.0732345248</v>
      </c>
      <c r="AT67" s="76">
        <v>105</v>
      </c>
      <c r="AU67" s="74">
        <f t="shared" si="19"/>
        <v>5796943.6829066891</v>
      </c>
      <c r="AV67" s="76">
        <v>124</v>
      </c>
      <c r="AW67" s="74">
        <f t="shared" si="20"/>
        <v>1319259.2850915431</v>
      </c>
      <c r="AX67" s="76">
        <v>122</v>
      </c>
      <c r="AY67" s="77">
        <f t="shared" si="21"/>
        <v>5853044</v>
      </c>
      <c r="AZ67" s="78">
        <v>125.2</v>
      </c>
      <c r="BA67" s="77">
        <f t="shared" si="22"/>
        <v>1333317</v>
      </c>
      <c r="BB67" s="78">
        <v>123.3</v>
      </c>
      <c r="BC67" s="79">
        <v>36526</v>
      </c>
      <c r="BD67" s="59"/>
      <c r="BE67" s="80">
        <v>2834.38</v>
      </c>
      <c r="BF67" s="80">
        <v>2819.31</v>
      </c>
      <c r="BG67" s="80">
        <v>2787.72</v>
      </c>
      <c r="BH67" s="73"/>
      <c r="BI67" s="73"/>
      <c r="BJ67" s="73"/>
      <c r="BK67" s="73"/>
      <c r="BL67" s="79">
        <v>42969</v>
      </c>
      <c r="BM67" s="79">
        <v>36434</v>
      </c>
      <c r="BN67" s="58" t="s">
        <v>44</v>
      </c>
      <c r="BO67" s="58" t="s">
        <v>70</v>
      </c>
      <c r="BP67" s="58" t="s">
        <v>184</v>
      </c>
      <c r="BQ67">
        <v>2016</v>
      </c>
      <c r="BR67" s="59"/>
      <c r="BV67" s="18"/>
      <c r="BW67" s="18"/>
    </row>
    <row r="68" spans="2:75" x14ac:dyDescent="0.3">
      <c r="B68" s="20" t="s">
        <v>287</v>
      </c>
      <c r="C68" s="20" t="s">
        <v>287</v>
      </c>
      <c r="D68" s="57" t="e">
        <v>#N/A</v>
      </c>
      <c r="E68" s="58" t="s">
        <v>986</v>
      </c>
      <c r="F68" s="96"/>
      <c r="G68" s="96"/>
      <c r="H68" s="58" t="s">
        <v>270</v>
      </c>
      <c r="I68" s="58" t="s">
        <v>270</v>
      </c>
      <c r="J68" s="59">
        <v>777772</v>
      </c>
      <c r="K68" s="95" t="s">
        <v>43</v>
      </c>
      <c r="L68" s="95"/>
      <c r="M68" s="58" t="s">
        <v>39</v>
      </c>
      <c r="N68" s="59">
        <v>11</v>
      </c>
      <c r="O68" s="58" t="s">
        <v>40</v>
      </c>
      <c r="P68" s="58" t="s">
        <v>45</v>
      </c>
      <c r="Q68" s="58" t="s">
        <v>41</v>
      </c>
      <c r="R68" s="58" t="s">
        <v>288</v>
      </c>
      <c r="S68" s="58" t="s">
        <v>42</v>
      </c>
      <c r="T68" s="73">
        <v>240000</v>
      </c>
      <c r="U68" s="74">
        <f t="shared" si="23"/>
        <v>243567.29975227086</v>
      </c>
      <c r="V68" s="74"/>
      <c r="W68" s="74">
        <v>212093</v>
      </c>
      <c r="X68" s="74"/>
      <c r="Y68" s="74">
        <v>141.65</v>
      </c>
      <c r="Z68" s="74"/>
      <c r="AA68" s="75" t="s">
        <v>43</v>
      </c>
      <c r="AB68" s="74"/>
      <c r="AC68" s="74"/>
      <c r="AD68" s="75" t="s">
        <v>43</v>
      </c>
      <c r="AE68" s="74"/>
      <c r="AF68" s="74"/>
      <c r="AG68" s="74">
        <v>0</v>
      </c>
      <c r="AH68" s="75" t="s">
        <v>42</v>
      </c>
      <c r="AI68" s="74"/>
      <c r="AJ68" s="74">
        <f t="shared" si="24"/>
        <v>0</v>
      </c>
      <c r="AK68" s="74">
        <f t="shared" si="25"/>
        <v>275672.99752270849</v>
      </c>
      <c r="AL68" s="74">
        <f t="shared" si="26"/>
        <v>0</v>
      </c>
      <c r="AM68" s="74">
        <f t="shared" si="30"/>
        <v>289456.64739884395</v>
      </c>
      <c r="AN68" s="74">
        <f t="shared" si="33"/>
        <v>0</v>
      </c>
      <c r="AO68" s="74">
        <f t="shared" si="37"/>
        <v>297726.83732452517</v>
      </c>
      <c r="AP68" s="74">
        <f t="shared" si="34"/>
        <v>0</v>
      </c>
      <c r="AQ68" s="74">
        <f t="shared" si="35"/>
        <v>313991.54417836503</v>
      </c>
      <c r="AR68" s="76">
        <v>113.9</v>
      </c>
      <c r="AS68" s="74">
        <f t="shared" si="36"/>
        <v>0</v>
      </c>
      <c r="AT68" s="76">
        <v>105</v>
      </c>
      <c r="AU68" s="74">
        <f t="shared" si="19"/>
        <v>341834.51692815853</v>
      </c>
      <c r="AV68" s="76">
        <v>124</v>
      </c>
      <c r="AW68" s="74">
        <f t="shared" si="20"/>
        <v>0</v>
      </c>
      <c r="AX68" s="76">
        <v>122</v>
      </c>
      <c r="AY68" s="77">
        <f t="shared" si="21"/>
        <v>345143</v>
      </c>
      <c r="AZ68" s="78">
        <v>125.2</v>
      </c>
      <c r="BA68" s="77">
        <f t="shared" si="22"/>
        <v>0</v>
      </c>
      <c r="BB68" s="78">
        <v>123.3</v>
      </c>
      <c r="BC68" s="79">
        <v>39448</v>
      </c>
      <c r="BD68" s="59"/>
      <c r="BE68" s="80">
        <v>125.18</v>
      </c>
      <c r="BF68" s="80">
        <v>124.34</v>
      </c>
      <c r="BG68" s="80">
        <v>122.86</v>
      </c>
      <c r="BH68" s="73"/>
      <c r="BI68" s="73"/>
      <c r="BJ68" s="73"/>
      <c r="BK68" s="73"/>
      <c r="BL68" s="79">
        <v>42969</v>
      </c>
      <c r="BM68" s="79">
        <v>39885</v>
      </c>
      <c r="BN68" s="58" t="s">
        <v>44</v>
      </c>
      <c r="BO68" s="58" t="s">
        <v>44</v>
      </c>
      <c r="BP68" s="58" t="s">
        <v>59</v>
      </c>
      <c r="BQ68">
        <v>2016</v>
      </c>
      <c r="BR68" s="59" t="s">
        <v>988</v>
      </c>
      <c r="BV68" s="18"/>
      <c r="BW68" s="18"/>
    </row>
    <row r="69" spans="2:75" x14ac:dyDescent="0.3">
      <c r="B69" s="20" t="s">
        <v>291</v>
      </c>
      <c r="C69" s="20" t="s">
        <v>291</v>
      </c>
      <c r="D69" s="57" t="s">
        <v>1163</v>
      </c>
      <c r="E69" s="58" t="s">
        <v>1101</v>
      </c>
      <c r="F69" s="96"/>
      <c r="G69" s="96"/>
      <c r="H69" s="58" t="s">
        <v>292</v>
      </c>
      <c r="I69" s="58" t="s">
        <v>292</v>
      </c>
      <c r="J69" s="59">
        <v>772724</v>
      </c>
      <c r="K69" s="95" t="s">
        <v>43</v>
      </c>
      <c r="L69" s="95"/>
      <c r="M69" s="58" t="s">
        <v>66</v>
      </c>
      <c r="N69" s="59">
        <v>99</v>
      </c>
      <c r="O69" s="58" t="s">
        <v>128</v>
      </c>
      <c r="P69" s="58" t="s">
        <v>293</v>
      </c>
      <c r="Q69" s="58" t="s">
        <v>124</v>
      </c>
      <c r="R69" s="58" t="s">
        <v>294</v>
      </c>
      <c r="S69" s="58" t="s">
        <v>42</v>
      </c>
      <c r="T69" s="73"/>
      <c r="U69" s="74">
        <f t="shared" si="23"/>
        <v>0</v>
      </c>
      <c r="V69" s="74"/>
      <c r="W69" s="74"/>
      <c r="X69" s="74"/>
      <c r="Y69" s="74"/>
      <c r="Z69" s="74"/>
      <c r="AA69" s="75" t="s">
        <v>43</v>
      </c>
      <c r="AB69" s="74"/>
      <c r="AC69" s="74"/>
      <c r="AD69" s="75" t="s">
        <v>43</v>
      </c>
      <c r="AE69" s="74"/>
      <c r="AF69" s="74"/>
      <c r="AG69" s="74">
        <v>0</v>
      </c>
      <c r="AH69" s="75" t="s">
        <v>42</v>
      </c>
      <c r="AI69" s="74"/>
      <c r="AJ69" s="74">
        <f t="shared" si="24"/>
        <v>0</v>
      </c>
      <c r="AK69" s="74">
        <f t="shared" si="25"/>
        <v>0</v>
      </c>
      <c r="AL69" s="74">
        <f t="shared" si="26"/>
        <v>0</v>
      </c>
      <c r="AM69" s="74">
        <f t="shared" si="30"/>
        <v>0</v>
      </c>
      <c r="AN69" s="74">
        <f t="shared" si="33"/>
        <v>0</v>
      </c>
      <c r="AO69" s="74">
        <f t="shared" si="37"/>
        <v>0</v>
      </c>
      <c r="AP69" s="74">
        <f t="shared" si="34"/>
        <v>0</v>
      </c>
      <c r="AQ69" s="74">
        <f t="shared" si="35"/>
        <v>0</v>
      </c>
      <c r="AR69" s="76">
        <v>113.9</v>
      </c>
      <c r="AS69" s="74">
        <f t="shared" si="36"/>
        <v>0</v>
      </c>
      <c r="AT69" s="76">
        <v>105</v>
      </c>
      <c r="AU69" s="74">
        <f t="shared" si="19"/>
        <v>0</v>
      </c>
      <c r="AV69" s="76">
        <v>124</v>
      </c>
      <c r="AW69" s="74">
        <f t="shared" si="20"/>
        <v>0</v>
      </c>
      <c r="AX69" s="76">
        <v>122</v>
      </c>
      <c r="AY69" s="77">
        <f t="shared" si="21"/>
        <v>0</v>
      </c>
      <c r="AZ69" s="78">
        <v>125.2</v>
      </c>
      <c r="BA69" s="77">
        <f t="shared" si="22"/>
        <v>0</v>
      </c>
      <c r="BB69" s="78">
        <v>123.3</v>
      </c>
      <c r="BC69" s="59"/>
      <c r="BD69" s="59"/>
      <c r="BE69" s="80"/>
      <c r="BF69" s="80">
        <v>8.83</v>
      </c>
      <c r="BG69" s="80">
        <v>8.75</v>
      </c>
      <c r="BH69" s="73"/>
      <c r="BI69" s="73"/>
      <c r="BJ69" s="73"/>
      <c r="BK69" s="73"/>
      <c r="BL69" s="79">
        <v>42969</v>
      </c>
      <c r="BM69" s="79">
        <v>36434</v>
      </c>
      <c r="BN69" s="58" t="s">
        <v>44</v>
      </c>
      <c r="BO69" s="58" t="s">
        <v>70</v>
      </c>
      <c r="BP69" s="58" t="s">
        <v>295</v>
      </c>
      <c r="BQ69">
        <v>2016</v>
      </c>
      <c r="BR69" s="59"/>
      <c r="BV69" s="18"/>
      <c r="BW69" s="18"/>
    </row>
    <row r="70" spans="2:75" x14ac:dyDescent="0.3">
      <c r="B70" s="20" t="s">
        <v>291</v>
      </c>
      <c r="C70" s="20" t="s">
        <v>291</v>
      </c>
      <c r="D70" s="57" t="s">
        <v>1163</v>
      </c>
      <c r="E70" s="58" t="s">
        <v>1101</v>
      </c>
      <c r="F70" s="96"/>
      <c r="G70" s="96"/>
      <c r="H70" s="58" t="s">
        <v>292</v>
      </c>
      <c r="I70" s="58" t="s">
        <v>292</v>
      </c>
      <c r="J70" s="59">
        <v>772724</v>
      </c>
      <c r="K70" s="95" t="s">
        <v>43</v>
      </c>
      <c r="L70" s="95"/>
      <c r="M70" s="58" t="s">
        <v>66</v>
      </c>
      <c r="N70" s="59">
        <v>11</v>
      </c>
      <c r="O70" s="58" t="s">
        <v>40</v>
      </c>
      <c r="P70" s="58" t="s">
        <v>296</v>
      </c>
      <c r="Q70" s="58" t="s">
        <v>124</v>
      </c>
      <c r="R70" s="58" t="s">
        <v>297</v>
      </c>
      <c r="S70" s="58" t="s">
        <v>42</v>
      </c>
      <c r="T70" s="73">
        <v>650000</v>
      </c>
      <c r="U70" s="74">
        <f t="shared" si="23"/>
        <v>659661.43682906695</v>
      </c>
      <c r="V70" s="74">
        <v>95000</v>
      </c>
      <c r="W70" s="74">
        <v>591888</v>
      </c>
      <c r="X70" s="74">
        <v>72280</v>
      </c>
      <c r="Y70" s="74">
        <v>383.63</v>
      </c>
      <c r="Z70" s="74">
        <v>56.07</v>
      </c>
      <c r="AA70" s="75" t="s">
        <v>43</v>
      </c>
      <c r="AB70" s="74"/>
      <c r="AC70" s="74"/>
      <c r="AD70" s="75" t="s">
        <v>43</v>
      </c>
      <c r="AE70" s="74"/>
      <c r="AF70" s="74"/>
      <c r="AG70" s="74">
        <v>0</v>
      </c>
      <c r="AH70" s="75" t="s">
        <v>42</v>
      </c>
      <c r="AI70" s="74"/>
      <c r="AJ70" s="74">
        <f t="shared" si="24"/>
        <v>96325.196163905843</v>
      </c>
      <c r="AK70" s="74">
        <f t="shared" si="25"/>
        <v>746614.36829066894</v>
      </c>
      <c r="AL70" s="74">
        <f t="shared" si="26"/>
        <v>100714.90845684393</v>
      </c>
      <c r="AM70" s="74">
        <f t="shared" si="30"/>
        <v>783945.08670520247</v>
      </c>
      <c r="AN70" s="74">
        <f t="shared" si="33"/>
        <v>105750.65387968613</v>
      </c>
      <c r="AO70" s="74">
        <f t="shared" si="37"/>
        <v>806343.51775392261</v>
      </c>
      <c r="AP70" s="74">
        <f t="shared" si="34"/>
        <v>105750.65387968613</v>
      </c>
      <c r="AQ70" s="74">
        <f t="shared" si="35"/>
        <v>850393.76548307214</v>
      </c>
      <c r="AR70" s="76">
        <v>113.9</v>
      </c>
      <c r="AS70" s="74">
        <f t="shared" si="36"/>
        <v>105750.65387968613</v>
      </c>
      <c r="AT70" s="76">
        <v>105</v>
      </c>
      <c r="AU70" s="74">
        <f t="shared" si="19"/>
        <v>925801.81668042962</v>
      </c>
      <c r="AV70" s="76">
        <v>124</v>
      </c>
      <c r="AW70" s="74">
        <f t="shared" si="20"/>
        <v>122872.1883173496</v>
      </c>
      <c r="AX70" s="76">
        <v>122</v>
      </c>
      <c r="AY70" s="77">
        <f t="shared" si="21"/>
        <v>934762</v>
      </c>
      <c r="AZ70" s="78">
        <v>125.2</v>
      </c>
      <c r="BA70" s="77">
        <f t="shared" si="22"/>
        <v>124182</v>
      </c>
      <c r="BB70" s="78">
        <v>123.3</v>
      </c>
      <c r="BC70" s="79">
        <v>36482</v>
      </c>
      <c r="BD70" s="59"/>
      <c r="BE70" s="80">
        <v>391.99</v>
      </c>
      <c r="BF70" s="80">
        <v>389.64</v>
      </c>
      <c r="BG70" s="80">
        <v>385.15</v>
      </c>
      <c r="BH70" s="73"/>
      <c r="BI70" s="73"/>
      <c r="BJ70" s="73"/>
      <c r="BK70" s="73"/>
      <c r="BL70" s="79">
        <v>42969</v>
      </c>
      <c r="BM70" s="79">
        <v>36434</v>
      </c>
      <c r="BN70" s="58" t="s">
        <v>44</v>
      </c>
      <c r="BO70" s="58" t="s">
        <v>70</v>
      </c>
      <c r="BP70" s="58" t="s">
        <v>184</v>
      </c>
      <c r="BQ70">
        <v>2016</v>
      </c>
      <c r="BR70" s="59"/>
      <c r="BV70" s="18"/>
      <c r="BW70" s="18"/>
    </row>
    <row r="71" spans="2:75" x14ac:dyDescent="0.3">
      <c r="B71" s="20" t="s">
        <v>298</v>
      </c>
      <c r="C71" s="20" t="s">
        <v>298</v>
      </c>
      <c r="D71" s="57" t="s">
        <v>1164</v>
      </c>
      <c r="E71" s="58" t="s">
        <v>1101</v>
      </c>
      <c r="F71" s="96"/>
      <c r="G71" s="96"/>
      <c r="H71" s="58" t="s">
        <v>292</v>
      </c>
      <c r="I71" s="58" t="s">
        <v>292</v>
      </c>
      <c r="J71" s="59">
        <v>772723</v>
      </c>
      <c r="K71" s="95" t="s">
        <v>43</v>
      </c>
      <c r="L71" s="95"/>
      <c r="M71" s="58" t="s">
        <v>72</v>
      </c>
      <c r="N71" s="59">
        <v>11</v>
      </c>
      <c r="O71" s="58" t="s">
        <v>40</v>
      </c>
      <c r="P71" s="58" t="s">
        <v>299</v>
      </c>
      <c r="Q71" s="58" t="s">
        <v>300</v>
      </c>
      <c r="R71" s="58" t="s">
        <v>301</v>
      </c>
      <c r="S71" s="58" t="s">
        <v>42</v>
      </c>
      <c r="T71" s="73"/>
      <c r="U71" s="74">
        <f t="shared" si="23"/>
        <v>0</v>
      </c>
      <c r="V71" s="74">
        <v>355000</v>
      </c>
      <c r="W71" s="74"/>
      <c r="X71" s="74">
        <v>373860</v>
      </c>
      <c r="Y71" s="74"/>
      <c r="Z71" s="74">
        <v>209.52</v>
      </c>
      <c r="AA71" s="75" t="s">
        <v>43</v>
      </c>
      <c r="AB71" s="74"/>
      <c r="AC71" s="74"/>
      <c r="AD71" s="75" t="s">
        <v>43</v>
      </c>
      <c r="AE71" s="74"/>
      <c r="AF71" s="74"/>
      <c r="AG71" s="74">
        <v>0</v>
      </c>
      <c r="AH71" s="75" t="s">
        <v>42</v>
      </c>
      <c r="AI71" s="74"/>
      <c r="AJ71" s="74">
        <f t="shared" si="24"/>
        <v>359952.04882301658</v>
      </c>
      <c r="AK71" s="74">
        <f t="shared" si="25"/>
        <v>0</v>
      </c>
      <c r="AL71" s="74">
        <f t="shared" si="26"/>
        <v>376355.71054925892</v>
      </c>
      <c r="AM71" s="74">
        <f t="shared" si="30"/>
        <v>0</v>
      </c>
      <c r="AN71" s="74">
        <f t="shared" si="33"/>
        <v>395173.49607672187</v>
      </c>
      <c r="AO71" s="74">
        <f t="shared" si="37"/>
        <v>0</v>
      </c>
      <c r="AP71" s="74">
        <f t="shared" si="34"/>
        <v>395173.49607672187</v>
      </c>
      <c r="AQ71" s="74">
        <f t="shared" si="35"/>
        <v>0</v>
      </c>
      <c r="AR71" s="76">
        <v>113.9</v>
      </c>
      <c r="AS71" s="74">
        <f t="shared" si="36"/>
        <v>395173.49607672187</v>
      </c>
      <c r="AT71" s="76">
        <v>105</v>
      </c>
      <c r="AU71" s="74">
        <f t="shared" si="19"/>
        <v>0</v>
      </c>
      <c r="AV71" s="76">
        <v>124</v>
      </c>
      <c r="AW71" s="74">
        <f t="shared" si="20"/>
        <v>459153.96687009593</v>
      </c>
      <c r="AX71" s="76">
        <v>122</v>
      </c>
      <c r="AY71" s="77">
        <f t="shared" si="21"/>
        <v>0</v>
      </c>
      <c r="AZ71" s="78">
        <v>125.2</v>
      </c>
      <c r="BA71" s="77">
        <f t="shared" si="22"/>
        <v>464047</v>
      </c>
      <c r="BB71" s="78">
        <v>123.3</v>
      </c>
      <c r="BC71" s="79">
        <v>38771</v>
      </c>
      <c r="BD71" s="59"/>
      <c r="BE71" s="80">
        <v>220.65</v>
      </c>
      <c r="BF71" s="80">
        <v>220.65</v>
      </c>
      <c r="BG71" s="80">
        <v>218.71</v>
      </c>
      <c r="BH71" s="73"/>
      <c r="BI71" s="73"/>
      <c r="BJ71" s="73"/>
      <c r="BK71" s="73"/>
      <c r="BL71" s="79">
        <v>43046</v>
      </c>
      <c r="BM71" s="79">
        <v>38846</v>
      </c>
      <c r="BN71" s="58" t="s">
        <v>44</v>
      </c>
      <c r="BO71" s="58" t="s">
        <v>44</v>
      </c>
      <c r="BP71" s="58" t="s">
        <v>59</v>
      </c>
      <c r="BQ71">
        <v>2016</v>
      </c>
      <c r="BR71" s="59"/>
      <c r="BV71" s="18"/>
      <c r="BW71" s="18"/>
    </row>
    <row r="72" spans="2:75" x14ac:dyDescent="0.3">
      <c r="B72" s="20" t="s">
        <v>302</v>
      </c>
      <c r="C72" s="20" t="s">
        <v>302</v>
      </c>
      <c r="D72" s="57" t="s">
        <v>1164</v>
      </c>
      <c r="E72" s="58" t="s">
        <v>1101</v>
      </c>
      <c r="F72" s="96"/>
      <c r="G72" s="96"/>
      <c r="H72" s="58" t="s">
        <v>292</v>
      </c>
      <c r="I72" s="58" t="s">
        <v>292</v>
      </c>
      <c r="J72" s="59">
        <v>772723</v>
      </c>
      <c r="K72" s="95" t="s">
        <v>43</v>
      </c>
      <c r="L72" s="95"/>
      <c r="M72" s="58" t="s">
        <v>72</v>
      </c>
      <c r="N72" s="59">
        <v>11</v>
      </c>
      <c r="O72" s="58" t="s">
        <v>40</v>
      </c>
      <c r="P72" s="58" t="s">
        <v>303</v>
      </c>
      <c r="Q72" s="58" t="s">
        <v>42</v>
      </c>
      <c r="R72" s="58" t="s">
        <v>304</v>
      </c>
      <c r="S72" s="58" t="s">
        <v>42</v>
      </c>
      <c r="T72" s="73"/>
      <c r="U72" s="74">
        <f t="shared" si="23"/>
        <v>0</v>
      </c>
      <c r="V72" s="74"/>
      <c r="W72" s="74"/>
      <c r="X72" s="74"/>
      <c r="Y72" s="74"/>
      <c r="Z72" s="74"/>
      <c r="AA72" s="75" t="s">
        <v>43</v>
      </c>
      <c r="AB72" s="74"/>
      <c r="AC72" s="74"/>
      <c r="AD72" s="75" t="s">
        <v>43</v>
      </c>
      <c r="AE72" s="74"/>
      <c r="AF72" s="74"/>
      <c r="AG72" s="74">
        <v>0</v>
      </c>
      <c r="AH72" s="75" t="s">
        <v>42</v>
      </c>
      <c r="AI72" s="74"/>
      <c r="AJ72" s="74">
        <f t="shared" si="24"/>
        <v>0</v>
      </c>
      <c r="AK72" s="74">
        <f t="shared" si="25"/>
        <v>0</v>
      </c>
      <c r="AL72" s="74">
        <f t="shared" si="26"/>
        <v>0</v>
      </c>
      <c r="AM72" s="74">
        <f t="shared" si="30"/>
        <v>0</v>
      </c>
      <c r="AN72" s="74">
        <f t="shared" si="33"/>
        <v>0</v>
      </c>
      <c r="AO72" s="74">
        <f t="shared" si="37"/>
        <v>0</v>
      </c>
      <c r="AP72" s="74">
        <f t="shared" si="34"/>
        <v>0</v>
      </c>
      <c r="AQ72" s="74">
        <f t="shared" si="35"/>
        <v>0</v>
      </c>
      <c r="AR72" s="76">
        <v>113.9</v>
      </c>
      <c r="AS72" s="74">
        <f t="shared" si="36"/>
        <v>0</v>
      </c>
      <c r="AT72" s="76">
        <v>105</v>
      </c>
      <c r="AU72" s="74">
        <f t="shared" si="19"/>
        <v>0</v>
      </c>
      <c r="AV72" s="76">
        <v>124</v>
      </c>
      <c r="AW72" s="74">
        <f t="shared" si="20"/>
        <v>0</v>
      </c>
      <c r="AX72" s="76">
        <v>122</v>
      </c>
      <c r="AY72" s="77">
        <f t="shared" si="21"/>
        <v>0</v>
      </c>
      <c r="AZ72" s="78">
        <v>125.2</v>
      </c>
      <c r="BA72" s="77">
        <f t="shared" si="22"/>
        <v>0</v>
      </c>
      <c r="BB72" s="78">
        <v>123.3</v>
      </c>
      <c r="BC72" s="79">
        <v>40725</v>
      </c>
      <c r="BD72" s="59"/>
      <c r="BE72" s="80"/>
      <c r="BF72" s="80">
        <v>739.63</v>
      </c>
      <c r="BG72" s="80">
        <v>733.13</v>
      </c>
      <c r="BH72" s="73"/>
      <c r="BI72" s="73"/>
      <c r="BJ72" s="73"/>
      <c r="BK72" s="73"/>
      <c r="BL72" s="79">
        <v>42808</v>
      </c>
      <c r="BM72" s="79">
        <v>40878</v>
      </c>
      <c r="BN72" s="58" t="s">
        <v>44</v>
      </c>
      <c r="BO72" s="58" t="s">
        <v>44</v>
      </c>
      <c r="BP72" s="58" t="s">
        <v>305</v>
      </c>
      <c r="BQ72">
        <v>2016</v>
      </c>
      <c r="BR72" s="59"/>
      <c r="BV72" s="18"/>
      <c r="BW72" s="18"/>
    </row>
    <row r="73" spans="2:75" x14ac:dyDescent="0.3">
      <c r="B73" s="20" t="s">
        <v>306</v>
      </c>
      <c r="C73" s="20" t="s">
        <v>306</v>
      </c>
      <c r="D73" s="57" t="s">
        <v>1164</v>
      </c>
      <c r="E73" s="58" t="s">
        <v>1101</v>
      </c>
      <c r="F73" s="96"/>
      <c r="G73" s="96"/>
      <c r="H73" s="58" t="s">
        <v>292</v>
      </c>
      <c r="I73" s="58" t="s">
        <v>292</v>
      </c>
      <c r="J73" s="59">
        <v>772723</v>
      </c>
      <c r="K73" s="95" t="s">
        <v>43</v>
      </c>
      <c r="L73" s="95"/>
      <c r="M73" s="58" t="s">
        <v>72</v>
      </c>
      <c r="N73" s="59">
        <v>99</v>
      </c>
      <c r="O73" s="58" t="s">
        <v>128</v>
      </c>
      <c r="P73" s="58" t="s">
        <v>307</v>
      </c>
      <c r="Q73" s="58" t="s">
        <v>74</v>
      </c>
      <c r="R73" s="58" t="s">
        <v>308</v>
      </c>
      <c r="S73" s="58" t="s">
        <v>42</v>
      </c>
      <c r="T73" s="73">
        <v>5250000</v>
      </c>
      <c r="U73" s="74">
        <f t="shared" si="23"/>
        <v>5328034.6820809254</v>
      </c>
      <c r="V73" s="74"/>
      <c r="W73" s="74">
        <v>4932413</v>
      </c>
      <c r="X73" s="74"/>
      <c r="Y73" s="74">
        <v>3098.55</v>
      </c>
      <c r="Z73" s="74"/>
      <c r="AA73" s="75" t="s">
        <v>43</v>
      </c>
      <c r="AB73" s="74"/>
      <c r="AC73" s="74"/>
      <c r="AD73" s="75" t="s">
        <v>43</v>
      </c>
      <c r="AE73" s="74"/>
      <c r="AF73" s="74"/>
      <c r="AG73" s="74">
        <v>0</v>
      </c>
      <c r="AH73" s="75" t="s">
        <v>42</v>
      </c>
      <c r="AI73" s="74"/>
      <c r="AJ73" s="74">
        <f t="shared" si="24"/>
        <v>0</v>
      </c>
      <c r="AK73" s="74">
        <f t="shared" si="25"/>
        <v>6030346.8208092488</v>
      </c>
      <c r="AL73" s="74">
        <f t="shared" si="26"/>
        <v>0</v>
      </c>
      <c r="AM73" s="74">
        <f t="shared" si="30"/>
        <v>6331864.1618497111</v>
      </c>
      <c r="AN73" s="74">
        <f t="shared" si="33"/>
        <v>0</v>
      </c>
      <c r="AO73" s="74">
        <f t="shared" si="37"/>
        <v>6512774.5664739879</v>
      </c>
      <c r="AP73" s="74">
        <f t="shared" si="34"/>
        <v>0</v>
      </c>
      <c r="AQ73" s="74">
        <f t="shared" si="35"/>
        <v>6868565.0289017344</v>
      </c>
      <c r="AR73" s="76">
        <v>113.9</v>
      </c>
      <c r="AS73" s="74">
        <f t="shared" si="36"/>
        <v>0</v>
      </c>
      <c r="AT73" s="76">
        <v>105</v>
      </c>
      <c r="AU73" s="74">
        <f t="shared" si="19"/>
        <v>7477630.0578034678</v>
      </c>
      <c r="AV73" s="76">
        <v>124</v>
      </c>
      <c r="AW73" s="74">
        <f t="shared" si="20"/>
        <v>0</v>
      </c>
      <c r="AX73" s="76">
        <v>122</v>
      </c>
      <c r="AY73" s="77">
        <f t="shared" si="21"/>
        <v>7549995</v>
      </c>
      <c r="AZ73" s="78">
        <v>125.2</v>
      </c>
      <c r="BA73" s="77">
        <f t="shared" si="22"/>
        <v>0</v>
      </c>
      <c r="BB73" s="78">
        <v>123.3</v>
      </c>
      <c r="BC73" s="79">
        <v>36526</v>
      </c>
      <c r="BD73" s="59"/>
      <c r="BE73" s="80">
        <v>2911.11</v>
      </c>
      <c r="BF73" s="80">
        <v>2891.54</v>
      </c>
      <c r="BG73" s="80">
        <v>2857.29</v>
      </c>
      <c r="BH73" s="73"/>
      <c r="BI73" s="73"/>
      <c r="BJ73" s="73"/>
      <c r="BK73" s="73"/>
      <c r="BL73" s="79">
        <v>42969</v>
      </c>
      <c r="BM73" s="79">
        <v>36434</v>
      </c>
      <c r="BN73" s="58" t="s">
        <v>44</v>
      </c>
      <c r="BO73" s="58" t="s">
        <v>70</v>
      </c>
      <c r="BP73" s="58" t="s">
        <v>59</v>
      </c>
      <c r="BQ73">
        <v>2016</v>
      </c>
      <c r="BR73" s="59"/>
      <c r="BV73" s="18"/>
      <c r="BW73" s="18"/>
    </row>
    <row r="74" spans="2:75" x14ac:dyDescent="0.3">
      <c r="B74" s="20" t="s">
        <v>309</v>
      </c>
      <c r="C74" s="20" t="s">
        <v>309</v>
      </c>
      <c r="D74" s="57" t="s">
        <v>1165</v>
      </c>
      <c r="E74" s="58" t="s">
        <v>1101</v>
      </c>
      <c r="F74" s="96"/>
      <c r="G74" s="96"/>
      <c r="H74" s="58" t="s">
        <v>292</v>
      </c>
      <c r="I74" s="58" t="s">
        <v>292</v>
      </c>
      <c r="J74" s="59">
        <v>772723</v>
      </c>
      <c r="K74" s="95" t="s">
        <v>43</v>
      </c>
      <c r="L74" s="95"/>
      <c r="M74" s="58" t="s">
        <v>72</v>
      </c>
      <c r="N74" s="59">
        <v>99</v>
      </c>
      <c r="O74" s="58" t="s">
        <v>128</v>
      </c>
      <c r="P74" s="58" t="s">
        <v>310</v>
      </c>
      <c r="Q74" s="58" t="s">
        <v>92</v>
      </c>
      <c r="R74" s="58" t="s">
        <v>311</v>
      </c>
      <c r="S74" s="58" t="s">
        <v>42</v>
      </c>
      <c r="T74" s="73">
        <v>2650000</v>
      </c>
      <c r="U74" s="74">
        <f t="shared" si="23"/>
        <v>2689388.9347646576</v>
      </c>
      <c r="V74" s="74">
        <v>470000</v>
      </c>
      <c r="W74" s="74">
        <v>2466207</v>
      </c>
      <c r="X74" s="74">
        <v>346444</v>
      </c>
      <c r="Y74" s="74">
        <v>1564.03</v>
      </c>
      <c r="Z74" s="74">
        <v>277.39</v>
      </c>
      <c r="AA74" s="75" t="s">
        <v>43</v>
      </c>
      <c r="AB74" s="74"/>
      <c r="AC74" s="74"/>
      <c r="AD74" s="75" t="s">
        <v>43</v>
      </c>
      <c r="AE74" s="74"/>
      <c r="AF74" s="74"/>
      <c r="AG74" s="74">
        <v>0</v>
      </c>
      <c r="AH74" s="75" t="s">
        <v>42</v>
      </c>
      <c r="AI74" s="74"/>
      <c r="AJ74" s="74">
        <f t="shared" si="24"/>
        <v>476556.23365300783</v>
      </c>
      <c r="AK74" s="74">
        <f t="shared" si="25"/>
        <v>3043889.3476465731</v>
      </c>
      <c r="AL74" s="74">
        <f t="shared" si="26"/>
        <v>498273.75762859627</v>
      </c>
      <c r="AM74" s="74">
        <f t="shared" si="30"/>
        <v>3196083.8150289017</v>
      </c>
      <c r="AN74" s="74">
        <f t="shared" si="33"/>
        <v>523187.44551002613</v>
      </c>
      <c r="AO74" s="74">
        <f t="shared" si="37"/>
        <v>3287400.4954582988</v>
      </c>
      <c r="AP74" s="74">
        <f t="shared" si="34"/>
        <v>523187.44551002613</v>
      </c>
      <c r="AQ74" s="74">
        <f t="shared" si="35"/>
        <v>3466989.9669694472</v>
      </c>
      <c r="AR74" s="76">
        <v>113.9</v>
      </c>
      <c r="AS74" s="74">
        <f t="shared" si="36"/>
        <v>523187.44551002613</v>
      </c>
      <c r="AT74" s="76">
        <v>105</v>
      </c>
      <c r="AU74" s="74">
        <f t="shared" si="19"/>
        <v>3774422.7910817512</v>
      </c>
      <c r="AV74" s="76">
        <v>124</v>
      </c>
      <c r="AW74" s="74">
        <f t="shared" si="20"/>
        <v>607893.98430688749</v>
      </c>
      <c r="AX74" s="76">
        <v>122</v>
      </c>
      <c r="AY74" s="77">
        <f t="shared" si="21"/>
        <v>3810950</v>
      </c>
      <c r="AZ74" s="78">
        <v>125.2</v>
      </c>
      <c r="BA74" s="77">
        <f t="shared" si="22"/>
        <v>614372</v>
      </c>
      <c r="BB74" s="78">
        <v>123.3</v>
      </c>
      <c r="BC74" s="79">
        <v>36526</v>
      </c>
      <c r="BD74" s="59"/>
      <c r="BE74" s="80">
        <v>1660.03</v>
      </c>
      <c r="BF74" s="80">
        <v>1650.24</v>
      </c>
      <c r="BG74" s="80">
        <v>1631.32</v>
      </c>
      <c r="BH74" s="73"/>
      <c r="BI74" s="73"/>
      <c r="BJ74" s="73"/>
      <c r="BK74" s="73"/>
      <c r="BL74" s="79">
        <v>43046</v>
      </c>
      <c r="BM74" s="79">
        <v>36434</v>
      </c>
      <c r="BN74" s="58" t="s">
        <v>44</v>
      </c>
      <c r="BO74" s="58" t="s">
        <v>70</v>
      </c>
      <c r="BP74" s="58" t="s">
        <v>184</v>
      </c>
      <c r="BQ74">
        <v>2016</v>
      </c>
      <c r="BR74" s="59"/>
      <c r="BV74" s="18"/>
      <c r="BW74" s="18"/>
    </row>
    <row r="75" spans="2:75" x14ac:dyDescent="0.3">
      <c r="B75" s="20" t="s">
        <v>312</v>
      </c>
      <c r="C75" s="20" t="s">
        <v>312</v>
      </c>
      <c r="D75" s="57" t="e">
        <v>#N/A</v>
      </c>
      <c r="E75" s="58" t="s">
        <v>1101</v>
      </c>
      <c r="F75" s="96"/>
      <c r="G75" s="96"/>
      <c r="H75" s="58" t="s">
        <v>313</v>
      </c>
      <c r="I75" s="58" t="s">
        <v>313</v>
      </c>
      <c r="J75" s="59">
        <v>772724</v>
      </c>
      <c r="K75" s="95" t="s">
        <v>43</v>
      </c>
      <c r="L75" s="95"/>
      <c r="M75" s="58" t="s">
        <v>66</v>
      </c>
      <c r="N75" s="59">
        <v>21</v>
      </c>
      <c r="O75" s="58" t="s">
        <v>143</v>
      </c>
      <c r="P75" s="58" t="s">
        <v>314</v>
      </c>
      <c r="Q75" s="58" t="s">
        <v>172</v>
      </c>
      <c r="R75" s="58" t="s">
        <v>315</v>
      </c>
      <c r="S75" s="58" t="s">
        <v>42</v>
      </c>
      <c r="T75" s="73">
        <v>210000</v>
      </c>
      <c r="U75" s="74">
        <f t="shared" si="23"/>
        <v>213121.38728323701</v>
      </c>
      <c r="V75" s="74"/>
      <c r="W75" s="74">
        <v>197296</v>
      </c>
      <c r="X75" s="74"/>
      <c r="Y75" s="74">
        <v>123.94</v>
      </c>
      <c r="Z75" s="74"/>
      <c r="AA75" s="75" t="s">
        <v>43</v>
      </c>
      <c r="AB75" s="74"/>
      <c r="AC75" s="74"/>
      <c r="AD75" s="75" t="s">
        <v>43</v>
      </c>
      <c r="AE75" s="74"/>
      <c r="AF75" s="74"/>
      <c r="AG75" s="74">
        <v>0</v>
      </c>
      <c r="AH75" s="75" t="s">
        <v>42</v>
      </c>
      <c r="AI75" s="74"/>
      <c r="AJ75" s="74">
        <f t="shared" si="24"/>
        <v>0</v>
      </c>
      <c r="AK75" s="74">
        <f t="shared" si="25"/>
        <v>241213.87283236993</v>
      </c>
      <c r="AL75" s="74">
        <f t="shared" si="26"/>
        <v>0</v>
      </c>
      <c r="AM75" s="74">
        <f t="shared" si="30"/>
        <v>253274.56647398844</v>
      </c>
      <c r="AN75" s="74">
        <f t="shared" si="33"/>
        <v>0</v>
      </c>
      <c r="AO75" s="74">
        <f t="shared" si="37"/>
        <v>260510.98265895955</v>
      </c>
      <c r="AP75" s="74">
        <f t="shared" si="34"/>
        <v>0</v>
      </c>
      <c r="AQ75" s="74">
        <f t="shared" si="35"/>
        <v>274742.60115606937</v>
      </c>
      <c r="AR75" s="76">
        <v>113.9</v>
      </c>
      <c r="AS75" s="74">
        <f t="shared" si="36"/>
        <v>0</v>
      </c>
      <c r="AT75" s="76">
        <v>105</v>
      </c>
      <c r="AU75" s="74">
        <f t="shared" si="19"/>
        <v>299105.20231213875</v>
      </c>
      <c r="AV75" s="76">
        <v>124</v>
      </c>
      <c r="AW75" s="74">
        <f t="shared" si="20"/>
        <v>0</v>
      </c>
      <c r="AX75" s="76">
        <v>122</v>
      </c>
      <c r="AY75" s="77">
        <f t="shared" si="21"/>
        <v>302000</v>
      </c>
      <c r="AZ75" s="78">
        <v>125.2</v>
      </c>
      <c r="BA75" s="77">
        <f t="shared" si="22"/>
        <v>0</v>
      </c>
      <c r="BB75" s="78">
        <v>123.3</v>
      </c>
      <c r="BC75" s="59"/>
      <c r="BD75" s="59"/>
      <c r="BE75" s="80">
        <v>116.44</v>
      </c>
      <c r="BF75" s="80">
        <v>115.66</v>
      </c>
      <c r="BG75" s="80">
        <v>114.29</v>
      </c>
      <c r="BH75" s="73"/>
      <c r="BI75" s="73"/>
      <c r="BJ75" s="73"/>
      <c r="BK75" s="73"/>
      <c r="BL75" s="79">
        <v>42969</v>
      </c>
      <c r="BM75" s="79">
        <v>36434</v>
      </c>
      <c r="BN75" s="58" t="s">
        <v>44</v>
      </c>
      <c r="BO75" s="58" t="s">
        <v>70</v>
      </c>
      <c r="BP75" s="58" t="s">
        <v>316</v>
      </c>
      <c r="BQ75">
        <v>2016</v>
      </c>
      <c r="BR75" s="59"/>
      <c r="BV75" s="18"/>
      <c r="BW75" s="18"/>
    </row>
    <row r="76" spans="2:75" x14ac:dyDescent="0.3">
      <c r="B76" s="20" t="s">
        <v>317</v>
      </c>
      <c r="C76" s="20" t="s">
        <v>317</v>
      </c>
      <c r="D76" s="57" t="e">
        <v>#N/A</v>
      </c>
      <c r="E76" s="58" t="s">
        <v>1101</v>
      </c>
      <c r="F76" s="96"/>
      <c r="G76" s="96"/>
      <c r="H76" s="58" t="s">
        <v>313</v>
      </c>
      <c r="I76" s="58" t="s">
        <v>313</v>
      </c>
      <c r="J76" s="59">
        <v>997972</v>
      </c>
      <c r="K76" s="95" t="s">
        <v>43</v>
      </c>
      <c r="L76" s="95"/>
      <c r="M76" s="58" t="s">
        <v>318</v>
      </c>
      <c r="N76" s="59">
        <v>99</v>
      </c>
      <c r="O76" s="58" t="s">
        <v>128</v>
      </c>
      <c r="P76" s="58" t="s">
        <v>319</v>
      </c>
      <c r="Q76" s="58" t="s">
        <v>42</v>
      </c>
      <c r="R76" s="58" t="s">
        <v>320</v>
      </c>
      <c r="S76" s="58" t="s">
        <v>42</v>
      </c>
      <c r="T76" s="73"/>
      <c r="U76" s="74">
        <f t="shared" si="23"/>
        <v>0</v>
      </c>
      <c r="V76" s="74">
        <v>2125225</v>
      </c>
      <c r="W76" s="74"/>
      <c r="X76" s="74"/>
      <c r="Y76" s="74"/>
      <c r="Z76" s="74">
        <v>1254.31</v>
      </c>
      <c r="AA76" s="75" t="s">
        <v>43</v>
      </c>
      <c r="AB76" s="74"/>
      <c r="AC76" s="74"/>
      <c r="AD76" s="75" t="s">
        <v>43</v>
      </c>
      <c r="AE76" s="74"/>
      <c r="AF76" s="74"/>
      <c r="AG76" s="74">
        <v>0</v>
      </c>
      <c r="AH76" s="75" t="s">
        <v>42</v>
      </c>
      <c r="AI76" s="74"/>
      <c r="AJ76" s="74">
        <f t="shared" si="24"/>
        <v>2154870.6843940713</v>
      </c>
      <c r="AK76" s="74">
        <f t="shared" si="25"/>
        <v>0</v>
      </c>
      <c r="AL76" s="74">
        <f t="shared" si="26"/>
        <v>2253072.0139494329</v>
      </c>
      <c r="AM76" s="74">
        <f t="shared" si="30"/>
        <v>0</v>
      </c>
      <c r="AN76" s="74">
        <v>2113476.62</v>
      </c>
      <c r="AO76" s="74">
        <f t="shared" si="37"/>
        <v>0</v>
      </c>
      <c r="AP76" s="74">
        <f t="shared" si="34"/>
        <v>2113476.62</v>
      </c>
      <c r="AQ76" s="74">
        <f t="shared" si="35"/>
        <v>0</v>
      </c>
      <c r="AR76" s="76">
        <v>113.9</v>
      </c>
      <c r="AS76" s="74">
        <f t="shared" si="36"/>
        <v>2113476.62</v>
      </c>
      <c r="AT76" s="76">
        <v>105</v>
      </c>
      <c r="AU76" s="74">
        <f t="shared" si="19"/>
        <v>0</v>
      </c>
      <c r="AV76" s="76">
        <v>124</v>
      </c>
      <c r="AW76" s="74">
        <f t="shared" si="20"/>
        <v>2455658.5489523811</v>
      </c>
      <c r="AX76" s="76">
        <v>122</v>
      </c>
      <c r="AY76" s="77">
        <f t="shared" si="21"/>
        <v>0</v>
      </c>
      <c r="AZ76" s="78">
        <v>125.2</v>
      </c>
      <c r="BA76" s="77">
        <f t="shared" si="22"/>
        <v>2481826</v>
      </c>
      <c r="BB76" s="78">
        <v>123.3</v>
      </c>
      <c r="BC76" s="79">
        <v>42736</v>
      </c>
      <c r="BD76" s="59"/>
      <c r="BE76" s="80"/>
      <c r="BF76" s="80"/>
      <c r="BG76" s="80"/>
      <c r="BH76" s="73"/>
      <c r="BI76" s="73"/>
      <c r="BJ76" s="73"/>
      <c r="BK76" s="73"/>
      <c r="BL76" s="79">
        <v>43150</v>
      </c>
      <c r="BM76" s="79">
        <v>43146</v>
      </c>
      <c r="BN76" s="58" t="s">
        <v>44</v>
      </c>
      <c r="BO76" s="58" t="s">
        <v>44</v>
      </c>
      <c r="BP76" s="58" t="s">
        <v>321</v>
      </c>
      <c r="BQ76">
        <v>0</v>
      </c>
      <c r="BR76" s="59"/>
      <c r="BV76" s="18"/>
      <c r="BW76" s="18"/>
    </row>
    <row r="77" spans="2:75" x14ac:dyDescent="0.3">
      <c r="B77" s="20" t="s">
        <v>322</v>
      </c>
      <c r="C77" s="20" t="s">
        <v>1266</v>
      </c>
      <c r="D77" s="57" t="s">
        <v>1166</v>
      </c>
      <c r="E77" s="58" t="s">
        <v>1101</v>
      </c>
      <c r="F77" s="96"/>
      <c r="G77" s="96"/>
      <c r="H77" s="58" t="s">
        <v>323</v>
      </c>
      <c r="I77" s="58" t="s">
        <v>323</v>
      </c>
      <c r="J77" s="59">
        <v>772723</v>
      </c>
      <c r="K77" s="95" t="s">
        <v>43</v>
      </c>
      <c r="L77" s="95"/>
      <c r="M77" s="58" t="s">
        <v>72</v>
      </c>
      <c r="N77" s="59">
        <v>11</v>
      </c>
      <c r="O77" s="58" t="s">
        <v>40</v>
      </c>
      <c r="P77" s="58" t="s">
        <v>324</v>
      </c>
      <c r="Q77" s="58" t="s">
        <v>92</v>
      </c>
      <c r="R77" s="58" t="s">
        <v>325</v>
      </c>
      <c r="S77" s="58" t="s">
        <v>326</v>
      </c>
      <c r="T77" s="73">
        <v>2000000</v>
      </c>
      <c r="U77" s="74">
        <f t="shared" si="23"/>
        <v>2029727.4979355906</v>
      </c>
      <c r="V77" s="74">
        <v>462500</v>
      </c>
      <c r="W77" s="74">
        <v>1834858</v>
      </c>
      <c r="X77" s="74">
        <v>428692</v>
      </c>
      <c r="Y77" s="74">
        <v>1180.4000000000001</v>
      </c>
      <c r="Z77" s="74">
        <v>272.97000000000003</v>
      </c>
      <c r="AA77" s="75" t="s">
        <v>43</v>
      </c>
      <c r="AB77" s="74"/>
      <c r="AC77" s="74"/>
      <c r="AD77" s="75" t="s">
        <v>43</v>
      </c>
      <c r="AE77" s="74"/>
      <c r="AF77" s="74"/>
      <c r="AG77" s="74">
        <v>0</v>
      </c>
      <c r="AH77" s="75" t="s">
        <v>327</v>
      </c>
      <c r="AI77" s="74"/>
      <c r="AJ77" s="74">
        <f t="shared" si="24"/>
        <v>468951.61290322582</v>
      </c>
      <c r="AK77" s="74">
        <f t="shared" si="25"/>
        <v>2297274.9793559043</v>
      </c>
      <c r="AL77" s="74">
        <f t="shared" si="26"/>
        <v>490322.58064516127</v>
      </c>
      <c r="AM77" s="74">
        <f t="shared" si="30"/>
        <v>2412138.7283236994</v>
      </c>
      <c r="AN77" s="74">
        <f t="shared" ref="AN77:AN83" si="38">AL77*1.05</f>
        <v>514838.70967741933</v>
      </c>
      <c r="AO77" s="74">
        <f t="shared" si="37"/>
        <v>2481056.9777043769</v>
      </c>
      <c r="AP77" s="74">
        <f t="shared" si="34"/>
        <v>514838.70967741933</v>
      </c>
      <c r="AQ77" s="74">
        <f t="shared" si="35"/>
        <v>2616596.2014863756</v>
      </c>
      <c r="AR77" s="76">
        <v>113.9</v>
      </c>
      <c r="AS77" s="74">
        <f t="shared" si="36"/>
        <v>514838.70967741933</v>
      </c>
      <c r="AT77" s="76">
        <v>105</v>
      </c>
      <c r="AU77" s="74">
        <f t="shared" si="19"/>
        <v>2848620.9744013217</v>
      </c>
      <c r="AV77" s="76">
        <v>124</v>
      </c>
      <c r="AW77" s="74">
        <f t="shared" ref="AW77:AW106" si="39">AS77/AT77*AX77</f>
        <v>598193.54838709673</v>
      </c>
      <c r="AX77" s="76">
        <v>122</v>
      </c>
      <c r="AY77" s="77">
        <f t="shared" ref="AY77:AY106" si="40">CEILING(((AU77/AV77)*AZ77),1)</f>
        <v>2876189</v>
      </c>
      <c r="AZ77" s="78">
        <v>125.2</v>
      </c>
      <c r="BA77" s="77">
        <f t="shared" ref="BA77:BA106" si="41">CEILING(((AW77/AX77)*BB77),1)</f>
        <v>604568</v>
      </c>
      <c r="BB77" s="78">
        <v>123.3</v>
      </c>
      <c r="BC77" s="79">
        <v>36526</v>
      </c>
      <c r="BD77" s="59"/>
      <c r="BE77" s="80">
        <v>1335.94</v>
      </c>
      <c r="BF77" s="80">
        <v>1328.66</v>
      </c>
      <c r="BG77" s="80">
        <v>1313.7</v>
      </c>
      <c r="BH77" s="73"/>
      <c r="BI77" s="73"/>
      <c r="BJ77" s="73"/>
      <c r="BK77" s="73"/>
      <c r="BL77" s="79">
        <v>43151</v>
      </c>
      <c r="BM77" s="79">
        <v>36434</v>
      </c>
      <c r="BN77" s="58" t="s">
        <v>44</v>
      </c>
      <c r="BO77" s="58" t="s">
        <v>70</v>
      </c>
      <c r="BP77" s="58" t="s">
        <v>184</v>
      </c>
      <c r="BQ77">
        <v>2016</v>
      </c>
      <c r="BR77" s="59"/>
      <c r="BV77" s="18"/>
      <c r="BW77" s="18"/>
    </row>
    <row r="78" spans="2:75" x14ac:dyDescent="0.3">
      <c r="B78" s="20" t="s">
        <v>328</v>
      </c>
      <c r="C78" s="20" t="s">
        <v>328</v>
      </c>
      <c r="D78" s="57" t="s">
        <v>1166</v>
      </c>
      <c r="E78" s="58" t="s">
        <v>1101</v>
      </c>
      <c r="F78" s="96"/>
      <c r="G78" s="96"/>
      <c r="H78" s="58" t="s">
        <v>323</v>
      </c>
      <c r="I78" s="58" t="s">
        <v>323</v>
      </c>
      <c r="J78" s="59">
        <v>772723</v>
      </c>
      <c r="K78" s="95" t="s">
        <v>43</v>
      </c>
      <c r="L78" s="95"/>
      <c r="M78" s="58" t="s">
        <v>72</v>
      </c>
      <c r="N78" s="59">
        <v>99</v>
      </c>
      <c r="O78" s="58" t="s">
        <v>128</v>
      </c>
      <c r="P78" s="58" t="s">
        <v>329</v>
      </c>
      <c r="Q78" s="58" t="s">
        <v>217</v>
      </c>
      <c r="R78" s="58" t="s">
        <v>330</v>
      </c>
      <c r="S78" s="58" t="s">
        <v>326</v>
      </c>
      <c r="T78" s="73">
        <v>5460000</v>
      </c>
      <c r="U78" s="74">
        <f t="shared" si="23"/>
        <v>5541156.0693641622</v>
      </c>
      <c r="V78" s="74">
        <v>267500</v>
      </c>
      <c r="W78" s="74">
        <v>5031061</v>
      </c>
      <c r="X78" s="74">
        <v>196899</v>
      </c>
      <c r="Y78" s="74">
        <v>3222.49</v>
      </c>
      <c r="Z78" s="74">
        <v>157.88</v>
      </c>
      <c r="AA78" s="75" t="s">
        <v>43</v>
      </c>
      <c r="AB78" s="74"/>
      <c r="AC78" s="74"/>
      <c r="AD78" s="75" t="s">
        <v>43</v>
      </c>
      <c r="AE78" s="74"/>
      <c r="AF78" s="74"/>
      <c r="AG78" s="74">
        <v>0</v>
      </c>
      <c r="AH78" s="75" t="s">
        <v>42</v>
      </c>
      <c r="AI78" s="74"/>
      <c r="AJ78" s="74">
        <f t="shared" si="24"/>
        <v>271231.47340889275</v>
      </c>
      <c r="AK78" s="74">
        <f t="shared" si="25"/>
        <v>6271560.6936416179</v>
      </c>
      <c r="AL78" s="74">
        <f t="shared" si="26"/>
        <v>283591.97907584999</v>
      </c>
      <c r="AM78" s="74">
        <f t="shared" si="30"/>
        <v>6585138.728323699</v>
      </c>
      <c r="AN78" s="74">
        <f t="shared" si="38"/>
        <v>297771.57802964252</v>
      </c>
      <c r="AO78" s="74">
        <f>AM78/105*108+(70547)</f>
        <v>6843832.5491329478</v>
      </c>
      <c r="AP78" s="74">
        <f t="shared" si="34"/>
        <v>297771.57802964252</v>
      </c>
      <c r="AQ78" s="74">
        <f t="shared" si="35"/>
        <v>7217708.5865392853</v>
      </c>
      <c r="AR78" s="76">
        <v>113.9</v>
      </c>
      <c r="AS78" s="74">
        <f t="shared" si="36"/>
        <v>297771.57802964252</v>
      </c>
      <c r="AT78" s="76">
        <v>105</v>
      </c>
      <c r="AU78" s="74">
        <f t="shared" si="19"/>
        <v>7857733.6675230144</v>
      </c>
      <c r="AV78" s="76">
        <v>124</v>
      </c>
      <c r="AW78" s="74">
        <f t="shared" si="39"/>
        <v>345982.21447253705</v>
      </c>
      <c r="AX78" s="76">
        <v>122</v>
      </c>
      <c r="AY78" s="77">
        <f t="shared" si="40"/>
        <v>7933777</v>
      </c>
      <c r="AZ78" s="78">
        <v>125.2</v>
      </c>
      <c r="BA78" s="77">
        <f t="shared" si="41"/>
        <v>349669</v>
      </c>
      <c r="BB78" s="78">
        <v>123.3</v>
      </c>
      <c r="BC78" s="79">
        <v>36526</v>
      </c>
      <c r="BD78" s="59"/>
      <c r="BE78" s="80">
        <v>3085.54</v>
      </c>
      <c r="BF78" s="80">
        <v>3065.58</v>
      </c>
      <c r="BG78" s="80">
        <v>3029.63</v>
      </c>
      <c r="BH78" s="73"/>
      <c r="BI78" s="73"/>
      <c r="BJ78" s="73"/>
      <c r="BK78" s="73"/>
      <c r="BL78" s="79">
        <v>42969</v>
      </c>
      <c r="BM78" s="79">
        <v>36434</v>
      </c>
      <c r="BN78" s="58" t="s">
        <v>44</v>
      </c>
      <c r="BO78" s="58" t="s">
        <v>70</v>
      </c>
      <c r="BP78" s="58" t="s">
        <v>184</v>
      </c>
      <c r="BQ78">
        <v>2016</v>
      </c>
      <c r="BR78" s="59" t="s">
        <v>1005</v>
      </c>
      <c r="BV78" s="18"/>
      <c r="BW78" s="18"/>
    </row>
    <row r="79" spans="2:75" x14ac:dyDescent="0.3">
      <c r="B79" s="20" t="s">
        <v>328</v>
      </c>
      <c r="C79" s="20" t="s">
        <v>328</v>
      </c>
      <c r="D79" s="57" t="s">
        <v>1166</v>
      </c>
      <c r="E79" s="58" t="s">
        <v>1101</v>
      </c>
      <c r="F79" s="96"/>
      <c r="G79" s="96"/>
      <c r="H79" s="58" t="s">
        <v>323</v>
      </c>
      <c r="I79" s="58" t="s">
        <v>323</v>
      </c>
      <c r="J79" s="59">
        <v>772723</v>
      </c>
      <c r="K79" s="95" t="s">
        <v>1440</v>
      </c>
      <c r="L79" s="95"/>
      <c r="M79" s="58" t="s">
        <v>72</v>
      </c>
      <c r="N79" s="59">
        <v>12</v>
      </c>
      <c r="O79" s="58" t="s">
        <v>49</v>
      </c>
      <c r="P79" s="58" t="s">
        <v>331</v>
      </c>
      <c r="Q79" s="58" t="s">
        <v>92</v>
      </c>
      <c r="R79" s="58" t="s">
        <v>332</v>
      </c>
      <c r="S79" s="58" t="s">
        <v>326</v>
      </c>
      <c r="T79" s="73"/>
      <c r="U79" s="74">
        <f t="shared" si="23"/>
        <v>0</v>
      </c>
      <c r="V79" s="74">
        <v>910000</v>
      </c>
      <c r="W79" s="74"/>
      <c r="X79" s="74">
        <v>368875</v>
      </c>
      <c r="Y79" s="74"/>
      <c r="Z79" s="74">
        <v>537.08000000000004</v>
      </c>
      <c r="AA79" s="75" t="s">
        <v>43</v>
      </c>
      <c r="AB79" s="74"/>
      <c r="AC79" s="74"/>
      <c r="AD79" s="75" t="s">
        <v>43</v>
      </c>
      <c r="AE79" s="74"/>
      <c r="AF79" s="74"/>
      <c r="AG79" s="74">
        <v>0</v>
      </c>
      <c r="AH79" s="75" t="s">
        <v>42</v>
      </c>
      <c r="AI79" s="74"/>
      <c r="AJ79" s="74">
        <f t="shared" si="24"/>
        <v>922693.98430688749</v>
      </c>
      <c r="AK79" s="74">
        <f t="shared" si="25"/>
        <v>0</v>
      </c>
      <c r="AL79" s="74">
        <f t="shared" si="26"/>
        <v>964742.80732345232</v>
      </c>
      <c r="AM79" s="74">
        <f t="shared" si="30"/>
        <v>0</v>
      </c>
      <c r="AN79" s="74">
        <f t="shared" si="38"/>
        <v>1012979.947689625</v>
      </c>
      <c r="AO79" s="74">
        <f>AM79/105*108</f>
        <v>0</v>
      </c>
      <c r="AP79" s="74">
        <f t="shared" si="34"/>
        <v>1012979.947689625</v>
      </c>
      <c r="AQ79" s="74">
        <f t="shared" si="35"/>
        <v>0</v>
      </c>
      <c r="AR79" s="76">
        <v>113.9</v>
      </c>
      <c r="AS79" s="74">
        <f t="shared" si="36"/>
        <v>1012979.947689625</v>
      </c>
      <c r="AT79" s="76">
        <v>105</v>
      </c>
      <c r="AU79" s="74">
        <f t="shared" si="19"/>
        <v>0</v>
      </c>
      <c r="AV79" s="76">
        <v>124</v>
      </c>
      <c r="AW79" s="74">
        <f t="shared" si="39"/>
        <v>1176986.2249346119</v>
      </c>
      <c r="AX79" s="76">
        <v>122</v>
      </c>
      <c r="AY79" s="77">
        <f t="shared" si="40"/>
        <v>0</v>
      </c>
      <c r="AZ79" s="78">
        <v>125.2</v>
      </c>
      <c r="BA79" s="77">
        <f t="shared" si="41"/>
        <v>1189528</v>
      </c>
      <c r="BB79" s="78">
        <v>123.3</v>
      </c>
      <c r="BC79" s="79">
        <v>39814</v>
      </c>
      <c r="BD79" s="59"/>
      <c r="BE79" s="80">
        <v>217.71</v>
      </c>
      <c r="BF79" s="80">
        <v>217.71</v>
      </c>
      <c r="BG79" s="80">
        <v>215.8</v>
      </c>
      <c r="BH79" s="73"/>
      <c r="BI79" s="73"/>
      <c r="BJ79" s="73"/>
      <c r="BK79" s="73"/>
      <c r="BL79" s="79">
        <v>43158</v>
      </c>
      <c r="BM79" s="79">
        <v>40227</v>
      </c>
      <c r="BN79" s="58" t="s">
        <v>44</v>
      </c>
      <c r="BO79" s="58" t="s">
        <v>44</v>
      </c>
      <c r="BP79" s="58" t="s">
        <v>184</v>
      </c>
      <c r="BQ79">
        <v>2016</v>
      </c>
      <c r="BR79" s="59"/>
      <c r="BV79" s="18"/>
      <c r="BW79" s="18"/>
    </row>
    <row r="80" spans="2:75" x14ac:dyDescent="0.3">
      <c r="B80" s="20" t="s">
        <v>333</v>
      </c>
      <c r="C80" s="20" t="s">
        <v>1267</v>
      </c>
      <c r="D80" s="57" t="s">
        <v>1166</v>
      </c>
      <c r="E80" s="58" t="s">
        <v>1101</v>
      </c>
      <c r="F80" s="96"/>
      <c r="G80" s="96"/>
      <c r="H80" s="58" t="s">
        <v>323</v>
      </c>
      <c r="I80" s="58" t="s">
        <v>323</v>
      </c>
      <c r="J80" s="59">
        <v>772724</v>
      </c>
      <c r="K80" s="95" t="s">
        <v>43</v>
      </c>
      <c r="L80" s="95"/>
      <c r="M80" s="58" t="s">
        <v>66</v>
      </c>
      <c r="N80" s="59">
        <v>11</v>
      </c>
      <c r="O80" s="58" t="s">
        <v>40</v>
      </c>
      <c r="P80" s="58" t="s">
        <v>123</v>
      </c>
      <c r="Q80" s="58" t="s">
        <v>124</v>
      </c>
      <c r="R80" s="58" t="s">
        <v>334</v>
      </c>
      <c r="S80" s="58" t="s">
        <v>42</v>
      </c>
      <c r="T80" s="73">
        <v>540000</v>
      </c>
      <c r="U80" s="74">
        <f t="shared" si="23"/>
        <v>548026.42444260942</v>
      </c>
      <c r="V80" s="74">
        <v>90000</v>
      </c>
      <c r="W80" s="74">
        <v>493241</v>
      </c>
      <c r="X80" s="74">
        <v>69787</v>
      </c>
      <c r="Y80" s="74">
        <v>318.70999999999998</v>
      </c>
      <c r="Z80" s="74">
        <v>53.12</v>
      </c>
      <c r="AA80" s="75" t="s">
        <v>43</v>
      </c>
      <c r="AB80" s="74"/>
      <c r="AC80" s="74"/>
      <c r="AD80" s="75" t="s">
        <v>43</v>
      </c>
      <c r="AE80" s="74"/>
      <c r="AF80" s="74"/>
      <c r="AG80" s="74">
        <v>0</v>
      </c>
      <c r="AH80" s="75" t="s">
        <v>42</v>
      </c>
      <c r="AI80" s="74"/>
      <c r="AJ80" s="74">
        <f t="shared" si="24"/>
        <v>91255.448997384476</v>
      </c>
      <c r="AK80" s="74">
        <f t="shared" si="25"/>
        <v>620264.24442609411</v>
      </c>
      <c r="AL80" s="74">
        <f t="shared" si="26"/>
        <v>95414.123801220558</v>
      </c>
      <c r="AM80" s="74">
        <f t="shared" si="30"/>
        <v>651277.45664739888</v>
      </c>
      <c r="AN80" s="74">
        <f t="shared" si="38"/>
        <v>100184.82999128159</v>
      </c>
      <c r="AO80" s="74">
        <f>AM80/105*108</f>
        <v>669885.38398018165</v>
      </c>
      <c r="AP80" s="74">
        <f t="shared" si="34"/>
        <v>100184.82999128159</v>
      </c>
      <c r="AQ80" s="74">
        <f t="shared" si="35"/>
        <v>706480.97440132126</v>
      </c>
      <c r="AR80" s="76">
        <v>113.9</v>
      </c>
      <c r="AS80" s="74">
        <f t="shared" si="36"/>
        <v>100184.82999128159</v>
      </c>
      <c r="AT80" s="76">
        <v>105</v>
      </c>
      <c r="AU80" s="74">
        <f t="shared" si="19"/>
        <v>769127.66308835673</v>
      </c>
      <c r="AV80" s="76">
        <v>124</v>
      </c>
      <c r="AW80" s="74">
        <f t="shared" si="39"/>
        <v>116405.23103748908</v>
      </c>
      <c r="AX80" s="76">
        <v>122</v>
      </c>
      <c r="AY80" s="77">
        <f t="shared" si="40"/>
        <v>776571</v>
      </c>
      <c r="AZ80" s="78">
        <v>125.2</v>
      </c>
      <c r="BA80" s="77">
        <f t="shared" si="41"/>
        <v>117646</v>
      </c>
      <c r="BB80" s="78">
        <v>123.3</v>
      </c>
      <c r="BC80" s="79">
        <v>36482</v>
      </c>
      <c r="BD80" s="59"/>
      <c r="BE80" s="80">
        <v>332.3</v>
      </c>
      <c r="BF80" s="80">
        <v>330.34</v>
      </c>
      <c r="BG80" s="80">
        <v>326.56</v>
      </c>
      <c r="BH80" s="73"/>
      <c r="BI80" s="73"/>
      <c r="BJ80" s="73"/>
      <c r="BK80" s="73"/>
      <c r="BL80" s="79">
        <v>42969</v>
      </c>
      <c r="BM80" s="79">
        <v>36434</v>
      </c>
      <c r="BN80" s="58" t="s">
        <v>44</v>
      </c>
      <c r="BO80" s="58" t="s">
        <v>70</v>
      </c>
      <c r="BP80" s="58" t="s">
        <v>184</v>
      </c>
      <c r="BQ80">
        <v>2016</v>
      </c>
      <c r="BR80" s="59"/>
      <c r="BV80" s="18"/>
      <c r="BW80" s="18"/>
    </row>
    <row r="81" spans="2:75" x14ac:dyDescent="0.3">
      <c r="B81" s="20" t="s">
        <v>335</v>
      </c>
      <c r="C81" s="20" t="s">
        <v>1268</v>
      </c>
      <c r="D81" s="57" t="s">
        <v>1166</v>
      </c>
      <c r="E81" s="58" t="s">
        <v>1101</v>
      </c>
      <c r="F81" s="96"/>
      <c r="G81" s="96"/>
      <c r="H81" s="58" t="s">
        <v>323</v>
      </c>
      <c r="I81" s="58" t="s">
        <v>323</v>
      </c>
      <c r="J81" s="59">
        <v>772724</v>
      </c>
      <c r="K81" s="95" t="s">
        <v>43</v>
      </c>
      <c r="L81" s="95"/>
      <c r="M81" s="58" t="s">
        <v>66</v>
      </c>
      <c r="N81" s="59">
        <v>11</v>
      </c>
      <c r="O81" s="58" t="s">
        <v>40</v>
      </c>
      <c r="P81" s="58" t="s">
        <v>123</v>
      </c>
      <c r="Q81" s="58" t="s">
        <v>124</v>
      </c>
      <c r="R81" s="58" t="s">
        <v>336</v>
      </c>
      <c r="S81" s="58" t="s">
        <v>42</v>
      </c>
      <c r="T81" s="73">
        <v>540000</v>
      </c>
      <c r="U81" s="74">
        <f t="shared" si="23"/>
        <v>548026.42444260942</v>
      </c>
      <c r="V81" s="74">
        <v>95000</v>
      </c>
      <c r="W81" s="74">
        <v>493241</v>
      </c>
      <c r="X81" s="74">
        <v>69787</v>
      </c>
      <c r="Y81" s="74">
        <v>318.70999999999998</v>
      </c>
      <c r="Z81" s="74">
        <v>56.07</v>
      </c>
      <c r="AA81" s="75" t="s">
        <v>43</v>
      </c>
      <c r="AB81" s="74"/>
      <c r="AC81" s="74"/>
      <c r="AD81" s="75" t="s">
        <v>43</v>
      </c>
      <c r="AE81" s="74"/>
      <c r="AF81" s="74"/>
      <c r="AG81" s="74">
        <v>0</v>
      </c>
      <c r="AH81" s="75" t="s">
        <v>42</v>
      </c>
      <c r="AI81" s="74"/>
      <c r="AJ81" s="74">
        <f t="shared" si="24"/>
        <v>96325.196163905843</v>
      </c>
      <c r="AK81" s="74">
        <f t="shared" si="25"/>
        <v>620264.24442609411</v>
      </c>
      <c r="AL81" s="74">
        <f t="shared" si="26"/>
        <v>100714.90845684393</v>
      </c>
      <c r="AM81" s="74">
        <f t="shared" si="30"/>
        <v>651277.45664739888</v>
      </c>
      <c r="AN81" s="74">
        <f t="shared" si="38"/>
        <v>105750.65387968613</v>
      </c>
      <c r="AO81" s="74">
        <f>AM81/105*108</f>
        <v>669885.38398018165</v>
      </c>
      <c r="AP81" s="74">
        <f t="shared" si="34"/>
        <v>105750.65387968613</v>
      </c>
      <c r="AQ81" s="74">
        <f t="shared" si="35"/>
        <v>706480.97440132126</v>
      </c>
      <c r="AR81" s="76">
        <v>113.9</v>
      </c>
      <c r="AS81" s="74">
        <f t="shared" si="36"/>
        <v>105750.65387968613</v>
      </c>
      <c r="AT81" s="76">
        <v>105</v>
      </c>
      <c r="AU81" s="74">
        <f t="shared" si="19"/>
        <v>769127.66308835673</v>
      </c>
      <c r="AV81" s="76">
        <v>124</v>
      </c>
      <c r="AW81" s="74">
        <f t="shared" si="39"/>
        <v>122872.1883173496</v>
      </c>
      <c r="AX81" s="76">
        <v>122</v>
      </c>
      <c r="AY81" s="77">
        <f t="shared" si="40"/>
        <v>776571</v>
      </c>
      <c r="AZ81" s="78">
        <v>125.2</v>
      </c>
      <c r="BA81" s="77">
        <f t="shared" si="41"/>
        <v>124182</v>
      </c>
      <c r="BB81" s="78">
        <v>123.3</v>
      </c>
      <c r="BC81" s="79">
        <v>36482</v>
      </c>
      <c r="BD81" s="59"/>
      <c r="BE81" s="80">
        <v>332.3</v>
      </c>
      <c r="BF81" s="80">
        <v>330.34</v>
      </c>
      <c r="BG81" s="80">
        <v>326.56</v>
      </c>
      <c r="BH81" s="73"/>
      <c r="BI81" s="73"/>
      <c r="BJ81" s="73"/>
      <c r="BK81" s="73"/>
      <c r="BL81" s="79">
        <v>42969</v>
      </c>
      <c r="BM81" s="79">
        <v>36434</v>
      </c>
      <c r="BN81" s="58" t="s">
        <v>44</v>
      </c>
      <c r="BO81" s="58" t="s">
        <v>70</v>
      </c>
      <c r="BP81" s="58" t="s">
        <v>184</v>
      </c>
      <c r="BQ81">
        <v>2016</v>
      </c>
      <c r="BR81" s="59"/>
      <c r="BV81" s="18"/>
      <c r="BW81" s="18"/>
    </row>
    <row r="82" spans="2:75" x14ac:dyDescent="0.3">
      <c r="B82" s="20" t="s">
        <v>337</v>
      </c>
      <c r="C82" s="20" t="s">
        <v>337</v>
      </c>
      <c r="D82" s="57" t="s">
        <v>1167</v>
      </c>
      <c r="E82" s="58" t="s">
        <v>986</v>
      </c>
      <c r="F82" s="97" t="s">
        <v>1473</v>
      </c>
      <c r="G82" s="97" t="s">
        <v>1473</v>
      </c>
      <c r="H82" s="58" t="s">
        <v>338</v>
      </c>
      <c r="I82" s="58" t="s">
        <v>338</v>
      </c>
      <c r="J82" s="59">
        <v>777772</v>
      </c>
      <c r="K82" s="95" t="s">
        <v>43</v>
      </c>
      <c r="L82" s="104" t="s">
        <v>1470</v>
      </c>
      <c r="M82" s="58" t="s">
        <v>39</v>
      </c>
      <c r="N82" s="59">
        <v>11</v>
      </c>
      <c r="O82" s="58" t="s">
        <v>40</v>
      </c>
      <c r="P82" s="58" t="s">
        <v>339</v>
      </c>
      <c r="Q82" s="58" t="s">
        <v>42</v>
      </c>
      <c r="R82" s="58" t="s">
        <v>340</v>
      </c>
      <c r="S82" s="58" t="s">
        <v>42</v>
      </c>
      <c r="T82" s="73">
        <v>7120000</v>
      </c>
      <c r="U82" s="74">
        <f t="shared" si="23"/>
        <v>7225829.892650702</v>
      </c>
      <c r="V82" s="74"/>
      <c r="W82" s="74">
        <v>6880717</v>
      </c>
      <c r="X82" s="74">
        <v>1799513</v>
      </c>
      <c r="Y82" s="74">
        <v>4202.22</v>
      </c>
      <c r="Z82" s="74"/>
      <c r="AA82" s="75" t="s">
        <v>43</v>
      </c>
      <c r="AB82" s="74"/>
      <c r="AC82" s="74"/>
      <c r="AD82" s="75" t="s">
        <v>43</v>
      </c>
      <c r="AE82" s="74"/>
      <c r="AF82" s="74"/>
      <c r="AG82" s="74">
        <v>0</v>
      </c>
      <c r="AH82" s="75" t="s">
        <v>42</v>
      </c>
      <c r="AI82" s="74"/>
      <c r="AJ82" s="74">
        <f t="shared" si="24"/>
        <v>0</v>
      </c>
      <c r="AK82" s="74">
        <f t="shared" si="25"/>
        <v>8178298.9265070185</v>
      </c>
      <c r="AL82" s="74">
        <f t="shared" si="26"/>
        <v>0</v>
      </c>
      <c r="AM82" s="74">
        <f t="shared" si="30"/>
        <v>8587213.8728323691</v>
      </c>
      <c r="AN82" s="74">
        <f t="shared" si="38"/>
        <v>0</v>
      </c>
      <c r="AO82" s="74">
        <f>AM82/105*108</f>
        <v>8832562.840627579</v>
      </c>
      <c r="AP82" s="74">
        <f t="shared" si="34"/>
        <v>0</v>
      </c>
      <c r="AQ82" s="74">
        <f t="shared" si="35"/>
        <v>9315082.4772914946</v>
      </c>
      <c r="AR82" s="76">
        <v>113.9</v>
      </c>
      <c r="AS82" s="74">
        <f t="shared" si="36"/>
        <v>0</v>
      </c>
      <c r="AT82" s="76">
        <v>105</v>
      </c>
      <c r="AU82" s="74">
        <f t="shared" si="19"/>
        <v>10141090.668868702</v>
      </c>
      <c r="AV82" s="76">
        <v>124</v>
      </c>
      <c r="AW82" s="74">
        <f t="shared" si="39"/>
        <v>0</v>
      </c>
      <c r="AX82" s="76">
        <v>122</v>
      </c>
      <c r="AY82" s="77">
        <f t="shared" si="40"/>
        <v>10239231</v>
      </c>
      <c r="AZ82" s="78">
        <v>125.2</v>
      </c>
      <c r="BA82" s="77">
        <f t="shared" si="41"/>
        <v>0</v>
      </c>
      <c r="BB82" s="78">
        <v>123.3</v>
      </c>
      <c r="BC82" s="79">
        <v>39448</v>
      </c>
      <c r="BD82" s="59"/>
      <c r="BE82" s="80">
        <v>5123.07</v>
      </c>
      <c r="BF82" s="80">
        <v>5095.7700000000004</v>
      </c>
      <c r="BG82" s="80">
        <v>5038.66</v>
      </c>
      <c r="BH82" s="73"/>
      <c r="BI82" s="73"/>
      <c r="BJ82" s="73"/>
      <c r="BK82" s="73"/>
      <c r="BL82" s="79">
        <v>42969</v>
      </c>
      <c r="BM82" s="79">
        <v>39892</v>
      </c>
      <c r="BN82" s="58" t="s">
        <v>44</v>
      </c>
      <c r="BO82" s="58" t="s">
        <v>44</v>
      </c>
      <c r="BP82" s="58" t="s">
        <v>184</v>
      </c>
      <c r="BQ82">
        <v>2016</v>
      </c>
      <c r="BR82" s="59"/>
      <c r="BV82" s="18"/>
      <c r="BW82" s="18"/>
    </row>
    <row r="83" spans="2:75" x14ac:dyDescent="0.3">
      <c r="B83" s="20" t="s">
        <v>341</v>
      </c>
      <c r="C83" s="20" t="s">
        <v>341</v>
      </c>
      <c r="D83" s="57" t="e">
        <v>#N/A</v>
      </c>
      <c r="E83" s="58" t="s">
        <v>986</v>
      </c>
      <c r="F83" s="96"/>
      <c r="G83" s="96"/>
      <c r="H83" s="58" t="s">
        <v>338</v>
      </c>
      <c r="I83" s="58" t="s">
        <v>338</v>
      </c>
      <c r="J83" s="59">
        <v>777772</v>
      </c>
      <c r="K83" s="95" t="s">
        <v>43</v>
      </c>
      <c r="L83" s="95"/>
      <c r="M83" s="58" t="s">
        <v>39</v>
      </c>
      <c r="N83" s="59">
        <v>12</v>
      </c>
      <c r="O83" s="58" t="s">
        <v>49</v>
      </c>
      <c r="P83" s="58" t="s">
        <v>342</v>
      </c>
      <c r="Q83" s="58" t="s">
        <v>42</v>
      </c>
      <c r="R83" s="58" t="s">
        <v>343</v>
      </c>
      <c r="S83" s="58" t="s">
        <v>42</v>
      </c>
      <c r="T83" s="73"/>
      <c r="U83" s="74">
        <f t="shared" si="23"/>
        <v>0</v>
      </c>
      <c r="V83" s="74"/>
      <c r="W83" s="74"/>
      <c r="X83" s="74"/>
      <c r="Y83" s="74"/>
      <c r="Z83" s="74"/>
      <c r="AA83" s="75" t="s">
        <v>43</v>
      </c>
      <c r="AB83" s="74"/>
      <c r="AC83" s="74"/>
      <c r="AD83" s="75" t="s">
        <v>43</v>
      </c>
      <c r="AE83" s="74"/>
      <c r="AF83" s="74"/>
      <c r="AG83" s="74">
        <v>0</v>
      </c>
      <c r="AH83" s="75" t="s">
        <v>42</v>
      </c>
      <c r="AI83" s="74"/>
      <c r="AJ83" s="74">
        <f t="shared" si="24"/>
        <v>0</v>
      </c>
      <c r="AK83" s="74">
        <f t="shared" si="25"/>
        <v>0</v>
      </c>
      <c r="AL83" s="74">
        <f t="shared" si="26"/>
        <v>0</v>
      </c>
      <c r="AM83" s="74">
        <f t="shared" si="30"/>
        <v>0</v>
      </c>
      <c r="AN83" s="74">
        <f t="shared" si="38"/>
        <v>0</v>
      </c>
      <c r="AO83" s="74">
        <f>AM83/105*108</f>
        <v>0</v>
      </c>
      <c r="AP83" s="74">
        <f t="shared" si="34"/>
        <v>0</v>
      </c>
      <c r="AQ83" s="74">
        <f t="shared" si="35"/>
        <v>0</v>
      </c>
      <c r="AR83" s="76">
        <v>113.9</v>
      </c>
      <c r="AS83" s="74">
        <f t="shared" si="36"/>
        <v>0</v>
      </c>
      <c r="AT83" s="76">
        <v>105</v>
      </c>
      <c r="AU83" s="74">
        <f t="shared" si="19"/>
        <v>0</v>
      </c>
      <c r="AV83" s="76">
        <v>124</v>
      </c>
      <c r="AW83" s="74">
        <f t="shared" si="39"/>
        <v>0</v>
      </c>
      <c r="AX83" s="76">
        <v>122</v>
      </c>
      <c r="AY83" s="77">
        <f t="shared" si="40"/>
        <v>0</v>
      </c>
      <c r="AZ83" s="78">
        <v>125.2</v>
      </c>
      <c r="BA83" s="77">
        <f t="shared" si="41"/>
        <v>0</v>
      </c>
      <c r="BB83" s="78">
        <v>123.3</v>
      </c>
      <c r="BC83" s="79">
        <v>42736</v>
      </c>
      <c r="BD83" s="59"/>
      <c r="BE83" s="80"/>
      <c r="BF83" s="80"/>
      <c r="BG83" s="80"/>
      <c r="BH83" s="73"/>
      <c r="BI83" s="73"/>
      <c r="BJ83" s="73"/>
      <c r="BK83" s="73"/>
      <c r="BL83" s="79">
        <v>43144</v>
      </c>
      <c r="BM83" s="79">
        <v>42969</v>
      </c>
      <c r="BN83" s="58" t="s">
        <v>44</v>
      </c>
      <c r="BO83" s="58" t="s">
        <v>44</v>
      </c>
      <c r="BP83" s="58" t="s">
        <v>221</v>
      </c>
      <c r="BQ83">
        <v>0</v>
      </c>
      <c r="BR83" s="59"/>
      <c r="BV83" s="18"/>
      <c r="BW83" s="18"/>
    </row>
    <row r="84" spans="2:75" ht="30" customHeight="1" x14ac:dyDescent="0.3">
      <c r="B84" s="20" t="s">
        <v>1078</v>
      </c>
      <c r="C84" s="20" t="s">
        <v>1078</v>
      </c>
      <c r="D84" s="57" t="s">
        <v>1204</v>
      </c>
      <c r="E84" s="58" t="s">
        <v>1101</v>
      </c>
      <c r="F84" s="97" t="s">
        <v>1473</v>
      </c>
      <c r="G84" s="105" t="s">
        <v>1477</v>
      </c>
      <c r="H84" s="58"/>
      <c r="I84" s="58"/>
      <c r="J84" s="59"/>
      <c r="K84" s="102" t="s">
        <v>43</v>
      </c>
      <c r="L84" s="104" t="s">
        <v>1470</v>
      </c>
      <c r="M84" s="58"/>
      <c r="N84" s="59"/>
      <c r="O84" s="58" t="s">
        <v>1030</v>
      </c>
      <c r="P84" s="58" t="s">
        <v>1062</v>
      </c>
      <c r="Q84" s="58"/>
      <c r="R84" s="58"/>
      <c r="S84" s="58"/>
      <c r="T84" s="73"/>
      <c r="U84" s="74"/>
      <c r="V84" s="74"/>
      <c r="W84" s="74"/>
      <c r="X84" s="74"/>
      <c r="Y84" s="74"/>
      <c r="Z84" s="74"/>
      <c r="AA84" s="75"/>
      <c r="AB84" s="74"/>
      <c r="AC84" s="74"/>
      <c r="AD84" s="75"/>
      <c r="AE84" s="74"/>
      <c r="AF84" s="74"/>
      <c r="AG84" s="74"/>
      <c r="AH84" s="75"/>
      <c r="AI84" s="74"/>
      <c r="AJ84" s="74"/>
      <c r="AK84" s="74"/>
      <c r="AL84" s="74"/>
      <c r="AM84" s="74"/>
      <c r="AN84" s="74"/>
      <c r="AO84" s="74"/>
      <c r="AP84" s="74"/>
      <c r="AQ84" s="74">
        <v>33125000</v>
      </c>
      <c r="AR84" s="76">
        <v>113.9</v>
      </c>
      <c r="AS84" s="74"/>
      <c r="AT84" s="76">
        <v>105</v>
      </c>
      <c r="AU84" s="74">
        <f>(47250000+19000000)/2</f>
        <v>33125000</v>
      </c>
      <c r="AV84" s="76">
        <v>124</v>
      </c>
      <c r="AW84" s="74">
        <f t="shared" si="39"/>
        <v>0</v>
      </c>
      <c r="AX84" s="76">
        <v>122</v>
      </c>
      <c r="AY84" s="77">
        <f t="shared" si="40"/>
        <v>33445565</v>
      </c>
      <c r="AZ84" s="78">
        <v>125.2</v>
      </c>
      <c r="BA84" s="77">
        <f t="shared" si="41"/>
        <v>0</v>
      </c>
      <c r="BB84" s="78">
        <v>123.3</v>
      </c>
      <c r="BC84" s="79"/>
      <c r="BD84" s="59"/>
      <c r="BE84" s="80"/>
      <c r="BF84" s="80"/>
      <c r="BG84" s="80"/>
      <c r="BH84" s="73"/>
      <c r="BI84" s="73"/>
      <c r="BJ84" s="73"/>
      <c r="BK84" s="73"/>
      <c r="BL84" s="79"/>
      <c r="BM84" s="79"/>
      <c r="BN84" s="58"/>
      <c r="BO84" s="58"/>
      <c r="BP84" s="21" t="s">
        <v>1061</v>
      </c>
      <c r="BQ84" s="12"/>
      <c r="BR84" s="92" t="s">
        <v>1074</v>
      </c>
      <c r="BV84" s="18"/>
      <c r="BW84" s="18"/>
    </row>
    <row r="85" spans="2:75" x14ac:dyDescent="0.3">
      <c r="B85" s="20" t="s">
        <v>347</v>
      </c>
      <c r="C85" s="20" t="s">
        <v>1269</v>
      </c>
      <c r="D85" s="57" t="s">
        <v>1169</v>
      </c>
      <c r="E85" s="58" t="s">
        <v>1386</v>
      </c>
      <c r="F85" s="96"/>
      <c r="G85" s="96"/>
      <c r="H85" s="58" t="s">
        <v>348</v>
      </c>
      <c r="I85" s="58" t="s">
        <v>348</v>
      </c>
      <c r="J85" s="59">
        <v>777772</v>
      </c>
      <c r="K85" s="95" t="s">
        <v>43</v>
      </c>
      <c r="L85" s="95"/>
      <c r="M85" s="58" t="s">
        <v>39</v>
      </c>
      <c r="N85" s="59">
        <v>12</v>
      </c>
      <c r="O85" s="58" t="s">
        <v>49</v>
      </c>
      <c r="P85" s="58" t="s">
        <v>349</v>
      </c>
      <c r="Q85" s="58" t="s">
        <v>42</v>
      </c>
      <c r="R85" s="58" t="s">
        <v>350</v>
      </c>
      <c r="S85" s="58" t="s">
        <v>42</v>
      </c>
      <c r="T85" s="73">
        <v>680000</v>
      </c>
      <c r="U85" s="74">
        <f t="shared" ref="U85:U91" si="42">122.9*T85/121.1</f>
        <v>690107.3492981008</v>
      </c>
      <c r="V85" s="74"/>
      <c r="W85" s="74">
        <v>205350</v>
      </c>
      <c r="X85" s="74"/>
      <c r="Y85" s="74">
        <v>401.34</v>
      </c>
      <c r="Z85" s="74"/>
      <c r="AA85" s="75" t="s">
        <v>43</v>
      </c>
      <c r="AB85" s="74"/>
      <c r="AC85" s="74"/>
      <c r="AD85" s="75" t="s">
        <v>43</v>
      </c>
      <c r="AE85" s="74"/>
      <c r="AF85" s="74"/>
      <c r="AG85" s="74">
        <v>0</v>
      </c>
      <c r="AH85" s="75" t="s">
        <v>42</v>
      </c>
      <c r="AI85" s="74"/>
      <c r="AJ85" s="74">
        <f t="shared" ref="AJ85:AJ91" si="43">116.3*V85/114.7</f>
        <v>0</v>
      </c>
      <c r="AK85" s="74">
        <f t="shared" ref="AK85:AK91" si="44">139.1/122.9*U85</f>
        <v>781073.49298100744</v>
      </c>
      <c r="AL85" s="74">
        <f t="shared" ref="AL85:AL91" si="45">121.6/116.3*AJ85</f>
        <v>0</v>
      </c>
      <c r="AM85" s="74">
        <f t="shared" ref="AM85:AN91" si="46">AK85*1.05</f>
        <v>820127.1676300579</v>
      </c>
      <c r="AN85" s="74">
        <f t="shared" si="46"/>
        <v>0</v>
      </c>
      <c r="AO85" s="74">
        <f t="shared" ref="AO85:AO91" si="47">AM85/105*108</f>
        <v>843559.37241948815</v>
      </c>
      <c r="AP85" s="74">
        <f t="shared" ref="AP85:AP91" si="48">AN85</f>
        <v>0</v>
      </c>
      <c r="AQ85" s="74">
        <f t="shared" ref="AQ85:AQ91" si="49">AO85/108*113.9</f>
        <v>889642.70850536763</v>
      </c>
      <c r="AR85" s="76">
        <v>113.9</v>
      </c>
      <c r="AS85" s="74">
        <f t="shared" ref="AS85:AS91" si="50">AP85</f>
        <v>0</v>
      </c>
      <c r="AT85" s="76">
        <v>105</v>
      </c>
      <c r="AU85" s="74">
        <f t="shared" ref="AU85:AU91" si="51">AQ85/AR85*AV85</f>
        <v>968531.13129644934</v>
      </c>
      <c r="AV85" s="76">
        <v>124</v>
      </c>
      <c r="AW85" s="74">
        <f t="shared" si="39"/>
        <v>0</v>
      </c>
      <c r="AX85" s="76">
        <v>122</v>
      </c>
      <c r="AY85" s="77">
        <f t="shared" si="40"/>
        <v>977905</v>
      </c>
      <c r="AZ85" s="78">
        <v>125.2</v>
      </c>
      <c r="BA85" s="77">
        <f t="shared" si="41"/>
        <v>0</v>
      </c>
      <c r="BB85" s="78">
        <v>123.3</v>
      </c>
      <c r="BC85" s="79">
        <v>41275</v>
      </c>
      <c r="BD85" s="59"/>
      <c r="BE85" s="80">
        <v>121.2</v>
      </c>
      <c r="BF85" s="80">
        <v>120.38</v>
      </c>
      <c r="BG85" s="80">
        <v>118.96</v>
      </c>
      <c r="BH85" s="73"/>
      <c r="BI85" s="73"/>
      <c r="BJ85" s="73"/>
      <c r="BK85" s="73"/>
      <c r="BL85" s="79">
        <v>42969</v>
      </c>
      <c r="BM85" s="79">
        <v>41652</v>
      </c>
      <c r="BN85" s="58" t="s">
        <v>44</v>
      </c>
      <c r="BO85" s="58" t="s">
        <v>44</v>
      </c>
      <c r="BP85" s="58" t="s">
        <v>221</v>
      </c>
      <c r="BQ85">
        <v>2016</v>
      </c>
      <c r="BR85" s="59"/>
      <c r="BV85" s="18"/>
      <c r="BW85" s="18"/>
    </row>
    <row r="86" spans="2:75" x14ac:dyDescent="0.3">
      <c r="B86" s="20" t="s">
        <v>351</v>
      </c>
      <c r="C86" s="20" t="s">
        <v>1270</v>
      </c>
      <c r="D86" s="57" t="s">
        <v>1170</v>
      </c>
      <c r="E86" s="58" t="s">
        <v>352</v>
      </c>
      <c r="F86" s="96"/>
      <c r="G86" s="96"/>
      <c r="H86" s="58" t="s">
        <v>352</v>
      </c>
      <c r="I86" s="58" t="s">
        <v>352</v>
      </c>
      <c r="J86" s="59">
        <v>772723</v>
      </c>
      <c r="K86" s="95" t="s">
        <v>43</v>
      </c>
      <c r="L86" s="95"/>
      <c r="M86" s="58" t="s">
        <v>72</v>
      </c>
      <c r="N86" s="59">
        <v>11</v>
      </c>
      <c r="O86" s="58" t="s">
        <v>40</v>
      </c>
      <c r="P86" s="58" t="s">
        <v>353</v>
      </c>
      <c r="Q86" s="58" t="s">
        <v>92</v>
      </c>
      <c r="R86" s="58" t="s">
        <v>354</v>
      </c>
      <c r="S86" s="58" t="s">
        <v>42</v>
      </c>
      <c r="T86" s="73">
        <v>1315000</v>
      </c>
      <c r="U86" s="74">
        <f t="shared" si="42"/>
        <v>1334545.8298926507</v>
      </c>
      <c r="V86" s="74">
        <v>220000</v>
      </c>
      <c r="W86" s="74">
        <v>1242969</v>
      </c>
      <c r="X86" s="74">
        <v>201885</v>
      </c>
      <c r="Y86" s="74">
        <v>776.11</v>
      </c>
      <c r="Z86" s="74">
        <v>129.84</v>
      </c>
      <c r="AA86" s="75" t="s">
        <v>43</v>
      </c>
      <c r="AB86" s="74"/>
      <c r="AC86" s="74"/>
      <c r="AD86" s="75" t="s">
        <v>43</v>
      </c>
      <c r="AE86" s="74"/>
      <c r="AF86" s="74"/>
      <c r="AG86" s="74">
        <v>0</v>
      </c>
      <c r="AH86" s="75" t="s">
        <v>42</v>
      </c>
      <c r="AI86" s="74"/>
      <c r="AJ86" s="74">
        <f t="shared" si="43"/>
        <v>223068.87532693983</v>
      </c>
      <c r="AK86" s="74">
        <f t="shared" si="44"/>
        <v>1510458.2989265069</v>
      </c>
      <c r="AL86" s="74">
        <f t="shared" si="45"/>
        <v>233234.52484742805</v>
      </c>
      <c r="AM86" s="74">
        <f t="shared" si="46"/>
        <v>1585981.2138728322</v>
      </c>
      <c r="AN86" s="74">
        <f t="shared" si="46"/>
        <v>244896.25108979948</v>
      </c>
      <c r="AO86" s="74">
        <f t="shared" si="47"/>
        <v>1631294.9628406274</v>
      </c>
      <c r="AP86" s="74">
        <f t="shared" si="48"/>
        <v>244896.25108979948</v>
      </c>
      <c r="AQ86" s="74">
        <f t="shared" si="49"/>
        <v>1720412.0024772915</v>
      </c>
      <c r="AR86" s="76">
        <v>113.9</v>
      </c>
      <c r="AS86" s="74">
        <f t="shared" si="50"/>
        <v>244896.25108979948</v>
      </c>
      <c r="AT86" s="76">
        <v>105</v>
      </c>
      <c r="AU86" s="74">
        <f t="shared" si="51"/>
        <v>1872968.2906688685</v>
      </c>
      <c r="AV86" s="76">
        <v>124</v>
      </c>
      <c r="AW86" s="74">
        <f t="shared" si="39"/>
        <v>284546.12031386222</v>
      </c>
      <c r="AX86" s="76">
        <v>122</v>
      </c>
      <c r="AY86" s="77">
        <f t="shared" si="40"/>
        <v>1891094</v>
      </c>
      <c r="AZ86" s="78">
        <v>125.2</v>
      </c>
      <c r="BA86" s="77">
        <f t="shared" si="41"/>
        <v>287579</v>
      </c>
      <c r="BB86" s="78">
        <v>123.3</v>
      </c>
      <c r="BC86" s="79">
        <v>36526</v>
      </c>
      <c r="BD86" s="59"/>
      <c r="BE86" s="80">
        <v>852.75</v>
      </c>
      <c r="BF86" s="80">
        <v>847.82</v>
      </c>
      <c r="BG86" s="80">
        <v>838.15</v>
      </c>
      <c r="BH86" s="73"/>
      <c r="BI86" s="73"/>
      <c r="BJ86" s="73"/>
      <c r="BK86" s="73"/>
      <c r="BL86" s="79">
        <v>42969</v>
      </c>
      <c r="BM86" s="79">
        <v>36434</v>
      </c>
      <c r="BN86" s="58" t="s">
        <v>44</v>
      </c>
      <c r="BO86" s="58" t="s">
        <v>70</v>
      </c>
      <c r="BP86" s="58" t="s">
        <v>184</v>
      </c>
      <c r="BQ86">
        <v>2016</v>
      </c>
      <c r="BR86" s="59"/>
      <c r="BV86" s="18"/>
      <c r="BW86" s="18"/>
    </row>
    <row r="87" spans="2:75" x14ac:dyDescent="0.3">
      <c r="B87" s="20" t="s">
        <v>355</v>
      </c>
      <c r="C87" s="20" t="s">
        <v>1271</v>
      </c>
      <c r="D87" s="57" t="s">
        <v>1170</v>
      </c>
      <c r="E87" s="58" t="s">
        <v>352</v>
      </c>
      <c r="F87" s="96"/>
      <c r="G87" s="96"/>
      <c r="H87" s="58" t="s">
        <v>352</v>
      </c>
      <c r="I87" s="58" t="s">
        <v>352</v>
      </c>
      <c r="J87" s="59">
        <v>772723</v>
      </c>
      <c r="K87" s="95" t="s">
        <v>43</v>
      </c>
      <c r="L87" s="95"/>
      <c r="M87" s="58" t="s">
        <v>72</v>
      </c>
      <c r="N87" s="59">
        <v>99</v>
      </c>
      <c r="O87" s="58" t="s">
        <v>128</v>
      </c>
      <c r="P87" s="58" t="s">
        <v>356</v>
      </c>
      <c r="Q87" s="58" t="s">
        <v>92</v>
      </c>
      <c r="R87" s="58" t="s">
        <v>357</v>
      </c>
      <c r="S87" s="58" t="s">
        <v>42</v>
      </c>
      <c r="T87" s="73">
        <v>865000</v>
      </c>
      <c r="U87" s="74">
        <f t="shared" si="42"/>
        <v>877857.14285714284</v>
      </c>
      <c r="V87" s="74">
        <v>95000</v>
      </c>
      <c r="W87" s="74">
        <v>789187</v>
      </c>
      <c r="X87" s="74">
        <v>77264</v>
      </c>
      <c r="Y87" s="74">
        <v>510.52</v>
      </c>
      <c r="Z87" s="74">
        <v>56.07</v>
      </c>
      <c r="AA87" s="75" t="s">
        <v>43</v>
      </c>
      <c r="AB87" s="74"/>
      <c r="AC87" s="74"/>
      <c r="AD87" s="75" t="s">
        <v>43</v>
      </c>
      <c r="AE87" s="74"/>
      <c r="AF87" s="74"/>
      <c r="AG87" s="74">
        <v>0</v>
      </c>
      <c r="AH87" s="75" t="s">
        <v>42</v>
      </c>
      <c r="AI87" s="74"/>
      <c r="AJ87" s="74">
        <f t="shared" si="43"/>
        <v>96325.196163905843</v>
      </c>
      <c r="AK87" s="74">
        <f t="shared" si="44"/>
        <v>993571.42857142852</v>
      </c>
      <c r="AL87" s="74">
        <f t="shared" si="45"/>
        <v>100714.90845684393</v>
      </c>
      <c r="AM87" s="74">
        <f t="shared" si="46"/>
        <v>1043250</v>
      </c>
      <c r="AN87" s="74">
        <f t="shared" si="46"/>
        <v>105750.65387968613</v>
      </c>
      <c r="AO87" s="74">
        <f t="shared" si="47"/>
        <v>1073057.142857143</v>
      </c>
      <c r="AP87" s="74">
        <f t="shared" si="48"/>
        <v>105750.65387968613</v>
      </c>
      <c r="AQ87" s="74">
        <f t="shared" si="49"/>
        <v>1131677.8571428573</v>
      </c>
      <c r="AR87" s="76">
        <v>113.9</v>
      </c>
      <c r="AS87" s="74">
        <f t="shared" si="50"/>
        <v>105750.65387968613</v>
      </c>
      <c r="AT87" s="76">
        <v>105</v>
      </c>
      <c r="AU87" s="74">
        <f t="shared" si="51"/>
        <v>1232028.5714285716</v>
      </c>
      <c r="AV87" s="76">
        <v>124</v>
      </c>
      <c r="AW87" s="74">
        <f t="shared" si="39"/>
        <v>122872.1883173496</v>
      </c>
      <c r="AX87" s="76">
        <v>122</v>
      </c>
      <c r="AY87" s="77">
        <f t="shared" si="40"/>
        <v>1243952</v>
      </c>
      <c r="AZ87" s="78">
        <v>125.2</v>
      </c>
      <c r="BA87" s="77">
        <f t="shared" si="41"/>
        <v>124182</v>
      </c>
      <c r="BB87" s="78">
        <v>123.3</v>
      </c>
      <c r="BC87" s="79">
        <v>36526</v>
      </c>
      <c r="BD87" s="59"/>
      <c r="BE87" s="80">
        <v>511.38</v>
      </c>
      <c r="BF87" s="80">
        <v>508.25</v>
      </c>
      <c r="BG87" s="80">
        <v>502.37</v>
      </c>
      <c r="BH87" s="73"/>
      <c r="BI87" s="73"/>
      <c r="BJ87" s="73"/>
      <c r="BK87" s="73"/>
      <c r="BL87" s="79">
        <v>42969</v>
      </c>
      <c r="BM87" s="79">
        <v>36434</v>
      </c>
      <c r="BN87" s="58" t="s">
        <v>44</v>
      </c>
      <c r="BO87" s="58" t="s">
        <v>70</v>
      </c>
      <c r="BP87" s="58" t="s">
        <v>184</v>
      </c>
      <c r="BQ87">
        <v>2016</v>
      </c>
      <c r="BR87" s="59"/>
      <c r="BV87" s="18"/>
      <c r="BW87" s="18"/>
    </row>
    <row r="88" spans="2:75" x14ac:dyDescent="0.3">
      <c r="B88" s="20" t="s">
        <v>358</v>
      </c>
      <c r="C88" s="20" t="s">
        <v>1272</v>
      </c>
      <c r="D88" s="57" t="s">
        <v>1171</v>
      </c>
      <c r="E88" s="58" t="s">
        <v>1101</v>
      </c>
      <c r="F88" s="96"/>
      <c r="G88" s="96"/>
      <c r="H88" s="58" t="s">
        <v>359</v>
      </c>
      <c r="I88" s="58" t="s">
        <v>359</v>
      </c>
      <c r="J88" s="59">
        <v>777773</v>
      </c>
      <c r="K88" s="95" t="s">
        <v>43</v>
      </c>
      <c r="L88" s="95"/>
      <c r="M88" s="58" t="s">
        <v>290</v>
      </c>
      <c r="N88" s="59">
        <v>99</v>
      </c>
      <c r="O88" s="58" t="s">
        <v>128</v>
      </c>
      <c r="P88" s="58" t="s">
        <v>360</v>
      </c>
      <c r="Q88" s="58" t="s">
        <v>361</v>
      </c>
      <c r="R88" s="58" t="s">
        <v>362</v>
      </c>
      <c r="S88" s="58" t="s">
        <v>42</v>
      </c>
      <c r="T88" s="73">
        <v>310000</v>
      </c>
      <c r="U88" s="74">
        <f t="shared" si="42"/>
        <v>314607.76218001655</v>
      </c>
      <c r="V88" s="74"/>
      <c r="W88" s="74">
        <v>281148</v>
      </c>
      <c r="X88" s="74"/>
      <c r="Y88" s="74">
        <v>182.96</v>
      </c>
      <c r="Z88" s="74"/>
      <c r="AA88" s="75" t="s">
        <v>43</v>
      </c>
      <c r="AB88" s="74"/>
      <c r="AC88" s="74"/>
      <c r="AD88" s="75" t="s">
        <v>43</v>
      </c>
      <c r="AE88" s="74"/>
      <c r="AF88" s="74"/>
      <c r="AG88" s="74">
        <v>0</v>
      </c>
      <c r="AH88" s="75" t="s">
        <v>42</v>
      </c>
      <c r="AI88" s="74"/>
      <c r="AJ88" s="74">
        <f t="shared" si="43"/>
        <v>0</v>
      </c>
      <c r="AK88" s="74">
        <f t="shared" si="44"/>
        <v>356077.62180016516</v>
      </c>
      <c r="AL88" s="74">
        <f t="shared" si="45"/>
        <v>0</v>
      </c>
      <c r="AM88" s="74">
        <f t="shared" si="46"/>
        <v>373881.5028901734</v>
      </c>
      <c r="AN88" s="74">
        <f t="shared" si="46"/>
        <v>0</v>
      </c>
      <c r="AO88" s="74">
        <f t="shared" si="47"/>
        <v>384563.83154417836</v>
      </c>
      <c r="AP88" s="74">
        <f t="shared" si="48"/>
        <v>0</v>
      </c>
      <c r="AQ88" s="74">
        <f t="shared" si="49"/>
        <v>405572.41123038816</v>
      </c>
      <c r="AR88" s="76">
        <v>113.9</v>
      </c>
      <c r="AS88" s="74">
        <f t="shared" si="50"/>
        <v>0</v>
      </c>
      <c r="AT88" s="76">
        <v>105</v>
      </c>
      <c r="AU88" s="74">
        <f t="shared" si="51"/>
        <v>441536.25103220477</v>
      </c>
      <c r="AV88" s="76">
        <v>124</v>
      </c>
      <c r="AW88" s="74">
        <f t="shared" si="39"/>
        <v>0</v>
      </c>
      <c r="AX88" s="76">
        <v>122</v>
      </c>
      <c r="AY88" s="77">
        <f t="shared" si="40"/>
        <v>445810</v>
      </c>
      <c r="AZ88" s="78">
        <v>125.2</v>
      </c>
      <c r="BA88" s="77">
        <f t="shared" si="41"/>
        <v>0</v>
      </c>
      <c r="BB88" s="78">
        <v>123.3</v>
      </c>
      <c r="BC88" s="79">
        <v>36526</v>
      </c>
      <c r="BD88" s="59"/>
      <c r="BE88" s="80">
        <v>165.93</v>
      </c>
      <c r="BF88" s="80">
        <v>164.82</v>
      </c>
      <c r="BG88" s="80">
        <v>162.87</v>
      </c>
      <c r="BH88" s="73"/>
      <c r="BI88" s="73"/>
      <c r="BJ88" s="73"/>
      <c r="BK88" s="73"/>
      <c r="BL88" s="79">
        <v>42969</v>
      </c>
      <c r="BM88" s="79">
        <v>36434</v>
      </c>
      <c r="BN88" s="58" t="s">
        <v>44</v>
      </c>
      <c r="BO88" s="58" t="s">
        <v>70</v>
      </c>
      <c r="BP88" s="58" t="s">
        <v>363</v>
      </c>
      <c r="BQ88">
        <v>2016</v>
      </c>
      <c r="BR88" s="59"/>
      <c r="BV88" s="18"/>
      <c r="BW88" s="18"/>
    </row>
    <row r="89" spans="2:75" x14ac:dyDescent="0.3">
      <c r="B89" s="20" t="s">
        <v>358</v>
      </c>
      <c r="C89" s="20" t="s">
        <v>1272</v>
      </c>
      <c r="D89" s="57" t="s">
        <v>1171</v>
      </c>
      <c r="E89" s="58" t="s">
        <v>1101</v>
      </c>
      <c r="F89" s="96"/>
      <c r="G89" s="96"/>
      <c r="H89" s="58" t="s">
        <v>359</v>
      </c>
      <c r="I89" s="58" t="s">
        <v>359</v>
      </c>
      <c r="J89" s="59">
        <v>777773</v>
      </c>
      <c r="K89" s="95" t="s">
        <v>43</v>
      </c>
      <c r="L89" s="95"/>
      <c r="M89" s="58" t="s">
        <v>290</v>
      </c>
      <c r="N89" s="59">
        <v>99</v>
      </c>
      <c r="O89" s="58" t="s">
        <v>128</v>
      </c>
      <c r="P89" s="58" t="s">
        <v>364</v>
      </c>
      <c r="Q89" s="58" t="s">
        <v>361</v>
      </c>
      <c r="R89" s="58" t="s">
        <v>365</v>
      </c>
      <c r="S89" s="58" t="s">
        <v>42</v>
      </c>
      <c r="T89" s="73">
        <v>25000</v>
      </c>
      <c r="U89" s="74">
        <f t="shared" si="42"/>
        <v>25371.593724194881</v>
      </c>
      <c r="V89" s="74">
        <v>5000</v>
      </c>
      <c r="W89" s="74">
        <v>19729</v>
      </c>
      <c r="X89" s="74">
        <v>27416</v>
      </c>
      <c r="Y89" s="74">
        <v>14.76</v>
      </c>
      <c r="Z89" s="74">
        <v>2.95</v>
      </c>
      <c r="AA89" s="75" t="s">
        <v>43</v>
      </c>
      <c r="AB89" s="74"/>
      <c r="AC89" s="74"/>
      <c r="AD89" s="75" t="s">
        <v>43</v>
      </c>
      <c r="AE89" s="74"/>
      <c r="AF89" s="74"/>
      <c r="AG89" s="74">
        <v>0</v>
      </c>
      <c r="AH89" s="75" t="s">
        <v>42</v>
      </c>
      <c r="AI89" s="74"/>
      <c r="AJ89" s="74">
        <f t="shared" si="43"/>
        <v>5069.7471665213598</v>
      </c>
      <c r="AK89" s="74">
        <f t="shared" si="44"/>
        <v>28715.937241948803</v>
      </c>
      <c r="AL89" s="74">
        <f t="shared" si="45"/>
        <v>5300.7846556233644</v>
      </c>
      <c r="AM89" s="74">
        <f t="shared" si="46"/>
        <v>30151.734104046245</v>
      </c>
      <c r="AN89" s="74">
        <f t="shared" si="46"/>
        <v>5565.8238884045331</v>
      </c>
      <c r="AO89" s="74">
        <f t="shared" si="47"/>
        <v>31013.212221304708</v>
      </c>
      <c r="AP89" s="74">
        <f t="shared" si="48"/>
        <v>5565.8238884045331</v>
      </c>
      <c r="AQ89" s="74">
        <f t="shared" si="49"/>
        <v>32707.452518579688</v>
      </c>
      <c r="AR89" s="76">
        <v>113.9</v>
      </c>
      <c r="AS89" s="74">
        <f t="shared" si="50"/>
        <v>5565.8238884045331</v>
      </c>
      <c r="AT89" s="76">
        <v>105</v>
      </c>
      <c r="AU89" s="74">
        <f t="shared" si="51"/>
        <v>35607.762180016514</v>
      </c>
      <c r="AV89" s="76">
        <v>124</v>
      </c>
      <c r="AW89" s="74">
        <f t="shared" si="39"/>
        <v>6466.9572798605059</v>
      </c>
      <c r="AX89" s="76">
        <v>122</v>
      </c>
      <c r="AY89" s="77">
        <f t="shared" si="40"/>
        <v>35953</v>
      </c>
      <c r="AZ89" s="78">
        <v>125.2</v>
      </c>
      <c r="BA89" s="77">
        <f t="shared" si="41"/>
        <v>6536</v>
      </c>
      <c r="BB89" s="78">
        <v>123.3</v>
      </c>
      <c r="BC89" s="79">
        <v>39083</v>
      </c>
      <c r="BD89" s="59"/>
      <c r="BE89" s="80">
        <v>27.82</v>
      </c>
      <c r="BF89" s="80">
        <v>27.75</v>
      </c>
      <c r="BG89" s="80">
        <v>27.47</v>
      </c>
      <c r="BH89" s="73"/>
      <c r="BI89" s="73"/>
      <c r="BJ89" s="73"/>
      <c r="BK89" s="73"/>
      <c r="BL89" s="79">
        <v>42969</v>
      </c>
      <c r="BM89" s="79">
        <v>36434</v>
      </c>
      <c r="BN89" s="58" t="s">
        <v>44</v>
      </c>
      <c r="BO89" s="58" t="s">
        <v>70</v>
      </c>
      <c r="BP89" s="58" t="s">
        <v>184</v>
      </c>
      <c r="BQ89">
        <v>2016</v>
      </c>
      <c r="BR89" s="59"/>
      <c r="BV89" s="18"/>
      <c r="BW89" s="18"/>
    </row>
    <row r="90" spans="2:75" x14ac:dyDescent="0.3">
      <c r="B90" s="20" t="s">
        <v>366</v>
      </c>
      <c r="C90" s="20" t="s">
        <v>1272</v>
      </c>
      <c r="D90" s="57" t="s">
        <v>1171</v>
      </c>
      <c r="E90" s="58" t="s">
        <v>1101</v>
      </c>
      <c r="F90" s="96"/>
      <c r="G90" s="96"/>
      <c r="H90" s="58" t="s">
        <v>359</v>
      </c>
      <c r="I90" s="58" t="s">
        <v>359</v>
      </c>
      <c r="J90" s="59">
        <v>777773</v>
      </c>
      <c r="K90" s="95" t="s">
        <v>43</v>
      </c>
      <c r="L90" s="95"/>
      <c r="M90" s="58" t="s">
        <v>290</v>
      </c>
      <c r="N90" s="59">
        <v>11</v>
      </c>
      <c r="O90" s="58" t="s">
        <v>40</v>
      </c>
      <c r="P90" s="58" t="s">
        <v>367</v>
      </c>
      <c r="Q90" s="58" t="s">
        <v>361</v>
      </c>
      <c r="R90" s="58" t="s">
        <v>368</v>
      </c>
      <c r="S90" s="58" t="s">
        <v>42</v>
      </c>
      <c r="T90" s="73">
        <v>11000</v>
      </c>
      <c r="U90" s="74">
        <f t="shared" si="42"/>
        <v>11163.501238645747</v>
      </c>
      <c r="V90" s="74"/>
      <c r="W90" s="74">
        <v>9865</v>
      </c>
      <c r="X90" s="74"/>
      <c r="Y90" s="74">
        <v>6.49</v>
      </c>
      <c r="Z90" s="74"/>
      <c r="AA90" s="75" t="s">
        <v>43</v>
      </c>
      <c r="AB90" s="74"/>
      <c r="AC90" s="74"/>
      <c r="AD90" s="75" t="s">
        <v>43</v>
      </c>
      <c r="AE90" s="74"/>
      <c r="AF90" s="74"/>
      <c r="AG90" s="74">
        <v>0</v>
      </c>
      <c r="AH90" s="75" t="s">
        <v>42</v>
      </c>
      <c r="AI90" s="74"/>
      <c r="AJ90" s="74">
        <f t="shared" si="43"/>
        <v>0</v>
      </c>
      <c r="AK90" s="74">
        <f t="shared" si="44"/>
        <v>12635.012386457473</v>
      </c>
      <c r="AL90" s="74">
        <f t="shared" si="45"/>
        <v>0</v>
      </c>
      <c r="AM90" s="74">
        <f t="shared" si="46"/>
        <v>13266.763005780347</v>
      </c>
      <c r="AN90" s="74">
        <f t="shared" si="46"/>
        <v>0</v>
      </c>
      <c r="AO90" s="74">
        <f t="shared" si="47"/>
        <v>13645.813377374072</v>
      </c>
      <c r="AP90" s="74">
        <f t="shared" si="48"/>
        <v>0</v>
      </c>
      <c r="AQ90" s="74">
        <f t="shared" si="49"/>
        <v>14391.279108175064</v>
      </c>
      <c r="AR90" s="76">
        <v>113.9</v>
      </c>
      <c r="AS90" s="74">
        <f t="shared" si="50"/>
        <v>0</v>
      </c>
      <c r="AT90" s="76">
        <v>105</v>
      </c>
      <c r="AU90" s="74">
        <f t="shared" si="51"/>
        <v>15667.415359207267</v>
      </c>
      <c r="AV90" s="76">
        <v>124</v>
      </c>
      <c r="AW90" s="74">
        <f t="shared" si="39"/>
        <v>0</v>
      </c>
      <c r="AX90" s="76">
        <v>122</v>
      </c>
      <c r="AY90" s="77">
        <f t="shared" si="40"/>
        <v>15820</v>
      </c>
      <c r="AZ90" s="78">
        <v>125.2</v>
      </c>
      <c r="BA90" s="77">
        <f t="shared" si="41"/>
        <v>0</v>
      </c>
      <c r="BB90" s="78">
        <v>123.3</v>
      </c>
      <c r="BC90" s="79">
        <v>39995</v>
      </c>
      <c r="BD90" s="59"/>
      <c r="BE90" s="80">
        <v>5.82</v>
      </c>
      <c r="BF90" s="80">
        <v>5.78</v>
      </c>
      <c r="BG90" s="80">
        <v>5.71</v>
      </c>
      <c r="BH90" s="73"/>
      <c r="BI90" s="73"/>
      <c r="BJ90" s="73"/>
      <c r="BK90" s="73"/>
      <c r="BL90" s="79">
        <v>42969</v>
      </c>
      <c r="BM90" s="79">
        <v>40196</v>
      </c>
      <c r="BN90" s="58" t="s">
        <v>44</v>
      </c>
      <c r="BO90" s="58" t="s">
        <v>44</v>
      </c>
      <c r="BP90" s="58" t="s">
        <v>184</v>
      </c>
      <c r="BQ90">
        <v>2016</v>
      </c>
      <c r="BR90" s="59"/>
      <c r="BV90" s="18"/>
      <c r="BW90" s="18"/>
    </row>
    <row r="91" spans="2:75" x14ac:dyDescent="0.3">
      <c r="B91" s="20" t="s">
        <v>369</v>
      </c>
      <c r="C91" s="20" t="s">
        <v>1272</v>
      </c>
      <c r="D91" s="57" t="s">
        <v>1171</v>
      </c>
      <c r="E91" s="58" t="s">
        <v>1101</v>
      </c>
      <c r="F91" s="96"/>
      <c r="G91" s="96"/>
      <c r="H91" s="58" t="s">
        <v>313</v>
      </c>
      <c r="I91" s="58" t="s">
        <v>313</v>
      </c>
      <c r="J91" s="59">
        <v>777773</v>
      </c>
      <c r="K91" s="95" t="s">
        <v>43</v>
      </c>
      <c r="L91" s="95"/>
      <c r="M91" s="58" t="s">
        <v>290</v>
      </c>
      <c r="N91" s="59">
        <v>11</v>
      </c>
      <c r="O91" s="58" t="s">
        <v>40</v>
      </c>
      <c r="P91" s="58" t="s">
        <v>370</v>
      </c>
      <c r="Q91" s="58" t="s">
        <v>361</v>
      </c>
      <c r="R91" s="58" t="s">
        <v>371</v>
      </c>
      <c r="S91" s="58" t="s">
        <v>42</v>
      </c>
      <c r="T91" s="73">
        <v>190000</v>
      </c>
      <c r="U91" s="74">
        <f t="shared" si="42"/>
        <v>192824.11230388109</v>
      </c>
      <c r="V91" s="74">
        <v>30000</v>
      </c>
      <c r="W91" s="74">
        <v>172636</v>
      </c>
      <c r="X91" s="74">
        <v>21933</v>
      </c>
      <c r="Y91" s="74">
        <v>112.14</v>
      </c>
      <c r="Z91" s="74">
        <v>17.71</v>
      </c>
      <c r="AA91" s="75" t="s">
        <v>43</v>
      </c>
      <c r="AB91" s="74"/>
      <c r="AC91" s="74"/>
      <c r="AD91" s="75" t="s">
        <v>43</v>
      </c>
      <c r="AE91" s="74"/>
      <c r="AF91" s="74"/>
      <c r="AG91" s="74">
        <v>0</v>
      </c>
      <c r="AH91" s="75" t="s">
        <v>42</v>
      </c>
      <c r="AI91" s="74"/>
      <c r="AJ91" s="74">
        <f t="shared" si="43"/>
        <v>30418.482999128159</v>
      </c>
      <c r="AK91" s="74">
        <f t="shared" si="44"/>
        <v>218241.12303881088</v>
      </c>
      <c r="AL91" s="74">
        <f t="shared" si="45"/>
        <v>31804.707933740188</v>
      </c>
      <c r="AM91" s="74">
        <f t="shared" si="46"/>
        <v>229153.17919075143</v>
      </c>
      <c r="AN91" s="74">
        <f t="shared" si="46"/>
        <v>33394.943330427202</v>
      </c>
      <c r="AO91" s="74">
        <f t="shared" si="47"/>
        <v>235700.41288191575</v>
      </c>
      <c r="AP91" s="74">
        <f t="shared" si="48"/>
        <v>33394.943330427202</v>
      </c>
      <c r="AQ91" s="74">
        <f t="shared" si="49"/>
        <v>248576.63914120561</v>
      </c>
      <c r="AR91" s="76">
        <v>113.9</v>
      </c>
      <c r="AS91" s="74">
        <f t="shared" si="50"/>
        <v>33394.943330427202</v>
      </c>
      <c r="AT91" s="76">
        <v>105</v>
      </c>
      <c r="AU91" s="74">
        <f t="shared" si="51"/>
        <v>270618.99256812548</v>
      </c>
      <c r="AV91" s="76">
        <v>124</v>
      </c>
      <c r="AW91" s="74">
        <f t="shared" si="39"/>
        <v>38801.743679163039</v>
      </c>
      <c r="AX91" s="76">
        <v>122</v>
      </c>
      <c r="AY91" s="77">
        <f t="shared" si="40"/>
        <v>273238</v>
      </c>
      <c r="AZ91" s="78">
        <v>125.2</v>
      </c>
      <c r="BA91" s="77">
        <f t="shared" si="41"/>
        <v>39216</v>
      </c>
      <c r="BB91" s="78">
        <v>123.3</v>
      </c>
      <c r="BC91" s="79">
        <v>39448</v>
      </c>
      <c r="BD91" s="59"/>
      <c r="BE91" s="80">
        <v>114.83</v>
      </c>
      <c r="BF91" s="80">
        <v>114.14</v>
      </c>
      <c r="BG91" s="80">
        <v>112.84</v>
      </c>
      <c r="BH91" s="73"/>
      <c r="BI91" s="73"/>
      <c r="BJ91" s="73"/>
      <c r="BK91" s="73"/>
      <c r="BL91" s="79">
        <v>42969</v>
      </c>
      <c r="BM91" s="79">
        <v>39899</v>
      </c>
      <c r="BN91" s="58" t="s">
        <v>44</v>
      </c>
      <c r="BO91" s="58" t="s">
        <v>44</v>
      </c>
      <c r="BP91" s="58" t="s">
        <v>59</v>
      </c>
      <c r="BQ91">
        <v>2016</v>
      </c>
      <c r="BR91" s="59"/>
      <c r="BV91" s="18"/>
      <c r="BW91" s="18"/>
    </row>
    <row r="92" spans="2:75" x14ac:dyDescent="0.3">
      <c r="B92" s="20" t="s">
        <v>1055</v>
      </c>
      <c r="C92" s="20" t="s">
        <v>1055</v>
      </c>
      <c r="D92" s="57" t="e">
        <v>#N/A</v>
      </c>
      <c r="E92" s="58" t="s">
        <v>1101</v>
      </c>
      <c r="F92" s="96"/>
      <c r="G92" s="96"/>
      <c r="H92" s="58"/>
      <c r="I92" s="58"/>
      <c r="J92" s="59"/>
      <c r="K92" s="95" t="s">
        <v>43</v>
      </c>
      <c r="L92" s="95"/>
      <c r="M92" s="58"/>
      <c r="N92" s="59"/>
      <c r="O92" s="58"/>
      <c r="P92" s="58" t="s">
        <v>1058</v>
      </c>
      <c r="Q92" s="58"/>
      <c r="R92" s="58"/>
      <c r="S92" s="58"/>
      <c r="T92" s="73"/>
      <c r="U92" s="74"/>
      <c r="V92" s="74"/>
      <c r="W92" s="74"/>
      <c r="X92" s="74"/>
      <c r="Y92" s="74"/>
      <c r="Z92" s="74"/>
      <c r="AA92" s="75"/>
      <c r="AB92" s="74"/>
      <c r="AC92" s="74"/>
      <c r="AD92" s="75"/>
      <c r="AE92" s="74"/>
      <c r="AF92" s="74"/>
      <c r="AG92" s="74"/>
      <c r="AH92" s="75"/>
      <c r="AI92" s="74"/>
      <c r="AJ92" s="74"/>
      <c r="AK92" s="74"/>
      <c r="AL92" s="74"/>
      <c r="AM92" s="74"/>
      <c r="AN92" s="74"/>
      <c r="AO92" s="74"/>
      <c r="AP92" s="74"/>
      <c r="AQ92" s="27">
        <v>5250000</v>
      </c>
      <c r="AR92" s="76">
        <v>113.9</v>
      </c>
      <c r="AS92" s="74"/>
      <c r="AT92" s="76">
        <v>105</v>
      </c>
      <c r="AU92" s="74">
        <v>5250000</v>
      </c>
      <c r="AV92" s="76">
        <v>124</v>
      </c>
      <c r="AW92" s="74">
        <f t="shared" si="39"/>
        <v>0</v>
      </c>
      <c r="AX92" s="76">
        <v>122</v>
      </c>
      <c r="AY92" s="77">
        <f t="shared" si="40"/>
        <v>5300807</v>
      </c>
      <c r="AZ92" s="78">
        <v>125.2</v>
      </c>
      <c r="BA92" s="77">
        <f t="shared" si="41"/>
        <v>0</v>
      </c>
      <c r="BB92" s="78">
        <v>123.3</v>
      </c>
      <c r="BC92" s="79"/>
      <c r="BD92" s="59"/>
      <c r="BE92" s="80"/>
      <c r="BF92" s="80"/>
      <c r="BG92" s="80"/>
      <c r="BH92" s="73"/>
      <c r="BI92" s="73"/>
      <c r="BJ92" s="73"/>
      <c r="BK92" s="73"/>
      <c r="BL92" s="79"/>
      <c r="BM92" s="79"/>
      <c r="BN92" s="58"/>
      <c r="BO92" s="58"/>
      <c r="BP92" s="58"/>
      <c r="BR92" s="59"/>
      <c r="BV92" s="18"/>
      <c r="BW92" s="18"/>
    </row>
    <row r="93" spans="2:75" x14ac:dyDescent="0.3">
      <c r="B93" s="20" t="s">
        <v>372</v>
      </c>
      <c r="C93" s="20" t="s">
        <v>1273</v>
      </c>
      <c r="D93" s="57" t="s">
        <v>1172</v>
      </c>
      <c r="E93" s="58" t="s">
        <v>1101</v>
      </c>
      <c r="F93" s="96"/>
      <c r="G93" s="96"/>
      <c r="H93" s="58" t="s">
        <v>359</v>
      </c>
      <c r="I93" s="58" t="s">
        <v>359</v>
      </c>
      <c r="J93" s="59">
        <v>772724</v>
      </c>
      <c r="K93" s="95" t="s">
        <v>43</v>
      </c>
      <c r="L93" s="95"/>
      <c r="M93" s="58" t="s">
        <v>66</v>
      </c>
      <c r="N93" s="59">
        <v>11</v>
      </c>
      <c r="O93" s="58" t="s">
        <v>40</v>
      </c>
      <c r="P93" s="58" t="s">
        <v>373</v>
      </c>
      <c r="Q93" s="58" t="s">
        <v>374</v>
      </c>
      <c r="R93" s="58" t="s">
        <v>375</v>
      </c>
      <c r="S93" s="58" t="s">
        <v>42</v>
      </c>
      <c r="T93" s="73">
        <v>3570000</v>
      </c>
      <c r="U93" s="74">
        <f>122.9*T93/121.1</f>
        <v>3623063.5838150289</v>
      </c>
      <c r="V93" s="74"/>
      <c r="W93" s="74">
        <v>3354041</v>
      </c>
      <c r="X93" s="74">
        <v>199392</v>
      </c>
      <c r="Y93" s="74">
        <v>2107.0100000000002</v>
      </c>
      <c r="Z93" s="74"/>
      <c r="AA93" s="75" t="s">
        <v>43</v>
      </c>
      <c r="AB93" s="74"/>
      <c r="AC93" s="74"/>
      <c r="AD93" s="75" t="s">
        <v>43</v>
      </c>
      <c r="AE93" s="74"/>
      <c r="AF93" s="74"/>
      <c r="AG93" s="74">
        <v>0</v>
      </c>
      <c r="AH93" s="75" t="s">
        <v>42</v>
      </c>
      <c r="AI93" s="74"/>
      <c r="AJ93" s="74">
        <f>116.3*V93/114.7</f>
        <v>0</v>
      </c>
      <c r="AK93" s="74">
        <f>139.1/122.9*U93</f>
        <v>4100635.8381502884</v>
      </c>
      <c r="AL93" s="74">
        <f>121.6/116.3*AJ93</f>
        <v>0</v>
      </c>
      <c r="AM93" s="74">
        <f t="shared" ref="AM93:AN95" si="52">AK93*1.05</f>
        <v>4305667.6300578034</v>
      </c>
      <c r="AN93" s="74">
        <f t="shared" si="52"/>
        <v>0</v>
      </c>
      <c r="AO93" s="74">
        <f t="shared" ref="AO93:AO101" si="53">AM93/105*108</f>
        <v>4428686.7052023122</v>
      </c>
      <c r="AP93" s="74">
        <f>AN93</f>
        <v>0</v>
      </c>
      <c r="AQ93" s="74">
        <f t="shared" ref="AQ93:AQ122" si="54">AO93/108*113.9</f>
        <v>4670624.2196531799</v>
      </c>
      <c r="AR93" s="76">
        <v>113.9</v>
      </c>
      <c r="AS93" s="74">
        <f t="shared" ref="AS93:AS122" si="55">AP93</f>
        <v>0</v>
      </c>
      <c r="AT93" s="76">
        <v>105</v>
      </c>
      <c r="AU93" s="74">
        <f t="shared" ref="AU93:AU122" si="56">AQ93/AR93*AV93</f>
        <v>5084788.4393063588</v>
      </c>
      <c r="AV93" s="76">
        <v>124</v>
      </c>
      <c r="AW93" s="74">
        <f t="shared" si="39"/>
        <v>0</v>
      </c>
      <c r="AX93" s="76">
        <v>122</v>
      </c>
      <c r="AY93" s="77">
        <f t="shared" si="40"/>
        <v>5133997</v>
      </c>
      <c r="AZ93" s="78">
        <v>125.2</v>
      </c>
      <c r="BA93" s="77">
        <f t="shared" si="41"/>
        <v>0</v>
      </c>
      <c r="BB93" s="78">
        <v>123.3</v>
      </c>
      <c r="BC93" s="79">
        <v>36892</v>
      </c>
      <c r="BD93" s="59"/>
      <c r="BE93" s="80">
        <v>2097.23</v>
      </c>
      <c r="BF93" s="80">
        <v>2083.9299999999998</v>
      </c>
      <c r="BG93" s="80">
        <v>2059.61</v>
      </c>
      <c r="BH93" s="73"/>
      <c r="BI93" s="73"/>
      <c r="BJ93" s="73"/>
      <c r="BK93" s="73"/>
      <c r="BL93" s="79">
        <v>42969</v>
      </c>
      <c r="BM93" s="79">
        <v>36434</v>
      </c>
      <c r="BN93" s="58" t="s">
        <v>44</v>
      </c>
      <c r="BO93" s="58" t="s">
        <v>70</v>
      </c>
      <c r="BP93" s="58" t="s">
        <v>376</v>
      </c>
      <c r="BQ93">
        <v>2016</v>
      </c>
      <c r="BR93" s="59"/>
      <c r="BV93" s="18"/>
      <c r="BW93" s="18"/>
    </row>
    <row r="94" spans="2:75" x14ac:dyDescent="0.3">
      <c r="B94" s="20" t="s">
        <v>377</v>
      </c>
      <c r="C94" s="20" t="s">
        <v>1274</v>
      </c>
      <c r="D94" s="57" t="s">
        <v>1173</v>
      </c>
      <c r="E94" s="58" t="s">
        <v>1101</v>
      </c>
      <c r="F94" s="96"/>
      <c r="G94" s="96"/>
      <c r="H94" s="58" t="s">
        <v>166</v>
      </c>
      <c r="I94" s="58" t="s">
        <v>166</v>
      </c>
      <c r="J94" s="59">
        <v>772723</v>
      </c>
      <c r="K94" s="95" t="s">
        <v>43</v>
      </c>
      <c r="L94" s="95"/>
      <c r="M94" s="58" t="s">
        <v>72</v>
      </c>
      <c r="N94" s="59">
        <v>11</v>
      </c>
      <c r="O94" s="58" t="s">
        <v>40</v>
      </c>
      <c r="P94" s="58" t="s">
        <v>378</v>
      </c>
      <c r="Q94" s="58" t="s">
        <v>139</v>
      </c>
      <c r="R94" s="58" t="s">
        <v>379</v>
      </c>
      <c r="S94" s="58" t="s">
        <v>42</v>
      </c>
      <c r="T94" s="73">
        <v>2860000</v>
      </c>
      <c r="U94" s="74">
        <f t="shared" ref="U94:U101" si="57">122.9*T94/121.1</f>
        <v>2902510.3220478944</v>
      </c>
      <c r="V94" s="74">
        <v>1014500</v>
      </c>
      <c r="W94" s="74">
        <v>2564855</v>
      </c>
      <c r="X94" s="74">
        <v>849908</v>
      </c>
      <c r="Y94" s="74">
        <v>1687.97</v>
      </c>
      <c r="Z94" s="74">
        <v>598.76</v>
      </c>
      <c r="AA94" s="75" t="s">
        <v>43</v>
      </c>
      <c r="AB94" s="74"/>
      <c r="AC94" s="74"/>
      <c r="AD94" s="75" t="s">
        <v>43</v>
      </c>
      <c r="AE94" s="74"/>
      <c r="AF94" s="74"/>
      <c r="AG94" s="74">
        <v>0</v>
      </c>
      <c r="AH94" s="75" t="s">
        <v>42</v>
      </c>
      <c r="AI94" s="74"/>
      <c r="AJ94" s="74">
        <f t="shared" ref="AJ94:AJ101" si="58">116.3*V94/114.7</f>
        <v>1028651.700087184</v>
      </c>
      <c r="AK94" s="74">
        <f t="shared" ref="AK94:AK101" si="59">139.1/122.9*U94</f>
        <v>3285103.2204789426</v>
      </c>
      <c r="AL94" s="74">
        <f t="shared" ref="AL94:AL101" si="60">121.6/116.3*AJ94</f>
        <v>1075529.2066259808</v>
      </c>
      <c r="AM94" s="74">
        <f t="shared" si="52"/>
        <v>3449358.38150289</v>
      </c>
      <c r="AN94" s="74">
        <f t="shared" si="52"/>
        <v>1129305.6669572799</v>
      </c>
      <c r="AO94" s="74">
        <f t="shared" si="53"/>
        <v>3547911.4781172583</v>
      </c>
      <c r="AP94" s="74">
        <f t="shared" ref="AP94:AP101" si="61">AN94</f>
        <v>1129305.6669572799</v>
      </c>
      <c r="AQ94" s="74">
        <f t="shared" si="54"/>
        <v>3741732.5681255162</v>
      </c>
      <c r="AR94" s="76">
        <v>113.9</v>
      </c>
      <c r="AS94" s="74">
        <f t="shared" si="55"/>
        <v>1129305.6669572799</v>
      </c>
      <c r="AT94" s="76">
        <v>105</v>
      </c>
      <c r="AU94" s="74">
        <f t="shared" si="56"/>
        <v>4073527.9933938892</v>
      </c>
      <c r="AV94" s="76">
        <v>124</v>
      </c>
      <c r="AW94" s="74">
        <f t="shared" si="39"/>
        <v>1312145.6320836965</v>
      </c>
      <c r="AX94" s="76">
        <v>122</v>
      </c>
      <c r="AY94" s="77">
        <f t="shared" si="40"/>
        <v>4112950</v>
      </c>
      <c r="AZ94" s="78">
        <v>125.2</v>
      </c>
      <c r="BA94" s="77">
        <f t="shared" si="41"/>
        <v>1326128</v>
      </c>
      <c r="BB94" s="78">
        <v>123.3</v>
      </c>
      <c r="BC94" s="79">
        <v>37622</v>
      </c>
      <c r="BD94" s="59"/>
      <c r="BE94" s="80">
        <v>2015.4</v>
      </c>
      <c r="BF94" s="80">
        <v>2005.22</v>
      </c>
      <c r="BG94" s="80">
        <v>1983</v>
      </c>
      <c r="BH94" s="73"/>
      <c r="BI94" s="73"/>
      <c r="BJ94" s="73"/>
      <c r="BK94" s="73"/>
      <c r="BL94" s="79">
        <v>43158</v>
      </c>
      <c r="BM94" s="79">
        <v>37735</v>
      </c>
      <c r="BN94" s="58" t="s">
        <v>44</v>
      </c>
      <c r="BO94" s="58" t="s">
        <v>44</v>
      </c>
      <c r="BP94" s="58" t="s">
        <v>184</v>
      </c>
      <c r="BQ94">
        <v>2016</v>
      </c>
      <c r="BR94" s="59"/>
      <c r="BV94" s="18"/>
      <c r="BW94" s="18"/>
    </row>
    <row r="95" spans="2:75" x14ac:dyDescent="0.3">
      <c r="B95" s="20" t="s">
        <v>380</v>
      </c>
      <c r="C95" s="20" t="s">
        <v>1275</v>
      </c>
      <c r="D95" s="57" t="s">
        <v>1173</v>
      </c>
      <c r="E95" s="58" t="s">
        <v>1101</v>
      </c>
      <c r="F95" s="96"/>
      <c r="G95" s="96"/>
      <c r="H95" s="58" t="s">
        <v>359</v>
      </c>
      <c r="I95" s="58" t="s">
        <v>359</v>
      </c>
      <c r="J95" s="59">
        <v>777772</v>
      </c>
      <c r="K95" s="95" t="s">
        <v>43</v>
      </c>
      <c r="L95" s="95"/>
      <c r="M95" s="58" t="s">
        <v>39</v>
      </c>
      <c r="N95" s="59">
        <v>99</v>
      </c>
      <c r="O95" s="58" t="s">
        <v>128</v>
      </c>
      <c r="P95" s="58" t="s">
        <v>381</v>
      </c>
      <c r="Q95" s="58" t="s">
        <v>41</v>
      </c>
      <c r="R95" s="58" t="s">
        <v>382</v>
      </c>
      <c r="S95" s="58" t="s">
        <v>42</v>
      </c>
      <c r="T95" s="73">
        <v>5750000</v>
      </c>
      <c r="U95" s="74">
        <f t="shared" si="57"/>
        <v>5835466.5565648228</v>
      </c>
      <c r="V95" s="74"/>
      <c r="W95" s="74">
        <v>5277681</v>
      </c>
      <c r="X95" s="74"/>
      <c r="Y95" s="74">
        <v>3393.65</v>
      </c>
      <c r="Z95" s="74"/>
      <c r="AA95" s="75" t="s">
        <v>43</v>
      </c>
      <c r="AB95" s="74"/>
      <c r="AC95" s="74"/>
      <c r="AD95" s="75" t="s">
        <v>43</v>
      </c>
      <c r="AE95" s="74"/>
      <c r="AF95" s="74"/>
      <c r="AG95" s="74">
        <v>0</v>
      </c>
      <c r="AH95" s="75" t="s">
        <v>42</v>
      </c>
      <c r="AI95" s="74"/>
      <c r="AJ95" s="74">
        <f t="shared" si="58"/>
        <v>0</v>
      </c>
      <c r="AK95" s="74">
        <f t="shared" si="59"/>
        <v>6604665.5656482242</v>
      </c>
      <c r="AL95" s="74">
        <f t="shared" si="60"/>
        <v>0</v>
      </c>
      <c r="AM95" s="74">
        <f t="shared" si="52"/>
        <v>6934898.8439306356</v>
      </c>
      <c r="AN95" s="74">
        <f t="shared" si="52"/>
        <v>0</v>
      </c>
      <c r="AO95" s="74">
        <f t="shared" si="53"/>
        <v>7133038.8109000819</v>
      </c>
      <c r="AP95" s="74">
        <f t="shared" si="61"/>
        <v>0</v>
      </c>
      <c r="AQ95" s="74">
        <f t="shared" si="54"/>
        <v>7522714.0792733273</v>
      </c>
      <c r="AR95" s="76">
        <v>113.9</v>
      </c>
      <c r="AS95" s="74">
        <f t="shared" si="55"/>
        <v>0</v>
      </c>
      <c r="AT95" s="76">
        <v>105</v>
      </c>
      <c r="AU95" s="74">
        <f t="shared" si="56"/>
        <v>8189785.3014037972</v>
      </c>
      <c r="AV95" s="76">
        <v>124</v>
      </c>
      <c r="AW95" s="74">
        <f t="shared" si="39"/>
        <v>0</v>
      </c>
      <c r="AX95" s="76">
        <v>122</v>
      </c>
      <c r="AY95" s="77">
        <f t="shared" si="40"/>
        <v>8269042</v>
      </c>
      <c r="AZ95" s="78">
        <v>125.2</v>
      </c>
      <c r="BA95" s="77">
        <f t="shared" si="41"/>
        <v>0</v>
      </c>
      <c r="BB95" s="78">
        <v>123.3</v>
      </c>
      <c r="BC95" s="79">
        <v>36526</v>
      </c>
      <c r="BD95" s="59"/>
      <c r="BE95" s="80">
        <v>3114.89</v>
      </c>
      <c r="BF95" s="80">
        <v>3093.95</v>
      </c>
      <c r="BG95" s="80">
        <v>3057.3</v>
      </c>
      <c r="BH95" s="73"/>
      <c r="BI95" s="73"/>
      <c r="BJ95" s="73"/>
      <c r="BK95" s="73"/>
      <c r="BL95" s="79">
        <v>42969</v>
      </c>
      <c r="BM95" s="79">
        <v>36434</v>
      </c>
      <c r="BN95" s="58" t="s">
        <v>44</v>
      </c>
      <c r="BO95" s="58" t="s">
        <v>70</v>
      </c>
      <c r="BP95" s="58" t="s">
        <v>383</v>
      </c>
      <c r="BQ95">
        <v>2016</v>
      </c>
      <c r="BR95" s="59"/>
      <c r="BV95" s="18"/>
      <c r="BW95" s="18"/>
    </row>
    <row r="96" spans="2:75" x14ac:dyDescent="0.3">
      <c r="B96" s="20" t="s">
        <v>384</v>
      </c>
      <c r="C96" s="20" t="s">
        <v>1276</v>
      </c>
      <c r="D96" s="57" t="s">
        <v>1174</v>
      </c>
      <c r="E96" s="58" t="s">
        <v>1101</v>
      </c>
      <c r="F96" s="96"/>
      <c r="G96" s="96"/>
      <c r="H96" s="58" t="s">
        <v>359</v>
      </c>
      <c r="I96" s="58" t="s">
        <v>359</v>
      </c>
      <c r="J96" s="59">
        <v>772724</v>
      </c>
      <c r="K96" s="95" t="s">
        <v>43</v>
      </c>
      <c r="L96" s="95"/>
      <c r="M96" s="58" t="s">
        <v>66</v>
      </c>
      <c r="N96" s="59">
        <v>15</v>
      </c>
      <c r="O96" s="58" t="s">
        <v>385</v>
      </c>
      <c r="P96" s="58" t="s">
        <v>386</v>
      </c>
      <c r="Q96" s="58" t="s">
        <v>387</v>
      </c>
      <c r="R96" s="58" t="s">
        <v>388</v>
      </c>
      <c r="S96" s="58" t="s">
        <v>42</v>
      </c>
      <c r="T96" s="73">
        <v>1650000</v>
      </c>
      <c r="U96" s="74">
        <f t="shared" si="57"/>
        <v>1674525.1857968622</v>
      </c>
      <c r="V96" s="74"/>
      <c r="W96" s="74">
        <v>1479725</v>
      </c>
      <c r="X96" s="74"/>
      <c r="Y96" s="74">
        <v>973.83</v>
      </c>
      <c r="Z96" s="74"/>
      <c r="AA96" s="75" t="s">
        <v>43</v>
      </c>
      <c r="AB96" s="74"/>
      <c r="AC96" s="74"/>
      <c r="AD96" s="75" t="s">
        <v>43</v>
      </c>
      <c r="AE96" s="74"/>
      <c r="AF96" s="74"/>
      <c r="AG96" s="74">
        <v>0</v>
      </c>
      <c r="AH96" s="75" t="s">
        <v>42</v>
      </c>
      <c r="AI96" s="74"/>
      <c r="AJ96" s="74">
        <f t="shared" si="58"/>
        <v>0</v>
      </c>
      <c r="AK96" s="74">
        <f t="shared" si="59"/>
        <v>1895251.857968621</v>
      </c>
      <c r="AL96" s="74">
        <f t="shared" si="60"/>
        <v>0</v>
      </c>
      <c r="AM96" s="74">
        <f>AK96*1.05+123000</f>
        <v>2113014.4508670522</v>
      </c>
      <c r="AN96" s="74">
        <v>10000</v>
      </c>
      <c r="AO96" s="74">
        <f t="shared" si="53"/>
        <v>2173386.2923203963</v>
      </c>
      <c r="AP96" s="74">
        <f t="shared" si="61"/>
        <v>10000</v>
      </c>
      <c r="AQ96" s="74">
        <f t="shared" si="54"/>
        <v>2292117.5805119737</v>
      </c>
      <c r="AR96" s="76">
        <v>113.9</v>
      </c>
      <c r="AS96" s="74">
        <f t="shared" si="55"/>
        <v>10000</v>
      </c>
      <c r="AT96" s="76">
        <v>105</v>
      </c>
      <c r="AU96" s="74">
        <f t="shared" si="56"/>
        <v>2495369.4467382329</v>
      </c>
      <c r="AV96" s="76">
        <v>124</v>
      </c>
      <c r="AW96" s="74">
        <f t="shared" si="39"/>
        <v>11619.04761904762</v>
      </c>
      <c r="AX96" s="76">
        <v>122</v>
      </c>
      <c r="AY96" s="77">
        <f t="shared" si="40"/>
        <v>2519519</v>
      </c>
      <c r="AZ96" s="78">
        <v>125.2</v>
      </c>
      <c r="BA96" s="77">
        <f t="shared" si="41"/>
        <v>11743</v>
      </c>
      <c r="BB96" s="78">
        <v>123.3</v>
      </c>
      <c r="BC96" s="59"/>
      <c r="BD96" s="59"/>
      <c r="BE96" s="80">
        <v>873.33</v>
      </c>
      <c r="BF96" s="80">
        <v>867.46</v>
      </c>
      <c r="BG96" s="80">
        <v>857.19</v>
      </c>
      <c r="BH96" s="73"/>
      <c r="BI96" s="73"/>
      <c r="BJ96" s="73"/>
      <c r="BK96" s="73"/>
      <c r="BL96" s="79">
        <v>42969</v>
      </c>
      <c r="BM96" s="79">
        <v>36434</v>
      </c>
      <c r="BN96" s="58" t="s">
        <v>44</v>
      </c>
      <c r="BO96" s="58" t="s">
        <v>70</v>
      </c>
      <c r="BP96" s="58" t="s">
        <v>184</v>
      </c>
      <c r="BQ96">
        <v>2016</v>
      </c>
      <c r="BR96" s="59"/>
      <c r="BV96" s="18"/>
      <c r="BW96" s="18"/>
    </row>
    <row r="97" spans="2:75" x14ac:dyDescent="0.3">
      <c r="B97" s="20" t="s">
        <v>389</v>
      </c>
      <c r="C97" s="20" t="s">
        <v>1277</v>
      </c>
      <c r="D97" s="57" t="s">
        <v>1174</v>
      </c>
      <c r="E97" s="58" t="s">
        <v>1101</v>
      </c>
      <c r="F97" s="96"/>
      <c r="G97" s="96"/>
      <c r="H97" s="58" t="s">
        <v>359</v>
      </c>
      <c r="I97" s="58" t="s">
        <v>359</v>
      </c>
      <c r="J97" s="59">
        <v>772724</v>
      </c>
      <c r="K97" s="95" t="s">
        <v>43</v>
      </c>
      <c r="L97" s="95"/>
      <c r="M97" s="58" t="s">
        <v>66</v>
      </c>
      <c r="N97" s="59">
        <v>11</v>
      </c>
      <c r="O97" s="58" t="s">
        <v>40</v>
      </c>
      <c r="P97" s="58" t="s">
        <v>390</v>
      </c>
      <c r="Q97" s="58" t="s">
        <v>387</v>
      </c>
      <c r="R97" s="58" t="s">
        <v>391</v>
      </c>
      <c r="S97" s="58" t="s">
        <v>42</v>
      </c>
      <c r="T97" s="73">
        <v>475000</v>
      </c>
      <c r="U97" s="74">
        <f t="shared" si="57"/>
        <v>482060.28075970273</v>
      </c>
      <c r="V97" s="74"/>
      <c r="W97" s="74">
        <v>443917</v>
      </c>
      <c r="X97" s="74"/>
      <c r="Y97" s="74">
        <v>280.35000000000002</v>
      </c>
      <c r="Z97" s="74"/>
      <c r="AA97" s="75" t="s">
        <v>43</v>
      </c>
      <c r="AB97" s="74"/>
      <c r="AC97" s="74"/>
      <c r="AD97" s="75" t="s">
        <v>43</v>
      </c>
      <c r="AE97" s="74"/>
      <c r="AF97" s="74"/>
      <c r="AG97" s="74">
        <v>0</v>
      </c>
      <c r="AH97" s="75" t="s">
        <v>42</v>
      </c>
      <c r="AI97" s="74"/>
      <c r="AJ97" s="74">
        <f t="shared" si="58"/>
        <v>0</v>
      </c>
      <c r="AK97" s="74">
        <f t="shared" si="59"/>
        <v>545602.80759702716</v>
      </c>
      <c r="AL97" s="74">
        <f t="shared" si="60"/>
        <v>0</v>
      </c>
      <c r="AM97" s="74">
        <f>AK97*1.05</f>
        <v>572882.94797687849</v>
      </c>
      <c r="AN97" s="74">
        <f>AL97*1.05</f>
        <v>0</v>
      </c>
      <c r="AO97" s="74">
        <f t="shared" si="53"/>
        <v>589251.03220478923</v>
      </c>
      <c r="AP97" s="74">
        <f t="shared" si="61"/>
        <v>0</v>
      </c>
      <c r="AQ97" s="74">
        <f t="shared" si="54"/>
        <v>621441.5978530139</v>
      </c>
      <c r="AR97" s="76">
        <v>113.9</v>
      </c>
      <c r="AS97" s="74">
        <f t="shared" si="55"/>
        <v>0</v>
      </c>
      <c r="AT97" s="76">
        <v>105</v>
      </c>
      <c r="AU97" s="74">
        <f t="shared" si="56"/>
        <v>676547.48142031359</v>
      </c>
      <c r="AV97" s="76">
        <v>124</v>
      </c>
      <c r="AW97" s="74">
        <f t="shared" si="39"/>
        <v>0</v>
      </c>
      <c r="AX97" s="76">
        <v>122</v>
      </c>
      <c r="AY97" s="77">
        <f t="shared" si="40"/>
        <v>683095</v>
      </c>
      <c r="AZ97" s="78">
        <v>125.2</v>
      </c>
      <c r="BA97" s="77">
        <f t="shared" si="41"/>
        <v>0</v>
      </c>
      <c r="BB97" s="78">
        <v>123.3</v>
      </c>
      <c r="BC97" s="59"/>
      <c r="BD97" s="59"/>
      <c r="BE97" s="80">
        <v>262</v>
      </c>
      <c r="BF97" s="80">
        <v>260.24</v>
      </c>
      <c r="BG97" s="80">
        <v>257.16000000000003</v>
      </c>
      <c r="BH97" s="73"/>
      <c r="BI97" s="73"/>
      <c r="BJ97" s="73"/>
      <c r="BK97" s="73"/>
      <c r="BL97" s="79">
        <v>42969</v>
      </c>
      <c r="BM97" s="79">
        <v>36434</v>
      </c>
      <c r="BN97" s="58" t="s">
        <v>44</v>
      </c>
      <c r="BO97" s="58" t="s">
        <v>70</v>
      </c>
      <c r="BP97" s="58" t="s">
        <v>184</v>
      </c>
      <c r="BQ97">
        <v>2016</v>
      </c>
      <c r="BR97" s="59"/>
      <c r="BV97" s="18"/>
      <c r="BW97" s="18"/>
    </row>
    <row r="98" spans="2:75" x14ac:dyDescent="0.3">
      <c r="B98" s="20" t="s">
        <v>392</v>
      </c>
      <c r="C98" s="20" t="s">
        <v>1278</v>
      </c>
      <c r="D98" s="57" t="s">
        <v>1174</v>
      </c>
      <c r="E98" s="58" t="s">
        <v>1101</v>
      </c>
      <c r="F98" s="96"/>
      <c r="G98" s="96"/>
      <c r="H98" s="58" t="s">
        <v>359</v>
      </c>
      <c r="I98" s="58" t="s">
        <v>359</v>
      </c>
      <c r="J98" s="59">
        <v>772724</v>
      </c>
      <c r="K98" s="95" t="s">
        <v>43</v>
      </c>
      <c r="L98" s="95"/>
      <c r="M98" s="58" t="s">
        <v>66</v>
      </c>
      <c r="N98" s="59">
        <v>20</v>
      </c>
      <c r="O98" s="58" t="s">
        <v>393</v>
      </c>
      <c r="P98" s="58" t="s">
        <v>394</v>
      </c>
      <c r="Q98" s="58" t="s">
        <v>387</v>
      </c>
      <c r="R98" s="58" t="s">
        <v>395</v>
      </c>
      <c r="S98" s="58" t="s">
        <v>42</v>
      </c>
      <c r="T98" s="73">
        <v>28000</v>
      </c>
      <c r="U98" s="74">
        <f t="shared" si="57"/>
        <v>28416.184971098268</v>
      </c>
      <c r="V98" s="74"/>
      <c r="W98" s="74">
        <v>24663</v>
      </c>
      <c r="X98" s="74"/>
      <c r="Y98" s="74">
        <v>16.53</v>
      </c>
      <c r="Z98" s="74"/>
      <c r="AA98" s="75" t="s">
        <v>43</v>
      </c>
      <c r="AB98" s="74"/>
      <c r="AC98" s="74"/>
      <c r="AD98" s="75" t="s">
        <v>43</v>
      </c>
      <c r="AE98" s="74"/>
      <c r="AF98" s="74"/>
      <c r="AG98" s="74">
        <v>0</v>
      </c>
      <c r="AH98" s="75" t="s">
        <v>42</v>
      </c>
      <c r="AI98" s="74"/>
      <c r="AJ98" s="74">
        <f t="shared" si="58"/>
        <v>0</v>
      </c>
      <c r="AK98" s="74">
        <f t="shared" si="59"/>
        <v>32161.84971098266</v>
      </c>
      <c r="AL98" s="74">
        <f t="shared" si="60"/>
        <v>0</v>
      </c>
      <c r="AM98" s="74">
        <f>AK98*1.05</f>
        <v>33769.942196531796</v>
      </c>
      <c r="AN98" s="74">
        <v>20000</v>
      </c>
      <c r="AO98" s="74">
        <f t="shared" si="53"/>
        <v>34734.797687861275</v>
      </c>
      <c r="AP98" s="74">
        <f t="shared" si="61"/>
        <v>20000</v>
      </c>
      <c r="AQ98" s="74">
        <f t="shared" si="54"/>
        <v>36632.34682080926</v>
      </c>
      <c r="AR98" s="76">
        <v>113.9</v>
      </c>
      <c r="AS98" s="74">
        <f t="shared" si="55"/>
        <v>20000</v>
      </c>
      <c r="AT98" s="76">
        <v>105</v>
      </c>
      <c r="AU98" s="74">
        <f t="shared" si="56"/>
        <v>39880.693641618505</v>
      </c>
      <c r="AV98" s="76">
        <v>124</v>
      </c>
      <c r="AW98" s="74">
        <f t="shared" si="39"/>
        <v>23238.09523809524</v>
      </c>
      <c r="AX98" s="76">
        <v>122</v>
      </c>
      <c r="AY98" s="77">
        <f t="shared" si="40"/>
        <v>40267</v>
      </c>
      <c r="AZ98" s="78">
        <v>125.2</v>
      </c>
      <c r="BA98" s="77">
        <f t="shared" si="41"/>
        <v>23486</v>
      </c>
      <c r="BB98" s="78">
        <v>123.3</v>
      </c>
      <c r="BC98" s="79">
        <v>42005</v>
      </c>
      <c r="BD98" s="59"/>
      <c r="BE98" s="80">
        <v>14.56</v>
      </c>
      <c r="BF98" s="80">
        <v>14.46</v>
      </c>
      <c r="BG98" s="80">
        <v>14.29</v>
      </c>
      <c r="BH98" s="73"/>
      <c r="BI98" s="73"/>
      <c r="BJ98" s="73"/>
      <c r="BK98" s="73"/>
      <c r="BL98" s="79">
        <v>42969</v>
      </c>
      <c r="BM98" s="79">
        <v>36434</v>
      </c>
      <c r="BN98" s="58" t="s">
        <v>44</v>
      </c>
      <c r="BO98" s="58" t="s">
        <v>70</v>
      </c>
      <c r="BP98" s="58" t="s">
        <v>184</v>
      </c>
      <c r="BQ98">
        <v>2016</v>
      </c>
      <c r="BR98" s="59"/>
      <c r="BV98" s="18"/>
      <c r="BW98" s="18"/>
    </row>
    <row r="99" spans="2:75" x14ac:dyDescent="0.3">
      <c r="B99" s="20" t="s">
        <v>396</v>
      </c>
      <c r="C99" s="20" t="s">
        <v>1279</v>
      </c>
      <c r="D99" s="57" t="s">
        <v>1174</v>
      </c>
      <c r="E99" s="58" t="s">
        <v>1101</v>
      </c>
      <c r="F99" s="96"/>
      <c r="G99" s="96"/>
      <c r="H99" s="58" t="s">
        <v>359</v>
      </c>
      <c r="I99" s="58" t="s">
        <v>359</v>
      </c>
      <c r="J99" s="59">
        <v>772724</v>
      </c>
      <c r="K99" s="95" t="s">
        <v>43</v>
      </c>
      <c r="L99" s="95"/>
      <c r="M99" s="58" t="s">
        <v>66</v>
      </c>
      <c r="N99" s="59">
        <v>11</v>
      </c>
      <c r="O99" s="58" t="s">
        <v>40</v>
      </c>
      <c r="P99" s="58" t="s">
        <v>397</v>
      </c>
      <c r="Q99" s="58" t="s">
        <v>398</v>
      </c>
      <c r="R99" s="58" t="s">
        <v>399</v>
      </c>
      <c r="S99" s="58" t="s">
        <v>42</v>
      </c>
      <c r="T99" s="73">
        <v>600000</v>
      </c>
      <c r="U99" s="74">
        <f t="shared" si="57"/>
        <v>608918.24938067712</v>
      </c>
      <c r="V99" s="74"/>
      <c r="W99" s="74">
        <v>542566</v>
      </c>
      <c r="X99" s="74"/>
      <c r="Y99" s="74">
        <v>354.12</v>
      </c>
      <c r="Z99" s="74"/>
      <c r="AA99" s="75" t="s">
        <v>43</v>
      </c>
      <c r="AB99" s="74"/>
      <c r="AC99" s="74"/>
      <c r="AD99" s="75" t="s">
        <v>43</v>
      </c>
      <c r="AE99" s="74"/>
      <c r="AF99" s="74"/>
      <c r="AG99" s="74">
        <v>0</v>
      </c>
      <c r="AH99" s="75" t="s">
        <v>42</v>
      </c>
      <c r="AI99" s="74"/>
      <c r="AJ99" s="74">
        <f t="shared" si="58"/>
        <v>0</v>
      </c>
      <c r="AK99" s="74">
        <f t="shared" si="59"/>
        <v>689182.49380677124</v>
      </c>
      <c r="AL99" s="74">
        <f t="shared" si="60"/>
        <v>0</v>
      </c>
      <c r="AM99" s="74">
        <f>AK99*1.05</f>
        <v>723641.61849710986</v>
      </c>
      <c r="AN99" s="74">
        <f>AL99*1.05</f>
        <v>0</v>
      </c>
      <c r="AO99" s="74">
        <f t="shared" si="53"/>
        <v>744317.09331131296</v>
      </c>
      <c r="AP99" s="74">
        <f t="shared" si="61"/>
        <v>0</v>
      </c>
      <c r="AQ99" s="74">
        <f t="shared" si="54"/>
        <v>784978.86044591246</v>
      </c>
      <c r="AR99" s="76">
        <v>113.9</v>
      </c>
      <c r="AS99" s="74">
        <f t="shared" si="55"/>
        <v>0</v>
      </c>
      <c r="AT99" s="76">
        <v>105</v>
      </c>
      <c r="AU99" s="74">
        <f t="shared" si="56"/>
        <v>854586.2923203964</v>
      </c>
      <c r="AV99" s="76">
        <v>124</v>
      </c>
      <c r="AW99" s="74">
        <f t="shared" si="39"/>
        <v>0</v>
      </c>
      <c r="AX99" s="76">
        <v>122</v>
      </c>
      <c r="AY99" s="77">
        <f t="shared" si="40"/>
        <v>862857</v>
      </c>
      <c r="AZ99" s="78">
        <v>125.2</v>
      </c>
      <c r="BA99" s="77">
        <f t="shared" si="41"/>
        <v>0</v>
      </c>
      <c r="BB99" s="78">
        <v>123.3</v>
      </c>
      <c r="BC99" s="59"/>
      <c r="BD99" s="59"/>
      <c r="BE99" s="80">
        <v>320.22000000000003</v>
      </c>
      <c r="BF99" s="80">
        <v>318.07</v>
      </c>
      <c r="BG99" s="80">
        <v>314.3</v>
      </c>
      <c r="BH99" s="73"/>
      <c r="BI99" s="73"/>
      <c r="BJ99" s="73"/>
      <c r="BK99" s="73"/>
      <c r="BL99" s="79">
        <v>42969</v>
      </c>
      <c r="BM99" s="79">
        <v>36434</v>
      </c>
      <c r="BN99" s="58" t="s">
        <v>44</v>
      </c>
      <c r="BO99" s="58" t="s">
        <v>70</v>
      </c>
      <c r="BP99" s="58" t="s">
        <v>184</v>
      </c>
      <c r="BQ99">
        <v>2016</v>
      </c>
      <c r="BR99" s="59"/>
      <c r="BV99" s="18"/>
      <c r="BW99" s="18"/>
    </row>
    <row r="100" spans="2:75" x14ac:dyDescent="0.3">
      <c r="B100" s="20" t="s">
        <v>400</v>
      </c>
      <c r="C100" s="20" t="s">
        <v>1280</v>
      </c>
      <c r="D100" s="57" t="s">
        <v>1174</v>
      </c>
      <c r="E100" s="58" t="s">
        <v>1101</v>
      </c>
      <c r="F100" s="96"/>
      <c r="G100" s="96"/>
      <c r="H100" s="58" t="s">
        <v>359</v>
      </c>
      <c r="I100" s="58" t="s">
        <v>359</v>
      </c>
      <c r="J100" s="59">
        <v>777772</v>
      </c>
      <c r="K100" s="95" t="s">
        <v>43</v>
      </c>
      <c r="L100" s="95"/>
      <c r="M100" s="58" t="s">
        <v>39</v>
      </c>
      <c r="N100" s="59">
        <v>11</v>
      </c>
      <c r="O100" s="58" t="s">
        <v>40</v>
      </c>
      <c r="P100" s="58" t="s">
        <v>45</v>
      </c>
      <c r="Q100" s="58" t="s">
        <v>41</v>
      </c>
      <c r="R100" s="58" t="s">
        <v>401</v>
      </c>
      <c r="S100" s="58" t="s">
        <v>42</v>
      </c>
      <c r="T100" s="73">
        <v>187500</v>
      </c>
      <c r="U100" s="74">
        <f t="shared" si="57"/>
        <v>190286.95293146162</v>
      </c>
      <c r="V100" s="74"/>
      <c r="W100" s="74">
        <v>345268</v>
      </c>
      <c r="X100" s="74"/>
      <c r="Y100" s="74">
        <v>110.66</v>
      </c>
      <c r="Z100" s="74"/>
      <c r="AA100" s="75" t="s">
        <v>43</v>
      </c>
      <c r="AB100" s="74"/>
      <c r="AC100" s="74"/>
      <c r="AD100" s="75" t="s">
        <v>43</v>
      </c>
      <c r="AE100" s="74"/>
      <c r="AF100" s="74"/>
      <c r="AG100" s="74">
        <v>0</v>
      </c>
      <c r="AH100" s="75" t="s">
        <v>42</v>
      </c>
      <c r="AI100" s="74"/>
      <c r="AJ100" s="74">
        <f t="shared" si="58"/>
        <v>0</v>
      </c>
      <c r="AK100" s="74">
        <f t="shared" si="59"/>
        <v>215369.52931461603</v>
      </c>
      <c r="AL100" s="74">
        <f t="shared" si="60"/>
        <v>0</v>
      </c>
      <c r="AM100" s="74">
        <f>AK100*1.05</f>
        <v>226138.00578034684</v>
      </c>
      <c r="AN100" s="74">
        <f>AL100*1.05</f>
        <v>0</v>
      </c>
      <c r="AO100" s="74">
        <f t="shared" si="53"/>
        <v>232599.09165978534</v>
      </c>
      <c r="AP100" s="74">
        <f t="shared" si="61"/>
        <v>0</v>
      </c>
      <c r="AQ100" s="74">
        <f t="shared" si="54"/>
        <v>245305.8938893477</v>
      </c>
      <c r="AR100" s="76">
        <v>113.9</v>
      </c>
      <c r="AS100" s="74">
        <f t="shared" si="55"/>
        <v>0</v>
      </c>
      <c r="AT100" s="76">
        <v>105</v>
      </c>
      <c r="AU100" s="74">
        <f t="shared" si="56"/>
        <v>267058.21635012393</v>
      </c>
      <c r="AV100" s="76">
        <v>124</v>
      </c>
      <c r="AW100" s="74">
        <f t="shared" si="39"/>
        <v>0</v>
      </c>
      <c r="AX100" s="76">
        <v>122</v>
      </c>
      <c r="AY100" s="77">
        <f t="shared" si="40"/>
        <v>269643</v>
      </c>
      <c r="AZ100" s="78">
        <v>125.2</v>
      </c>
      <c r="BA100" s="77">
        <f t="shared" si="41"/>
        <v>0</v>
      </c>
      <c r="BB100" s="78">
        <v>123.3</v>
      </c>
      <c r="BC100" s="79">
        <v>37257</v>
      </c>
      <c r="BD100" s="59"/>
      <c r="BE100" s="80">
        <v>203.78</v>
      </c>
      <c r="BF100" s="80">
        <v>202.41</v>
      </c>
      <c r="BG100" s="80">
        <v>200.01</v>
      </c>
      <c r="BH100" s="73"/>
      <c r="BI100" s="73"/>
      <c r="BJ100" s="73"/>
      <c r="BK100" s="73"/>
      <c r="BL100" s="79">
        <v>43158</v>
      </c>
      <c r="BM100" s="79">
        <v>36434</v>
      </c>
      <c r="BN100" s="58" t="s">
        <v>44</v>
      </c>
      <c r="BO100" s="58" t="s">
        <v>70</v>
      </c>
      <c r="BP100" s="58" t="s">
        <v>184</v>
      </c>
      <c r="BQ100">
        <v>2016</v>
      </c>
      <c r="BR100" s="59"/>
      <c r="BV100" s="18"/>
      <c r="BW100" s="18"/>
    </row>
    <row r="101" spans="2:75" x14ac:dyDescent="0.3">
      <c r="B101" s="20" t="s">
        <v>402</v>
      </c>
      <c r="C101" s="20" t="s">
        <v>1281</v>
      </c>
      <c r="D101" s="57">
        <v>0</v>
      </c>
      <c r="E101" s="58" t="s">
        <v>1101</v>
      </c>
      <c r="F101" s="96"/>
      <c r="G101" s="96"/>
      <c r="H101" s="58" t="s">
        <v>359</v>
      </c>
      <c r="I101" s="58" t="s">
        <v>359</v>
      </c>
      <c r="J101" s="59">
        <v>777773</v>
      </c>
      <c r="K101" s="95" t="s">
        <v>43</v>
      </c>
      <c r="L101" s="95"/>
      <c r="M101" s="58" t="s">
        <v>290</v>
      </c>
      <c r="N101" s="59">
        <v>99</v>
      </c>
      <c r="O101" s="58" t="s">
        <v>128</v>
      </c>
      <c r="P101" s="58" t="s">
        <v>403</v>
      </c>
      <c r="Q101" s="58" t="s">
        <v>361</v>
      </c>
      <c r="R101" s="58" t="s">
        <v>404</v>
      </c>
      <c r="S101" s="58" t="s">
        <v>42</v>
      </c>
      <c r="T101" s="73">
        <v>120000</v>
      </c>
      <c r="U101" s="74">
        <f t="shared" si="57"/>
        <v>121783.64987613543</v>
      </c>
      <c r="V101" s="74">
        <v>40000</v>
      </c>
      <c r="W101" s="74">
        <v>98648</v>
      </c>
      <c r="X101" s="74">
        <v>15952</v>
      </c>
      <c r="Y101" s="74">
        <v>70.819999999999993</v>
      </c>
      <c r="Z101" s="74">
        <v>23.61</v>
      </c>
      <c r="AA101" s="75" t="s">
        <v>43</v>
      </c>
      <c r="AB101" s="74"/>
      <c r="AC101" s="74"/>
      <c r="AD101" s="75" t="s">
        <v>43</v>
      </c>
      <c r="AE101" s="74"/>
      <c r="AF101" s="74"/>
      <c r="AG101" s="74">
        <v>0</v>
      </c>
      <c r="AH101" s="75" t="s">
        <v>42</v>
      </c>
      <c r="AI101" s="74"/>
      <c r="AJ101" s="74">
        <f t="shared" si="58"/>
        <v>40557.977332170878</v>
      </c>
      <c r="AK101" s="74">
        <f t="shared" si="59"/>
        <v>137836.49876135425</v>
      </c>
      <c r="AL101" s="74">
        <f t="shared" si="60"/>
        <v>42406.277244986915</v>
      </c>
      <c r="AM101" s="74">
        <f>AK101*1.05</f>
        <v>144728.32369942198</v>
      </c>
      <c r="AN101" s="74">
        <f>AL101*1.05</f>
        <v>44526.591107236265</v>
      </c>
      <c r="AO101" s="74">
        <f t="shared" si="53"/>
        <v>148863.41866226259</v>
      </c>
      <c r="AP101" s="74">
        <f t="shared" si="61"/>
        <v>44526.591107236265</v>
      </c>
      <c r="AQ101" s="74">
        <f t="shared" si="54"/>
        <v>156995.77208918252</v>
      </c>
      <c r="AR101" s="76">
        <v>113.9</v>
      </c>
      <c r="AS101" s="74">
        <f t="shared" si="55"/>
        <v>44526.591107236265</v>
      </c>
      <c r="AT101" s="76">
        <v>105</v>
      </c>
      <c r="AU101" s="74">
        <f t="shared" si="56"/>
        <v>170917.25846407926</v>
      </c>
      <c r="AV101" s="76">
        <v>124</v>
      </c>
      <c r="AW101" s="74">
        <f t="shared" si="39"/>
        <v>51735.658238884047</v>
      </c>
      <c r="AX101" s="76">
        <v>122</v>
      </c>
      <c r="AY101" s="77">
        <f t="shared" si="40"/>
        <v>172572</v>
      </c>
      <c r="AZ101" s="78">
        <v>125.2</v>
      </c>
      <c r="BA101" s="77">
        <f t="shared" si="41"/>
        <v>52287</v>
      </c>
      <c r="BB101" s="78">
        <v>123.3</v>
      </c>
      <c r="BC101" s="79">
        <v>39083</v>
      </c>
      <c r="BD101" s="59"/>
      <c r="BE101" s="80">
        <v>67.63</v>
      </c>
      <c r="BF101" s="80">
        <v>67.239999999999995</v>
      </c>
      <c r="BG101" s="80">
        <v>66.48</v>
      </c>
      <c r="BH101" s="73"/>
      <c r="BI101" s="73"/>
      <c r="BJ101" s="73"/>
      <c r="BK101" s="73"/>
      <c r="BL101" s="79">
        <v>42969</v>
      </c>
      <c r="BM101" s="79">
        <v>36434</v>
      </c>
      <c r="BN101" s="58" t="s">
        <v>44</v>
      </c>
      <c r="BO101" s="58" t="s">
        <v>70</v>
      </c>
      <c r="BP101" s="58" t="s">
        <v>184</v>
      </c>
      <c r="BQ101">
        <v>2016</v>
      </c>
      <c r="BR101" s="59"/>
      <c r="BV101" s="18"/>
      <c r="BW101" s="18"/>
    </row>
    <row r="102" spans="2:75" x14ac:dyDescent="0.3">
      <c r="B102" s="20" t="s">
        <v>1022</v>
      </c>
      <c r="C102" s="20" t="s">
        <v>1022</v>
      </c>
      <c r="D102" s="57" t="e">
        <v>#N/A</v>
      </c>
      <c r="E102" s="58" t="s">
        <v>1101</v>
      </c>
      <c r="F102" s="96"/>
      <c r="G102" s="96"/>
      <c r="H102" s="58"/>
      <c r="I102" s="58"/>
      <c r="J102" s="59"/>
      <c r="K102" s="95" t="s">
        <v>43</v>
      </c>
      <c r="L102" s="95"/>
      <c r="M102" s="58"/>
      <c r="N102" s="59"/>
      <c r="O102" s="58" t="s">
        <v>40</v>
      </c>
      <c r="P102" s="58" t="s">
        <v>1023</v>
      </c>
      <c r="Q102" s="58"/>
      <c r="R102" s="58"/>
      <c r="S102" s="58"/>
      <c r="T102" s="73"/>
      <c r="U102" s="74"/>
      <c r="V102" s="74"/>
      <c r="W102" s="74"/>
      <c r="X102" s="74"/>
      <c r="Y102" s="74"/>
      <c r="Z102" s="74"/>
      <c r="AA102" s="75"/>
      <c r="AB102" s="74"/>
      <c r="AC102" s="74"/>
      <c r="AD102" s="75"/>
      <c r="AE102" s="74"/>
      <c r="AF102" s="74"/>
      <c r="AG102" s="74"/>
      <c r="AH102" s="75"/>
      <c r="AI102" s="74"/>
      <c r="AJ102" s="74"/>
      <c r="AK102" s="74"/>
      <c r="AL102" s="74"/>
      <c r="AM102" s="74"/>
      <c r="AN102" s="74"/>
      <c r="AO102" s="74"/>
      <c r="AP102" s="74">
        <f>15000+1985</f>
        <v>16985</v>
      </c>
      <c r="AQ102" s="74">
        <f t="shared" si="54"/>
        <v>0</v>
      </c>
      <c r="AR102" s="76">
        <v>113.9</v>
      </c>
      <c r="AS102" s="74">
        <f t="shared" si="55"/>
        <v>16985</v>
      </c>
      <c r="AT102" s="76">
        <v>105</v>
      </c>
      <c r="AU102" s="74">
        <f t="shared" si="56"/>
        <v>0</v>
      </c>
      <c r="AV102" s="76">
        <v>124</v>
      </c>
      <c r="AW102" s="74">
        <f t="shared" si="39"/>
        <v>19734.952380952382</v>
      </c>
      <c r="AX102" s="76">
        <v>122</v>
      </c>
      <c r="AY102" s="77">
        <f t="shared" si="40"/>
        <v>0</v>
      </c>
      <c r="AZ102" s="78">
        <v>125.2</v>
      </c>
      <c r="BA102" s="77">
        <f t="shared" si="41"/>
        <v>19946</v>
      </c>
      <c r="BB102" s="78">
        <v>123.3</v>
      </c>
      <c r="BC102" s="79">
        <v>44382</v>
      </c>
      <c r="BD102" s="59"/>
      <c r="BE102" s="80"/>
      <c r="BF102" s="80"/>
      <c r="BG102" s="80"/>
      <c r="BH102" s="73"/>
      <c r="BI102" s="73"/>
      <c r="BJ102" s="73"/>
      <c r="BK102" s="73"/>
      <c r="BL102" s="79"/>
      <c r="BM102" s="79"/>
      <c r="BN102" s="58"/>
      <c r="BO102" s="58"/>
      <c r="BP102" s="21"/>
      <c r="BR102" s="59" t="s">
        <v>1442</v>
      </c>
      <c r="BV102" s="18"/>
      <c r="BW102" s="18"/>
    </row>
    <row r="103" spans="2:75" x14ac:dyDescent="0.3">
      <c r="B103" s="20" t="s">
        <v>405</v>
      </c>
      <c r="C103" s="20" t="s">
        <v>1282</v>
      </c>
      <c r="D103" s="57" t="s">
        <v>1175</v>
      </c>
      <c r="E103" s="58" t="s">
        <v>1101</v>
      </c>
      <c r="F103" s="96"/>
      <c r="G103" s="96"/>
      <c r="H103" s="58" t="s">
        <v>313</v>
      </c>
      <c r="I103" s="58" t="s">
        <v>313</v>
      </c>
      <c r="J103" s="59">
        <v>777772</v>
      </c>
      <c r="K103" s="95" t="s">
        <v>43</v>
      </c>
      <c r="L103" s="95"/>
      <c r="M103" s="58" t="s">
        <v>39</v>
      </c>
      <c r="N103" s="59">
        <v>11</v>
      </c>
      <c r="O103" s="58" t="s">
        <v>40</v>
      </c>
      <c r="P103" s="58" t="s">
        <v>406</v>
      </c>
      <c r="Q103" s="58" t="s">
        <v>42</v>
      </c>
      <c r="R103" s="58" t="s">
        <v>407</v>
      </c>
      <c r="S103" s="58" t="s">
        <v>42</v>
      </c>
      <c r="T103" s="73">
        <v>560000</v>
      </c>
      <c r="U103" s="74">
        <f>122.9*T103/121.1</f>
        <v>568323.6994219654</v>
      </c>
      <c r="V103" s="74"/>
      <c r="W103" s="74">
        <v>493241</v>
      </c>
      <c r="X103" s="74"/>
      <c r="Y103" s="74">
        <v>330.51</v>
      </c>
      <c r="Z103" s="74"/>
      <c r="AA103" s="75" t="s">
        <v>43</v>
      </c>
      <c r="AB103" s="74"/>
      <c r="AC103" s="74"/>
      <c r="AD103" s="75" t="s">
        <v>43</v>
      </c>
      <c r="AE103" s="74"/>
      <c r="AF103" s="74"/>
      <c r="AG103" s="74">
        <v>0</v>
      </c>
      <c r="AH103" s="75" t="s">
        <v>42</v>
      </c>
      <c r="AI103" s="74"/>
      <c r="AJ103" s="74">
        <f>116.3*V103/114.7</f>
        <v>0</v>
      </c>
      <c r="AK103" s="74">
        <f>139.1/122.9*U103</f>
        <v>643236.99421965319</v>
      </c>
      <c r="AL103" s="74">
        <f t="shared" ref="AL103:AL128" si="62">121.6/116.3*AJ103</f>
        <v>0</v>
      </c>
      <c r="AM103" s="74">
        <f t="shared" ref="AM103:AM128" si="63">AK103*1.05</f>
        <v>675398.84393063583</v>
      </c>
      <c r="AN103" s="74">
        <f t="shared" ref="AN103:AN128" si="64">AL103*1.05</f>
        <v>0</v>
      </c>
      <c r="AO103" s="74">
        <f t="shared" ref="AO103:AO128" si="65">AM103/105*108</f>
        <v>694695.95375722542</v>
      </c>
      <c r="AP103" s="74">
        <f t="shared" ref="AP103:AP124" si="66">AN103</f>
        <v>0</v>
      </c>
      <c r="AQ103" s="74">
        <f t="shared" si="54"/>
        <v>732646.936416185</v>
      </c>
      <c r="AR103" s="76">
        <v>113.9</v>
      </c>
      <c r="AS103" s="74">
        <f t="shared" si="55"/>
        <v>0</v>
      </c>
      <c r="AT103" s="76">
        <v>105</v>
      </c>
      <c r="AU103" s="74">
        <f t="shared" si="56"/>
        <v>797613.87283236999</v>
      </c>
      <c r="AV103" s="76">
        <v>124</v>
      </c>
      <c r="AW103" s="74">
        <f t="shared" si="39"/>
        <v>0</v>
      </c>
      <c r="AX103" s="76">
        <v>122</v>
      </c>
      <c r="AY103" s="77">
        <f t="shared" si="40"/>
        <v>805333</v>
      </c>
      <c r="AZ103" s="78">
        <v>125.2</v>
      </c>
      <c r="BA103" s="77">
        <f t="shared" si="41"/>
        <v>0</v>
      </c>
      <c r="BB103" s="78">
        <v>123.3</v>
      </c>
      <c r="BC103" s="79">
        <v>39448</v>
      </c>
      <c r="BD103" s="59"/>
      <c r="BE103" s="80">
        <v>291.11</v>
      </c>
      <c r="BF103" s="80">
        <v>289.14999999999998</v>
      </c>
      <c r="BG103" s="80">
        <v>285.73</v>
      </c>
      <c r="BH103" s="73"/>
      <c r="BI103" s="73"/>
      <c r="BJ103" s="73"/>
      <c r="BK103" s="73"/>
      <c r="BL103" s="79">
        <v>42969</v>
      </c>
      <c r="BM103" s="79">
        <v>39896</v>
      </c>
      <c r="BN103" s="58" t="s">
        <v>44</v>
      </c>
      <c r="BO103" s="58" t="s">
        <v>44</v>
      </c>
      <c r="BP103" s="58" t="s">
        <v>184</v>
      </c>
      <c r="BQ103">
        <v>2016</v>
      </c>
      <c r="BR103" s="59"/>
      <c r="BV103" s="18"/>
      <c r="BW103" s="18"/>
    </row>
    <row r="104" spans="2:75" x14ac:dyDescent="0.3">
      <c r="B104" s="20" t="s">
        <v>405</v>
      </c>
      <c r="C104" s="20" t="s">
        <v>1282</v>
      </c>
      <c r="D104" s="57" t="s">
        <v>1175</v>
      </c>
      <c r="E104" s="58" t="s">
        <v>1101</v>
      </c>
      <c r="F104" s="96"/>
      <c r="G104" s="96"/>
      <c r="H104" s="58" t="s">
        <v>313</v>
      </c>
      <c r="I104" s="58" t="s">
        <v>313</v>
      </c>
      <c r="J104" s="59">
        <v>777772</v>
      </c>
      <c r="K104" s="95" t="s">
        <v>43</v>
      </c>
      <c r="L104" s="95"/>
      <c r="M104" s="58" t="s">
        <v>39</v>
      </c>
      <c r="N104" s="59">
        <v>11</v>
      </c>
      <c r="O104" s="58" t="s">
        <v>40</v>
      </c>
      <c r="P104" s="58" t="s">
        <v>408</v>
      </c>
      <c r="Q104" s="58" t="s">
        <v>42</v>
      </c>
      <c r="R104" s="58" t="s">
        <v>409</v>
      </c>
      <c r="S104" s="58" t="s">
        <v>42</v>
      </c>
      <c r="T104" s="73">
        <v>270000</v>
      </c>
      <c r="U104" s="74">
        <f>122.9*T104/121.1</f>
        <v>274013.21222130471</v>
      </c>
      <c r="V104" s="74"/>
      <c r="W104" s="74">
        <v>246620</v>
      </c>
      <c r="X104" s="74"/>
      <c r="Y104" s="74">
        <v>159.35</v>
      </c>
      <c r="Z104" s="74"/>
      <c r="AA104" s="75" t="s">
        <v>43</v>
      </c>
      <c r="AB104" s="74"/>
      <c r="AC104" s="74"/>
      <c r="AD104" s="75" t="s">
        <v>43</v>
      </c>
      <c r="AE104" s="74"/>
      <c r="AF104" s="74"/>
      <c r="AG104" s="74">
        <v>0</v>
      </c>
      <c r="AH104" s="75" t="s">
        <v>42</v>
      </c>
      <c r="AI104" s="74"/>
      <c r="AJ104" s="74">
        <f>116.3*V104/114.7</f>
        <v>0</v>
      </c>
      <c r="AK104" s="74">
        <f>139.1/122.9*U104</f>
        <v>310132.12221304706</v>
      </c>
      <c r="AL104" s="74">
        <f t="shared" si="62"/>
        <v>0</v>
      </c>
      <c r="AM104" s="74">
        <f t="shared" si="63"/>
        <v>325638.72832369944</v>
      </c>
      <c r="AN104" s="74">
        <f t="shared" si="64"/>
        <v>0</v>
      </c>
      <c r="AO104" s="74">
        <f t="shared" si="65"/>
        <v>334942.69199009083</v>
      </c>
      <c r="AP104" s="74">
        <f t="shared" si="66"/>
        <v>0</v>
      </c>
      <c r="AQ104" s="74">
        <f t="shared" si="54"/>
        <v>353240.48720066063</v>
      </c>
      <c r="AR104" s="76">
        <v>113.9</v>
      </c>
      <c r="AS104" s="74">
        <f t="shared" si="55"/>
        <v>0</v>
      </c>
      <c r="AT104" s="76">
        <v>105</v>
      </c>
      <c r="AU104" s="74">
        <f t="shared" si="56"/>
        <v>384563.83154417836</v>
      </c>
      <c r="AV104" s="76">
        <v>124</v>
      </c>
      <c r="AW104" s="74">
        <f t="shared" si="39"/>
        <v>0</v>
      </c>
      <c r="AX104" s="76">
        <v>122</v>
      </c>
      <c r="AY104" s="77">
        <f t="shared" si="40"/>
        <v>388286</v>
      </c>
      <c r="AZ104" s="78">
        <v>125.2</v>
      </c>
      <c r="BA104" s="77">
        <f t="shared" si="41"/>
        <v>0</v>
      </c>
      <c r="BB104" s="78">
        <v>123.3</v>
      </c>
      <c r="BC104" s="79">
        <v>39448</v>
      </c>
      <c r="BD104" s="59"/>
      <c r="BE104" s="80">
        <v>145.56</v>
      </c>
      <c r="BF104" s="80">
        <v>144.58000000000001</v>
      </c>
      <c r="BG104" s="80">
        <v>142.86000000000001</v>
      </c>
      <c r="BH104" s="73"/>
      <c r="BI104" s="73"/>
      <c r="BJ104" s="73"/>
      <c r="BK104" s="73"/>
      <c r="BL104" s="79">
        <v>42969</v>
      </c>
      <c r="BM104" s="79">
        <v>39896</v>
      </c>
      <c r="BN104" s="58" t="s">
        <v>44</v>
      </c>
      <c r="BO104" s="58" t="s">
        <v>44</v>
      </c>
      <c r="BP104" s="58" t="s">
        <v>184</v>
      </c>
      <c r="BQ104">
        <v>2016</v>
      </c>
      <c r="BR104" s="59"/>
      <c r="BV104" s="18"/>
      <c r="BW104" s="18"/>
    </row>
    <row r="105" spans="2:75" x14ac:dyDescent="0.3">
      <c r="B105" s="20" t="s">
        <v>405</v>
      </c>
      <c r="C105" s="20" t="s">
        <v>1282</v>
      </c>
      <c r="D105" s="57" t="s">
        <v>1175</v>
      </c>
      <c r="E105" s="58" t="s">
        <v>1101</v>
      </c>
      <c r="F105" s="96"/>
      <c r="G105" s="96"/>
      <c r="H105" s="58" t="s">
        <v>313</v>
      </c>
      <c r="I105" s="58" t="s">
        <v>313</v>
      </c>
      <c r="J105" s="59">
        <v>777772</v>
      </c>
      <c r="K105" s="95" t="s">
        <v>43</v>
      </c>
      <c r="L105" s="95"/>
      <c r="M105" s="58" t="s">
        <v>39</v>
      </c>
      <c r="N105" s="59">
        <v>11</v>
      </c>
      <c r="O105" s="58" t="s">
        <v>40</v>
      </c>
      <c r="P105" s="58" t="s">
        <v>410</v>
      </c>
      <c r="Q105" s="58" t="s">
        <v>42</v>
      </c>
      <c r="R105" s="58" t="s">
        <v>411</v>
      </c>
      <c r="S105" s="58" t="s">
        <v>42</v>
      </c>
      <c r="T105" s="73">
        <v>120000</v>
      </c>
      <c r="U105" s="74">
        <f>122.9*T105/121.1</f>
        <v>121783.64987613543</v>
      </c>
      <c r="V105" s="74"/>
      <c r="W105" s="74">
        <v>108514</v>
      </c>
      <c r="X105" s="74"/>
      <c r="Y105" s="74">
        <v>70.819999999999993</v>
      </c>
      <c r="Z105" s="74"/>
      <c r="AA105" s="75" t="s">
        <v>43</v>
      </c>
      <c r="AB105" s="74"/>
      <c r="AC105" s="74"/>
      <c r="AD105" s="75" t="s">
        <v>43</v>
      </c>
      <c r="AE105" s="74"/>
      <c r="AF105" s="74"/>
      <c r="AG105" s="74">
        <v>0</v>
      </c>
      <c r="AH105" s="75" t="s">
        <v>42</v>
      </c>
      <c r="AI105" s="74"/>
      <c r="AJ105" s="74">
        <f>116.3*V105/114.7</f>
        <v>0</v>
      </c>
      <c r="AK105" s="74">
        <f>139.1/122.9*U105</f>
        <v>137836.49876135425</v>
      </c>
      <c r="AL105" s="74">
        <f t="shared" si="62"/>
        <v>0</v>
      </c>
      <c r="AM105" s="74">
        <f t="shared" si="63"/>
        <v>144728.32369942198</v>
      </c>
      <c r="AN105" s="74">
        <f t="shared" si="64"/>
        <v>0</v>
      </c>
      <c r="AO105" s="74">
        <f t="shared" si="65"/>
        <v>148863.41866226259</v>
      </c>
      <c r="AP105" s="74">
        <f t="shared" si="66"/>
        <v>0</v>
      </c>
      <c r="AQ105" s="74">
        <f t="shared" si="54"/>
        <v>156995.77208918252</v>
      </c>
      <c r="AR105" s="76">
        <v>113.9</v>
      </c>
      <c r="AS105" s="74">
        <f t="shared" si="55"/>
        <v>0</v>
      </c>
      <c r="AT105" s="76">
        <v>105</v>
      </c>
      <c r="AU105" s="74">
        <f t="shared" si="56"/>
        <v>170917.25846407926</v>
      </c>
      <c r="AV105" s="76">
        <v>124</v>
      </c>
      <c r="AW105" s="74">
        <f t="shared" si="39"/>
        <v>0</v>
      </c>
      <c r="AX105" s="76">
        <v>122</v>
      </c>
      <c r="AY105" s="77">
        <f t="shared" si="40"/>
        <v>172572</v>
      </c>
      <c r="AZ105" s="78">
        <v>125.2</v>
      </c>
      <c r="BA105" s="77">
        <f t="shared" si="41"/>
        <v>0</v>
      </c>
      <c r="BB105" s="78">
        <v>123.3</v>
      </c>
      <c r="BC105" s="79">
        <v>39448</v>
      </c>
      <c r="BD105" s="59"/>
      <c r="BE105" s="80">
        <v>64.040000000000006</v>
      </c>
      <c r="BF105" s="80">
        <v>63.61</v>
      </c>
      <c r="BG105" s="80">
        <v>62.86</v>
      </c>
      <c r="BH105" s="73"/>
      <c r="BI105" s="73"/>
      <c r="BJ105" s="73"/>
      <c r="BK105" s="73"/>
      <c r="BL105" s="79">
        <v>42969</v>
      </c>
      <c r="BM105" s="79">
        <v>39896</v>
      </c>
      <c r="BN105" s="58" t="s">
        <v>44</v>
      </c>
      <c r="BO105" s="58" t="s">
        <v>44</v>
      </c>
      <c r="BP105" s="58" t="s">
        <v>184</v>
      </c>
      <c r="BQ105">
        <v>2016</v>
      </c>
      <c r="BR105" s="59"/>
      <c r="BV105" s="18"/>
      <c r="BW105" s="18"/>
    </row>
    <row r="106" spans="2:75" x14ac:dyDescent="0.3">
      <c r="B106" s="20" t="s">
        <v>412</v>
      </c>
      <c r="C106" s="20" t="s">
        <v>1283</v>
      </c>
      <c r="D106" s="57" t="s">
        <v>1176</v>
      </c>
      <c r="E106" s="58" t="s">
        <v>1382</v>
      </c>
      <c r="F106" s="96"/>
      <c r="G106" s="96"/>
      <c r="H106" s="58" t="s">
        <v>55</v>
      </c>
      <c r="I106" s="58" t="s">
        <v>55</v>
      </c>
      <c r="J106" s="59">
        <v>777772</v>
      </c>
      <c r="K106" s="95" t="s">
        <v>43</v>
      </c>
      <c r="L106" s="95"/>
      <c r="M106" s="58" t="s">
        <v>39</v>
      </c>
      <c r="N106" s="59">
        <v>11</v>
      </c>
      <c r="O106" s="58" t="s">
        <v>40</v>
      </c>
      <c r="P106" s="58" t="s">
        <v>56</v>
      </c>
      <c r="Q106" s="58" t="s">
        <v>41</v>
      </c>
      <c r="R106" s="58" t="s">
        <v>413</v>
      </c>
      <c r="S106" s="58" t="s">
        <v>414</v>
      </c>
      <c r="T106" s="73">
        <v>225000</v>
      </c>
      <c r="U106" s="74">
        <f t="shared" ref="U106:U128" si="67">122.9*T106/121.1</f>
        <v>228344.34351775394</v>
      </c>
      <c r="V106" s="74"/>
      <c r="W106" s="74">
        <v>197296</v>
      </c>
      <c r="X106" s="74"/>
      <c r="Y106" s="74">
        <v>132.80000000000001</v>
      </c>
      <c r="Z106" s="74"/>
      <c r="AA106" s="75" t="s">
        <v>43</v>
      </c>
      <c r="AB106" s="74"/>
      <c r="AC106" s="74"/>
      <c r="AD106" s="75" t="s">
        <v>43</v>
      </c>
      <c r="AE106" s="74"/>
      <c r="AF106" s="74"/>
      <c r="AG106" s="74">
        <v>0</v>
      </c>
      <c r="AH106" s="75" t="s">
        <v>42</v>
      </c>
      <c r="AI106" s="74"/>
      <c r="AJ106" s="74">
        <f t="shared" ref="AJ106:AJ126" si="68">116.3*V106/114.7</f>
        <v>0</v>
      </c>
      <c r="AK106" s="74">
        <f t="shared" ref="AK106:AK128" si="69">139.1/122.9*U106</f>
        <v>258443.43517753921</v>
      </c>
      <c r="AL106" s="74">
        <f t="shared" si="62"/>
        <v>0</v>
      </c>
      <c r="AM106" s="74">
        <f t="shared" si="63"/>
        <v>271365.60693641618</v>
      </c>
      <c r="AN106" s="74">
        <f t="shared" si="64"/>
        <v>0</v>
      </c>
      <c r="AO106" s="74">
        <f t="shared" si="65"/>
        <v>279118.90999174234</v>
      </c>
      <c r="AP106" s="74">
        <f t="shared" si="66"/>
        <v>0</v>
      </c>
      <c r="AQ106" s="74">
        <f t="shared" si="54"/>
        <v>294367.07266721717</v>
      </c>
      <c r="AR106" s="76">
        <v>113.9</v>
      </c>
      <c r="AS106" s="74">
        <f t="shared" si="55"/>
        <v>0</v>
      </c>
      <c r="AT106" s="76">
        <v>105</v>
      </c>
      <c r="AU106" s="74">
        <f t="shared" si="56"/>
        <v>320469.85962014861</v>
      </c>
      <c r="AV106" s="76">
        <v>124</v>
      </c>
      <c r="AW106" s="74">
        <f t="shared" si="39"/>
        <v>0</v>
      </c>
      <c r="AX106" s="76">
        <v>122</v>
      </c>
      <c r="AY106" s="77">
        <f t="shared" si="40"/>
        <v>323572</v>
      </c>
      <c r="AZ106" s="78">
        <v>125.2</v>
      </c>
      <c r="BA106" s="77">
        <f t="shared" si="41"/>
        <v>0</v>
      </c>
      <c r="BB106" s="78">
        <v>123.3</v>
      </c>
      <c r="BC106" s="79">
        <v>39813</v>
      </c>
      <c r="BD106" s="59"/>
      <c r="BE106" s="80">
        <v>116.44</v>
      </c>
      <c r="BF106" s="80">
        <v>115.66</v>
      </c>
      <c r="BG106" s="80">
        <v>114.29</v>
      </c>
      <c r="BH106" s="73"/>
      <c r="BI106" s="73"/>
      <c r="BJ106" s="73"/>
      <c r="BK106" s="73"/>
      <c r="BL106" s="79">
        <v>42969</v>
      </c>
      <c r="BM106" s="79">
        <v>40021</v>
      </c>
      <c r="BN106" s="58" t="s">
        <v>44</v>
      </c>
      <c r="BO106" s="58" t="s">
        <v>44</v>
      </c>
      <c r="BP106" s="58" t="s">
        <v>59</v>
      </c>
      <c r="BQ106">
        <v>2016</v>
      </c>
      <c r="BR106" s="59"/>
      <c r="BV106" s="18"/>
      <c r="BW106" s="18"/>
    </row>
    <row r="107" spans="2:75" x14ac:dyDescent="0.3">
      <c r="B107" s="20" t="s">
        <v>415</v>
      </c>
      <c r="C107" s="20" t="s">
        <v>1284</v>
      </c>
      <c r="D107" s="57" t="s">
        <v>1176</v>
      </c>
      <c r="E107" s="58" t="s">
        <v>1382</v>
      </c>
      <c r="F107" s="96"/>
      <c r="G107" s="96"/>
      <c r="H107" s="58" t="s">
        <v>55</v>
      </c>
      <c r="I107" s="58" t="s">
        <v>55</v>
      </c>
      <c r="J107" s="59">
        <v>777772</v>
      </c>
      <c r="K107" s="95" t="s">
        <v>43</v>
      </c>
      <c r="L107" s="95"/>
      <c r="M107" s="58" t="s">
        <v>39</v>
      </c>
      <c r="N107" s="59">
        <v>11</v>
      </c>
      <c r="O107" s="58" t="s">
        <v>40</v>
      </c>
      <c r="P107" s="58" t="s">
        <v>56</v>
      </c>
      <c r="Q107" s="58" t="s">
        <v>41</v>
      </c>
      <c r="R107" s="58" t="s">
        <v>416</v>
      </c>
      <c r="S107" s="58" t="s">
        <v>414</v>
      </c>
      <c r="T107" s="73">
        <v>280000</v>
      </c>
      <c r="U107" s="74">
        <f t="shared" si="67"/>
        <v>284161.8497109827</v>
      </c>
      <c r="V107" s="74"/>
      <c r="W107" s="74">
        <v>256485</v>
      </c>
      <c r="X107" s="74"/>
      <c r="Y107" s="74">
        <v>165.26</v>
      </c>
      <c r="Z107" s="74"/>
      <c r="AA107" s="75" t="s">
        <v>43</v>
      </c>
      <c r="AB107" s="74"/>
      <c r="AC107" s="74"/>
      <c r="AD107" s="75" t="s">
        <v>43</v>
      </c>
      <c r="AE107" s="74"/>
      <c r="AF107" s="74"/>
      <c r="AG107" s="74">
        <v>0</v>
      </c>
      <c r="AH107" s="75" t="s">
        <v>42</v>
      </c>
      <c r="AI107" s="74"/>
      <c r="AJ107" s="74">
        <f t="shared" si="68"/>
        <v>0</v>
      </c>
      <c r="AK107" s="74">
        <f t="shared" si="69"/>
        <v>321618.4971098266</v>
      </c>
      <c r="AL107" s="74">
        <f t="shared" si="62"/>
        <v>0</v>
      </c>
      <c r="AM107" s="74">
        <f t="shared" si="63"/>
        <v>337699.42196531792</v>
      </c>
      <c r="AN107" s="74">
        <f t="shared" si="64"/>
        <v>0</v>
      </c>
      <c r="AO107" s="74">
        <f t="shared" si="65"/>
        <v>347347.97687861271</v>
      </c>
      <c r="AP107" s="74">
        <f t="shared" si="66"/>
        <v>0</v>
      </c>
      <c r="AQ107" s="74">
        <f t="shared" si="54"/>
        <v>366323.4682080925</v>
      </c>
      <c r="AR107" s="76">
        <v>113.9</v>
      </c>
      <c r="AS107" s="74">
        <f t="shared" si="55"/>
        <v>0</v>
      </c>
      <c r="AT107" s="76">
        <v>105</v>
      </c>
      <c r="AU107" s="74">
        <f t="shared" si="56"/>
        <v>398806.936416185</v>
      </c>
      <c r="AV107" s="76">
        <v>124</v>
      </c>
      <c r="AW107" s="74">
        <f t="shared" ref="AW107:AW138" si="70">AS107/AT107*AX107</f>
        <v>0</v>
      </c>
      <c r="AX107" s="76">
        <v>122</v>
      </c>
      <c r="AY107" s="77">
        <f t="shared" ref="AY107:AY138" si="71">CEILING(((AU107/AV107)*AZ107),1)</f>
        <v>402667</v>
      </c>
      <c r="AZ107" s="78">
        <v>125.2</v>
      </c>
      <c r="BA107" s="77">
        <f t="shared" ref="BA107:BA138" si="72">CEILING(((AW107/AX107)*BB107),1)</f>
        <v>0</v>
      </c>
      <c r="BB107" s="78">
        <v>123.3</v>
      </c>
      <c r="BC107" s="79">
        <v>39813</v>
      </c>
      <c r="BD107" s="59"/>
      <c r="BE107" s="80">
        <v>151.38</v>
      </c>
      <c r="BF107" s="80">
        <v>150.36000000000001</v>
      </c>
      <c r="BG107" s="80">
        <v>148.58000000000001</v>
      </c>
      <c r="BH107" s="73"/>
      <c r="BI107" s="73"/>
      <c r="BJ107" s="73"/>
      <c r="BK107" s="73"/>
      <c r="BL107" s="79">
        <v>42969</v>
      </c>
      <c r="BM107" s="79">
        <v>40021</v>
      </c>
      <c r="BN107" s="58" t="s">
        <v>44</v>
      </c>
      <c r="BO107" s="58" t="s">
        <v>44</v>
      </c>
      <c r="BP107" s="58" t="s">
        <v>59</v>
      </c>
      <c r="BQ107">
        <v>2016</v>
      </c>
      <c r="BR107" s="59"/>
      <c r="BV107" s="18"/>
      <c r="BW107" s="18"/>
    </row>
    <row r="108" spans="2:75" x14ac:dyDescent="0.3">
      <c r="B108" s="20" t="s">
        <v>417</v>
      </c>
      <c r="C108" s="20" t="s">
        <v>1285</v>
      </c>
      <c r="D108" s="57" t="s">
        <v>1176</v>
      </c>
      <c r="E108" s="58" t="s">
        <v>1382</v>
      </c>
      <c r="F108" s="96"/>
      <c r="G108" s="96"/>
      <c r="H108" s="58" t="s">
        <v>55</v>
      </c>
      <c r="I108" s="58" t="s">
        <v>55</v>
      </c>
      <c r="J108" s="59">
        <v>777772</v>
      </c>
      <c r="K108" s="95" t="s">
        <v>43</v>
      </c>
      <c r="L108" s="95"/>
      <c r="M108" s="58" t="s">
        <v>39</v>
      </c>
      <c r="N108" s="59">
        <v>11</v>
      </c>
      <c r="O108" s="58" t="s">
        <v>40</v>
      </c>
      <c r="P108" s="58" t="s">
        <v>56</v>
      </c>
      <c r="Q108" s="58" t="s">
        <v>41</v>
      </c>
      <c r="R108" s="58" t="s">
        <v>418</v>
      </c>
      <c r="S108" s="58" t="s">
        <v>42</v>
      </c>
      <c r="T108" s="73">
        <v>290000</v>
      </c>
      <c r="U108" s="74">
        <f t="shared" si="67"/>
        <v>294310.48720066063</v>
      </c>
      <c r="V108" s="74"/>
      <c r="W108" s="74">
        <v>295946</v>
      </c>
      <c r="X108" s="74"/>
      <c r="Y108" s="74">
        <v>171.16</v>
      </c>
      <c r="Z108" s="74"/>
      <c r="AA108" s="75" t="s">
        <v>43</v>
      </c>
      <c r="AB108" s="74"/>
      <c r="AC108" s="74"/>
      <c r="AD108" s="75" t="s">
        <v>43</v>
      </c>
      <c r="AE108" s="74"/>
      <c r="AF108" s="74"/>
      <c r="AG108" s="74">
        <v>0</v>
      </c>
      <c r="AH108" s="75" t="s">
        <v>42</v>
      </c>
      <c r="AI108" s="74"/>
      <c r="AJ108" s="74">
        <f t="shared" si="68"/>
        <v>0</v>
      </c>
      <c r="AK108" s="74">
        <f t="shared" si="69"/>
        <v>333104.87200660608</v>
      </c>
      <c r="AL108" s="74">
        <f t="shared" si="62"/>
        <v>0</v>
      </c>
      <c r="AM108" s="74">
        <f t="shared" si="63"/>
        <v>349760.11560693639</v>
      </c>
      <c r="AN108" s="74">
        <f t="shared" si="64"/>
        <v>0</v>
      </c>
      <c r="AO108" s="74">
        <f t="shared" si="65"/>
        <v>359753.26176713459</v>
      </c>
      <c r="AP108" s="74">
        <f t="shared" si="66"/>
        <v>0</v>
      </c>
      <c r="AQ108" s="74">
        <f t="shared" si="54"/>
        <v>379406.44921552436</v>
      </c>
      <c r="AR108" s="76">
        <v>113.9</v>
      </c>
      <c r="AS108" s="74">
        <f t="shared" si="55"/>
        <v>0</v>
      </c>
      <c r="AT108" s="76">
        <v>105</v>
      </c>
      <c r="AU108" s="74">
        <f t="shared" si="56"/>
        <v>413050.04128819157</v>
      </c>
      <c r="AV108" s="76">
        <v>124</v>
      </c>
      <c r="AW108" s="74">
        <f t="shared" si="70"/>
        <v>0</v>
      </c>
      <c r="AX108" s="76">
        <v>122</v>
      </c>
      <c r="AY108" s="77">
        <f t="shared" si="71"/>
        <v>417048</v>
      </c>
      <c r="AZ108" s="78">
        <v>125.2</v>
      </c>
      <c r="BA108" s="77">
        <f t="shared" si="72"/>
        <v>0</v>
      </c>
      <c r="BB108" s="78">
        <v>123.3</v>
      </c>
      <c r="BC108" s="79">
        <v>39448</v>
      </c>
      <c r="BD108" s="59"/>
      <c r="BE108" s="80">
        <v>174.67</v>
      </c>
      <c r="BF108" s="80">
        <v>173.49</v>
      </c>
      <c r="BG108" s="80">
        <v>171.44</v>
      </c>
      <c r="BH108" s="73"/>
      <c r="BI108" s="73"/>
      <c r="BJ108" s="73"/>
      <c r="BK108" s="73"/>
      <c r="BL108" s="79">
        <v>42969</v>
      </c>
      <c r="BM108" s="79">
        <v>39892</v>
      </c>
      <c r="BN108" s="58" t="s">
        <v>44</v>
      </c>
      <c r="BO108" s="58" t="s">
        <v>44</v>
      </c>
      <c r="BP108" s="58" t="s">
        <v>59</v>
      </c>
      <c r="BQ108">
        <v>2016</v>
      </c>
      <c r="BR108" s="59"/>
      <c r="BV108" s="18"/>
      <c r="BW108" s="18"/>
    </row>
    <row r="109" spans="2:75" x14ac:dyDescent="0.3">
      <c r="B109" s="20" t="s">
        <v>419</v>
      </c>
      <c r="C109" s="20" t="s">
        <v>1286</v>
      </c>
      <c r="D109" s="57" t="s">
        <v>1176</v>
      </c>
      <c r="E109" s="58" t="s">
        <v>1382</v>
      </c>
      <c r="F109" s="96"/>
      <c r="G109" s="96"/>
      <c r="H109" s="58" t="s">
        <v>55</v>
      </c>
      <c r="I109" s="58" t="s">
        <v>55</v>
      </c>
      <c r="J109" s="59">
        <v>777772</v>
      </c>
      <c r="K109" s="95" t="s">
        <v>43</v>
      </c>
      <c r="L109" s="95"/>
      <c r="M109" s="58" t="s">
        <v>39</v>
      </c>
      <c r="N109" s="59">
        <v>11</v>
      </c>
      <c r="O109" s="58" t="s">
        <v>40</v>
      </c>
      <c r="P109" s="58" t="s">
        <v>56</v>
      </c>
      <c r="Q109" s="58" t="s">
        <v>41</v>
      </c>
      <c r="R109" s="58" t="s">
        <v>420</v>
      </c>
      <c r="S109" s="58" t="s">
        <v>414</v>
      </c>
      <c r="T109" s="73">
        <v>325000</v>
      </c>
      <c r="U109" s="74">
        <f t="shared" si="67"/>
        <v>329830.71841453348</v>
      </c>
      <c r="V109" s="74"/>
      <c r="W109" s="74">
        <v>266350</v>
      </c>
      <c r="X109" s="74"/>
      <c r="Y109" s="74">
        <v>191.82</v>
      </c>
      <c r="Z109" s="74"/>
      <c r="AA109" s="75" t="s">
        <v>43</v>
      </c>
      <c r="AB109" s="74"/>
      <c r="AC109" s="74"/>
      <c r="AD109" s="75" t="s">
        <v>43</v>
      </c>
      <c r="AE109" s="74"/>
      <c r="AF109" s="74"/>
      <c r="AG109" s="74">
        <v>0</v>
      </c>
      <c r="AH109" s="75" t="s">
        <v>42</v>
      </c>
      <c r="AI109" s="74"/>
      <c r="AJ109" s="74">
        <f t="shared" si="68"/>
        <v>0</v>
      </c>
      <c r="AK109" s="74">
        <f t="shared" si="69"/>
        <v>373307.18414533447</v>
      </c>
      <c r="AL109" s="74">
        <f t="shared" si="62"/>
        <v>0</v>
      </c>
      <c r="AM109" s="74">
        <f t="shared" si="63"/>
        <v>391972.54335260123</v>
      </c>
      <c r="AN109" s="74">
        <f t="shared" si="64"/>
        <v>0</v>
      </c>
      <c r="AO109" s="74">
        <f t="shared" si="65"/>
        <v>403171.75887696131</v>
      </c>
      <c r="AP109" s="74">
        <f t="shared" si="66"/>
        <v>0</v>
      </c>
      <c r="AQ109" s="74">
        <f t="shared" si="54"/>
        <v>425196.88274153607</v>
      </c>
      <c r="AR109" s="76">
        <v>113.9</v>
      </c>
      <c r="AS109" s="74">
        <f t="shared" si="55"/>
        <v>0</v>
      </c>
      <c r="AT109" s="76">
        <v>105</v>
      </c>
      <c r="AU109" s="74">
        <f t="shared" si="56"/>
        <v>462900.90834021481</v>
      </c>
      <c r="AV109" s="76">
        <v>124</v>
      </c>
      <c r="AW109" s="74">
        <f t="shared" si="70"/>
        <v>0</v>
      </c>
      <c r="AX109" s="76">
        <v>122</v>
      </c>
      <c r="AY109" s="77">
        <f t="shared" si="71"/>
        <v>467381</v>
      </c>
      <c r="AZ109" s="78">
        <v>125.2</v>
      </c>
      <c r="BA109" s="77">
        <f t="shared" si="72"/>
        <v>0</v>
      </c>
      <c r="BB109" s="78">
        <v>123.3</v>
      </c>
      <c r="BC109" s="79">
        <v>39813</v>
      </c>
      <c r="BD109" s="59"/>
      <c r="BE109" s="80">
        <v>157.19999999999999</v>
      </c>
      <c r="BF109" s="80">
        <v>156.13999999999999</v>
      </c>
      <c r="BG109" s="80">
        <v>154.29</v>
      </c>
      <c r="BH109" s="73"/>
      <c r="BI109" s="73"/>
      <c r="BJ109" s="73"/>
      <c r="BK109" s="73"/>
      <c r="BL109" s="79">
        <v>42969</v>
      </c>
      <c r="BM109" s="79">
        <v>40021</v>
      </c>
      <c r="BN109" s="58" t="s">
        <v>44</v>
      </c>
      <c r="BO109" s="58" t="s">
        <v>44</v>
      </c>
      <c r="BP109" s="58" t="s">
        <v>59</v>
      </c>
      <c r="BQ109">
        <v>2016</v>
      </c>
      <c r="BR109" s="59"/>
      <c r="BV109" s="18"/>
      <c r="BW109" s="18"/>
    </row>
    <row r="110" spans="2:75" x14ac:dyDescent="0.3">
      <c r="B110" s="20" t="s">
        <v>421</v>
      </c>
      <c r="C110" s="20" t="s">
        <v>1287</v>
      </c>
      <c r="D110" s="57" t="s">
        <v>1176</v>
      </c>
      <c r="E110" s="58" t="s">
        <v>1382</v>
      </c>
      <c r="F110" s="96"/>
      <c r="G110" s="96"/>
      <c r="H110" s="58" t="s">
        <v>55</v>
      </c>
      <c r="I110" s="58" t="s">
        <v>55</v>
      </c>
      <c r="J110" s="59">
        <v>777772</v>
      </c>
      <c r="K110" s="95" t="s">
        <v>43</v>
      </c>
      <c r="L110" s="95"/>
      <c r="M110" s="58" t="s">
        <v>39</v>
      </c>
      <c r="N110" s="59">
        <v>11</v>
      </c>
      <c r="O110" s="58" t="s">
        <v>40</v>
      </c>
      <c r="P110" s="58" t="s">
        <v>56</v>
      </c>
      <c r="Q110" s="58" t="s">
        <v>41</v>
      </c>
      <c r="R110" s="58" t="s">
        <v>422</v>
      </c>
      <c r="S110" s="58" t="s">
        <v>414</v>
      </c>
      <c r="T110" s="73">
        <v>930000</v>
      </c>
      <c r="U110" s="74">
        <f t="shared" si="67"/>
        <v>943823.28654004959</v>
      </c>
      <c r="V110" s="74"/>
      <c r="W110" s="74">
        <v>144816</v>
      </c>
      <c r="X110" s="74"/>
      <c r="Y110" s="74">
        <v>548.89</v>
      </c>
      <c r="Z110" s="74"/>
      <c r="AA110" s="75" t="s">
        <v>43</v>
      </c>
      <c r="AB110" s="74"/>
      <c r="AC110" s="74"/>
      <c r="AD110" s="75" t="s">
        <v>43</v>
      </c>
      <c r="AE110" s="74"/>
      <c r="AF110" s="74"/>
      <c r="AG110" s="74">
        <v>0</v>
      </c>
      <c r="AH110" s="75" t="s">
        <v>42</v>
      </c>
      <c r="AI110" s="74"/>
      <c r="AJ110" s="74">
        <f t="shared" si="68"/>
        <v>0</v>
      </c>
      <c r="AK110" s="74">
        <f t="shared" si="69"/>
        <v>1068232.8654004955</v>
      </c>
      <c r="AL110" s="74">
        <f t="shared" si="62"/>
        <v>0</v>
      </c>
      <c r="AM110" s="74">
        <f t="shared" si="63"/>
        <v>1121644.5086705203</v>
      </c>
      <c r="AN110" s="74">
        <f t="shared" si="64"/>
        <v>0</v>
      </c>
      <c r="AO110" s="74">
        <f t="shared" si="65"/>
        <v>1153691.4946325351</v>
      </c>
      <c r="AP110" s="74">
        <f t="shared" si="66"/>
        <v>0</v>
      </c>
      <c r="AQ110" s="74">
        <f t="shared" si="54"/>
        <v>1216717.2336911645</v>
      </c>
      <c r="AR110" s="76">
        <v>113.9</v>
      </c>
      <c r="AS110" s="74">
        <f t="shared" si="55"/>
        <v>0</v>
      </c>
      <c r="AT110" s="76">
        <v>105</v>
      </c>
      <c r="AU110" s="74">
        <f t="shared" si="56"/>
        <v>1324608.7530966145</v>
      </c>
      <c r="AV110" s="76">
        <v>124</v>
      </c>
      <c r="AW110" s="74">
        <f t="shared" si="70"/>
        <v>0</v>
      </c>
      <c r="AX110" s="76">
        <v>122</v>
      </c>
      <c r="AY110" s="77">
        <f t="shared" si="71"/>
        <v>1337428</v>
      </c>
      <c r="AZ110" s="78">
        <v>125.2</v>
      </c>
      <c r="BA110" s="77">
        <f t="shared" si="72"/>
        <v>0</v>
      </c>
      <c r="BB110" s="78">
        <v>123.3</v>
      </c>
      <c r="BC110" s="79">
        <v>39813</v>
      </c>
      <c r="BD110" s="59"/>
      <c r="BE110" s="80">
        <v>85.47</v>
      </c>
      <c r="BF110" s="80">
        <v>84.9</v>
      </c>
      <c r="BG110" s="80">
        <v>83.89</v>
      </c>
      <c r="BH110" s="73"/>
      <c r="BI110" s="73"/>
      <c r="BJ110" s="73"/>
      <c r="BK110" s="73"/>
      <c r="BL110" s="79">
        <v>42969</v>
      </c>
      <c r="BM110" s="79">
        <v>40021</v>
      </c>
      <c r="BN110" s="58" t="s">
        <v>44</v>
      </c>
      <c r="BO110" s="58" t="s">
        <v>44</v>
      </c>
      <c r="BP110" s="58" t="s">
        <v>59</v>
      </c>
      <c r="BQ110">
        <v>2016</v>
      </c>
      <c r="BR110" s="59"/>
      <c r="BV110" s="18"/>
      <c r="BW110" s="18"/>
    </row>
    <row r="111" spans="2:75" x14ac:dyDescent="0.3">
      <c r="B111" s="20" t="s">
        <v>423</v>
      </c>
      <c r="C111" s="20" t="s">
        <v>1288</v>
      </c>
      <c r="D111" s="57" t="s">
        <v>1176</v>
      </c>
      <c r="E111" s="58" t="s">
        <v>1382</v>
      </c>
      <c r="F111" s="96"/>
      <c r="G111" s="96"/>
      <c r="H111" s="58" t="s">
        <v>55</v>
      </c>
      <c r="I111" s="58" t="s">
        <v>55</v>
      </c>
      <c r="J111" s="59">
        <v>777772</v>
      </c>
      <c r="K111" s="95" t="s">
        <v>43</v>
      </c>
      <c r="L111" s="95"/>
      <c r="M111" s="58" t="s">
        <v>39</v>
      </c>
      <c r="N111" s="59">
        <v>11</v>
      </c>
      <c r="O111" s="58" t="s">
        <v>40</v>
      </c>
      <c r="P111" s="58" t="s">
        <v>56</v>
      </c>
      <c r="Q111" s="58" t="s">
        <v>41</v>
      </c>
      <c r="R111" s="58" t="s">
        <v>424</v>
      </c>
      <c r="S111" s="58" t="s">
        <v>42</v>
      </c>
      <c r="T111" s="73"/>
      <c r="U111" s="74">
        <f t="shared" si="67"/>
        <v>0</v>
      </c>
      <c r="V111" s="74"/>
      <c r="W111" s="74">
        <v>147084</v>
      </c>
      <c r="X111" s="74"/>
      <c r="Y111" s="74"/>
      <c r="Z111" s="74"/>
      <c r="AA111" s="75" t="s">
        <v>43</v>
      </c>
      <c r="AB111" s="74"/>
      <c r="AC111" s="74"/>
      <c r="AD111" s="75" t="s">
        <v>43</v>
      </c>
      <c r="AE111" s="74"/>
      <c r="AF111" s="74"/>
      <c r="AG111" s="74">
        <v>0</v>
      </c>
      <c r="AH111" s="75" t="s">
        <v>42</v>
      </c>
      <c r="AI111" s="74"/>
      <c r="AJ111" s="74">
        <f t="shared" si="68"/>
        <v>0</v>
      </c>
      <c r="AK111" s="74">
        <f t="shared" si="69"/>
        <v>0</v>
      </c>
      <c r="AL111" s="74">
        <f t="shared" si="62"/>
        <v>0</v>
      </c>
      <c r="AM111" s="74">
        <f t="shared" si="63"/>
        <v>0</v>
      </c>
      <c r="AN111" s="74">
        <f t="shared" si="64"/>
        <v>0</v>
      </c>
      <c r="AO111" s="74">
        <f t="shared" si="65"/>
        <v>0</v>
      </c>
      <c r="AP111" s="74">
        <f t="shared" si="66"/>
        <v>0</v>
      </c>
      <c r="AQ111" s="74">
        <f t="shared" si="54"/>
        <v>0</v>
      </c>
      <c r="AR111" s="76">
        <v>113.9</v>
      </c>
      <c r="AS111" s="74">
        <f t="shared" si="55"/>
        <v>0</v>
      </c>
      <c r="AT111" s="76">
        <v>105</v>
      </c>
      <c r="AU111" s="74">
        <f t="shared" si="56"/>
        <v>0</v>
      </c>
      <c r="AV111" s="76">
        <v>124</v>
      </c>
      <c r="AW111" s="74">
        <f t="shared" si="70"/>
        <v>0</v>
      </c>
      <c r="AX111" s="76">
        <v>122</v>
      </c>
      <c r="AY111" s="77">
        <f t="shared" si="71"/>
        <v>0</v>
      </c>
      <c r="AZ111" s="78">
        <v>125.2</v>
      </c>
      <c r="BA111" s="77">
        <f t="shared" si="72"/>
        <v>0</v>
      </c>
      <c r="BB111" s="78">
        <v>123.3</v>
      </c>
      <c r="BC111" s="79">
        <v>39448</v>
      </c>
      <c r="BD111" s="59"/>
      <c r="BE111" s="80">
        <v>86.81</v>
      </c>
      <c r="BF111" s="80">
        <v>86.23</v>
      </c>
      <c r="BG111" s="80">
        <v>85.2</v>
      </c>
      <c r="BH111" s="73"/>
      <c r="BI111" s="73"/>
      <c r="BJ111" s="73"/>
      <c r="BK111" s="73"/>
      <c r="BL111" s="79">
        <v>42969</v>
      </c>
      <c r="BM111" s="79">
        <v>39892</v>
      </c>
      <c r="BN111" s="58" t="s">
        <v>44</v>
      </c>
      <c r="BO111" s="58" t="s">
        <v>44</v>
      </c>
      <c r="BP111" s="58" t="s">
        <v>425</v>
      </c>
      <c r="BQ111">
        <v>2016</v>
      </c>
      <c r="BR111" s="59"/>
      <c r="BV111" s="18"/>
      <c r="BW111" s="18"/>
    </row>
    <row r="112" spans="2:75" x14ac:dyDescent="0.3">
      <c r="B112" s="20" t="s">
        <v>426</v>
      </c>
      <c r="C112" s="20" t="s">
        <v>1289</v>
      </c>
      <c r="D112" s="57" t="s">
        <v>1176</v>
      </c>
      <c r="E112" s="58" t="s">
        <v>1382</v>
      </c>
      <c r="F112" s="96"/>
      <c r="G112" s="96"/>
      <c r="H112" s="58" t="s">
        <v>55</v>
      </c>
      <c r="I112" s="58" t="s">
        <v>55</v>
      </c>
      <c r="J112" s="59">
        <v>777772</v>
      </c>
      <c r="K112" s="95" t="s">
        <v>43</v>
      </c>
      <c r="L112" s="95"/>
      <c r="M112" s="58" t="s">
        <v>39</v>
      </c>
      <c r="N112" s="59">
        <v>11</v>
      </c>
      <c r="O112" s="58" t="s">
        <v>40</v>
      </c>
      <c r="P112" s="58" t="s">
        <v>56</v>
      </c>
      <c r="Q112" s="58" t="s">
        <v>41</v>
      </c>
      <c r="R112" s="58" t="s">
        <v>427</v>
      </c>
      <c r="S112" s="58" t="s">
        <v>42</v>
      </c>
      <c r="T112" s="73"/>
      <c r="U112" s="74">
        <f t="shared" si="67"/>
        <v>0</v>
      </c>
      <c r="V112" s="74"/>
      <c r="W112" s="74">
        <v>147084</v>
      </c>
      <c r="X112" s="74"/>
      <c r="Y112" s="74"/>
      <c r="Z112" s="74"/>
      <c r="AA112" s="75" t="s">
        <v>43</v>
      </c>
      <c r="AB112" s="74"/>
      <c r="AC112" s="74"/>
      <c r="AD112" s="75" t="s">
        <v>43</v>
      </c>
      <c r="AE112" s="74"/>
      <c r="AF112" s="74"/>
      <c r="AG112" s="74">
        <v>0</v>
      </c>
      <c r="AH112" s="75" t="s">
        <v>42</v>
      </c>
      <c r="AI112" s="74"/>
      <c r="AJ112" s="74">
        <f t="shared" si="68"/>
        <v>0</v>
      </c>
      <c r="AK112" s="74">
        <f t="shared" si="69"/>
        <v>0</v>
      </c>
      <c r="AL112" s="74">
        <f t="shared" si="62"/>
        <v>0</v>
      </c>
      <c r="AM112" s="74">
        <f t="shared" si="63"/>
        <v>0</v>
      </c>
      <c r="AN112" s="74">
        <f t="shared" si="64"/>
        <v>0</v>
      </c>
      <c r="AO112" s="74">
        <f t="shared" si="65"/>
        <v>0</v>
      </c>
      <c r="AP112" s="74">
        <f t="shared" si="66"/>
        <v>0</v>
      </c>
      <c r="AQ112" s="74">
        <f t="shared" si="54"/>
        <v>0</v>
      </c>
      <c r="AR112" s="76">
        <v>113.9</v>
      </c>
      <c r="AS112" s="74">
        <f t="shared" si="55"/>
        <v>0</v>
      </c>
      <c r="AT112" s="76">
        <v>105</v>
      </c>
      <c r="AU112" s="74">
        <f t="shared" si="56"/>
        <v>0</v>
      </c>
      <c r="AV112" s="76">
        <v>124</v>
      </c>
      <c r="AW112" s="74">
        <f t="shared" si="70"/>
        <v>0</v>
      </c>
      <c r="AX112" s="76">
        <v>122</v>
      </c>
      <c r="AY112" s="77">
        <f t="shared" si="71"/>
        <v>0</v>
      </c>
      <c r="AZ112" s="78">
        <v>125.2</v>
      </c>
      <c r="BA112" s="77">
        <f t="shared" si="72"/>
        <v>0</v>
      </c>
      <c r="BB112" s="78">
        <v>123.3</v>
      </c>
      <c r="BC112" s="79">
        <v>39448</v>
      </c>
      <c r="BD112" s="59"/>
      <c r="BE112" s="80">
        <v>86.81</v>
      </c>
      <c r="BF112" s="80">
        <v>86.23</v>
      </c>
      <c r="BG112" s="80">
        <v>85.2</v>
      </c>
      <c r="BH112" s="73"/>
      <c r="BI112" s="73"/>
      <c r="BJ112" s="73"/>
      <c r="BK112" s="73"/>
      <c r="BL112" s="79">
        <v>42969</v>
      </c>
      <c r="BM112" s="79">
        <v>39892</v>
      </c>
      <c r="BN112" s="58" t="s">
        <v>44</v>
      </c>
      <c r="BO112" s="58" t="s">
        <v>44</v>
      </c>
      <c r="BP112" s="58" t="s">
        <v>428</v>
      </c>
      <c r="BQ112">
        <v>2016</v>
      </c>
      <c r="BR112" s="59"/>
      <c r="BV112" s="18"/>
      <c r="BW112" s="18"/>
    </row>
    <row r="113" spans="2:75" x14ac:dyDescent="0.3">
      <c r="B113" s="20" t="s">
        <v>429</v>
      </c>
      <c r="C113" s="20" t="s">
        <v>1290</v>
      </c>
      <c r="D113" s="57" t="s">
        <v>1176</v>
      </c>
      <c r="E113" s="58" t="s">
        <v>1382</v>
      </c>
      <c r="F113" s="96"/>
      <c r="G113" s="96"/>
      <c r="H113" s="58" t="s">
        <v>55</v>
      </c>
      <c r="I113" s="58" t="s">
        <v>55</v>
      </c>
      <c r="J113" s="59">
        <v>777772</v>
      </c>
      <c r="K113" s="95" t="s">
        <v>43</v>
      </c>
      <c r="L113" s="95"/>
      <c r="M113" s="58" t="s">
        <v>39</v>
      </c>
      <c r="N113" s="59">
        <v>11</v>
      </c>
      <c r="O113" s="58" t="s">
        <v>40</v>
      </c>
      <c r="P113" s="58" t="s">
        <v>56</v>
      </c>
      <c r="Q113" s="58" t="s">
        <v>41</v>
      </c>
      <c r="R113" s="58" t="s">
        <v>430</v>
      </c>
      <c r="S113" s="58" t="s">
        <v>414</v>
      </c>
      <c r="T113" s="73"/>
      <c r="U113" s="74">
        <f t="shared" si="67"/>
        <v>0</v>
      </c>
      <c r="V113" s="74"/>
      <c r="W113" s="74">
        <v>144816</v>
      </c>
      <c r="X113" s="74"/>
      <c r="Y113" s="74"/>
      <c r="Z113" s="74"/>
      <c r="AA113" s="75" t="s">
        <v>43</v>
      </c>
      <c r="AB113" s="74"/>
      <c r="AC113" s="74"/>
      <c r="AD113" s="75" t="s">
        <v>43</v>
      </c>
      <c r="AE113" s="74"/>
      <c r="AF113" s="74"/>
      <c r="AG113" s="74">
        <v>0</v>
      </c>
      <c r="AH113" s="75" t="s">
        <v>42</v>
      </c>
      <c r="AI113" s="74"/>
      <c r="AJ113" s="74">
        <f t="shared" si="68"/>
        <v>0</v>
      </c>
      <c r="AK113" s="74">
        <f t="shared" si="69"/>
        <v>0</v>
      </c>
      <c r="AL113" s="74">
        <f t="shared" si="62"/>
        <v>0</v>
      </c>
      <c r="AM113" s="74">
        <f t="shared" si="63"/>
        <v>0</v>
      </c>
      <c r="AN113" s="74">
        <f t="shared" si="64"/>
        <v>0</v>
      </c>
      <c r="AO113" s="74">
        <f t="shared" si="65"/>
        <v>0</v>
      </c>
      <c r="AP113" s="74">
        <f t="shared" si="66"/>
        <v>0</v>
      </c>
      <c r="AQ113" s="74">
        <f t="shared" si="54"/>
        <v>0</v>
      </c>
      <c r="AR113" s="76">
        <v>113.9</v>
      </c>
      <c r="AS113" s="74">
        <f t="shared" si="55"/>
        <v>0</v>
      </c>
      <c r="AT113" s="76">
        <v>105</v>
      </c>
      <c r="AU113" s="74">
        <f t="shared" si="56"/>
        <v>0</v>
      </c>
      <c r="AV113" s="76">
        <v>124</v>
      </c>
      <c r="AW113" s="74">
        <f t="shared" si="70"/>
        <v>0</v>
      </c>
      <c r="AX113" s="76">
        <v>122</v>
      </c>
      <c r="AY113" s="77">
        <f t="shared" si="71"/>
        <v>0</v>
      </c>
      <c r="AZ113" s="78">
        <v>125.2</v>
      </c>
      <c r="BA113" s="77">
        <f t="shared" si="72"/>
        <v>0</v>
      </c>
      <c r="BB113" s="78">
        <v>123.3</v>
      </c>
      <c r="BC113" s="79">
        <v>39813</v>
      </c>
      <c r="BD113" s="59"/>
      <c r="BE113" s="80">
        <v>85.47</v>
      </c>
      <c r="BF113" s="80">
        <v>84.9</v>
      </c>
      <c r="BG113" s="80">
        <v>83.89</v>
      </c>
      <c r="BH113" s="73"/>
      <c r="BI113" s="73"/>
      <c r="BJ113" s="73"/>
      <c r="BK113" s="73"/>
      <c r="BL113" s="79">
        <v>42969</v>
      </c>
      <c r="BM113" s="79">
        <v>40021</v>
      </c>
      <c r="BN113" s="58" t="s">
        <v>44</v>
      </c>
      <c r="BO113" s="58" t="s">
        <v>44</v>
      </c>
      <c r="BP113" s="58" t="s">
        <v>428</v>
      </c>
      <c r="BQ113">
        <v>2016</v>
      </c>
      <c r="BR113" s="59"/>
      <c r="BV113" s="18"/>
      <c r="BW113" s="18"/>
    </row>
    <row r="114" spans="2:75" x14ac:dyDescent="0.3">
      <c r="B114" s="20" t="s">
        <v>431</v>
      </c>
      <c r="C114" s="20" t="s">
        <v>1291</v>
      </c>
      <c r="D114" s="57" t="s">
        <v>1176</v>
      </c>
      <c r="E114" s="58" t="s">
        <v>1382</v>
      </c>
      <c r="F114" s="96"/>
      <c r="G114" s="96"/>
      <c r="H114" s="58" t="s">
        <v>55</v>
      </c>
      <c r="I114" s="58" t="s">
        <v>55</v>
      </c>
      <c r="J114" s="59">
        <v>777772</v>
      </c>
      <c r="K114" s="95" t="s">
        <v>43</v>
      </c>
      <c r="L114" s="95"/>
      <c r="M114" s="58" t="s">
        <v>39</v>
      </c>
      <c r="N114" s="59">
        <v>11</v>
      </c>
      <c r="O114" s="58" t="s">
        <v>40</v>
      </c>
      <c r="P114" s="58" t="s">
        <v>56</v>
      </c>
      <c r="Q114" s="58" t="s">
        <v>41</v>
      </c>
      <c r="R114" s="58" t="s">
        <v>432</v>
      </c>
      <c r="S114" s="58" t="s">
        <v>42</v>
      </c>
      <c r="T114" s="73"/>
      <c r="U114" s="74">
        <f t="shared" si="67"/>
        <v>0</v>
      </c>
      <c r="V114" s="74"/>
      <c r="W114" s="74">
        <v>147084</v>
      </c>
      <c r="X114" s="74"/>
      <c r="Y114" s="74"/>
      <c r="Z114" s="74"/>
      <c r="AA114" s="75" t="s">
        <v>43</v>
      </c>
      <c r="AB114" s="74"/>
      <c r="AC114" s="74"/>
      <c r="AD114" s="75" t="s">
        <v>43</v>
      </c>
      <c r="AE114" s="74"/>
      <c r="AF114" s="74"/>
      <c r="AG114" s="74">
        <v>0</v>
      </c>
      <c r="AH114" s="75" t="s">
        <v>42</v>
      </c>
      <c r="AI114" s="74"/>
      <c r="AJ114" s="74">
        <f t="shared" si="68"/>
        <v>0</v>
      </c>
      <c r="AK114" s="74">
        <f t="shared" si="69"/>
        <v>0</v>
      </c>
      <c r="AL114" s="74">
        <f t="shared" si="62"/>
        <v>0</v>
      </c>
      <c r="AM114" s="74">
        <f t="shared" si="63"/>
        <v>0</v>
      </c>
      <c r="AN114" s="74">
        <f t="shared" si="64"/>
        <v>0</v>
      </c>
      <c r="AO114" s="74">
        <f t="shared" si="65"/>
        <v>0</v>
      </c>
      <c r="AP114" s="74">
        <f t="shared" si="66"/>
        <v>0</v>
      </c>
      <c r="AQ114" s="74">
        <f t="shared" si="54"/>
        <v>0</v>
      </c>
      <c r="AR114" s="76">
        <v>113.9</v>
      </c>
      <c r="AS114" s="74">
        <f t="shared" si="55"/>
        <v>0</v>
      </c>
      <c r="AT114" s="76">
        <v>105</v>
      </c>
      <c r="AU114" s="74">
        <f t="shared" si="56"/>
        <v>0</v>
      </c>
      <c r="AV114" s="76">
        <v>124</v>
      </c>
      <c r="AW114" s="74">
        <f t="shared" si="70"/>
        <v>0</v>
      </c>
      <c r="AX114" s="76">
        <v>122</v>
      </c>
      <c r="AY114" s="77">
        <f t="shared" si="71"/>
        <v>0</v>
      </c>
      <c r="AZ114" s="78">
        <v>125.2</v>
      </c>
      <c r="BA114" s="77">
        <f t="shared" si="72"/>
        <v>0</v>
      </c>
      <c r="BB114" s="78">
        <v>123.3</v>
      </c>
      <c r="BC114" s="79">
        <v>39448</v>
      </c>
      <c r="BD114" s="59"/>
      <c r="BE114" s="80">
        <v>86.81</v>
      </c>
      <c r="BF114" s="80">
        <v>86.23</v>
      </c>
      <c r="BG114" s="80">
        <v>85.2</v>
      </c>
      <c r="BH114" s="73"/>
      <c r="BI114" s="73"/>
      <c r="BJ114" s="73"/>
      <c r="BK114" s="73"/>
      <c r="BL114" s="79">
        <v>42969</v>
      </c>
      <c r="BM114" s="79">
        <v>39892</v>
      </c>
      <c r="BN114" s="58" t="s">
        <v>44</v>
      </c>
      <c r="BO114" s="58" t="s">
        <v>44</v>
      </c>
      <c r="BP114" s="58" t="s">
        <v>425</v>
      </c>
      <c r="BQ114">
        <v>2016</v>
      </c>
      <c r="BR114" s="59"/>
      <c r="BV114" s="18"/>
      <c r="BW114" s="18"/>
    </row>
    <row r="115" spans="2:75" x14ac:dyDescent="0.3">
      <c r="B115" s="20" t="s">
        <v>433</v>
      </c>
      <c r="C115" s="20" t="s">
        <v>1292</v>
      </c>
      <c r="D115" s="57" t="s">
        <v>1176</v>
      </c>
      <c r="E115" s="58" t="s">
        <v>1382</v>
      </c>
      <c r="F115" s="96"/>
      <c r="G115" s="96"/>
      <c r="H115" s="58" t="s">
        <v>55</v>
      </c>
      <c r="I115" s="58" t="s">
        <v>55</v>
      </c>
      <c r="J115" s="59">
        <v>777772</v>
      </c>
      <c r="K115" s="95" t="s">
        <v>43</v>
      </c>
      <c r="L115" s="95"/>
      <c r="M115" s="58" t="s">
        <v>39</v>
      </c>
      <c r="N115" s="59">
        <v>11</v>
      </c>
      <c r="O115" s="58" t="s">
        <v>40</v>
      </c>
      <c r="P115" s="58" t="s">
        <v>56</v>
      </c>
      <c r="Q115" s="58" t="s">
        <v>41</v>
      </c>
      <c r="R115" s="58" t="s">
        <v>434</v>
      </c>
      <c r="S115" s="58" t="s">
        <v>42</v>
      </c>
      <c r="T115" s="73"/>
      <c r="U115" s="74">
        <f t="shared" si="67"/>
        <v>0</v>
      </c>
      <c r="V115" s="74"/>
      <c r="W115" s="74">
        <v>147084</v>
      </c>
      <c r="X115" s="74"/>
      <c r="Y115" s="74"/>
      <c r="Z115" s="74"/>
      <c r="AA115" s="75" t="s">
        <v>43</v>
      </c>
      <c r="AB115" s="74"/>
      <c r="AC115" s="74"/>
      <c r="AD115" s="75" t="s">
        <v>43</v>
      </c>
      <c r="AE115" s="74"/>
      <c r="AF115" s="74"/>
      <c r="AG115" s="74">
        <v>0</v>
      </c>
      <c r="AH115" s="75" t="s">
        <v>42</v>
      </c>
      <c r="AI115" s="74"/>
      <c r="AJ115" s="74">
        <f t="shared" si="68"/>
        <v>0</v>
      </c>
      <c r="AK115" s="74">
        <f t="shared" si="69"/>
        <v>0</v>
      </c>
      <c r="AL115" s="74">
        <f t="shared" si="62"/>
        <v>0</v>
      </c>
      <c r="AM115" s="74">
        <f t="shared" si="63"/>
        <v>0</v>
      </c>
      <c r="AN115" s="74">
        <f t="shared" si="64"/>
        <v>0</v>
      </c>
      <c r="AO115" s="74">
        <f t="shared" si="65"/>
        <v>0</v>
      </c>
      <c r="AP115" s="74">
        <f t="shared" si="66"/>
        <v>0</v>
      </c>
      <c r="AQ115" s="74">
        <f t="shared" si="54"/>
        <v>0</v>
      </c>
      <c r="AR115" s="76">
        <v>113.9</v>
      </c>
      <c r="AS115" s="74">
        <f t="shared" si="55"/>
        <v>0</v>
      </c>
      <c r="AT115" s="76">
        <v>105</v>
      </c>
      <c r="AU115" s="74">
        <f t="shared" si="56"/>
        <v>0</v>
      </c>
      <c r="AV115" s="76">
        <v>124</v>
      </c>
      <c r="AW115" s="74">
        <f t="shared" si="70"/>
        <v>0</v>
      </c>
      <c r="AX115" s="76">
        <v>122</v>
      </c>
      <c r="AY115" s="77">
        <f t="shared" si="71"/>
        <v>0</v>
      </c>
      <c r="AZ115" s="78">
        <v>125.2</v>
      </c>
      <c r="BA115" s="77">
        <f t="shared" si="72"/>
        <v>0</v>
      </c>
      <c r="BB115" s="78">
        <v>123.3</v>
      </c>
      <c r="BC115" s="79">
        <v>39448</v>
      </c>
      <c r="BD115" s="59"/>
      <c r="BE115" s="80">
        <v>86.81</v>
      </c>
      <c r="BF115" s="80">
        <v>86.23</v>
      </c>
      <c r="BG115" s="80">
        <v>85.2</v>
      </c>
      <c r="BH115" s="73"/>
      <c r="BI115" s="73"/>
      <c r="BJ115" s="73"/>
      <c r="BK115" s="73"/>
      <c r="BL115" s="79">
        <v>42969</v>
      </c>
      <c r="BM115" s="79">
        <v>39892</v>
      </c>
      <c r="BN115" s="58" t="s">
        <v>44</v>
      </c>
      <c r="BO115" s="58" t="s">
        <v>44</v>
      </c>
      <c r="BP115" s="58" t="s">
        <v>435</v>
      </c>
      <c r="BQ115">
        <v>2016</v>
      </c>
      <c r="BR115" s="59"/>
      <c r="BV115" s="18"/>
      <c r="BW115" s="18"/>
    </row>
    <row r="116" spans="2:75" x14ac:dyDescent="0.3">
      <c r="B116" s="20" t="s">
        <v>436</v>
      </c>
      <c r="C116" s="20" t="s">
        <v>1293</v>
      </c>
      <c r="D116" s="57" t="s">
        <v>1177</v>
      </c>
      <c r="E116" s="58" t="s">
        <v>1101</v>
      </c>
      <c r="F116" s="96"/>
      <c r="G116" s="96"/>
      <c r="H116" s="58" t="s">
        <v>437</v>
      </c>
      <c r="I116" s="58" t="s">
        <v>437</v>
      </c>
      <c r="J116" s="59">
        <v>777772</v>
      </c>
      <c r="K116" s="95" t="s">
        <v>43</v>
      </c>
      <c r="L116" s="95"/>
      <c r="M116" s="58" t="s">
        <v>39</v>
      </c>
      <c r="N116" s="59">
        <v>12</v>
      </c>
      <c r="O116" s="58" t="s">
        <v>49</v>
      </c>
      <c r="P116" s="58" t="s">
        <v>438</v>
      </c>
      <c r="Q116" s="58" t="s">
        <v>41</v>
      </c>
      <c r="R116" s="58" t="s">
        <v>439</v>
      </c>
      <c r="S116" s="58" t="s">
        <v>42</v>
      </c>
      <c r="T116" s="73">
        <v>350000</v>
      </c>
      <c r="U116" s="74">
        <f t="shared" si="67"/>
        <v>355202.31213872833</v>
      </c>
      <c r="V116" s="74"/>
      <c r="W116" s="74">
        <v>443917</v>
      </c>
      <c r="X116" s="74"/>
      <c r="Y116" s="74">
        <v>206.57</v>
      </c>
      <c r="Z116" s="74"/>
      <c r="AA116" s="75" t="s">
        <v>43</v>
      </c>
      <c r="AB116" s="74"/>
      <c r="AC116" s="74"/>
      <c r="AD116" s="75" t="s">
        <v>43</v>
      </c>
      <c r="AE116" s="74"/>
      <c r="AF116" s="74"/>
      <c r="AG116" s="74">
        <v>0</v>
      </c>
      <c r="AH116" s="75" t="s">
        <v>42</v>
      </c>
      <c r="AI116" s="74"/>
      <c r="AJ116" s="74">
        <f t="shared" si="68"/>
        <v>0</v>
      </c>
      <c r="AK116" s="74">
        <f t="shared" si="69"/>
        <v>402023.1213872832</v>
      </c>
      <c r="AL116" s="74">
        <f t="shared" si="62"/>
        <v>0</v>
      </c>
      <c r="AM116" s="74">
        <f t="shared" si="63"/>
        <v>422124.27745664737</v>
      </c>
      <c r="AN116" s="74">
        <f t="shared" si="64"/>
        <v>0</v>
      </c>
      <c r="AO116" s="74">
        <f t="shared" si="65"/>
        <v>434184.97109826584</v>
      </c>
      <c r="AP116" s="74">
        <f t="shared" si="66"/>
        <v>0</v>
      </c>
      <c r="AQ116" s="74">
        <f t="shared" si="54"/>
        <v>457904.33526011562</v>
      </c>
      <c r="AR116" s="76">
        <v>113.9</v>
      </c>
      <c r="AS116" s="74">
        <f t="shared" si="55"/>
        <v>0</v>
      </c>
      <c r="AT116" s="76">
        <v>105</v>
      </c>
      <c r="AU116" s="74">
        <f t="shared" si="56"/>
        <v>498508.67052023119</v>
      </c>
      <c r="AV116" s="76">
        <v>124</v>
      </c>
      <c r="AW116" s="74">
        <f t="shared" si="70"/>
        <v>0</v>
      </c>
      <c r="AX116" s="76">
        <v>122</v>
      </c>
      <c r="AY116" s="77">
        <f t="shared" si="71"/>
        <v>503333</v>
      </c>
      <c r="AZ116" s="78">
        <v>125.2</v>
      </c>
      <c r="BA116" s="77">
        <f t="shared" si="72"/>
        <v>0</v>
      </c>
      <c r="BB116" s="78">
        <v>123.3</v>
      </c>
      <c r="BC116" s="59"/>
      <c r="BD116" s="59"/>
      <c r="BE116" s="80">
        <v>262</v>
      </c>
      <c r="BF116" s="80">
        <v>260.24</v>
      </c>
      <c r="BG116" s="80">
        <v>257.16000000000003</v>
      </c>
      <c r="BH116" s="73"/>
      <c r="BI116" s="73"/>
      <c r="BJ116" s="73"/>
      <c r="BK116" s="73"/>
      <c r="BL116" s="79">
        <v>42996</v>
      </c>
      <c r="BM116" s="79">
        <v>36434</v>
      </c>
      <c r="BN116" s="58" t="s">
        <v>44</v>
      </c>
      <c r="BO116" s="58" t="s">
        <v>70</v>
      </c>
      <c r="BP116" s="58" t="s">
        <v>184</v>
      </c>
      <c r="BQ116">
        <v>2016</v>
      </c>
      <c r="BR116" s="59"/>
      <c r="BV116" s="18"/>
      <c r="BW116" s="18"/>
    </row>
    <row r="117" spans="2:75" x14ac:dyDescent="0.3">
      <c r="B117" s="20" t="s">
        <v>440</v>
      </c>
      <c r="C117" s="20" t="s">
        <v>1294</v>
      </c>
      <c r="D117" s="57" t="s">
        <v>1178</v>
      </c>
      <c r="E117" s="58" t="s">
        <v>1101</v>
      </c>
      <c r="F117" s="96"/>
      <c r="G117" s="96"/>
      <c r="H117" s="58" t="s">
        <v>313</v>
      </c>
      <c r="I117" s="58" t="s">
        <v>313</v>
      </c>
      <c r="J117" s="59">
        <v>9999</v>
      </c>
      <c r="K117" s="95" t="s">
        <v>43</v>
      </c>
      <c r="L117" s="95"/>
      <c r="M117" s="58" t="s">
        <v>441</v>
      </c>
      <c r="N117" s="59">
        <v>11</v>
      </c>
      <c r="O117" s="58" t="s">
        <v>40</v>
      </c>
      <c r="P117" s="58" t="s">
        <v>442</v>
      </c>
      <c r="Q117" s="58" t="s">
        <v>42</v>
      </c>
      <c r="R117" s="58" t="s">
        <v>443</v>
      </c>
      <c r="S117" s="58" t="s">
        <v>42</v>
      </c>
      <c r="T117" s="73">
        <v>1170000</v>
      </c>
      <c r="U117" s="74">
        <f t="shared" si="67"/>
        <v>1187390.5862923204</v>
      </c>
      <c r="V117" s="74"/>
      <c r="W117" s="74">
        <v>1085131</v>
      </c>
      <c r="X117" s="74"/>
      <c r="Y117" s="74">
        <v>690.53</v>
      </c>
      <c r="Z117" s="74"/>
      <c r="AA117" s="75" t="s">
        <v>43</v>
      </c>
      <c r="AB117" s="74"/>
      <c r="AC117" s="74"/>
      <c r="AD117" s="75" t="s">
        <v>43</v>
      </c>
      <c r="AE117" s="74"/>
      <c r="AF117" s="74"/>
      <c r="AG117" s="74">
        <v>0</v>
      </c>
      <c r="AH117" s="75" t="s">
        <v>42</v>
      </c>
      <c r="AI117" s="74"/>
      <c r="AJ117" s="74">
        <f t="shared" si="68"/>
        <v>0</v>
      </c>
      <c r="AK117" s="74">
        <f t="shared" si="69"/>
        <v>1343905.862923204</v>
      </c>
      <c r="AL117" s="74">
        <f t="shared" si="62"/>
        <v>0</v>
      </c>
      <c r="AM117" s="74">
        <f t="shared" si="63"/>
        <v>1411101.1560693642</v>
      </c>
      <c r="AN117" s="74">
        <f t="shared" si="64"/>
        <v>0</v>
      </c>
      <c r="AO117" s="74">
        <f t="shared" si="65"/>
        <v>1451418.3319570604</v>
      </c>
      <c r="AP117" s="74">
        <f t="shared" si="66"/>
        <v>0</v>
      </c>
      <c r="AQ117" s="74">
        <f t="shared" si="54"/>
        <v>1530708.7778695296</v>
      </c>
      <c r="AR117" s="76">
        <v>113.9</v>
      </c>
      <c r="AS117" s="74">
        <f t="shared" si="55"/>
        <v>0</v>
      </c>
      <c r="AT117" s="76">
        <v>105</v>
      </c>
      <c r="AU117" s="74">
        <f t="shared" si="56"/>
        <v>1666443.270024773</v>
      </c>
      <c r="AV117" s="76">
        <v>124</v>
      </c>
      <c r="AW117" s="74">
        <f t="shared" si="70"/>
        <v>0</v>
      </c>
      <c r="AX117" s="76">
        <v>122</v>
      </c>
      <c r="AY117" s="77">
        <f t="shared" si="71"/>
        <v>1682571</v>
      </c>
      <c r="AZ117" s="78">
        <v>125.2</v>
      </c>
      <c r="BA117" s="77">
        <f t="shared" si="72"/>
        <v>0</v>
      </c>
      <c r="BB117" s="78">
        <v>123.3</v>
      </c>
      <c r="BC117" s="79">
        <v>39448</v>
      </c>
      <c r="BD117" s="59"/>
      <c r="BE117" s="80">
        <v>640.44000000000005</v>
      </c>
      <c r="BF117" s="80">
        <v>636.14</v>
      </c>
      <c r="BG117" s="80">
        <v>628.6</v>
      </c>
      <c r="BH117" s="73"/>
      <c r="BI117" s="73"/>
      <c r="BJ117" s="73"/>
      <c r="BK117" s="73"/>
      <c r="BL117" s="79">
        <v>42996</v>
      </c>
      <c r="BM117" s="79">
        <v>39892</v>
      </c>
      <c r="BN117" s="58" t="s">
        <v>44</v>
      </c>
      <c r="BO117" s="58" t="s">
        <v>44</v>
      </c>
      <c r="BP117" s="58" t="s">
        <v>184</v>
      </c>
      <c r="BQ117">
        <v>2016</v>
      </c>
      <c r="BR117" s="59"/>
      <c r="BV117" s="18"/>
      <c r="BW117" s="18"/>
    </row>
    <row r="118" spans="2:75" x14ac:dyDescent="0.3">
      <c r="B118" s="20" t="s">
        <v>440</v>
      </c>
      <c r="C118" s="20" t="s">
        <v>1294</v>
      </c>
      <c r="D118" s="57" t="s">
        <v>1178</v>
      </c>
      <c r="E118" s="58" t="s">
        <v>1101</v>
      </c>
      <c r="F118" s="96"/>
      <c r="G118" s="96"/>
      <c r="H118" s="58" t="s">
        <v>313</v>
      </c>
      <c r="I118" s="58" t="s">
        <v>313</v>
      </c>
      <c r="J118" s="59">
        <v>9999</v>
      </c>
      <c r="K118" s="95" t="s">
        <v>43</v>
      </c>
      <c r="L118" s="95"/>
      <c r="M118" s="58" t="s">
        <v>441</v>
      </c>
      <c r="N118" s="59">
        <v>16</v>
      </c>
      <c r="O118" s="58" t="s">
        <v>262</v>
      </c>
      <c r="P118" s="58" t="s">
        <v>444</v>
      </c>
      <c r="Q118" s="58" t="s">
        <v>42</v>
      </c>
      <c r="R118" s="58" t="s">
        <v>445</v>
      </c>
      <c r="S118" s="58" t="s">
        <v>42</v>
      </c>
      <c r="T118" s="73">
        <v>210000</v>
      </c>
      <c r="U118" s="74">
        <f t="shared" si="67"/>
        <v>213121.38728323701</v>
      </c>
      <c r="V118" s="74"/>
      <c r="W118" s="74">
        <v>118378</v>
      </c>
      <c r="X118" s="74"/>
      <c r="Y118" s="74">
        <v>123.94</v>
      </c>
      <c r="Z118" s="74"/>
      <c r="AA118" s="75" t="s">
        <v>43</v>
      </c>
      <c r="AB118" s="74"/>
      <c r="AC118" s="74"/>
      <c r="AD118" s="75" t="s">
        <v>43</v>
      </c>
      <c r="AE118" s="74"/>
      <c r="AF118" s="74"/>
      <c r="AG118" s="74">
        <v>0</v>
      </c>
      <c r="AH118" s="75" t="s">
        <v>42</v>
      </c>
      <c r="AI118" s="74"/>
      <c r="AJ118" s="74">
        <f t="shared" si="68"/>
        <v>0</v>
      </c>
      <c r="AK118" s="74">
        <f t="shared" si="69"/>
        <v>241213.87283236993</v>
      </c>
      <c r="AL118" s="74">
        <f t="shared" si="62"/>
        <v>0</v>
      </c>
      <c r="AM118" s="74">
        <f t="shared" si="63"/>
        <v>253274.56647398844</v>
      </c>
      <c r="AN118" s="74">
        <f t="shared" si="64"/>
        <v>0</v>
      </c>
      <c r="AO118" s="74">
        <f t="shared" si="65"/>
        <v>260510.98265895955</v>
      </c>
      <c r="AP118" s="74">
        <f t="shared" si="66"/>
        <v>0</v>
      </c>
      <c r="AQ118" s="74">
        <f t="shared" si="54"/>
        <v>274742.60115606937</v>
      </c>
      <c r="AR118" s="76">
        <v>113.9</v>
      </c>
      <c r="AS118" s="74">
        <f t="shared" si="55"/>
        <v>0</v>
      </c>
      <c r="AT118" s="76">
        <v>105</v>
      </c>
      <c r="AU118" s="74">
        <f t="shared" si="56"/>
        <v>299105.20231213875</v>
      </c>
      <c r="AV118" s="76">
        <v>124</v>
      </c>
      <c r="AW118" s="74">
        <f t="shared" si="70"/>
        <v>0</v>
      </c>
      <c r="AX118" s="76">
        <v>122</v>
      </c>
      <c r="AY118" s="77">
        <f t="shared" si="71"/>
        <v>302000</v>
      </c>
      <c r="AZ118" s="78">
        <v>125.2</v>
      </c>
      <c r="BA118" s="77">
        <f t="shared" si="72"/>
        <v>0</v>
      </c>
      <c r="BB118" s="78">
        <v>123.3</v>
      </c>
      <c r="BC118" s="79">
        <v>39448</v>
      </c>
      <c r="BD118" s="59"/>
      <c r="BE118" s="80">
        <v>69.87</v>
      </c>
      <c r="BF118" s="80">
        <v>69.400000000000006</v>
      </c>
      <c r="BG118" s="80">
        <v>68.569999999999993</v>
      </c>
      <c r="BH118" s="73"/>
      <c r="BI118" s="73"/>
      <c r="BJ118" s="73"/>
      <c r="BK118" s="73"/>
      <c r="BL118" s="79">
        <v>42996</v>
      </c>
      <c r="BM118" s="79">
        <v>39892</v>
      </c>
      <c r="BN118" s="58" t="s">
        <v>44</v>
      </c>
      <c r="BO118" s="58" t="s">
        <v>44</v>
      </c>
      <c r="BP118" s="58" t="s">
        <v>184</v>
      </c>
      <c r="BQ118">
        <v>2016</v>
      </c>
      <c r="BR118" s="59"/>
      <c r="BV118" s="18"/>
      <c r="BW118" s="18"/>
    </row>
    <row r="119" spans="2:75" x14ac:dyDescent="0.3">
      <c r="B119" s="20" t="s">
        <v>440</v>
      </c>
      <c r="C119" s="20" t="s">
        <v>1294</v>
      </c>
      <c r="D119" s="57" t="s">
        <v>1178</v>
      </c>
      <c r="E119" s="58" t="s">
        <v>1101</v>
      </c>
      <c r="F119" s="96"/>
      <c r="G119" s="96"/>
      <c r="H119" s="58" t="s">
        <v>313</v>
      </c>
      <c r="I119" s="58" t="s">
        <v>313</v>
      </c>
      <c r="J119" s="59">
        <v>9999</v>
      </c>
      <c r="K119" s="95" t="s">
        <v>43</v>
      </c>
      <c r="L119" s="95"/>
      <c r="M119" s="58" t="s">
        <v>441</v>
      </c>
      <c r="N119" s="59">
        <v>21</v>
      </c>
      <c r="O119" s="58" t="s">
        <v>143</v>
      </c>
      <c r="P119" s="58" t="s">
        <v>446</v>
      </c>
      <c r="Q119" s="58" t="s">
        <v>42</v>
      </c>
      <c r="R119" s="58" t="s">
        <v>447</v>
      </c>
      <c r="S119" s="58" t="s">
        <v>42</v>
      </c>
      <c r="T119" s="73">
        <v>55000</v>
      </c>
      <c r="U119" s="74">
        <f t="shared" si="67"/>
        <v>55817.506193228743</v>
      </c>
      <c r="V119" s="74"/>
      <c r="W119" s="74">
        <v>44391</v>
      </c>
      <c r="X119" s="74"/>
      <c r="Y119" s="74">
        <v>32.46</v>
      </c>
      <c r="Z119" s="74"/>
      <c r="AA119" s="75" t="s">
        <v>43</v>
      </c>
      <c r="AB119" s="74"/>
      <c r="AC119" s="74"/>
      <c r="AD119" s="75" t="s">
        <v>43</v>
      </c>
      <c r="AE119" s="74"/>
      <c r="AF119" s="74"/>
      <c r="AG119" s="74">
        <v>0</v>
      </c>
      <c r="AH119" s="75" t="s">
        <v>42</v>
      </c>
      <c r="AI119" s="74"/>
      <c r="AJ119" s="74">
        <f t="shared" si="68"/>
        <v>0</v>
      </c>
      <c r="AK119" s="74">
        <f t="shared" si="69"/>
        <v>63175.061932287368</v>
      </c>
      <c r="AL119" s="74">
        <f t="shared" si="62"/>
        <v>0</v>
      </c>
      <c r="AM119" s="74">
        <f t="shared" si="63"/>
        <v>66333.815028901736</v>
      </c>
      <c r="AN119" s="74">
        <f t="shared" si="64"/>
        <v>0</v>
      </c>
      <c r="AO119" s="74">
        <f t="shared" si="65"/>
        <v>68229.066886870365</v>
      </c>
      <c r="AP119" s="74">
        <f t="shared" si="66"/>
        <v>0</v>
      </c>
      <c r="AQ119" s="74">
        <f t="shared" si="54"/>
        <v>71956.395540875325</v>
      </c>
      <c r="AR119" s="76">
        <v>113.9</v>
      </c>
      <c r="AS119" s="74">
        <f t="shared" si="55"/>
        <v>0</v>
      </c>
      <c r="AT119" s="76">
        <v>105</v>
      </c>
      <c r="AU119" s="74">
        <f t="shared" si="56"/>
        <v>78337.076796036345</v>
      </c>
      <c r="AV119" s="76">
        <v>124</v>
      </c>
      <c r="AW119" s="74">
        <f t="shared" si="70"/>
        <v>0</v>
      </c>
      <c r="AX119" s="76">
        <v>122</v>
      </c>
      <c r="AY119" s="77">
        <f t="shared" si="71"/>
        <v>79096</v>
      </c>
      <c r="AZ119" s="78">
        <v>125.2</v>
      </c>
      <c r="BA119" s="77">
        <f t="shared" si="72"/>
        <v>0</v>
      </c>
      <c r="BB119" s="78">
        <v>123.3</v>
      </c>
      <c r="BC119" s="79">
        <v>39448</v>
      </c>
      <c r="BD119" s="59"/>
      <c r="BE119" s="80">
        <v>26.2</v>
      </c>
      <c r="BF119" s="80">
        <v>26.02</v>
      </c>
      <c r="BG119" s="80">
        <v>25.72</v>
      </c>
      <c r="BH119" s="73"/>
      <c r="BI119" s="73"/>
      <c r="BJ119" s="73"/>
      <c r="BK119" s="73"/>
      <c r="BL119" s="79">
        <v>42996</v>
      </c>
      <c r="BM119" s="79">
        <v>39892</v>
      </c>
      <c r="BN119" s="58" t="s">
        <v>44</v>
      </c>
      <c r="BO119" s="58" t="s">
        <v>44</v>
      </c>
      <c r="BP119" s="58" t="s">
        <v>184</v>
      </c>
      <c r="BQ119">
        <v>2016</v>
      </c>
      <c r="BR119" s="59"/>
      <c r="BV119" s="18"/>
      <c r="BW119" s="18"/>
    </row>
    <row r="120" spans="2:75" x14ac:dyDescent="0.3">
      <c r="B120" s="20" t="s">
        <v>448</v>
      </c>
      <c r="C120" s="20" t="s">
        <v>1295</v>
      </c>
      <c r="D120" s="57" t="s">
        <v>1178</v>
      </c>
      <c r="E120" s="58" t="s">
        <v>1101</v>
      </c>
      <c r="F120" s="96"/>
      <c r="G120" s="96"/>
      <c r="H120" s="58" t="s">
        <v>437</v>
      </c>
      <c r="I120" s="58" t="s">
        <v>437</v>
      </c>
      <c r="J120" s="59">
        <v>777772</v>
      </c>
      <c r="K120" s="95" t="s">
        <v>43</v>
      </c>
      <c r="L120" s="95"/>
      <c r="M120" s="58" t="s">
        <v>39</v>
      </c>
      <c r="N120" s="59">
        <v>11</v>
      </c>
      <c r="O120" s="58" t="s">
        <v>40</v>
      </c>
      <c r="P120" s="58" t="s">
        <v>442</v>
      </c>
      <c r="Q120" s="58" t="s">
        <v>41</v>
      </c>
      <c r="R120" s="58" t="s">
        <v>449</v>
      </c>
      <c r="S120" s="58" t="s">
        <v>42</v>
      </c>
      <c r="T120" s="73">
        <v>490000</v>
      </c>
      <c r="U120" s="74">
        <f t="shared" si="67"/>
        <v>497283.23699421965</v>
      </c>
      <c r="V120" s="74"/>
      <c r="W120" s="74">
        <v>443917</v>
      </c>
      <c r="X120" s="74"/>
      <c r="Y120" s="74">
        <v>289.2</v>
      </c>
      <c r="Z120" s="74"/>
      <c r="AA120" s="75" t="s">
        <v>43</v>
      </c>
      <c r="AB120" s="74"/>
      <c r="AC120" s="74"/>
      <c r="AD120" s="75" t="s">
        <v>43</v>
      </c>
      <c r="AE120" s="74"/>
      <c r="AF120" s="74"/>
      <c r="AG120" s="74">
        <v>0</v>
      </c>
      <c r="AH120" s="75" t="s">
        <v>42</v>
      </c>
      <c r="AI120" s="74"/>
      <c r="AJ120" s="74">
        <f t="shared" si="68"/>
        <v>0</v>
      </c>
      <c r="AK120" s="74">
        <f t="shared" si="69"/>
        <v>562832.36994219653</v>
      </c>
      <c r="AL120" s="74">
        <f t="shared" si="62"/>
        <v>0</v>
      </c>
      <c r="AM120" s="74">
        <f t="shared" si="63"/>
        <v>590973.98843930638</v>
      </c>
      <c r="AN120" s="74">
        <f t="shared" si="64"/>
        <v>0</v>
      </c>
      <c r="AO120" s="74">
        <f t="shared" si="65"/>
        <v>607858.95953757234</v>
      </c>
      <c r="AP120" s="74">
        <f t="shared" si="66"/>
        <v>0</v>
      </c>
      <c r="AQ120" s="74">
        <f t="shared" si="54"/>
        <v>641066.06936416193</v>
      </c>
      <c r="AR120" s="76">
        <v>113.9</v>
      </c>
      <c r="AS120" s="74">
        <f t="shared" si="55"/>
        <v>0</v>
      </c>
      <c r="AT120" s="76">
        <v>105</v>
      </c>
      <c r="AU120" s="74">
        <f t="shared" si="56"/>
        <v>697912.13872832374</v>
      </c>
      <c r="AV120" s="76">
        <v>124</v>
      </c>
      <c r="AW120" s="74">
        <f t="shared" si="70"/>
        <v>0</v>
      </c>
      <c r="AX120" s="76">
        <v>122</v>
      </c>
      <c r="AY120" s="77">
        <f t="shared" si="71"/>
        <v>704667</v>
      </c>
      <c r="AZ120" s="78">
        <v>125.2</v>
      </c>
      <c r="BA120" s="77">
        <f t="shared" si="72"/>
        <v>0</v>
      </c>
      <c r="BB120" s="78">
        <v>123.3</v>
      </c>
      <c r="BC120" s="59"/>
      <c r="BD120" s="59"/>
      <c r="BE120" s="80">
        <v>262</v>
      </c>
      <c r="BF120" s="80">
        <v>260.24</v>
      </c>
      <c r="BG120" s="80">
        <v>257.16000000000003</v>
      </c>
      <c r="BH120" s="73"/>
      <c r="BI120" s="73"/>
      <c r="BJ120" s="73"/>
      <c r="BK120" s="73"/>
      <c r="BL120" s="79">
        <v>43046</v>
      </c>
      <c r="BM120" s="79">
        <v>36434</v>
      </c>
      <c r="BN120" s="58" t="s">
        <v>44</v>
      </c>
      <c r="BO120" s="58" t="s">
        <v>70</v>
      </c>
      <c r="BP120" s="58" t="s">
        <v>184</v>
      </c>
      <c r="BQ120">
        <v>2016</v>
      </c>
      <c r="BR120" s="59"/>
      <c r="BV120" s="18"/>
      <c r="BW120" s="18"/>
    </row>
    <row r="121" spans="2:75" x14ac:dyDescent="0.3">
      <c r="B121" s="20" t="s">
        <v>989</v>
      </c>
      <c r="C121" s="20" t="s">
        <v>1296</v>
      </c>
      <c r="D121" s="57" t="s">
        <v>1412</v>
      </c>
      <c r="E121" s="58" t="s">
        <v>1101</v>
      </c>
      <c r="F121" s="96"/>
      <c r="G121" s="96"/>
      <c r="H121" s="58" t="s">
        <v>103</v>
      </c>
      <c r="I121" s="58" t="s">
        <v>103</v>
      </c>
      <c r="J121" s="59">
        <v>772724</v>
      </c>
      <c r="K121" s="95" t="s">
        <v>43</v>
      </c>
      <c r="L121" s="95"/>
      <c r="M121" s="58" t="s">
        <v>66</v>
      </c>
      <c r="N121" s="59">
        <v>11</v>
      </c>
      <c r="O121" s="58" t="s">
        <v>40</v>
      </c>
      <c r="P121" s="58" t="s">
        <v>818</v>
      </c>
      <c r="Q121" s="58" t="s">
        <v>819</v>
      </c>
      <c r="R121" s="58" t="s">
        <v>820</v>
      </c>
      <c r="S121" s="58" t="s">
        <v>42</v>
      </c>
      <c r="T121" s="73">
        <v>180000</v>
      </c>
      <c r="U121" s="74">
        <f t="shared" si="67"/>
        <v>182675.47481420316</v>
      </c>
      <c r="V121" s="74"/>
      <c r="W121" s="74">
        <v>167701</v>
      </c>
      <c r="X121" s="74"/>
      <c r="Y121" s="74">
        <v>106.24</v>
      </c>
      <c r="Z121" s="74"/>
      <c r="AA121" s="75" t="s">
        <v>43</v>
      </c>
      <c r="AB121" s="74"/>
      <c r="AC121" s="74"/>
      <c r="AD121" s="75" t="s">
        <v>43</v>
      </c>
      <c r="AE121" s="74"/>
      <c r="AF121" s="74"/>
      <c r="AG121" s="74">
        <v>0</v>
      </c>
      <c r="AH121" s="75" t="s">
        <v>42</v>
      </c>
      <c r="AI121" s="74"/>
      <c r="AJ121" s="74">
        <f t="shared" si="68"/>
        <v>0</v>
      </c>
      <c r="AK121" s="74">
        <f t="shared" si="69"/>
        <v>206754.7481420314</v>
      </c>
      <c r="AL121" s="74">
        <f t="shared" si="62"/>
        <v>0</v>
      </c>
      <c r="AM121" s="74">
        <f t="shared" si="63"/>
        <v>217092.48554913298</v>
      </c>
      <c r="AN121" s="74">
        <f t="shared" si="64"/>
        <v>0</v>
      </c>
      <c r="AO121" s="74">
        <f t="shared" si="65"/>
        <v>223295.12799339389</v>
      </c>
      <c r="AP121" s="74">
        <f t="shared" si="66"/>
        <v>0</v>
      </c>
      <c r="AQ121" s="74">
        <f t="shared" si="54"/>
        <v>235493.65813377377</v>
      </c>
      <c r="AR121" s="76">
        <v>113.9</v>
      </c>
      <c r="AS121" s="74">
        <f t="shared" si="55"/>
        <v>0</v>
      </c>
      <c r="AT121" s="76">
        <v>105</v>
      </c>
      <c r="AU121" s="74">
        <f t="shared" si="56"/>
        <v>256375.88769611894</v>
      </c>
      <c r="AV121" s="76">
        <v>124</v>
      </c>
      <c r="AW121" s="74">
        <f t="shared" si="70"/>
        <v>0</v>
      </c>
      <c r="AX121" s="76">
        <v>122</v>
      </c>
      <c r="AY121" s="77">
        <f t="shared" si="71"/>
        <v>258857</v>
      </c>
      <c r="AZ121" s="78">
        <v>125.2</v>
      </c>
      <c r="BA121" s="77">
        <f t="shared" si="72"/>
        <v>0</v>
      </c>
      <c r="BB121" s="78">
        <v>123.3</v>
      </c>
      <c r="BC121" s="79">
        <v>38692</v>
      </c>
      <c r="BD121" s="59"/>
      <c r="BE121" s="80">
        <v>98.98</v>
      </c>
      <c r="BF121" s="80">
        <v>98.31</v>
      </c>
      <c r="BG121" s="80">
        <v>97.15</v>
      </c>
      <c r="BH121" s="73"/>
      <c r="BI121" s="73"/>
      <c r="BJ121" s="73"/>
      <c r="BK121" s="73"/>
      <c r="BL121" s="79">
        <v>42999</v>
      </c>
      <c r="BM121" s="79">
        <v>38785</v>
      </c>
      <c r="BN121" s="58" t="s">
        <v>44</v>
      </c>
      <c r="BO121" s="58" t="s">
        <v>44</v>
      </c>
      <c r="BP121" s="58" t="s">
        <v>184</v>
      </c>
      <c r="BR121" s="59"/>
      <c r="BV121" s="18"/>
      <c r="BW121" s="18"/>
    </row>
    <row r="122" spans="2:75" x14ac:dyDescent="0.3">
      <c r="B122" s="20" t="s">
        <v>990</v>
      </c>
      <c r="C122" s="20" t="s">
        <v>1297</v>
      </c>
      <c r="D122" s="57" t="s">
        <v>1412</v>
      </c>
      <c r="E122" s="58" t="s">
        <v>1101</v>
      </c>
      <c r="F122" s="96"/>
      <c r="G122" s="96"/>
      <c r="H122" s="58" t="s">
        <v>103</v>
      </c>
      <c r="I122" s="58" t="s">
        <v>103</v>
      </c>
      <c r="J122" s="59">
        <v>772724</v>
      </c>
      <c r="K122" s="95" t="s">
        <v>43</v>
      </c>
      <c r="L122" s="95"/>
      <c r="M122" s="58" t="s">
        <v>66</v>
      </c>
      <c r="N122" s="59">
        <v>11</v>
      </c>
      <c r="O122" s="58" t="s">
        <v>40</v>
      </c>
      <c r="P122" s="58" t="s">
        <v>818</v>
      </c>
      <c r="Q122" s="58" t="s">
        <v>819</v>
      </c>
      <c r="R122" s="58" t="s">
        <v>820</v>
      </c>
      <c r="S122" s="58" t="s">
        <v>42</v>
      </c>
      <c r="T122" s="73">
        <v>180000</v>
      </c>
      <c r="U122" s="74">
        <f t="shared" si="67"/>
        <v>182675.47481420316</v>
      </c>
      <c r="V122" s="74"/>
      <c r="W122" s="74">
        <v>167701</v>
      </c>
      <c r="X122" s="74"/>
      <c r="Y122" s="74">
        <v>106.24</v>
      </c>
      <c r="Z122" s="74"/>
      <c r="AA122" s="75" t="s">
        <v>43</v>
      </c>
      <c r="AB122" s="74"/>
      <c r="AC122" s="74"/>
      <c r="AD122" s="75" t="s">
        <v>43</v>
      </c>
      <c r="AE122" s="74"/>
      <c r="AF122" s="74"/>
      <c r="AG122" s="74">
        <v>0</v>
      </c>
      <c r="AH122" s="75" t="s">
        <v>42</v>
      </c>
      <c r="AI122" s="74"/>
      <c r="AJ122" s="74">
        <f t="shared" si="68"/>
        <v>0</v>
      </c>
      <c r="AK122" s="74">
        <f t="shared" si="69"/>
        <v>206754.7481420314</v>
      </c>
      <c r="AL122" s="74">
        <f t="shared" si="62"/>
        <v>0</v>
      </c>
      <c r="AM122" s="74">
        <f t="shared" si="63"/>
        <v>217092.48554913298</v>
      </c>
      <c r="AN122" s="74">
        <f t="shared" si="64"/>
        <v>0</v>
      </c>
      <c r="AO122" s="74">
        <f t="shared" si="65"/>
        <v>223295.12799339389</v>
      </c>
      <c r="AP122" s="74">
        <f t="shared" si="66"/>
        <v>0</v>
      </c>
      <c r="AQ122" s="74">
        <f t="shared" si="54"/>
        <v>235493.65813377377</v>
      </c>
      <c r="AR122" s="76">
        <v>113.9</v>
      </c>
      <c r="AS122" s="74">
        <f t="shared" si="55"/>
        <v>0</v>
      </c>
      <c r="AT122" s="76">
        <v>105</v>
      </c>
      <c r="AU122" s="74">
        <f t="shared" si="56"/>
        <v>256375.88769611894</v>
      </c>
      <c r="AV122" s="76">
        <v>124</v>
      </c>
      <c r="AW122" s="74">
        <f t="shared" si="70"/>
        <v>0</v>
      </c>
      <c r="AX122" s="76">
        <v>122</v>
      </c>
      <c r="AY122" s="77">
        <f t="shared" si="71"/>
        <v>258857</v>
      </c>
      <c r="AZ122" s="78">
        <v>125.2</v>
      </c>
      <c r="BA122" s="77">
        <f t="shared" si="72"/>
        <v>0</v>
      </c>
      <c r="BB122" s="78">
        <v>123.3</v>
      </c>
      <c r="BC122" s="79">
        <v>38692</v>
      </c>
      <c r="BD122" s="59"/>
      <c r="BE122" s="80">
        <v>98.98</v>
      </c>
      <c r="BF122" s="80">
        <v>98.31</v>
      </c>
      <c r="BG122" s="80">
        <v>97.15</v>
      </c>
      <c r="BH122" s="73"/>
      <c r="BI122" s="73"/>
      <c r="BJ122" s="73"/>
      <c r="BK122" s="73"/>
      <c r="BL122" s="79">
        <v>42999</v>
      </c>
      <c r="BM122" s="79">
        <v>38785</v>
      </c>
      <c r="BN122" s="58" t="s">
        <v>44</v>
      </c>
      <c r="BO122" s="58" t="s">
        <v>44</v>
      </c>
      <c r="BP122" s="58" t="s">
        <v>184</v>
      </c>
      <c r="BR122" s="59"/>
      <c r="BV122" s="18"/>
      <c r="BW122" s="18"/>
    </row>
    <row r="123" spans="2:75" x14ac:dyDescent="0.3">
      <c r="B123" s="20" t="s">
        <v>450</v>
      </c>
      <c r="C123" s="20" t="s">
        <v>1298</v>
      </c>
      <c r="D123" s="57" t="s">
        <v>1178</v>
      </c>
      <c r="E123" s="58" t="s">
        <v>1101</v>
      </c>
      <c r="F123" s="96"/>
      <c r="G123" s="96"/>
      <c r="H123" s="58" t="s">
        <v>437</v>
      </c>
      <c r="I123" s="58" t="s">
        <v>437</v>
      </c>
      <c r="J123" s="59">
        <v>777772</v>
      </c>
      <c r="K123" s="95" t="s">
        <v>43</v>
      </c>
      <c r="L123" s="95"/>
      <c r="M123" s="58" t="s">
        <v>39</v>
      </c>
      <c r="N123" s="59">
        <v>99</v>
      </c>
      <c r="O123" s="58" t="s">
        <v>128</v>
      </c>
      <c r="P123" s="58" t="s">
        <v>451</v>
      </c>
      <c r="Q123" s="58" t="s">
        <v>41</v>
      </c>
      <c r="R123" s="58" t="s">
        <v>452</v>
      </c>
      <c r="S123" s="58" t="s">
        <v>42</v>
      </c>
      <c r="T123" s="73">
        <v>800000</v>
      </c>
      <c r="U123" s="74">
        <f t="shared" si="67"/>
        <v>811890.9991742362</v>
      </c>
      <c r="V123" s="74"/>
      <c r="W123" s="74">
        <v>739862</v>
      </c>
      <c r="X123" s="74"/>
      <c r="Y123" s="74">
        <v>472.16</v>
      </c>
      <c r="Z123" s="74"/>
      <c r="AA123" s="75" t="s">
        <v>43</v>
      </c>
      <c r="AB123" s="74"/>
      <c r="AC123" s="74"/>
      <c r="AD123" s="75" t="s">
        <v>43</v>
      </c>
      <c r="AE123" s="74"/>
      <c r="AF123" s="74"/>
      <c r="AG123" s="74">
        <v>0</v>
      </c>
      <c r="AH123" s="75" t="s">
        <v>42</v>
      </c>
      <c r="AI123" s="74"/>
      <c r="AJ123" s="74">
        <f t="shared" si="68"/>
        <v>0</v>
      </c>
      <c r="AK123" s="74">
        <f t="shared" si="69"/>
        <v>918909.99174236169</v>
      </c>
      <c r="AL123" s="74">
        <f t="shared" si="62"/>
        <v>0</v>
      </c>
      <c r="AM123" s="74">
        <f t="shared" si="63"/>
        <v>964855.49132947985</v>
      </c>
      <c r="AN123" s="74">
        <f t="shared" si="64"/>
        <v>0</v>
      </c>
      <c r="AO123" s="74">
        <f t="shared" si="65"/>
        <v>992422.79108175065</v>
      </c>
      <c r="AP123" s="74">
        <f t="shared" si="66"/>
        <v>0</v>
      </c>
      <c r="AQ123" s="74">
        <f t="shared" ref="AQ123:AQ153" si="73">AO123/108*113.9</f>
        <v>1046638.48059455</v>
      </c>
      <c r="AR123" s="76">
        <v>113.9</v>
      </c>
      <c r="AS123" s="74">
        <f t="shared" ref="AS123:AS150" si="74">AP123</f>
        <v>0</v>
      </c>
      <c r="AT123" s="76">
        <v>105</v>
      </c>
      <c r="AU123" s="74">
        <f t="shared" ref="AU123:AU153" si="75">AQ123/AR123*AV123</f>
        <v>1139448.3897605285</v>
      </c>
      <c r="AV123" s="76">
        <v>124</v>
      </c>
      <c r="AW123" s="74">
        <f t="shared" si="70"/>
        <v>0</v>
      </c>
      <c r="AX123" s="76">
        <v>122</v>
      </c>
      <c r="AY123" s="77">
        <f t="shared" si="71"/>
        <v>1150476</v>
      </c>
      <c r="AZ123" s="78">
        <v>125.2</v>
      </c>
      <c r="BA123" s="77">
        <f t="shared" si="72"/>
        <v>0</v>
      </c>
      <c r="BB123" s="78">
        <v>123.3</v>
      </c>
      <c r="BC123" s="59"/>
      <c r="BD123" s="59"/>
      <c r="BE123" s="80">
        <v>436.67</v>
      </c>
      <c r="BF123" s="80">
        <v>433.73</v>
      </c>
      <c r="BG123" s="80">
        <v>428.59</v>
      </c>
      <c r="BH123" s="73"/>
      <c r="BI123" s="73"/>
      <c r="BJ123" s="73"/>
      <c r="BK123" s="73"/>
      <c r="BL123" s="79">
        <v>42996</v>
      </c>
      <c r="BM123" s="79">
        <v>36434</v>
      </c>
      <c r="BN123" s="58" t="s">
        <v>44</v>
      </c>
      <c r="BO123" s="58" t="s">
        <v>70</v>
      </c>
      <c r="BP123" s="58" t="s">
        <v>184</v>
      </c>
      <c r="BQ123">
        <v>2016</v>
      </c>
      <c r="BR123" s="59"/>
      <c r="BV123" s="18"/>
      <c r="BW123" s="18"/>
    </row>
    <row r="124" spans="2:75" x14ac:dyDescent="0.3">
      <c r="B124" s="20" t="s">
        <v>453</v>
      </c>
      <c r="C124" s="20" t="s">
        <v>1299</v>
      </c>
      <c r="D124" s="57" t="s">
        <v>1179</v>
      </c>
      <c r="E124" s="58" t="s">
        <v>1101</v>
      </c>
      <c r="F124" s="96"/>
      <c r="G124" s="96"/>
      <c r="H124" s="58" t="s">
        <v>437</v>
      </c>
      <c r="I124" s="58" t="s">
        <v>437</v>
      </c>
      <c r="J124" s="59">
        <v>777772</v>
      </c>
      <c r="K124" s="95" t="s">
        <v>1440</v>
      </c>
      <c r="L124" s="95"/>
      <c r="M124" s="58" t="s">
        <v>39</v>
      </c>
      <c r="N124" s="59">
        <v>22</v>
      </c>
      <c r="O124" s="58" t="s">
        <v>454</v>
      </c>
      <c r="P124" s="58" t="s">
        <v>455</v>
      </c>
      <c r="Q124" s="58" t="s">
        <v>172</v>
      </c>
      <c r="R124" s="58" t="s">
        <v>456</v>
      </c>
      <c r="S124" s="58" t="s">
        <v>42</v>
      </c>
      <c r="T124" s="73">
        <v>320000</v>
      </c>
      <c r="U124" s="74">
        <f t="shared" si="67"/>
        <v>324756.39966969448</v>
      </c>
      <c r="V124" s="74"/>
      <c r="W124" s="74">
        <v>246620</v>
      </c>
      <c r="X124" s="74"/>
      <c r="Y124" s="74">
        <v>188.86</v>
      </c>
      <c r="Z124" s="74"/>
      <c r="AA124" s="75" t="s">
        <v>43</v>
      </c>
      <c r="AB124" s="74"/>
      <c r="AC124" s="74"/>
      <c r="AD124" s="75" t="s">
        <v>43</v>
      </c>
      <c r="AE124" s="74"/>
      <c r="AF124" s="74"/>
      <c r="AG124" s="74">
        <v>0</v>
      </c>
      <c r="AH124" s="75" t="s">
        <v>42</v>
      </c>
      <c r="AI124" s="74"/>
      <c r="AJ124" s="74">
        <f t="shared" si="68"/>
        <v>0</v>
      </c>
      <c r="AK124" s="74">
        <f t="shared" si="69"/>
        <v>367563.99669694464</v>
      </c>
      <c r="AL124" s="74">
        <f t="shared" si="62"/>
        <v>0</v>
      </c>
      <c r="AM124" s="74">
        <f t="shared" si="63"/>
        <v>385942.19653179188</v>
      </c>
      <c r="AN124" s="74">
        <f t="shared" si="64"/>
        <v>0</v>
      </c>
      <c r="AO124" s="74">
        <f t="shared" si="65"/>
        <v>396969.11643270025</v>
      </c>
      <c r="AP124" s="74">
        <f t="shared" si="66"/>
        <v>0</v>
      </c>
      <c r="AQ124" s="74">
        <f t="shared" si="73"/>
        <v>418655.39223782002</v>
      </c>
      <c r="AR124" s="76">
        <v>113.9</v>
      </c>
      <c r="AS124" s="74">
        <f t="shared" si="74"/>
        <v>0</v>
      </c>
      <c r="AT124" s="76">
        <v>105</v>
      </c>
      <c r="AU124" s="74">
        <f t="shared" si="75"/>
        <v>455779.35590421141</v>
      </c>
      <c r="AV124" s="76">
        <v>124</v>
      </c>
      <c r="AW124" s="74">
        <f t="shared" si="70"/>
        <v>0</v>
      </c>
      <c r="AX124" s="76">
        <v>122</v>
      </c>
      <c r="AY124" s="77">
        <f t="shared" si="71"/>
        <v>460191</v>
      </c>
      <c r="AZ124" s="78">
        <v>125.2</v>
      </c>
      <c r="BA124" s="77">
        <f t="shared" si="72"/>
        <v>0</v>
      </c>
      <c r="BB124" s="78">
        <v>123.3</v>
      </c>
      <c r="BC124" s="79">
        <v>36526</v>
      </c>
      <c r="BD124" s="59"/>
      <c r="BE124" s="80">
        <v>145.56</v>
      </c>
      <c r="BF124" s="80">
        <v>144.58000000000001</v>
      </c>
      <c r="BG124" s="80">
        <v>142.86000000000001</v>
      </c>
      <c r="BH124" s="73"/>
      <c r="BI124" s="73"/>
      <c r="BJ124" s="73"/>
      <c r="BK124" s="73"/>
      <c r="BL124" s="79">
        <v>42996</v>
      </c>
      <c r="BM124" s="79">
        <v>36728</v>
      </c>
      <c r="BN124" s="58" t="s">
        <v>44</v>
      </c>
      <c r="BO124" s="58" t="s">
        <v>44</v>
      </c>
      <c r="BP124" s="58" t="s">
        <v>457</v>
      </c>
      <c r="BQ124">
        <v>2016</v>
      </c>
      <c r="BR124" s="59"/>
      <c r="BV124" s="18"/>
      <c r="BW124" s="18"/>
    </row>
    <row r="125" spans="2:75" x14ac:dyDescent="0.3">
      <c r="B125" s="20" t="s">
        <v>453</v>
      </c>
      <c r="C125" s="20" t="s">
        <v>1299</v>
      </c>
      <c r="D125" s="57" t="s">
        <v>1179</v>
      </c>
      <c r="E125" s="58" t="s">
        <v>1101</v>
      </c>
      <c r="F125" s="96"/>
      <c r="G125" s="96"/>
      <c r="H125" s="58" t="s">
        <v>437</v>
      </c>
      <c r="I125" s="58" t="s">
        <v>437</v>
      </c>
      <c r="J125" s="59">
        <v>997973</v>
      </c>
      <c r="K125" s="95" t="s">
        <v>43</v>
      </c>
      <c r="L125" s="95"/>
      <c r="M125" s="58" t="s">
        <v>177</v>
      </c>
      <c r="N125" s="59">
        <v>12</v>
      </c>
      <c r="O125" s="58" t="s">
        <v>49</v>
      </c>
      <c r="P125" s="58" t="s">
        <v>458</v>
      </c>
      <c r="Q125" s="58" t="s">
        <v>42</v>
      </c>
      <c r="R125" s="58" t="s">
        <v>459</v>
      </c>
      <c r="S125" s="58" t="s">
        <v>42</v>
      </c>
      <c r="T125" s="73"/>
      <c r="U125" s="74">
        <f t="shared" si="67"/>
        <v>0</v>
      </c>
      <c r="V125" s="74">
        <v>100000</v>
      </c>
      <c r="W125" s="74"/>
      <c r="X125" s="74">
        <v>97203</v>
      </c>
      <c r="Y125" s="74"/>
      <c r="Z125" s="74">
        <v>59.02</v>
      </c>
      <c r="AA125" s="75" t="s">
        <v>43</v>
      </c>
      <c r="AB125" s="74"/>
      <c r="AC125" s="74"/>
      <c r="AD125" s="75" t="s">
        <v>43</v>
      </c>
      <c r="AE125" s="74"/>
      <c r="AF125" s="74"/>
      <c r="AG125" s="74">
        <v>0</v>
      </c>
      <c r="AH125" s="75" t="s">
        <v>42</v>
      </c>
      <c r="AI125" s="74"/>
      <c r="AJ125" s="74">
        <f t="shared" si="68"/>
        <v>101394.9433304272</v>
      </c>
      <c r="AK125" s="74">
        <f t="shared" si="69"/>
        <v>0</v>
      </c>
      <c r="AL125" s="74">
        <f t="shared" si="62"/>
        <v>106015.69311246728</v>
      </c>
      <c r="AM125" s="74">
        <f t="shared" si="63"/>
        <v>0</v>
      </c>
      <c r="AN125" s="74">
        <f t="shared" si="64"/>
        <v>111316.47776809066</v>
      </c>
      <c r="AO125" s="74">
        <f t="shared" si="65"/>
        <v>0</v>
      </c>
      <c r="AP125" s="74">
        <f>AN125+1985</f>
        <v>113301.47776809066</v>
      </c>
      <c r="AQ125" s="74">
        <f t="shared" si="73"/>
        <v>0</v>
      </c>
      <c r="AR125" s="76">
        <v>113.9</v>
      </c>
      <c r="AS125" s="74">
        <f t="shared" si="74"/>
        <v>113301.47776809066</v>
      </c>
      <c r="AT125" s="76">
        <v>105</v>
      </c>
      <c r="AU125" s="74">
        <f t="shared" si="75"/>
        <v>0</v>
      </c>
      <c r="AV125" s="76">
        <v>124</v>
      </c>
      <c r="AW125" s="74">
        <f t="shared" si="70"/>
        <v>131645.52654959104</v>
      </c>
      <c r="AX125" s="76">
        <v>122</v>
      </c>
      <c r="AY125" s="77">
        <f t="shared" si="71"/>
        <v>0</v>
      </c>
      <c r="AZ125" s="78">
        <v>125.2</v>
      </c>
      <c r="BA125" s="77">
        <f t="shared" si="72"/>
        <v>133049</v>
      </c>
      <c r="BB125" s="78">
        <v>123.3</v>
      </c>
      <c r="BC125" s="79">
        <v>40909</v>
      </c>
      <c r="BD125" s="59"/>
      <c r="BE125" s="80">
        <v>57.37</v>
      </c>
      <c r="BF125" s="80">
        <v>57.37</v>
      </c>
      <c r="BG125" s="80">
        <v>56.87</v>
      </c>
      <c r="BH125" s="73"/>
      <c r="BI125" s="73"/>
      <c r="BJ125" s="73"/>
      <c r="BK125" s="73"/>
      <c r="BL125" s="79">
        <v>42996</v>
      </c>
      <c r="BM125" s="79">
        <v>40988</v>
      </c>
      <c r="BN125" s="58" t="s">
        <v>44</v>
      </c>
      <c r="BO125" s="58" t="s">
        <v>44</v>
      </c>
      <c r="BP125" s="58" t="s">
        <v>460</v>
      </c>
      <c r="BQ125">
        <v>2016</v>
      </c>
      <c r="BR125" s="59"/>
      <c r="BV125" s="18"/>
      <c r="BW125" s="18"/>
    </row>
    <row r="126" spans="2:75" x14ac:dyDescent="0.3">
      <c r="B126" s="20" t="s">
        <v>453</v>
      </c>
      <c r="C126" s="20" t="s">
        <v>1299</v>
      </c>
      <c r="D126" s="57" t="s">
        <v>1179</v>
      </c>
      <c r="E126" s="58" t="s">
        <v>1101</v>
      </c>
      <c r="F126" s="96"/>
      <c r="G126" s="96"/>
      <c r="H126" s="58" t="s">
        <v>437</v>
      </c>
      <c r="I126" s="58" t="s">
        <v>437</v>
      </c>
      <c r="J126" s="59">
        <v>777773</v>
      </c>
      <c r="K126" s="102" t="s">
        <v>43</v>
      </c>
      <c r="L126" s="102"/>
      <c r="M126" s="58" t="s">
        <v>290</v>
      </c>
      <c r="N126" s="59">
        <v>11</v>
      </c>
      <c r="O126" s="58" t="s">
        <v>40</v>
      </c>
      <c r="P126" s="58" t="s">
        <v>991</v>
      </c>
      <c r="Q126" s="58" t="s">
        <v>41</v>
      </c>
      <c r="R126" s="58" t="s">
        <v>461</v>
      </c>
      <c r="S126" s="58" t="s">
        <v>42</v>
      </c>
      <c r="T126" s="73">
        <v>10000</v>
      </c>
      <c r="U126" s="74">
        <f t="shared" si="67"/>
        <v>10148.637489677953</v>
      </c>
      <c r="V126" s="74"/>
      <c r="W126" s="74">
        <v>35515</v>
      </c>
      <c r="X126" s="74"/>
      <c r="Y126" s="74">
        <v>5.9</v>
      </c>
      <c r="Z126" s="74"/>
      <c r="AA126" s="75" t="s">
        <v>43</v>
      </c>
      <c r="AB126" s="74"/>
      <c r="AC126" s="74"/>
      <c r="AD126" s="75" t="s">
        <v>43</v>
      </c>
      <c r="AE126" s="74"/>
      <c r="AF126" s="74"/>
      <c r="AG126" s="74">
        <v>0</v>
      </c>
      <c r="AH126" s="75" t="s">
        <v>42</v>
      </c>
      <c r="AI126" s="74"/>
      <c r="AJ126" s="74">
        <f t="shared" si="68"/>
        <v>0</v>
      </c>
      <c r="AK126" s="74">
        <f t="shared" si="69"/>
        <v>11486.37489677952</v>
      </c>
      <c r="AL126" s="74">
        <f t="shared" si="62"/>
        <v>0</v>
      </c>
      <c r="AM126" s="74">
        <f t="shared" si="63"/>
        <v>12060.693641618496</v>
      </c>
      <c r="AN126" s="74">
        <f t="shared" si="64"/>
        <v>0</v>
      </c>
      <c r="AO126" s="74">
        <f t="shared" si="65"/>
        <v>12405.284888521883</v>
      </c>
      <c r="AP126" s="74">
        <f>AN126</f>
        <v>0</v>
      </c>
      <c r="AQ126" s="74">
        <f t="shared" si="73"/>
        <v>13082.981007431876</v>
      </c>
      <c r="AR126" s="76">
        <v>113.9</v>
      </c>
      <c r="AS126" s="74">
        <f t="shared" si="74"/>
        <v>0</v>
      </c>
      <c r="AT126" s="76">
        <v>105</v>
      </c>
      <c r="AU126" s="74">
        <f t="shared" si="75"/>
        <v>14243.104872006606</v>
      </c>
      <c r="AV126" s="76">
        <v>124</v>
      </c>
      <c r="AW126" s="74">
        <f t="shared" si="70"/>
        <v>0</v>
      </c>
      <c r="AX126" s="76">
        <v>122</v>
      </c>
      <c r="AY126" s="77">
        <f t="shared" si="71"/>
        <v>14381</v>
      </c>
      <c r="AZ126" s="78">
        <v>125.2</v>
      </c>
      <c r="BA126" s="77">
        <f t="shared" si="72"/>
        <v>0</v>
      </c>
      <c r="BB126" s="78">
        <v>123.3</v>
      </c>
      <c r="BC126" s="79">
        <v>36526</v>
      </c>
      <c r="BD126" s="59"/>
      <c r="BE126" s="80">
        <v>20.96</v>
      </c>
      <c r="BF126" s="80">
        <v>20.82</v>
      </c>
      <c r="BG126" s="80">
        <v>20.57</v>
      </c>
      <c r="BH126" s="73"/>
      <c r="BI126" s="73"/>
      <c r="BJ126" s="73"/>
      <c r="BK126" s="73"/>
      <c r="BL126" s="79">
        <v>42996</v>
      </c>
      <c r="BM126" s="79">
        <v>36434</v>
      </c>
      <c r="BN126" s="58" t="s">
        <v>44</v>
      </c>
      <c r="BO126" s="58" t="s">
        <v>70</v>
      </c>
      <c r="BP126" s="58" t="s">
        <v>184</v>
      </c>
      <c r="BQ126">
        <v>2016</v>
      </c>
      <c r="BR126" s="92"/>
      <c r="BV126" s="18"/>
      <c r="BW126" s="18"/>
    </row>
    <row r="127" spans="2:75" x14ac:dyDescent="0.3">
      <c r="B127" s="20" t="s">
        <v>462</v>
      </c>
      <c r="C127" s="20" t="s">
        <v>1299</v>
      </c>
      <c r="D127" s="57" t="s">
        <v>1179</v>
      </c>
      <c r="E127" s="58" t="s">
        <v>1101</v>
      </c>
      <c r="F127" s="96"/>
      <c r="G127" s="96"/>
      <c r="H127" s="58" t="s">
        <v>437</v>
      </c>
      <c r="I127" s="58" t="s">
        <v>437</v>
      </c>
      <c r="J127" s="59">
        <v>772724</v>
      </c>
      <c r="K127" s="95" t="s">
        <v>43</v>
      </c>
      <c r="L127" s="95"/>
      <c r="M127" s="58" t="s">
        <v>66</v>
      </c>
      <c r="N127" s="59">
        <v>99</v>
      </c>
      <c r="O127" s="58" t="s">
        <v>128</v>
      </c>
      <c r="P127" s="58" t="s">
        <v>463</v>
      </c>
      <c r="Q127" s="58" t="s">
        <v>172</v>
      </c>
      <c r="R127" s="58" t="s">
        <v>464</v>
      </c>
      <c r="S127" s="58" t="s">
        <v>42</v>
      </c>
      <c r="T127" s="73">
        <v>90000</v>
      </c>
      <c r="U127" s="74">
        <f t="shared" si="67"/>
        <v>91337.73740710158</v>
      </c>
      <c r="V127" s="74">
        <v>1390000</v>
      </c>
      <c r="W127" s="74">
        <v>49325</v>
      </c>
      <c r="X127" s="74">
        <v>949605</v>
      </c>
      <c r="Y127" s="74">
        <v>53.12</v>
      </c>
      <c r="Z127" s="74">
        <v>820.38</v>
      </c>
      <c r="AA127" s="75" t="s">
        <v>43</v>
      </c>
      <c r="AB127" s="74"/>
      <c r="AC127" s="74"/>
      <c r="AD127" s="75" t="s">
        <v>43</v>
      </c>
      <c r="AE127" s="74"/>
      <c r="AF127" s="74"/>
      <c r="AG127" s="74">
        <v>0</v>
      </c>
      <c r="AH127" s="75" t="s">
        <v>42</v>
      </c>
      <c r="AI127" s="74"/>
      <c r="AJ127" s="74">
        <v>1423040</v>
      </c>
      <c r="AK127" s="74">
        <f t="shared" si="69"/>
        <v>103377.3740710157</v>
      </c>
      <c r="AL127" s="74">
        <f t="shared" si="62"/>
        <v>1487890.4901117797</v>
      </c>
      <c r="AM127" s="74">
        <f t="shared" si="63"/>
        <v>108546.24277456649</v>
      </c>
      <c r="AN127" s="74">
        <f t="shared" si="64"/>
        <v>1562285.0146173688</v>
      </c>
      <c r="AO127" s="74">
        <f t="shared" si="65"/>
        <v>111647.56399669695</v>
      </c>
      <c r="AP127" s="74">
        <f>AN127</f>
        <v>1562285.0146173688</v>
      </c>
      <c r="AQ127" s="74">
        <f t="shared" si="73"/>
        <v>117746.82906688689</v>
      </c>
      <c r="AR127" s="76">
        <v>113.9</v>
      </c>
      <c r="AS127" s="74">
        <f t="shared" si="74"/>
        <v>1562285.0146173688</v>
      </c>
      <c r="AT127" s="76">
        <v>105</v>
      </c>
      <c r="AU127" s="74">
        <f t="shared" si="75"/>
        <v>128187.94384805947</v>
      </c>
      <c r="AV127" s="76">
        <v>124</v>
      </c>
      <c r="AW127" s="74">
        <f t="shared" si="70"/>
        <v>1815226.3979363714</v>
      </c>
      <c r="AX127" s="76">
        <v>122</v>
      </c>
      <c r="AY127" s="77">
        <f t="shared" si="71"/>
        <v>129429</v>
      </c>
      <c r="AZ127" s="78">
        <v>125.2</v>
      </c>
      <c r="BA127" s="77">
        <f t="shared" si="72"/>
        <v>1834569</v>
      </c>
      <c r="BB127" s="78">
        <v>123.3</v>
      </c>
      <c r="BC127" s="79">
        <v>36526</v>
      </c>
      <c r="BD127" s="59"/>
      <c r="BE127" s="80">
        <v>589.57000000000005</v>
      </c>
      <c r="BF127" s="80">
        <v>589.38</v>
      </c>
      <c r="BG127" s="80">
        <v>584.1</v>
      </c>
      <c r="BH127" s="73"/>
      <c r="BI127" s="73"/>
      <c r="BJ127" s="73"/>
      <c r="BK127" s="73"/>
      <c r="BL127" s="79">
        <v>42996</v>
      </c>
      <c r="BM127" s="79">
        <v>36434</v>
      </c>
      <c r="BN127" s="58" t="s">
        <v>44</v>
      </c>
      <c r="BO127" s="58" t="s">
        <v>70</v>
      </c>
      <c r="BP127" s="58" t="s">
        <v>184</v>
      </c>
      <c r="BQ127">
        <v>2016</v>
      </c>
      <c r="BR127" s="59"/>
      <c r="BV127" s="18"/>
      <c r="BW127" s="18"/>
    </row>
    <row r="128" spans="2:75" x14ac:dyDescent="0.3">
      <c r="B128" s="20" t="s">
        <v>465</v>
      </c>
      <c r="C128" s="20" t="s">
        <v>1300</v>
      </c>
      <c r="D128" s="57" t="s">
        <v>1395</v>
      </c>
      <c r="E128" s="58" t="s">
        <v>986</v>
      </c>
      <c r="F128" s="96"/>
      <c r="G128" s="96"/>
      <c r="H128" s="58" t="s">
        <v>270</v>
      </c>
      <c r="I128" s="58" t="s">
        <v>270</v>
      </c>
      <c r="J128" s="59">
        <v>772723</v>
      </c>
      <c r="K128" s="95" t="s">
        <v>43</v>
      </c>
      <c r="L128" s="95"/>
      <c r="M128" s="58" t="s">
        <v>72</v>
      </c>
      <c r="N128" s="59">
        <v>11</v>
      </c>
      <c r="O128" s="58" t="s">
        <v>40</v>
      </c>
      <c r="P128" s="58" t="s">
        <v>466</v>
      </c>
      <c r="Q128" s="58" t="s">
        <v>217</v>
      </c>
      <c r="R128" s="58" t="s">
        <v>467</v>
      </c>
      <c r="S128" s="58" t="s">
        <v>42</v>
      </c>
      <c r="T128" s="73">
        <v>2380000</v>
      </c>
      <c r="U128" s="74">
        <f t="shared" si="67"/>
        <v>2415375.7225433527</v>
      </c>
      <c r="V128" s="74">
        <v>580000</v>
      </c>
      <c r="W128" s="74">
        <v>2170261</v>
      </c>
      <c r="X128" s="74">
        <v>458602</v>
      </c>
      <c r="Y128" s="74">
        <v>1404.68</v>
      </c>
      <c r="Z128" s="74">
        <v>342.32</v>
      </c>
      <c r="AA128" s="75" t="s">
        <v>43</v>
      </c>
      <c r="AB128" s="74"/>
      <c r="AC128" s="74"/>
      <c r="AD128" s="75" t="s">
        <v>43</v>
      </c>
      <c r="AE128" s="74"/>
      <c r="AF128" s="74"/>
      <c r="AG128" s="74">
        <v>0</v>
      </c>
      <c r="AH128" s="75" t="s">
        <v>42</v>
      </c>
      <c r="AI128" s="74"/>
      <c r="AJ128" s="74">
        <f>116.3*V128/114.7</f>
        <v>588090.6713164777</v>
      </c>
      <c r="AK128" s="74">
        <f t="shared" si="69"/>
        <v>2733757.2254335261</v>
      </c>
      <c r="AL128" s="74">
        <f t="shared" si="62"/>
        <v>614891.02005231031</v>
      </c>
      <c r="AM128" s="74">
        <f t="shared" si="63"/>
        <v>2870445.0867052027</v>
      </c>
      <c r="AN128" s="74">
        <f t="shared" si="64"/>
        <v>645635.57105492591</v>
      </c>
      <c r="AO128" s="74">
        <f t="shared" si="65"/>
        <v>2952457.8034682083</v>
      </c>
      <c r="AP128" s="74">
        <f>AN128</f>
        <v>645635.57105492591</v>
      </c>
      <c r="AQ128" s="74">
        <f t="shared" si="73"/>
        <v>3113749.4797687861</v>
      </c>
      <c r="AR128" s="76">
        <v>113.9</v>
      </c>
      <c r="AS128" s="74">
        <f t="shared" si="74"/>
        <v>645635.57105492591</v>
      </c>
      <c r="AT128" s="76">
        <v>105</v>
      </c>
      <c r="AU128" s="74">
        <f t="shared" si="75"/>
        <v>3389858.9595375722</v>
      </c>
      <c r="AV128" s="76">
        <v>124</v>
      </c>
      <c r="AW128" s="74">
        <f t="shared" si="70"/>
        <v>750167.04446381878</v>
      </c>
      <c r="AX128" s="76">
        <v>122</v>
      </c>
      <c r="AY128" s="77">
        <f t="shared" si="71"/>
        <v>3422665</v>
      </c>
      <c r="AZ128" s="78">
        <v>125.2</v>
      </c>
      <c r="BA128" s="77">
        <f t="shared" si="72"/>
        <v>758161</v>
      </c>
      <c r="BB128" s="78">
        <v>123.3</v>
      </c>
      <c r="BC128" s="79">
        <v>36526</v>
      </c>
      <c r="BD128" s="59"/>
      <c r="BE128" s="80">
        <v>1551.56</v>
      </c>
      <c r="BF128" s="80">
        <v>1542.95</v>
      </c>
      <c r="BG128" s="80">
        <v>1525.5</v>
      </c>
      <c r="BH128" s="73"/>
      <c r="BI128" s="73"/>
      <c r="BJ128" s="73"/>
      <c r="BK128" s="73"/>
      <c r="BL128" s="79">
        <v>42996</v>
      </c>
      <c r="BM128" s="79">
        <v>36434</v>
      </c>
      <c r="BN128" s="58" t="s">
        <v>44</v>
      </c>
      <c r="BO128" s="58" t="s">
        <v>70</v>
      </c>
      <c r="BP128" s="58" t="s">
        <v>184</v>
      </c>
      <c r="BQ128">
        <v>2016</v>
      </c>
      <c r="BR128" s="59"/>
      <c r="BV128" s="18"/>
      <c r="BW128" s="18"/>
    </row>
    <row r="129" spans="1:75" x14ac:dyDescent="0.3">
      <c r="B129" s="20" t="s">
        <v>1027</v>
      </c>
      <c r="C129" s="20" t="s">
        <v>1027</v>
      </c>
      <c r="D129" s="57" t="s">
        <v>1180</v>
      </c>
      <c r="E129" s="58" t="s">
        <v>986</v>
      </c>
      <c r="F129" s="96"/>
      <c r="G129" s="96"/>
      <c r="H129" s="58"/>
      <c r="I129" s="58"/>
      <c r="J129" s="59"/>
      <c r="K129" s="95" t="s">
        <v>43</v>
      </c>
      <c r="L129" s="95"/>
      <c r="M129" s="58"/>
      <c r="N129" s="59"/>
      <c r="O129" s="58" t="s">
        <v>1030</v>
      </c>
      <c r="P129" s="58" t="s">
        <v>1028</v>
      </c>
      <c r="Q129" s="58"/>
      <c r="R129" s="58"/>
      <c r="S129" s="58"/>
      <c r="T129" s="73"/>
      <c r="U129" s="74"/>
      <c r="V129" s="74"/>
      <c r="W129" s="74"/>
      <c r="X129" s="74"/>
      <c r="Y129" s="74"/>
      <c r="Z129" s="74"/>
      <c r="AA129" s="75"/>
      <c r="AB129" s="74"/>
      <c r="AC129" s="74"/>
      <c r="AD129" s="75"/>
      <c r="AE129" s="74"/>
      <c r="AF129" s="74"/>
      <c r="AG129" s="74"/>
      <c r="AH129" s="75"/>
      <c r="AI129" s="74"/>
      <c r="AJ129" s="74"/>
      <c r="AK129" s="74"/>
      <c r="AL129" s="74"/>
      <c r="AM129" s="74"/>
      <c r="AN129" s="74"/>
      <c r="AO129" s="74">
        <v>21000</v>
      </c>
      <c r="AP129" s="74"/>
      <c r="AQ129" s="74">
        <f t="shared" si="73"/>
        <v>22147.222222222226</v>
      </c>
      <c r="AR129" s="76">
        <v>113.9</v>
      </c>
      <c r="AS129" s="74">
        <f t="shared" si="74"/>
        <v>0</v>
      </c>
      <c r="AT129" s="76">
        <v>105</v>
      </c>
      <c r="AU129" s="74">
        <f t="shared" si="75"/>
        <v>24111.111111111113</v>
      </c>
      <c r="AV129" s="76">
        <v>124</v>
      </c>
      <c r="AW129" s="74">
        <f t="shared" si="70"/>
        <v>0</v>
      </c>
      <c r="AX129" s="76">
        <v>122</v>
      </c>
      <c r="AY129" s="77">
        <f t="shared" si="71"/>
        <v>24345</v>
      </c>
      <c r="AZ129" s="78">
        <v>125.2</v>
      </c>
      <c r="BA129" s="77">
        <f t="shared" si="72"/>
        <v>0</v>
      </c>
      <c r="BB129" s="78">
        <v>123.3</v>
      </c>
      <c r="BC129" s="79"/>
      <c r="BD129" s="59"/>
      <c r="BE129" s="80"/>
      <c r="BF129" s="80"/>
      <c r="BG129" s="80"/>
      <c r="BH129" s="73"/>
      <c r="BI129" s="73"/>
      <c r="BJ129" s="73"/>
      <c r="BK129" s="73"/>
      <c r="BL129" s="79"/>
      <c r="BM129" s="79"/>
      <c r="BN129" s="58"/>
      <c r="BO129" s="58"/>
      <c r="BP129" s="58"/>
      <c r="BR129" s="59"/>
      <c r="BV129" s="18"/>
      <c r="BW129" s="18"/>
    </row>
    <row r="130" spans="1:75" x14ac:dyDescent="0.3">
      <c r="B130" s="20" t="s">
        <v>468</v>
      </c>
      <c r="C130" s="20" t="s">
        <v>1301</v>
      </c>
      <c r="D130" s="57" t="s">
        <v>1396</v>
      </c>
      <c r="E130" s="58" t="s">
        <v>1101</v>
      </c>
      <c r="F130" s="96"/>
      <c r="G130" s="96"/>
      <c r="H130" s="58" t="s">
        <v>166</v>
      </c>
      <c r="I130" s="58" t="s">
        <v>166</v>
      </c>
      <c r="J130" s="59">
        <v>777772</v>
      </c>
      <c r="K130" s="95" t="s">
        <v>43</v>
      </c>
      <c r="L130" s="95"/>
      <c r="M130" s="58" t="s">
        <v>39</v>
      </c>
      <c r="N130" s="59">
        <v>11</v>
      </c>
      <c r="O130" s="58" t="s">
        <v>40</v>
      </c>
      <c r="P130" s="58" t="s">
        <v>45</v>
      </c>
      <c r="Q130" s="58" t="s">
        <v>41</v>
      </c>
      <c r="R130" s="58" t="s">
        <v>469</v>
      </c>
      <c r="S130" s="58" t="s">
        <v>42</v>
      </c>
      <c r="T130" s="73">
        <v>275000</v>
      </c>
      <c r="U130" s="74">
        <f>122.9*T130/121.1</f>
        <v>279087.53096614371</v>
      </c>
      <c r="V130" s="74"/>
      <c r="W130" s="74">
        <v>246620</v>
      </c>
      <c r="X130" s="74"/>
      <c r="Y130" s="74">
        <v>162.31</v>
      </c>
      <c r="Z130" s="74"/>
      <c r="AA130" s="75" t="s">
        <v>43</v>
      </c>
      <c r="AB130" s="74"/>
      <c r="AC130" s="74"/>
      <c r="AD130" s="75" t="s">
        <v>43</v>
      </c>
      <c r="AE130" s="74"/>
      <c r="AF130" s="74"/>
      <c r="AG130" s="74">
        <v>0</v>
      </c>
      <c r="AH130" s="75" t="s">
        <v>42</v>
      </c>
      <c r="AI130" s="74"/>
      <c r="AJ130" s="74">
        <f t="shared" ref="AJ130:AJ163" si="76">116.3*V130/114.7</f>
        <v>0</v>
      </c>
      <c r="AK130" s="74">
        <f t="shared" ref="AK130:AK163" si="77">139.1/122.9*U130</f>
        <v>315875.30966143683</v>
      </c>
      <c r="AL130" s="74">
        <f t="shared" ref="AL130:AL163" si="78">121.6/116.3*AJ130</f>
        <v>0</v>
      </c>
      <c r="AM130" s="74">
        <f>AK130*1.05</f>
        <v>331669.07514450868</v>
      </c>
      <c r="AN130" s="74">
        <f>AL130*1.05</f>
        <v>0</v>
      </c>
      <c r="AO130" s="74">
        <f t="shared" ref="AO130:AO136" si="79">AM130/105*108</f>
        <v>341145.33443435183</v>
      </c>
      <c r="AP130" s="74">
        <f t="shared" ref="AP130:AP163" si="80">AN130</f>
        <v>0</v>
      </c>
      <c r="AQ130" s="74">
        <f t="shared" si="73"/>
        <v>359781.97770437662</v>
      </c>
      <c r="AR130" s="76">
        <v>113.9</v>
      </c>
      <c r="AS130" s="74">
        <f t="shared" si="74"/>
        <v>0</v>
      </c>
      <c r="AT130" s="76">
        <v>105</v>
      </c>
      <c r="AU130" s="74">
        <f t="shared" si="75"/>
        <v>391685.38398018171</v>
      </c>
      <c r="AV130" s="76">
        <v>124</v>
      </c>
      <c r="AW130" s="74">
        <f t="shared" si="70"/>
        <v>0</v>
      </c>
      <c r="AX130" s="76">
        <v>122</v>
      </c>
      <c r="AY130" s="77">
        <f t="shared" si="71"/>
        <v>395476</v>
      </c>
      <c r="AZ130" s="78">
        <v>125.2</v>
      </c>
      <c r="BA130" s="77">
        <f t="shared" si="72"/>
        <v>0</v>
      </c>
      <c r="BB130" s="78">
        <v>123.3</v>
      </c>
      <c r="BC130" s="59"/>
      <c r="BD130" s="59"/>
      <c r="BE130" s="80">
        <v>145.56</v>
      </c>
      <c r="BF130" s="80">
        <v>144.58000000000001</v>
      </c>
      <c r="BG130" s="80">
        <v>142.86000000000001</v>
      </c>
      <c r="BH130" s="73"/>
      <c r="BI130" s="73"/>
      <c r="BJ130" s="73"/>
      <c r="BK130" s="73"/>
      <c r="BL130" s="79">
        <v>42996</v>
      </c>
      <c r="BM130" s="79">
        <v>36434</v>
      </c>
      <c r="BN130" s="58" t="s">
        <v>44</v>
      </c>
      <c r="BO130" s="58" t="s">
        <v>70</v>
      </c>
      <c r="BP130" s="58" t="s">
        <v>184</v>
      </c>
      <c r="BQ130">
        <v>2016</v>
      </c>
      <c r="BR130" s="59"/>
      <c r="BV130" s="18"/>
      <c r="BW130" s="18"/>
    </row>
    <row r="131" spans="1:75" x14ac:dyDescent="0.3">
      <c r="B131" s="20" t="s">
        <v>985</v>
      </c>
      <c r="C131" s="20" t="s">
        <v>985</v>
      </c>
      <c r="D131" s="57" t="e">
        <v>#N/A</v>
      </c>
      <c r="E131" s="58" t="s">
        <v>986</v>
      </c>
      <c r="F131" s="96"/>
      <c r="G131" s="96"/>
      <c r="H131" s="58"/>
      <c r="I131" s="58"/>
      <c r="J131" s="59"/>
      <c r="K131" s="103" t="s">
        <v>43</v>
      </c>
      <c r="L131" s="103"/>
      <c r="M131" s="58"/>
      <c r="N131" s="59"/>
      <c r="O131" s="58"/>
      <c r="P131" s="58" t="s">
        <v>986</v>
      </c>
      <c r="Q131" s="58"/>
      <c r="R131" s="58"/>
      <c r="S131" s="58"/>
      <c r="T131" s="73"/>
      <c r="U131" s="74">
        <v>560000</v>
      </c>
      <c r="V131" s="74"/>
      <c r="W131" s="74"/>
      <c r="X131" s="74"/>
      <c r="Y131" s="74"/>
      <c r="Z131" s="74"/>
      <c r="AA131" s="75"/>
      <c r="AB131" s="74"/>
      <c r="AC131" s="74"/>
      <c r="AD131" s="75"/>
      <c r="AE131" s="74"/>
      <c r="AF131" s="74"/>
      <c r="AG131" s="74"/>
      <c r="AH131" s="75"/>
      <c r="AI131" s="74"/>
      <c r="AJ131" s="74">
        <f t="shared" si="76"/>
        <v>0</v>
      </c>
      <c r="AK131" s="74">
        <f t="shared" si="77"/>
        <v>633816.11065907241</v>
      </c>
      <c r="AL131" s="74">
        <f t="shared" si="78"/>
        <v>0</v>
      </c>
      <c r="AM131" s="74">
        <f>AK131*1.05</f>
        <v>665506.91619202611</v>
      </c>
      <c r="AN131" s="74">
        <f>AL131*1.05</f>
        <v>0</v>
      </c>
      <c r="AO131" s="74">
        <f t="shared" si="79"/>
        <v>684521.39951179828</v>
      </c>
      <c r="AP131" s="74">
        <f t="shared" si="80"/>
        <v>0</v>
      </c>
      <c r="AQ131" s="74">
        <f t="shared" si="73"/>
        <v>721916.55004068359</v>
      </c>
      <c r="AR131" s="76">
        <v>113.9</v>
      </c>
      <c r="AS131" s="74">
        <f t="shared" si="74"/>
        <v>0</v>
      </c>
      <c r="AT131" s="76">
        <v>105</v>
      </c>
      <c r="AU131" s="74">
        <f t="shared" si="75"/>
        <v>785931.97721724981</v>
      </c>
      <c r="AV131" s="76">
        <v>124</v>
      </c>
      <c r="AW131" s="74">
        <f t="shared" si="70"/>
        <v>0</v>
      </c>
      <c r="AX131" s="76">
        <v>122</v>
      </c>
      <c r="AY131" s="77">
        <f t="shared" si="71"/>
        <v>793538</v>
      </c>
      <c r="AZ131" s="78">
        <v>125.2</v>
      </c>
      <c r="BA131" s="77">
        <f t="shared" si="72"/>
        <v>0</v>
      </c>
      <c r="BB131" s="78">
        <v>123.3</v>
      </c>
      <c r="BC131" s="59"/>
      <c r="BD131" s="59"/>
      <c r="BE131" s="80"/>
      <c r="BF131" s="80"/>
      <c r="BG131" s="80"/>
      <c r="BH131" s="73"/>
      <c r="BI131" s="73"/>
      <c r="BJ131" s="73"/>
      <c r="BK131" s="73"/>
      <c r="BL131" s="79"/>
      <c r="BM131" s="79"/>
      <c r="BN131" s="58"/>
      <c r="BO131" s="58"/>
      <c r="BP131" s="58"/>
      <c r="BR131" s="91"/>
      <c r="BV131" s="18"/>
      <c r="BW131" s="18"/>
    </row>
    <row r="132" spans="1:75" x14ac:dyDescent="0.3">
      <c r="A132" t="s">
        <v>1084</v>
      </c>
      <c r="B132" s="20" t="s">
        <v>1070</v>
      </c>
      <c r="C132" s="20" t="s">
        <v>1302</v>
      </c>
      <c r="D132" s="57" t="s">
        <v>1181</v>
      </c>
      <c r="E132" s="58" t="s">
        <v>1101</v>
      </c>
      <c r="F132" s="96"/>
      <c r="G132" s="96"/>
      <c r="H132" s="58" t="s">
        <v>470</v>
      </c>
      <c r="I132" s="58" t="s">
        <v>470</v>
      </c>
      <c r="J132" s="59">
        <v>772723</v>
      </c>
      <c r="K132" s="95" t="s">
        <v>1440</v>
      </c>
      <c r="L132" s="95"/>
      <c r="M132" s="58" t="s">
        <v>72</v>
      </c>
      <c r="N132" s="59">
        <v>11</v>
      </c>
      <c r="O132" s="58" t="s">
        <v>40</v>
      </c>
      <c r="P132" s="58" t="s">
        <v>1071</v>
      </c>
      <c r="Q132" s="58" t="s">
        <v>42</v>
      </c>
      <c r="R132" s="58" t="s">
        <v>471</v>
      </c>
      <c r="S132" s="58" t="s">
        <v>42</v>
      </c>
      <c r="T132" s="73">
        <v>1670000</v>
      </c>
      <c r="U132" s="74">
        <f t="shared" ref="U132:U163" si="81">122.9*T132/121.1</f>
        <v>1694822.460776218</v>
      </c>
      <c r="V132" s="74">
        <v>157100</v>
      </c>
      <c r="W132" s="74">
        <v>1430399</v>
      </c>
      <c r="X132" s="74">
        <v>159380</v>
      </c>
      <c r="Y132" s="74">
        <v>985.63</v>
      </c>
      <c r="Z132" s="74">
        <v>92.72</v>
      </c>
      <c r="AA132" s="75" t="s">
        <v>43</v>
      </c>
      <c r="AB132" s="74"/>
      <c r="AC132" s="74"/>
      <c r="AD132" s="75" t="s">
        <v>43</v>
      </c>
      <c r="AE132" s="74"/>
      <c r="AF132" s="74"/>
      <c r="AG132" s="74">
        <v>0</v>
      </c>
      <c r="AH132" s="75" t="s">
        <v>42</v>
      </c>
      <c r="AI132" s="74"/>
      <c r="AJ132" s="74">
        <f t="shared" si="76"/>
        <v>159291.45597210113</v>
      </c>
      <c r="AK132" s="74">
        <f t="shared" si="77"/>
        <v>1918224.6077621798</v>
      </c>
      <c r="AL132" s="74">
        <f t="shared" si="78"/>
        <v>166550.65387968611</v>
      </c>
      <c r="AM132" s="74">
        <f>AK132*1.05</f>
        <v>2014135.8381502889</v>
      </c>
      <c r="AN132" s="74">
        <v>415378.2</v>
      </c>
      <c r="AO132" s="74">
        <f t="shared" si="79"/>
        <v>2071682.5763831544</v>
      </c>
      <c r="AP132" s="74">
        <f t="shared" si="80"/>
        <v>415378.2</v>
      </c>
      <c r="AQ132" s="74">
        <f t="shared" si="73"/>
        <v>2184857.8282411229</v>
      </c>
      <c r="AR132" s="76">
        <v>113.9</v>
      </c>
      <c r="AS132" s="74">
        <f t="shared" si="74"/>
        <v>415378.2</v>
      </c>
      <c r="AT132" s="76">
        <v>105</v>
      </c>
      <c r="AU132" s="74">
        <f t="shared" si="75"/>
        <v>2378598.513625103</v>
      </c>
      <c r="AV132" s="76">
        <v>124</v>
      </c>
      <c r="AW132" s="74">
        <f t="shared" si="70"/>
        <v>482629.90857142856</v>
      </c>
      <c r="AX132" s="76">
        <v>122</v>
      </c>
      <c r="AY132" s="77">
        <f t="shared" si="71"/>
        <v>2401618</v>
      </c>
      <c r="AZ132" s="78">
        <v>125.2</v>
      </c>
      <c r="BA132" s="77">
        <f t="shared" si="72"/>
        <v>487773</v>
      </c>
      <c r="BB132" s="78">
        <v>123.3</v>
      </c>
      <c r="BC132" s="79">
        <v>37987</v>
      </c>
      <c r="BD132" s="59"/>
      <c r="BE132" s="80">
        <v>938.29</v>
      </c>
      <c r="BF132" s="80">
        <v>932.62</v>
      </c>
      <c r="BG132" s="80">
        <v>828.61</v>
      </c>
      <c r="BH132" s="73"/>
      <c r="BI132" s="73"/>
      <c r="BJ132" s="73"/>
      <c r="BK132" s="73"/>
      <c r="BL132" s="79">
        <v>43151</v>
      </c>
      <c r="BM132" s="79">
        <v>36434</v>
      </c>
      <c r="BN132" s="58" t="s">
        <v>44</v>
      </c>
      <c r="BO132" s="58" t="s">
        <v>70</v>
      </c>
      <c r="BP132" s="58" t="s">
        <v>472</v>
      </c>
      <c r="BQ132">
        <v>2016</v>
      </c>
      <c r="BR132" s="59" t="s">
        <v>1005</v>
      </c>
      <c r="BV132" s="18"/>
      <c r="BW132" s="18"/>
    </row>
    <row r="133" spans="1:75" x14ac:dyDescent="0.3">
      <c r="B133" s="20" t="s">
        <v>473</v>
      </c>
      <c r="C133" s="20" t="s">
        <v>1303</v>
      </c>
      <c r="D133" s="57" t="s">
        <v>1181</v>
      </c>
      <c r="E133" s="58" t="s">
        <v>1101</v>
      </c>
      <c r="F133" s="96"/>
      <c r="G133" s="96"/>
      <c r="H133" s="58" t="s">
        <v>470</v>
      </c>
      <c r="I133" s="58" t="s">
        <v>470</v>
      </c>
      <c r="J133" s="59">
        <v>772723</v>
      </c>
      <c r="K133" s="95" t="s">
        <v>1440</v>
      </c>
      <c r="L133" s="95"/>
      <c r="M133" s="58" t="s">
        <v>72</v>
      </c>
      <c r="N133" s="59">
        <v>11</v>
      </c>
      <c r="O133" s="58" t="s">
        <v>40</v>
      </c>
      <c r="P133" s="58" t="s">
        <v>474</v>
      </c>
      <c r="Q133" s="58" t="s">
        <v>92</v>
      </c>
      <c r="R133" s="58" t="s">
        <v>475</v>
      </c>
      <c r="S133" s="58" t="s">
        <v>42</v>
      </c>
      <c r="T133" s="73">
        <v>2760000</v>
      </c>
      <c r="U133" s="74">
        <f t="shared" si="81"/>
        <v>2801023.9471511147</v>
      </c>
      <c r="V133" s="74">
        <v>680000</v>
      </c>
      <c r="W133" s="74">
        <v>2564855</v>
      </c>
      <c r="X133" s="74">
        <v>600668</v>
      </c>
      <c r="Y133" s="74">
        <v>1628.95</v>
      </c>
      <c r="Z133" s="74">
        <v>401.34</v>
      </c>
      <c r="AA133" s="75" t="s">
        <v>43</v>
      </c>
      <c r="AB133" s="74"/>
      <c r="AC133" s="74"/>
      <c r="AD133" s="75" t="s">
        <v>43</v>
      </c>
      <c r="AE133" s="74"/>
      <c r="AF133" s="74"/>
      <c r="AG133" s="74">
        <v>0</v>
      </c>
      <c r="AH133" s="75" t="s">
        <v>42</v>
      </c>
      <c r="AI133" s="74"/>
      <c r="AJ133" s="74">
        <f t="shared" si="76"/>
        <v>689485.61464690499</v>
      </c>
      <c r="AK133" s="74">
        <f t="shared" si="77"/>
        <v>3170239.4715111475</v>
      </c>
      <c r="AL133" s="74">
        <f t="shared" si="78"/>
        <v>720906.71316477761</v>
      </c>
      <c r="AM133" s="74">
        <f>AK133*1.05+85245</f>
        <v>3413996.445086705</v>
      </c>
      <c r="AN133" s="74">
        <f t="shared" ref="AN133:AN163" si="82">AL133*1.05</f>
        <v>756952.04882301658</v>
      </c>
      <c r="AO133" s="74">
        <f t="shared" si="79"/>
        <v>3511539.2006606106</v>
      </c>
      <c r="AP133" s="74">
        <f t="shared" si="80"/>
        <v>756952.04882301658</v>
      </c>
      <c r="AQ133" s="74">
        <f t="shared" si="73"/>
        <v>3703373.2866226253</v>
      </c>
      <c r="AR133" s="76">
        <v>113.9</v>
      </c>
      <c r="AS133" s="74">
        <f t="shared" si="74"/>
        <v>756952.04882301658</v>
      </c>
      <c r="AT133" s="76">
        <v>105</v>
      </c>
      <c r="AU133" s="74">
        <f t="shared" si="75"/>
        <v>4031767.2303881082</v>
      </c>
      <c r="AV133" s="76">
        <v>124</v>
      </c>
      <c r="AW133" s="74">
        <f t="shared" si="70"/>
        <v>879506.19006102881</v>
      </c>
      <c r="AX133" s="76">
        <v>122</v>
      </c>
      <c r="AY133" s="77">
        <f t="shared" si="71"/>
        <v>4070785</v>
      </c>
      <c r="AZ133" s="78">
        <v>125.2</v>
      </c>
      <c r="BA133" s="77">
        <f t="shared" si="72"/>
        <v>888878</v>
      </c>
      <c r="BB133" s="78">
        <v>123.3</v>
      </c>
      <c r="BC133" s="79">
        <v>36526</v>
      </c>
      <c r="BD133" s="59"/>
      <c r="BE133" s="80">
        <v>1868.29</v>
      </c>
      <c r="BF133" s="80">
        <v>1858.11</v>
      </c>
      <c r="BG133" s="80">
        <v>1837.19</v>
      </c>
      <c r="BH133" s="73"/>
      <c r="BI133" s="73"/>
      <c r="BJ133" s="73"/>
      <c r="BK133" s="73"/>
      <c r="BL133" s="79">
        <v>42996</v>
      </c>
      <c r="BM133" s="79">
        <v>36434</v>
      </c>
      <c r="BN133" s="58" t="s">
        <v>44</v>
      </c>
      <c r="BO133" s="58" t="s">
        <v>70</v>
      </c>
      <c r="BP133" s="58" t="s">
        <v>184</v>
      </c>
      <c r="BQ133">
        <v>2016</v>
      </c>
      <c r="BR133" s="59" t="s">
        <v>1005</v>
      </c>
      <c r="BV133" s="18"/>
      <c r="BW133" s="18"/>
    </row>
    <row r="134" spans="1:75" x14ac:dyDescent="0.3">
      <c r="B134" s="20" t="s">
        <v>476</v>
      </c>
      <c r="C134" s="20" t="s">
        <v>476</v>
      </c>
      <c r="D134" s="57" t="s">
        <v>1181</v>
      </c>
      <c r="E134" s="58" t="s">
        <v>1101</v>
      </c>
      <c r="F134" s="97" t="s">
        <v>1473</v>
      </c>
      <c r="G134" s="97" t="s">
        <v>1473</v>
      </c>
      <c r="H134" s="58" t="s">
        <v>470</v>
      </c>
      <c r="I134" s="58" t="s">
        <v>470</v>
      </c>
      <c r="J134" s="59">
        <v>772723</v>
      </c>
      <c r="K134" s="95" t="s">
        <v>1440</v>
      </c>
      <c r="L134" s="104" t="s">
        <v>1472</v>
      </c>
      <c r="M134" s="58" t="s">
        <v>72</v>
      </c>
      <c r="N134" s="59">
        <v>11</v>
      </c>
      <c r="O134" s="58" t="s">
        <v>40</v>
      </c>
      <c r="P134" s="58" t="s">
        <v>477</v>
      </c>
      <c r="Q134" s="58" t="s">
        <v>107</v>
      </c>
      <c r="R134" s="58" t="s">
        <v>478</v>
      </c>
      <c r="S134" s="58" t="s">
        <v>42</v>
      </c>
      <c r="T134" s="73">
        <v>11650000</v>
      </c>
      <c r="U134" s="74">
        <f t="shared" si="81"/>
        <v>11823162.675474815</v>
      </c>
      <c r="V134" s="74">
        <v>4187500</v>
      </c>
      <c r="W134" s="74">
        <v>10851310</v>
      </c>
      <c r="X134" s="74">
        <v>3339816</v>
      </c>
      <c r="Y134" s="74">
        <v>6875.83</v>
      </c>
      <c r="Z134" s="74">
        <v>2471.46</v>
      </c>
      <c r="AA134" s="75" t="s">
        <v>43</v>
      </c>
      <c r="AB134" s="74"/>
      <c r="AC134" s="74"/>
      <c r="AD134" s="75" t="s">
        <v>43</v>
      </c>
      <c r="AE134" s="74"/>
      <c r="AF134" s="74"/>
      <c r="AG134" s="74">
        <v>0</v>
      </c>
      <c r="AH134" s="75" t="s">
        <v>42</v>
      </c>
      <c r="AI134" s="74"/>
      <c r="AJ134" s="74">
        <f t="shared" si="76"/>
        <v>4245913.2519616392</v>
      </c>
      <c r="AK134" s="74">
        <f t="shared" si="77"/>
        <v>13381626.754748141</v>
      </c>
      <c r="AL134" s="74">
        <f t="shared" si="78"/>
        <v>4439407.149084568</v>
      </c>
      <c r="AM134" s="74">
        <f>AK134*1.05+(240500)</f>
        <v>14291208.092485549</v>
      </c>
      <c r="AN134" s="74">
        <f t="shared" si="82"/>
        <v>4661377.5065387962</v>
      </c>
      <c r="AO134" s="74">
        <f t="shared" si="79"/>
        <v>14699528.323699422</v>
      </c>
      <c r="AP134" s="74">
        <f t="shared" si="80"/>
        <v>4661377.5065387962</v>
      </c>
      <c r="AQ134" s="74">
        <f t="shared" si="73"/>
        <v>15502558.111753372</v>
      </c>
      <c r="AR134" s="76">
        <v>113.9</v>
      </c>
      <c r="AS134" s="74">
        <f t="shared" si="74"/>
        <v>4661377.5065387962</v>
      </c>
      <c r="AT134" s="76">
        <v>105</v>
      </c>
      <c r="AU134" s="74">
        <f t="shared" si="75"/>
        <v>16877236.223506745</v>
      </c>
      <c r="AV134" s="76">
        <v>124</v>
      </c>
      <c r="AW134" s="74">
        <f t="shared" si="70"/>
        <v>5416076.7218831731</v>
      </c>
      <c r="AX134" s="76">
        <v>122</v>
      </c>
      <c r="AY134" s="77">
        <f t="shared" si="71"/>
        <v>17040565</v>
      </c>
      <c r="AZ134" s="78">
        <v>125.2</v>
      </c>
      <c r="BA134" s="77">
        <f t="shared" si="72"/>
        <v>5473790</v>
      </c>
      <c r="BB134" s="78">
        <v>123.3</v>
      </c>
      <c r="BC134" s="79">
        <v>37622</v>
      </c>
      <c r="BD134" s="59"/>
      <c r="BE134" s="80">
        <v>8375.6</v>
      </c>
      <c r="BF134" s="80">
        <v>8332.5499999999993</v>
      </c>
      <c r="BG134" s="80">
        <v>8239.8799999999992</v>
      </c>
      <c r="BH134" s="73"/>
      <c r="BI134" s="73"/>
      <c r="BJ134" s="73"/>
      <c r="BK134" s="73"/>
      <c r="BL134" s="79">
        <v>43046</v>
      </c>
      <c r="BM134" s="79">
        <v>37735</v>
      </c>
      <c r="BN134" s="58" t="s">
        <v>44</v>
      </c>
      <c r="BO134" s="58" t="s">
        <v>44</v>
      </c>
      <c r="BP134" s="58" t="s">
        <v>184</v>
      </c>
      <c r="BQ134">
        <v>2016</v>
      </c>
      <c r="BR134" s="59" t="s">
        <v>1005</v>
      </c>
      <c r="BV134" s="18"/>
      <c r="BW134" s="18"/>
    </row>
    <row r="135" spans="1:75" x14ac:dyDescent="0.3">
      <c r="B135" s="20" t="s">
        <v>476</v>
      </c>
      <c r="C135" s="20" t="s">
        <v>476</v>
      </c>
      <c r="D135" s="57" t="s">
        <v>1181</v>
      </c>
      <c r="E135" s="58" t="s">
        <v>1101</v>
      </c>
      <c r="F135" s="96"/>
      <c r="G135" s="96"/>
      <c r="H135" s="58" t="s">
        <v>470</v>
      </c>
      <c r="I135" s="58" t="s">
        <v>470</v>
      </c>
      <c r="J135" s="59">
        <v>772723</v>
      </c>
      <c r="K135" s="95" t="s">
        <v>43</v>
      </c>
      <c r="L135" s="95"/>
      <c r="M135" s="58" t="s">
        <v>72</v>
      </c>
      <c r="N135" s="59">
        <v>11</v>
      </c>
      <c r="O135" s="58" t="s">
        <v>40</v>
      </c>
      <c r="P135" s="58" t="s">
        <v>479</v>
      </c>
      <c r="Q135" s="58" t="s">
        <v>42</v>
      </c>
      <c r="R135" s="58" t="s">
        <v>480</v>
      </c>
      <c r="S135" s="58" t="s">
        <v>42</v>
      </c>
      <c r="T135" s="73">
        <v>6100000</v>
      </c>
      <c r="U135" s="74">
        <f t="shared" si="81"/>
        <v>6190668.8687035507</v>
      </c>
      <c r="V135" s="74">
        <v>2325000</v>
      </c>
      <c r="W135" s="74">
        <v>4704666</v>
      </c>
      <c r="X135" s="74">
        <v>635169</v>
      </c>
      <c r="Y135" s="74">
        <v>3600.22</v>
      </c>
      <c r="Z135" s="74">
        <v>1372.22</v>
      </c>
      <c r="AA135" s="75" t="s">
        <v>43</v>
      </c>
      <c r="AB135" s="74"/>
      <c r="AC135" s="74"/>
      <c r="AD135" s="75" t="s">
        <v>43</v>
      </c>
      <c r="AE135" s="74"/>
      <c r="AF135" s="74"/>
      <c r="AG135" s="74">
        <v>2012</v>
      </c>
      <c r="AH135" s="75" t="s">
        <v>42</v>
      </c>
      <c r="AI135" s="74"/>
      <c r="AJ135" s="74">
        <f t="shared" si="76"/>
        <v>2357432.4324324322</v>
      </c>
      <c r="AK135" s="74">
        <f t="shared" si="77"/>
        <v>7006688.6870355075</v>
      </c>
      <c r="AL135" s="74">
        <f t="shared" si="78"/>
        <v>2464864.8648648644</v>
      </c>
      <c r="AM135" s="74">
        <f t="shared" ref="AM135:AM163" si="83">AK135*1.05</f>
        <v>7357023.1213872833</v>
      </c>
      <c r="AN135" s="74">
        <f t="shared" si="82"/>
        <v>2588108.1081081079</v>
      </c>
      <c r="AO135" s="74">
        <f t="shared" si="79"/>
        <v>7567223.7819983494</v>
      </c>
      <c r="AP135" s="74">
        <f t="shared" si="80"/>
        <v>2588108.1081081079</v>
      </c>
      <c r="AQ135" s="74">
        <f t="shared" si="73"/>
        <v>7980618.4145334447</v>
      </c>
      <c r="AR135" s="76">
        <v>113.9</v>
      </c>
      <c r="AS135" s="74">
        <f t="shared" si="74"/>
        <v>2588108.1081081079</v>
      </c>
      <c r="AT135" s="76">
        <v>105</v>
      </c>
      <c r="AU135" s="74">
        <f t="shared" si="75"/>
        <v>8688293.9719240312</v>
      </c>
      <c r="AV135" s="76">
        <v>124</v>
      </c>
      <c r="AW135" s="74">
        <f t="shared" si="70"/>
        <v>3007135.1351351347</v>
      </c>
      <c r="AX135" s="76">
        <v>122</v>
      </c>
      <c r="AY135" s="77">
        <f t="shared" si="71"/>
        <v>8772375</v>
      </c>
      <c r="AZ135" s="78">
        <v>125.2</v>
      </c>
      <c r="BA135" s="77">
        <f t="shared" si="72"/>
        <v>3039179</v>
      </c>
      <c r="BB135" s="78">
        <v>123.3</v>
      </c>
      <c r="BC135" s="79">
        <v>41091</v>
      </c>
      <c r="BD135" s="59"/>
      <c r="BE135" s="80">
        <v>3151.57</v>
      </c>
      <c r="BF135" s="80">
        <v>3132.91</v>
      </c>
      <c r="BG135" s="80">
        <v>3096.94</v>
      </c>
      <c r="BH135" s="73"/>
      <c r="BI135" s="73"/>
      <c r="BJ135" s="73"/>
      <c r="BK135" s="73"/>
      <c r="BL135" s="79">
        <v>42996</v>
      </c>
      <c r="BM135" s="79">
        <v>41254</v>
      </c>
      <c r="BN135" s="58" t="s">
        <v>44</v>
      </c>
      <c r="BO135" s="58" t="s">
        <v>44</v>
      </c>
      <c r="BP135" s="58" t="s">
        <v>221</v>
      </c>
      <c r="BQ135">
        <v>2016</v>
      </c>
      <c r="BR135" s="59"/>
      <c r="BV135" s="18"/>
      <c r="BW135" s="18"/>
    </row>
    <row r="136" spans="1:75" x14ac:dyDescent="0.3">
      <c r="B136" s="20" t="s">
        <v>481</v>
      </c>
      <c r="C136" s="20" t="s">
        <v>1304</v>
      </c>
      <c r="D136" s="57" t="s">
        <v>494</v>
      </c>
      <c r="E136" s="58" t="s">
        <v>986</v>
      </c>
      <c r="F136" s="96"/>
      <c r="G136" s="96"/>
      <c r="H136" s="58" t="s">
        <v>482</v>
      </c>
      <c r="I136" s="58" t="s">
        <v>482</v>
      </c>
      <c r="J136" s="59">
        <v>772724</v>
      </c>
      <c r="K136" s="95" t="s">
        <v>43</v>
      </c>
      <c r="L136" s="95"/>
      <c r="M136" s="58" t="s">
        <v>66</v>
      </c>
      <c r="N136" s="59">
        <v>11</v>
      </c>
      <c r="O136" s="58" t="s">
        <v>40</v>
      </c>
      <c r="P136" s="58" t="s">
        <v>123</v>
      </c>
      <c r="Q136" s="58" t="s">
        <v>124</v>
      </c>
      <c r="R136" s="58" t="s">
        <v>483</v>
      </c>
      <c r="S136" s="58" t="s">
        <v>42</v>
      </c>
      <c r="T136" s="73">
        <v>1450000</v>
      </c>
      <c r="U136" s="74">
        <f t="shared" si="81"/>
        <v>1471552.4360033032</v>
      </c>
      <c r="V136" s="74">
        <v>95000</v>
      </c>
      <c r="W136" s="74">
        <v>1282427</v>
      </c>
      <c r="X136" s="74">
        <v>132098</v>
      </c>
      <c r="Y136" s="74">
        <v>855.79</v>
      </c>
      <c r="Z136" s="74">
        <v>56.07</v>
      </c>
      <c r="AA136" s="75" t="s">
        <v>43</v>
      </c>
      <c r="AB136" s="74"/>
      <c r="AC136" s="74"/>
      <c r="AD136" s="75" t="s">
        <v>43</v>
      </c>
      <c r="AE136" s="74"/>
      <c r="AF136" s="74"/>
      <c r="AG136" s="74">
        <v>0</v>
      </c>
      <c r="AH136" s="75" t="s">
        <v>42</v>
      </c>
      <c r="AI136" s="74"/>
      <c r="AJ136" s="74">
        <f t="shared" si="76"/>
        <v>96325.196163905843</v>
      </c>
      <c r="AK136" s="74">
        <f t="shared" si="77"/>
        <v>1665524.3600330306</v>
      </c>
      <c r="AL136" s="74">
        <f t="shared" si="78"/>
        <v>100714.90845684393</v>
      </c>
      <c r="AM136" s="74">
        <f t="shared" si="83"/>
        <v>1748800.5780346822</v>
      </c>
      <c r="AN136" s="74">
        <f t="shared" si="82"/>
        <v>105750.65387968613</v>
      </c>
      <c r="AO136" s="74">
        <f t="shared" si="79"/>
        <v>1798766.3088356734</v>
      </c>
      <c r="AP136" s="74">
        <f t="shared" si="80"/>
        <v>105750.65387968613</v>
      </c>
      <c r="AQ136" s="74">
        <f t="shared" si="73"/>
        <v>1897032.2460776223</v>
      </c>
      <c r="AR136" s="76">
        <v>113.9</v>
      </c>
      <c r="AS136" s="74">
        <f t="shared" si="74"/>
        <v>105750.65387968613</v>
      </c>
      <c r="AT136" s="76">
        <v>105</v>
      </c>
      <c r="AU136" s="74">
        <f t="shared" si="75"/>
        <v>2065250.2064409582</v>
      </c>
      <c r="AV136" s="76">
        <v>124</v>
      </c>
      <c r="AW136" s="74">
        <f t="shared" si="70"/>
        <v>122872.1883173496</v>
      </c>
      <c r="AX136" s="76">
        <v>122</v>
      </c>
      <c r="AY136" s="77">
        <f t="shared" si="71"/>
        <v>2085237</v>
      </c>
      <c r="AZ136" s="78">
        <v>125.2</v>
      </c>
      <c r="BA136" s="77">
        <f t="shared" si="72"/>
        <v>124182</v>
      </c>
      <c r="BB136" s="78">
        <v>123.3</v>
      </c>
      <c r="BC136" s="79">
        <v>36482</v>
      </c>
      <c r="BD136" s="59"/>
      <c r="BE136" s="80">
        <v>834.85</v>
      </c>
      <c r="BF136" s="80">
        <v>829.76</v>
      </c>
      <c r="BG136" s="80">
        <v>820.18</v>
      </c>
      <c r="BH136" s="73"/>
      <c r="BI136" s="73"/>
      <c r="BJ136" s="73"/>
      <c r="BK136" s="73"/>
      <c r="BL136" s="79">
        <v>42996</v>
      </c>
      <c r="BM136" s="79">
        <v>36434</v>
      </c>
      <c r="BN136" s="58" t="s">
        <v>44</v>
      </c>
      <c r="BO136" s="58" t="s">
        <v>70</v>
      </c>
      <c r="BP136" s="58" t="s">
        <v>184</v>
      </c>
      <c r="BQ136">
        <v>2016</v>
      </c>
      <c r="BR136" s="59"/>
      <c r="BV136" s="18"/>
      <c r="BW136" s="18"/>
    </row>
    <row r="137" spans="1:75" x14ac:dyDescent="0.3">
      <c r="B137" s="20" t="s">
        <v>484</v>
      </c>
      <c r="C137" s="20" t="s">
        <v>484</v>
      </c>
      <c r="D137" s="57" t="s">
        <v>494</v>
      </c>
      <c r="E137" s="58" t="s">
        <v>986</v>
      </c>
      <c r="F137" s="97" t="s">
        <v>1473</v>
      </c>
      <c r="G137" s="97" t="s">
        <v>1473</v>
      </c>
      <c r="H137" s="58" t="s">
        <v>482</v>
      </c>
      <c r="I137" s="58" t="s">
        <v>482</v>
      </c>
      <c r="J137" s="59">
        <v>772723</v>
      </c>
      <c r="K137" s="95" t="s">
        <v>1440</v>
      </c>
      <c r="L137" s="104" t="s">
        <v>1472</v>
      </c>
      <c r="M137" s="58" t="s">
        <v>72</v>
      </c>
      <c r="N137" s="59">
        <v>11</v>
      </c>
      <c r="O137" s="58" t="s">
        <v>40</v>
      </c>
      <c r="P137" s="58" t="s">
        <v>485</v>
      </c>
      <c r="Q137" s="58" t="s">
        <v>92</v>
      </c>
      <c r="R137" s="58" t="s">
        <v>486</v>
      </c>
      <c r="S137" s="58" t="s">
        <v>42</v>
      </c>
      <c r="T137" s="73">
        <v>8130000</v>
      </c>
      <c r="U137" s="74">
        <f t="shared" si="81"/>
        <v>8250842.2791081751</v>
      </c>
      <c r="V137" s="74"/>
      <c r="W137" s="74">
        <v>7595917</v>
      </c>
      <c r="X137" s="74"/>
      <c r="Y137" s="74">
        <v>4798.33</v>
      </c>
      <c r="Z137" s="74"/>
      <c r="AA137" s="75" t="s">
        <v>43</v>
      </c>
      <c r="AB137" s="74"/>
      <c r="AC137" s="74"/>
      <c r="AD137" s="75" t="s">
        <v>43</v>
      </c>
      <c r="AE137" s="74"/>
      <c r="AF137" s="74"/>
      <c r="AG137" s="74">
        <v>0</v>
      </c>
      <c r="AH137" s="75" t="s">
        <v>42</v>
      </c>
      <c r="AI137" s="74"/>
      <c r="AJ137" s="74">
        <f t="shared" si="76"/>
        <v>0</v>
      </c>
      <c r="AK137" s="74">
        <f t="shared" si="77"/>
        <v>9338422.7910817508</v>
      </c>
      <c r="AL137" s="74">
        <f t="shared" si="78"/>
        <v>0</v>
      </c>
      <c r="AM137" s="74">
        <f t="shared" si="83"/>
        <v>9805343.9306358378</v>
      </c>
      <c r="AN137" s="74">
        <f t="shared" si="82"/>
        <v>0</v>
      </c>
      <c r="AO137" s="74">
        <f>AM137/105*108+2991+5234</f>
        <v>10093721.61436829</v>
      </c>
      <c r="AP137" s="74">
        <f t="shared" si="80"/>
        <v>0</v>
      </c>
      <c r="AQ137" s="74">
        <f t="shared" si="73"/>
        <v>10645137.887745816</v>
      </c>
      <c r="AR137" s="76">
        <v>113.9</v>
      </c>
      <c r="AS137" s="74">
        <f t="shared" si="74"/>
        <v>0</v>
      </c>
      <c r="AT137" s="76">
        <v>105</v>
      </c>
      <c r="AU137" s="74">
        <f t="shared" si="75"/>
        <v>11589087.779459888</v>
      </c>
      <c r="AV137" s="76">
        <v>124</v>
      </c>
      <c r="AW137" s="74">
        <f t="shared" si="70"/>
        <v>0</v>
      </c>
      <c r="AX137" s="76">
        <v>122</v>
      </c>
      <c r="AY137" s="77">
        <f t="shared" si="71"/>
        <v>11701241</v>
      </c>
      <c r="AZ137" s="78">
        <v>125.2</v>
      </c>
      <c r="BA137" s="77">
        <f t="shared" si="72"/>
        <v>0</v>
      </c>
      <c r="BB137" s="78">
        <v>123.3</v>
      </c>
      <c r="BC137" s="79">
        <v>36526</v>
      </c>
      <c r="BD137" s="59"/>
      <c r="BE137" s="80">
        <v>4483.1099999999997</v>
      </c>
      <c r="BF137" s="80">
        <v>4452.97</v>
      </c>
      <c r="BG137" s="80">
        <v>4400.2299999999996</v>
      </c>
      <c r="BH137" s="73"/>
      <c r="BI137" s="73"/>
      <c r="BJ137" s="73"/>
      <c r="BK137" s="73"/>
      <c r="BL137" s="79">
        <v>42996</v>
      </c>
      <c r="BM137" s="79">
        <v>36434</v>
      </c>
      <c r="BN137" s="58" t="s">
        <v>44</v>
      </c>
      <c r="BO137" s="58" t="s">
        <v>70</v>
      </c>
      <c r="BP137" s="58" t="s">
        <v>316</v>
      </c>
      <c r="BQ137">
        <v>2016</v>
      </c>
      <c r="BR137" s="59" t="s">
        <v>1005</v>
      </c>
      <c r="BV137" s="18"/>
      <c r="BW137" s="18"/>
    </row>
    <row r="138" spans="1:75" x14ac:dyDescent="0.3">
      <c r="B138" s="20" t="s">
        <v>487</v>
      </c>
      <c r="C138" s="20" t="s">
        <v>487</v>
      </c>
      <c r="D138" s="57" t="s">
        <v>494</v>
      </c>
      <c r="E138" s="58" t="s">
        <v>986</v>
      </c>
      <c r="F138" s="96"/>
      <c r="G138" s="96"/>
      <c r="H138" s="58" t="s">
        <v>482</v>
      </c>
      <c r="I138" s="58" t="s">
        <v>482</v>
      </c>
      <c r="J138" s="59">
        <v>772722</v>
      </c>
      <c r="K138" s="95" t="s">
        <v>1461</v>
      </c>
      <c r="L138" s="95"/>
      <c r="M138" s="58" t="s">
        <v>488</v>
      </c>
      <c r="N138" s="59">
        <v>11</v>
      </c>
      <c r="O138" s="58" t="s">
        <v>40</v>
      </c>
      <c r="P138" s="58" t="s">
        <v>489</v>
      </c>
      <c r="Q138" s="58" t="s">
        <v>92</v>
      </c>
      <c r="R138" s="58" t="s">
        <v>490</v>
      </c>
      <c r="S138" s="58" t="s">
        <v>42</v>
      </c>
      <c r="T138" s="73"/>
      <c r="U138" s="74">
        <f t="shared" si="81"/>
        <v>0</v>
      </c>
      <c r="V138" s="74">
        <v>430000</v>
      </c>
      <c r="W138" s="74"/>
      <c r="X138" s="74">
        <v>373860</v>
      </c>
      <c r="Y138" s="74"/>
      <c r="Z138" s="74">
        <v>253.79</v>
      </c>
      <c r="AA138" s="75" t="s">
        <v>43</v>
      </c>
      <c r="AB138" s="74"/>
      <c r="AC138" s="74"/>
      <c r="AD138" s="75" t="s">
        <v>43</v>
      </c>
      <c r="AE138" s="74"/>
      <c r="AF138" s="74"/>
      <c r="AG138" s="74">
        <v>0</v>
      </c>
      <c r="AH138" s="75" t="s">
        <v>42</v>
      </c>
      <c r="AI138" s="74"/>
      <c r="AJ138" s="74">
        <f t="shared" si="76"/>
        <v>435998.25632083695</v>
      </c>
      <c r="AK138" s="74">
        <f t="shared" si="77"/>
        <v>0</v>
      </c>
      <c r="AL138" s="74">
        <f t="shared" si="78"/>
        <v>455867.48038360936</v>
      </c>
      <c r="AM138" s="74">
        <f t="shared" si="83"/>
        <v>0</v>
      </c>
      <c r="AN138" s="74">
        <f t="shared" si="82"/>
        <v>478660.85440278985</v>
      </c>
      <c r="AO138" s="74">
        <f>AM138/105*108</f>
        <v>0</v>
      </c>
      <c r="AP138" s="74">
        <f t="shared" si="80"/>
        <v>478660.85440278985</v>
      </c>
      <c r="AQ138" s="74">
        <f t="shared" si="73"/>
        <v>0</v>
      </c>
      <c r="AR138" s="76">
        <v>113.9</v>
      </c>
      <c r="AS138" s="74">
        <f t="shared" si="74"/>
        <v>478660.85440278985</v>
      </c>
      <c r="AT138" s="76">
        <v>105</v>
      </c>
      <c r="AU138" s="74">
        <f t="shared" si="75"/>
        <v>0</v>
      </c>
      <c r="AV138" s="76">
        <v>124</v>
      </c>
      <c r="AW138" s="74">
        <f t="shared" si="70"/>
        <v>556158.32606800343</v>
      </c>
      <c r="AX138" s="76">
        <v>122</v>
      </c>
      <c r="AY138" s="77">
        <f t="shared" si="71"/>
        <v>0</v>
      </c>
      <c r="AZ138" s="78">
        <v>125.2</v>
      </c>
      <c r="BA138" s="77">
        <f t="shared" si="72"/>
        <v>562085</v>
      </c>
      <c r="BB138" s="78">
        <v>123.3</v>
      </c>
      <c r="BC138" s="79">
        <v>39995</v>
      </c>
      <c r="BD138" s="59"/>
      <c r="BE138" s="80">
        <v>220.65</v>
      </c>
      <c r="BF138" s="80">
        <v>220.65</v>
      </c>
      <c r="BG138" s="80">
        <v>218.71</v>
      </c>
      <c r="BH138" s="73"/>
      <c r="BI138" s="73"/>
      <c r="BJ138" s="73"/>
      <c r="BK138" s="73"/>
      <c r="BL138" s="79">
        <v>42996</v>
      </c>
      <c r="BM138" s="79">
        <v>40196</v>
      </c>
      <c r="BN138" s="58" t="s">
        <v>44</v>
      </c>
      <c r="BO138" s="58" t="s">
        <v>44</v>
      </c>
      <c r="BP138" s="58" t="s">
        <v>184</v>
      </c>
      <c r="BQ138">
        <v>2016</v>
      </c>
      <c r="BR138" s="59"/>
      <c r="BV138" s="18"/>
      <c r="BW138" s="18"/>
    </row>
    <row r="139" spans="1:75" x14ac:dyDescent="0.3">
      <c r="B139" s="20" t="s">
        <v>491</v>
      </c>
      <c r="C139" s="20" t="s">
        <v>491</v>
      </c>
      <c r="D139" s="57" t="s">
        <v>494</v>
      </c>
      <c r="E139" s="58" t="s">
        <v>986</v>
      </c>
      <c r="F139" s="96"/>
      <c r="G139" s="96"/>
      <c r="H139" s="58" t="s">
        <v>482</v>
      </c>
      <c r="I139" s="58" t="s">
        <v>482</v>
      </c>
      <c r="J139" s="59">
        <v>772723</v>
      </c>
      <c r="K139" s="95" t="s">
        <v>1462</v>
      </c>
      <c r="L139" s="95"/>
      <c r="M139" s="58" t="s">
        <v>72</v>
      </c>
      <c r="N139" s="59">
        <v>11</v>
      </c>
      <c r="O139" s="58" t="s">
        <v>40</v>
      </c>
      <c r="P139" s="58" t="s">
        <v>492</v>
      </c>
      <c r="Q139" s="58" t="s">
        <v>92</v>
      </c>
      <c r="R139" s="58" t="s">
        <v>493</v>
      </c>
      <c r="S139" s="58" t="s">
        <v>494</v>
      </c>
      <c r="T139" s="73"/>
      <c r="U139" s="74">
        <f t="shared" si="81"/>
        <v>0</v>
      </c>
      <c r="V139" s="74">
        <v>460000</v>
      </c>
      <c r="W139" s="74"/>
      <c r="X139" s="74">
        <v>296595</v>
      </c>
      <c r="Y139" s="74"/>
      <c r="Z139" s="74">
        <v>271.49</v>
      </c>
      <c r="AA139" s="75" t="s">
        <v>43</v>
      </c>
      <c r="AB139" s="74"/>
      <c r="AC139" s="74"/>
      <c r="AD139" s="75" t="s">
        <v>43</v>
      </c>
      <c r="AE139" s="74"/>
      <c r="AF139" s="74"/>
      <c r="AG139" s="74">
        <v>0</v>
      </c>
      <c r="AH139" s="75" t="s">
        <v>42</v>
      </c>
      <c r="AI139" s="74"/>
      <c r="AJ139" s="74">
        <f t="shared" si="76"/>
        <v>466416.73931996513</v>
      </c>
      <c r="AK139" s="74">
        <f t="shared" si="77"/>
        <v>0</v>
      </c>
      <c r="AL139" s="74">
        <f t="shared" si="78"/>
        <v>487672.18831734959</v>
      </c>
      <c r="AM139" s="74">
        <f t="shared" si="83"/>
        <v>0</v>
      </c>
      <c r="AN139" s="74">
        <f t="shared" si="82"/>
        <v>512055.79773321707</v>
      </c>
      <c r="AO139" s="74">
        <f>AM139/105*108</f>
        <v>0</v>
      </c>
      <c r="AP139" s="74">
        <f t="shared" si="80"/>
        <v>512055.79773321707</v>
      </c>
      <c r="AQ139" s="74">
        <f t="shared" si="73"/>
        <v>0</v>
      </c>
      <c r="AR139" s="76">
        <v>113.9</v>
      </c>
      <c r="AS139" s="74">
        <f t="shared" si="74"/>
        <v>512055.79773321707</v>
      </c>
      <c r="AT139" s="76">
        <v>105</v>
      </c>
      <c r="AU139" s="74">
        <f t="shared" si="75"/>
        <v>0</v>
      </c>
      <c r="AV139" s="76">
        <v>124</v>
      </c>
      <c r="AW139" s="74">
        <f t="shared" ref="AW139:AW168" si="84">AS139/AT139*AX139</f>
        <v>594960.06974716659</v>
      </c>
      <c r="AX139" s="76">
        <v>122</v>
      </c>
      <c r="AY139" s="77">
        <f t="shared" ref="AY139:AY168" si="85">CEILING(((AU139/AV139)*AZ139),1)</f>
        <v>0</v>
      </c>
      <c r="AZ139" s="78">
        <v>125.2</v>
      </c>
      <c r="BA139" s="77">
        <f t="shared" ref="BA139:BA168" si="86">CEILING(((AW139/AX139)*BB139),1)</f>
        <v>601300</v>
      </c>
      <c r="BB139" s="78">
        <v>123.3</v>
      </c>
      <c r="BC139" s="79">
        <v>39995</v>
      </c>
      <c r="BD139" s="59"/>
      <c r="BE139" s="80">
        <v>175.05</v>
      </c>
      <c r="BF139" s="80">
        <v>175.05</v>
      </c>
      <c r="BG139" s="80">
        <v>173.51</v>
      </c>
      <c r="BH139" s="73"/>
      <c r="BI139" s="73"/>
      <c r="BJ139" s="73"/>
      <c r="BK139" s="73"/>
      <c r="BL139" s="79">
        <v>42996</v>
      </c>
      <c r="BM139" s="79">
        <v>40196</v>
      </c>
      <c r="BN139" s="58" t="s">
        <v>44</v>
      </c>
      <c r="BO139" s="58" t="s">
        <v>44</v>
      </c>
      <c r="BP139" s="58" t="s">
        <v>184</v>
      </c>
      <c r="BQ139">
        <v>2016</v>
      </c>
      <c r="BR139" s="59"/>
      <c r="BV139" s="18"/>
      <c r="BW139" s="18"/>
    </row>
    <row r="140" spans="1:75" x14ac:dyDescent="0.3">
      <c r="B140" s="20" t="s">
        <v>495</v>
      </c>
      <c r="C140" s="20" t="s">
        <v>495</v>
      </c>
      <c r="D140" s="57" t="s">
        <v>494</v>
      </c>
      <c r="E140" s="58" t="s">
        <v>986</v>
      </c>
      <c r="F140" s="96"/>
      <c r="G140" s="96"/>
      <c r="H140" s="58" t="s">
        <v>482</v>
      </c>
      <c r="I140" s="58" t="s">
        <v>482</v>
      </c>
      <c r="J140" s="59">
        <v>772723</v>
      </c>
      <c r="K140" s="95" t="s">
        <v>1463</v>
      </c>
      <c r="L140" s="95"/>
      <c r="M140" s="58" t="s">
        <v>72</v>
      </c>
      <c r="N140" s="59">
        <v>11</v>
      </c>
      <c r="O140" s="58" t="s">
        <v>40</v>
      </c>
      <c r="P140" s="58" t="s">
        <v>496</v>
      </c>
      <c r="Q140" s="58" t="s">
        <v>217</v>
      </c>
      <c r="R140" s="58" t="s">
        <v>497</v>
      </c>
      <c r="S140" s="58" t="s">
        <v>42</v>
      </c>
      <c r="T140" s="73"/>
      <c r="U140" s="74">
        <f t="shared" si="81"/>
        <v>0</v>
      </c>
      <c r="V140" s="74">
        <v>480000</v>
      </c>
      <c r="W140" s="74">
        <v>10711</v>
      </c>
      <c r="X140" s="74">
        <v>589607</v>
      </c>
      <c r="Y140" s="74"/>
      <c r="Z140" s="74">
        <v>283.3</v>
      </c>
      <c r="AA140" s="75" t="s">
        <v>43</v>
      </c>
      <c r="AB140" s="74"/>
      <c r="AC140" s="74"/>
      <c r="AD140" s="75" t="s">
        <v>43</v>
      </c>
      <c r="AE140" s="74"/>
      <c r="AF140" s="74"/>
      <c r="AG140" s="74">
        <v>0</v>
      </c>
      <c r="AH140" s="75" t="s">
        <v>42</v>
      </c>
      <c r="AI140" s="74"/>
      <c r="AJ140" s="74">
        <f t="shared" si="76"/>
        <v>486695.72798605054</v>
      </c>
      <c r="AK140" s="74">
        <f t="shared" si="77"/>
        <v>0</v>
      </c>
      <c r="AL140" s="74">
        <f t="shared" si="78"/>
        <v>508875.32693984301</v>
      </c>
      <c r="AM140" s="74">
        <f t="shared" si="83"/>
        <v>0</v>
      </c>
      <c r="AN140" s="74">
        <f t="shared" si="82"/>
        <v>534319.09328683524</v>
      </c>
      <c r="AO140" s="74"/>
      <c r="AP140" s="74">
        <f t="shared" si="80"/>
        <v>534319.09328683524</v>
      </c>
      <c r="AQ140" s="74">
        <f t="shared" si="73"/>
        <v>0</v>
      </c>
      <c r="AR140" s="76">
        <v>113.9</v>
      </c>
      <c r="AS140" s="74">
        <f t="shared" si="74"/>
        <v>534319.09328683524</v>
      </c>
      <c r="AT140" s="76">
        <v>105</v>
      </c>
      <c r="AU140" s="74">
        <f t="shared" si="75"/>
        <v>0</v>
      </c>
      <c r="AV140" s="76">
        <v>124</v>
      </c>
      <c r="AW140" s="74">
        <f t="shared" si="84"/>
        <v>620827.89886660862</v>
      </c>
      <c r="AX140" s="76">
        <v>122</v>
      </c>
      <c r="AY140" s="77">
        <f t="shared" si="85"/>
        <v>0</v>
      </c>
      <c r="AZ140" s="78">
        <v>125.2</v>
      </c>
      <c r="BA140" s="77">
        <f t="shared" si="86"/>
        <v>627444</v>
      </c>
      <c r="BB140" s="78">
        <v>123.3</v>
      </c>
      <c r="BC140" s="79">
        <v>39995</v>
      </c>
      <c r="BD140" s="59"/>
      <c r="BE140" s="80">
        <v>354.31</v>
      </c>
      <c r="BF140" s="80">
        <v>354.27</v>
      </c>
      <c r="BG140" s="80">
        <v>351.13</v>
      </c>
      <c r="BH140" s="73"/>
      <c r="BI140" s="73"/>
      <c r="BJ140" s="73"/>
      <c r="BK140" s="73"/>
      <c r="BL140" s="79">
        <v>42996</v>
      </c>
      <c r="BM140" s="79">
        <v>40196</v>
      </c>
      <c r="BN140" s="58" t="s">
        <v>44</v>
      </c>
      <c r="BO140" s="58" t="s">
        <v>44</v>
      </c>
      <c r="BP140" s="58" t="s">
        <v>184</v>
      </c>
      <c r="BQ140">
        <v>2016</v>
      </c>
      <c r="BR140" s="59"/>
      <c r="BV140" s="18"/>
      <c r="BW140" s="18"/>
    </row>
    <row r="141" spans="1:75" x14ac:dyDescent="0.3">
      <c r="B141" s="20" t="s">
        <v>498</v>
      </c>
      <c r="C141" s="20" t="s">
        <v>498</v>
      </c>
      <c r="D141" s="57" t="s">
        <v>1182</v>
      </c>
      <c r="E141" s="58" t="s">
        <v>1382</v>
      </c>
      <c r="F141" s="96"/>
      <c r="G141" s="96"/>
      <c r="H141" s="58" t="s">
        <v>499</v>
      </c>
      <c r="I141" s="58" t="s">
        <v>499</v>
      </c>
      <c r="J141" s="59">
        <v>777772</v>
      </c>
      <c r="K141" s="95" t="s">
        <v>43</v>
      </c>
      <c r="L141" s="95"/>
      <c r="M141" s="58" t="s">
        <v>39</v>
      </c>
      <c r="N141" s="59">
        <v>11</v>
      </c>
      <c r="O141" s="58" t="s">
        <v>40</v>
      </c>
      <c r="P141" s="58" t="s">
        <v>45</v>
      </c>
      <c r="Q141" s="58" t="s">
        <v>41</v>
      </c>
      <c r="R141" s="58" t="s">
        <v>500</v>
      </c>
      <c r="S141" s="58" t="s">
        <v>42</v>
      </c>
      <c r="T141" s="73">
        <v>320000</v>
      </c>
      <c r="U141" s="74">
        <f t="shared" si="81"/>
        <v>324756.39966969448</v>
      </c>
      <c r="V141" s="74"/>
      <c r="W141" s="74">
        <v>295946</v>
      </c>
      <c r="X141" s="74"/>
      <c r="Y141" s="74">
        <v>188.86</v>
      </c>
      <c r="Z141" s="74"/>
      <c r="AA141" s="75" t="s">
        <v>43</v>
      </c>
      <c r="AB141" s="74"/>
      <c r="AC141" s="74"/>
      <c r="AD141" s="75" t="s">
        <v>43</v>
      </c>
      <c r="AE141" s="74"/>
      <c r="AF141" s="74"/>
      <c r="AG141" s="74">
        <v>0</v>
      </c>
      <c r="AH141" s="75" t="s">
        <v>42</v>
      </c>
      <c r="AI141" s="74"/>
      <c r="AJ141" s="74">
        <f t="shared" si="76"/>
        <v>0</v>
      </c>
      <c r="AK141" s="74">
        <f t="shared" si="77"/>
        <v>367563.99669694464</v>
      </c>
      <c r="AL141" s="74">
        <f t="shared" si="78"/>
        <v>0</v>
      </c>
      <c r="AM141" s="74">
        <f t="shared" si="83"/>
        <v>385942.19653179188</v>
      </c>
      <c r="AN141" s="74">
        <f t="shared" si="82"/>
        <v>0</v>
      </c>
      <c r="AO141" s="74">
        <f t="shared" ref="AO141:AO151" si="87">AM141/105*108</f>
        <v>396969.11643270025</v>
      </c>
      <c r="AP141" s="74">
        <f t="shared" si="80"/>
        <v>0</v>
      </c>
      <c r="AQ141" s="74">
        <f t="shared" si="73"/>
        <v>418655.39223782002</v>
      </c>
      <c r="AR141" s="76">
        <v>113.9</v>
      </c>
      <c r="AS141" s="74">
        <f t="shared" si="74"/>
        <v>0</v>
      </c>
      <c r="AT141" s="76">
        <v>105</v>
      </c>
      <c r="AU141" s="74">
        <f t="shared" si="75"/>
        <v>455779.35590421141</v>
      </c>
      <c r="AV141" s="76">
        <v>124</v>
      </c>
      <c r="AW141" s="74">
        <f t="shared" si="84"/>
        <v>0</v>
      </c>
      <c r="AX141" s="76">
        <v>122</v>
      </c>
      <c r="AY141" s="77">
        <f t="shared" si="85"/>
        <v>460191</v>
      </c>
      <c r="AZ141" s="78">
        <v>125.2</v>
      </c>
      <c r="BA141" s="77">
        <f t="shared" si="86"/>
        <v>0</v>
      </c>
      <c r="BB141" s="78">
        <v>123.3</v>
      </c>
      <c r="BC141" s="79">
        <v>39995</v>
      </c>
      <c r="BD141" s="59"/>
      <c r="BE141" s="80">
        <v>174.67</v>
      </c>
      <c r="BF141" s="80">
        <v>173.49</v>
      </c>
      <c r="BG141" s="80">
        <v>171.44</v>
      </c>
      <c r="BH141" s="73"/>
      <c r="BI141" s="73"/>
      <c r="BJ141" s="73"/>
      <c r="BK141" s="73"/>
      <c r="BL141" s="79">
        <v>42996</v>
      </c>
      <c r="BM141" s="79">
        <v>40196</v>
      </c>
      <c r="BN141" s="58" t="s">
        <v>44</v>
      </c>
      <c r="BO141" s="58" t="s">
        <v>44</v>
      </c>
      <c r="BP141" s="58" t="s">
        <v>184</v>
      </c>
      <c r="BQ141">
        <v>2016</v>
      </c>
      <c r="BR141" s="59"/>
      <c r="BV141" s="18"/>
      <c r="BW141" s="18"/>
    </row>
    <row r="142" spans="1:75" x14ac:dyDescent="0.3">
      <c r="B142" s="20" t="s">
        <v>501</v>
      </c>
      <c r="C142" s="20" t="s">
        <v>1305</v>
      </c>
      <c r="D142" s="57" t="s">
        <v>1183</v>
      </c>
      <c r="E142" s="58" t="s">
        <v>1382</v>
      </c>
      <c r="F142" s="96"/>
      <c r="G142" s="96"/>
      <c r="H142" s="58" t="s">
        <v>224</v>
      </c>
      <c r="I142" s="58" t="s">
        <v>224</v>
      </c>
      <c r="J142" s="59">
        <v>772724</v>
      </c>
      <c r="K142" s="95" t="s">
        <v>43</v>
      </c>
      <c r="L142" s="95"/>
      <c r="M142" s="58" t="s">
        <v>66</v>
      </c>
      <c r="N142" s="59">
        <v>11</v>
      </c>
      <c r="O142" s="58" t="s">
        <v>40</v>
      </c>
      <c r="P142" s="58" t="s">
        <v>123</v>
      </c>
      <c r="Q142" s="58" t="s">
        <v>124</v>
      </c>
      <c r="R142" s="58" t="s">
        <v>502</v>
      </c>
      <c r="S142" s="58" t="s">
        <v>42</v>
      </c>
      <c r="T142" s="73">
        <v>560000</v>
      </c>
      <c r="U142" s="74">
        <f t="shared" si="81"/>
        <v>568323.6994219654</v>
      </c>
      <c r="V142" s="74">
        <v>90000</v>
      </c>
      <c r="W142" s="74">
        <v>532701</v>
      </c>
      <c r="X142" s="74">
        <v>64803</v>
      </c>
      <c r="Y142" s="74">
        <v>330.51</v>
      </c>
      <c r="Z142" s="74">
        <v>53.12</v>
      </c>
      <c r="AA142" s="75" t="s">
        <v>43</v>
      </c>
      <c r="AB142" s="74"/>
      <c r="AC142" s="74"/>
      <c r="AD142" s="75" t="s">
        <v>43</v>
      </c>
      <c r="AE142" s="74"/>
      <c r="AF142" s="74"/>
      <c r="AG142" s="74">
        <v>0</v>
      </c>
      <c r="AH142" s="75" t="s">
        <v>42</v>
      </c>
      <c r="AI142" s="74"/>
      <c r="AJ142" s="74">
        <f t="shared" si="76"/>
        <v>91255.448997384476</v>
      </c>
      <c r="AK142" s="74">
        <f t="shared" si="77"/>
        <v>643236.99421965319</v>
      </c>
      <c r="AL142" s="74">
        <f t="shared" si="78"/>
        <v>95414.123801220558</v>
      </c>
      <c r="AM142" s="74">
        <f t="shared" si="83"/>
        <v>675398.84393063583</v>
      </c>
      <c r="AN142" s="74">
        <f t="shared" si="82"/>
        <v>100184.82999128159</v>
      </c>
      <c r="AO142" s="74">
        <f t="shared" si="87"/>
        <v>694695.95375722542</v>
      </c>
      <c r="AP142" s="74">
        <f t="shared" si="80"/>
        <v>100184.82999128159</v>
      </c>
      <c r="AQ142" s="74">
        <f t="shared" si="73"/>
        <v>732646.936416185</v>
      </c>
      <c r="AR142" s="76">
        <v>113.9</v>
      </c>
      <c r="AS142" s="74">
        <f t="shared" si="74"/>
        <v>100184.82999128159</v>
      </c>
      <c r="AT142" s="76">
        <v>105</v>
      </c>
      <c r="AU142" s="74">
        <f t="shared" si="75"/>
        <v>797613.87283236999</v>
      </c>
      <c r="AV142" s="76">
        <v>124</v>
      </c>
      <c r="AW142" s="74">
        <f t="shared" si="84"/>
        <v>116405.23103748908</v>
      </c>
      <c r="AX142" s="76">
        <v>122</v>
      </c>
      <c r="AY142" s="77">
        <f t="shared" si="85"/>
        <v>805333</v>
      </c>
      <c r="AZ142" s="78">
        <v>125.2</v>
      </c>
      <c r="BA142" s="77">
        <f t="shared" si="86"/>
        <v>117646</v>
      </c>
      <c r="BB142" s="78">
        <v>123.3</v>
      </c>
      <c r="BC142" s="79">
        <v>36482</v>
      </c>
      <c r="BD142" s="59"/>
      <c r="BE142" s="80">
        <v>352.65</v>
      </c>
      <c r="BF142" s="80">
        <v>350.54</v>
      </c>
      <c r="BG142" s="80">
        <v>346.5</v>
      </c>
      <c r="BH142" s="73"/>
      <c r="BI142" s="73"/>
      <c r="BJ142" s="73"/>
      <c r="BK142" s="73"/>
      <c r="BL142" s="79">
        <v>42996</v>
      </c>
      <c r="BM142" s="79">
        <v>36434</v>
      </c>
      <c r="BN142" s="58" t="s">
        <v>44</v>
      </c>
      <c r="BO142" s="58" t="s">
        <v>70</v>
      </c>
      <c r="BP142" s="58" t="s">
        <v>184</v>
      </c>
      <c r="BQ142">
        <v>2016</v>
      </c>
      <c r="BR142" s="59"/>
      <c r="BV142" s="18"/>
      <c r="BW142" s="18"/>
    </row>
    <row r="143" spans="1:75" x14ac:dyDescent="0.3">
      <c r="B143" s="20" t="s">
        <v>503</v>
      </c>
      <c r="C143" s="20" t="s">
        <v>1306</v>
      </c>
      <c r="D143" s="57" t="s">
        <v>1183</v>
      </c>
      <c r="E143" s="58" t="s">
        <v>1382</v>
      </c>
      <c r="F143" s="96"/>
      <c r="G143" s="96"/>
      <c r="H143" s="58" t="s">
        <v>224</v>
      </c>
      <c r="I143" s="58" t="s">
        <v>224</v>
      </c>
      <c r="J143" s="59">
        <v>772723</v>
      </c>
      <c r="K143" s="95" t="s">
        <v>43</v>
      </c>
      <c r="L143" s="95"/>
      <c r="M143" s="58" t="s">
        <v>72</v>
      </c>
      <c r="N143" s="59">
        <v>99</v>
      </c>
      <c r="O143" s="58" t="s">
        <v>128</v>
      </c>
      <c r="P143" s="58" t="s">
        <v>504</v>
      </c>
      <c r="Q143" s="58" t="s">
        <v>217</v>
      </c>
      <c r="R143" s="58" t="s">
        <v>505</v>
      </c>
      <c r="S143" s="58" t="s">
        <v>42</v>
      </c>
      <c r="T143" s="73">
        <v>1730000</v>
      </c>
      <c r="U143" s="74">
        <f t="shared" si="81"/>
        <v>1755714.2857142857</v>
      </c>
      <c r="V143" s="74">
        <v>285000</v>
      </c>
      <c r="W143" s="74">
        <v>1598102</v>
      </c>
      <c r="X143" s="74">
        <v>201885</v>
      </c>
      <c r="Y143" s="74">
        <v>1021.05</v>
      </c>
      <c r="Z143" s="74">
        <v>168.21</v>
      </c>
      <c r="AA143" s="75" t="s">
        <v>43</v>
      </c>
      <c r="AB143" s="74"/>
      <c r="AC143" s="74"/>
      <c r="AD143" s="75" t="s">
        <v>43</v>
      </c>
      <c r="AE143" s="74"/>
      <c r="AF143" s="74"/>
      <c r="AG143" s="74">
        <v>0</v>
      </c>
      <c r="AH143" s="75" t="s">
        <v>42</v>
      </c>
      <c r="AI143" s="74"/>
      <c r="AJ143" s="74">
        <f t="shared" si="76"/>
        <v>288975.58849171753</v>
      </c>
      <c r="AK143" s="74">
        <f t="shared" si="77"/>
        <v>1987142.857142857</v>
      </c>
      <c r="AL143" s="74">
        <f t="shared" si="78"/>
        <v>302144.72537053179</v>
      </c>
      <c r="AM143" s="74">
        <f t="shared" si="83"/>
        <v>2086500</v>
      </c>
      <c r="AN143" s="74">
        <f t="shared" si="82"/>
        <v>317251.96163905837</v>
      </c>
      <c r="AO143" s="74">
        <f t="shared" si="87"/>
        <v>2146114.2857142859</v>
      </c>
      <c r="AP143" s="74">
        <f t="shared" si="80"/>
        <v>317251.96163905837</v>
      </c>
      <c r="AQ143" s="74">
        <f t="shared" si="73"/>
        <v>2263355.7142857146</v>
      </c>
      <c r="AR143" s="76">
        <v>113.9</v>
      </c>
      <c r="AS143" s="74">
        <f t="shared" si="74"/>
        <v>317251.96163905837</v>
      </c>
      <c r="AT143" s="76">
        <v>105</v>
      </c>
      <c r="AU143" s="74">
        <f t="shared" si="75"/>
        <v>2464057.1428571432</v>
      </c>
      <c r="AV143" s="76">
        <v>124</v>
      </c>
      <c r="AW143" s="74">
        <f t="shared" si="84"/>
        <v>368616.56495204876</v>
      </c>
      <c r="AX143" s="76">
        <v>122</v>
      </c>
      <c r="AY143" s="77">
        <f t="shared" si="85"/>
        <v>2487903</v>
      </c>
      <c r="AZ143" s="78">
        <v>125.2</v>
      </c>
      <c r="BA143" s="77">
        <f t="shared" si="86"/>
        <v>372545</v>
      </c>
      <c r="BB143" s="78">
        <v>123.3</v>
      </c>
      <c r="BC143" s="79">
        <v>36526</v>
      </c>
      <c r="BD143" s="59"/>
      <c r="BE143" s="80">
        <v>1062.3499999999999</v>
      </c>
      <c r="BF143" s="80">
        <v>1056.01</v>
      </c>
      <c r="BG143" s="80">
        <v>1043.8699999999999</v>
      </c>
      <c r="BH143" s="73"/>
      <c r="BI143" s="73"/>
      <c r="BJ143" s="73"/>
      <c r="BK143" s="73"/>
      <c r="BL143" s="79">
        <v>42996</v>
      </c>
      <c r="BM143" s="79">
        <v>36434</v>
      </c>
      <c r="BN143" s="58" t="s">
        <v>44</v>
      </c>
      <c r="BO143" s="58" t="s">
        <v>70</v>
      </c>
      <c r="BP143" s="58" t="s">
        <v>184</v>
      </c>
      <c r="BQ143">
        <v>2016</v>
      </c>
      <c r="BR143" s="59"/>
      <c r="BV143" s="18"/>
      <c r="BW143" s="18"/>
    </row>
    <row r="144" spans="1:75" x14ac:dyDescent="0.3">
      <c r="B144" s="20" t="s">
        <v>506</v>
      </c>
      <c r="C144" s="20" t="s">
        <v>1307</v>
      </c>
      <c r="D144" s="57" t="s">
        <v>1183</v>
      </c>
      <c r="E144" s="58" t="s">
        <v>1382</v>
      </c>
      <c r="F144" s="96"/>
      <c r="G144" s="96"/>
      <c r="H144" s="58" t="s">
        <v>224</v>
      </c>
      <c r="I144" s="58" t="s">
        <v>224</v>
      </c>
      <c r="J144" s="59">
        <v>772723</v>
      </c>
      <c r="K144" s="95" t="s">
        <v>43</v>
      </c>
      <c r="L144" s="95"/>
      <c r="M144" s="58" t="s">
        <v>72</v>
      </c>
      <c r="N144" s="59">
        <v>11</v>
      </c>
      <c r="O144" s="58" t="s">
        <v>40</v>
      </c>
      <c r="P144" s="58" t="s">
        <v>507</v>
      </c>
      <c r="Q144" s="58" t="s">
        <v>92</v>
      </c>
      <c r="R144" s="58" t="s">
        <v>508</v>
      </c>
      <c r="S144" s="58" t="s">
        <v>42</v>
      </c>
      <c r="T144" s="73">
        <v>1210000</v>
      </c>
      <c r="U144" s="74">
        <f t="shared" si="81"/>
        <v>1227985.1362510324</v>
      </c>
      <c r="V144" s="74"/>
      <c r="W144" s="74">
        <v>1114725</v>
      </c>
      <c r="X144" s="74">
        <v>244255</v>
      </c>
      <c r="Y144" s="74">
        <v>714.14</v>
      </c>
      <c r="Z144" s="74"/>
      <c r="AA144" s="75" t="s">
        <v>43</v>
      </c>
      <c r="AB144" s="74"/>
      <c r="AC144" s="74"/>
      <c r="AD144" s="75" t="s">
        <v>43</v>
      </c>
      <c r="AE144" s="74"/>
      <c r="AF144" s="74"/>
      <c r="AG144" s="74">
        <v>0</v>
      </c>
      <c r="AH144" s="75" t="s">
        <v>42</v>
      </c>
      <c r="AI144" s="74"/>
      <c r="AJ144" s="74">
        <f t="shared" si="76"/>
        <v>0</v>
      </c>
      <c r="AK144" s="74">
        <f t="shared" si="77"/>
        <v>1389851.3625103221</v>
      </c>
      <c r="AL144" s="74">
        <f t="shared" si="78"/>
        <v>0</v>
      </c>
      <c r="AM144" s="74">
        <f t="shared" si="83"/>
        <v>1459343.9306358383</v>
      </c>
      <c r="AN144" s="74">
        <f t="shared" si="82"/>
        <v>0</v>
      </c>
      <c r="AO144" s="74">
        <f t="shared" si="87"/>
        <v>1501039.4715111479</v>
      </c>
      <c r="AP144" s="74">
        <f t="shared" si="80"/>
        <v>0</v>
      </c>
      <c r="AQ144" s="74">
        <f t="shared" si="73"/>
        <v>1583040.701899257</v>
      </c>
      <c r="AR144" s="76">
        <v>113.9</v>
      </c>
      <c r="AS144" s="74">
        <f t="shared" si="74"/>
        <v>0</v>
      </c>
      <c r="AT144" s="76">
        <v>105</v>
      </c>
      <c r="AU144" s="74">
        <f t="shared" si="75"/>
        <v>1723415.6895127995</v>
      </c>
      <c r="AV144" s="76">
        <v>124</v>
      </c>
      <c r="AW144" s="74">
        <f t="shared" si="84"/>
        <v>0</v>
      </c>
      <c r="AX144" s="76">
        <v>122</v>
      </c>
      <c r="AY144" s="77">
        <f t="shared" si="85"/>
        <v>1740094</v>
      </c>
      <c r="AZ144" s="78">
        <v>125.2</v>
      </c>
      <c r="BA144" s="77">
        <f t="shared" si="86"/>
        <v>0</v>
      </c>
      <c r="BB144" s="78">
        <v>123.3</v>
      </c>
      <c r="BC144" s="79">
        <v>36526</v>
      </c>
      <c r="BD144" s="59"/>
      <c r="BE144" s="80">
        <v>802.07</v>
      </c>
      <c r="BF144" s="80">
        <v>797.65</v>
      </c>
      <c r="BG144" s="80">
        <v>788.64</v>
      </c>
      <c r="BH144" s="73"/>
      <c r="BI144" s="73"/>
      <c r="BJ144" s="73"/>
      <c r="BK144" s="73"/>
      <c r="BL144" s="79">
        <v>42996</v>
      </c>
      <c r="BM144" s="79">
        <v>36434</v>
      </c>
      <c r="BN144" s="58" t="s">
        <v>44</v>
      </c>
      <c r="BO144" s="58" t="s">
        <v>70</v>
      </c>
      <c r="BP144" s="58" t="s">
        <v>184</v>
      </c>
      <c r="BQ144">
        <v>2016</v>
      </c>
      <c r="BR144" s="59"/>
      <c r="BV144" s="18"/>
      <c r="BW144" s="18"/>
    </row>
    <row r="145" spans="2:75" x14ac:dyDescent="0.3">
      <c r="B145" s="20" t="s">
        <v>509</v>
      </c>
      <c r="C145" s="20" t="s">
        <v>1131</v>
      </c>
      <c r="D145" s="57" t="s">
        <v>1183</v>
      </c>
      <c r="E145" s="58" t="s">
        <v>1382</v>
      </c>
      <c r="F145" s="96"/>
      <c r="G145" s="96"/>
      <c r="H145" s="58" t="s">
        <v>224</v>
      </c>
      <c r="I145" s="58" t="s">
        <v>224</v>
      </c>
      <c r="J145" s="59">
        <v>772723</v>
      </c>
      <c r="K145" s="95" t="s">
        <v>43</v>
      </c>
      <c r="L145" s="95"/>
      <c r="M145" s="58" t="s">
        <v>72</v>
      </c>
      <c r="N145" s="59">
        <v>11</v>
      </c>
      <c r="O145" s="58" t="s">
        <v>40</v>
      </c>
      <c r="P145" s="58" t="s">
        <v>510</v>
      </c>
      <c r="Q145" s="58" t="s">
        <v>92</v>
      </c>
      <c r="R145" s="58" t="s">
        <v>511</v>
      </c>
      <c r="S145" s="58" t="s">
        <v>42</v>
      </c>
      <c r="T145" s="73">
        <v>1760000</v>
      </c>
      <c r="U145" s="74">
        <f t="shared" si="81"/>
        <v>1786160.1981833198</v>
      </c>
      <c r="V145" s="74">
        <v>360000</v>
      </c>
      <c r="W145" s="74">
        <v>1627695</v>
      </c>
      <c r="X145" s="74">
        <v>261703</v>
      </c>
      <c r="Y145" s="74">
        <v>1038.75</v>
      </c>
      <c r="Z145" s="74">
        <v>212.47</v>
      </c>
      <c r="AA145" s="75" t="s">
        <v>43</v>
      </c>
      <c r="AB145" s="74"/>
      <c r="AC145" s="74"/>
      <c r="AD145" s="75" t="s">
        <v>43</v>
      </c>
      <c r="AE145" s="74"/>
      <c r="AF145" s="74"/>
      <c r="AG145" s="74">
        <v>0</v>
      </c>
      <c r="AH145" s="75" t="s">
        <v>42</v>
      </c>
      <c r="AI145" s="74"/>
      <c r="AJ145" s="74">
        <f t="shared" si="76"/>
        <v>365021.7959895379</v>
      </c>
      <c r="AK145" s="74">
        <f t="shared" si="77"/>
        <v>2021601.9818331958</v>
      </c>
      <c r="AL145" s="74">
        <f t="shared" si="78"/>
        <v>381656.49520488223</v>
      </c>
      <c r="AM145" s="74">
        <f t="shared" si="83"/>
        <v>2122682.0809248555</v>
      </c>
      <c r="AN145" s="74">
        <f t="shared" si="82"/>
        <v>400739.31996512634</v>
      </c>
      <c r="AO145" s="74">
        <f t="shared" si="87"/>
        <v>2183330.1403798517</v>
      </c>
      <c r="AP145" s="74">
        <f t="shared" si="80"/>
        <v>400739.31996512634</v>
      </c>
      <c r="AQ145" s="74">
        <f t="shared" si="73"/>
        <v>2302604.6573080104</v>
      </c>
      <c r="AR145" s="76">
        <v>113.9</v>
      </c>
      <c r="AS145" s="74">
        <f t="shared" si="74"/>
        <v>400739.31996512634</v>
      </c>
      <c r="AT145" s="76">
        <v>105</v>
      </c>
      <c r="AU145" s="74">
        <f t="shared" si="75"/>
        <v>2506786.457473163</v>
      </c>
      <c r="AV145" s="76">
        <v>124</v>
      </c>
      <c r="AW145" s="74">
        <f t="shared" si="84"/>
        <v>465620.92414995632</v>
      </c>
      <c r="AX145" s="76">
        <v>122</v>
      </c>
      <c r="AY145" s="77">
        <f t="shared" si="85"/>
        <v>2531046</v>
      </c>
      <c r="AZ145" s="78">
        <v>125.2</v>
      </c>
      <c r="BA145" s="77">
        <f t="shared" si="86"/>
        <v>470583</v>
      </c>
      <c r="BB145" s="78">
        <v>123.3</v>
      </c>
      <c r="BC145" s="79">
        <v>36526</v>
      </c>
      <c r="BD145" s="59"/>
      <c r="BE145" s="80">
        <v>1115.1300000000001</v>
      </c>
      <c r="BF145" s="80">
        <v>1108.67</v>
      </c>
      <c r="BG145" s="80">
        <v>1096.01</v>
      </c>
      <c r="BH145" s="73"/>
      <c r="BI145" s="73"/>
      <c r="BJ145" s="73"/>
      <c r="BK145" s="73"/>
      <c r="BL145" s="79">
        <v>42996</v>
      </c>
      <c r="BM145" s="79">
        <v>36434</v>
      </c>
      <c r="BN145" s="58" t="s">
        <v>44</v>
      </c>
      <c r="BO145" s="58" t="s">
        <v>70</v>
      </c>
      <c r="BP145" s="58" t="s">
        <v>184</v>
      </c>
      <c r="BQ145">
        <v>2016</v>
      </c>
      <c r="BR145" s="59"/>
      <c r="BV145" s="18"/>
      <c r="BW145" s="18"/>
    </row>
    <row r="146" spans="2:75" x14ac:dyDescent="0.3">
      <c r="B146" s="20" t="s">
        <v>512</v>
      </c>
      <c r="C146" s="20" t="s">
        <v>1308</v>
      </c>
      <c r="D146" s="57" t="s">
        <v>1184</v>
      </c>
      <c r="E146" s="58" t="s">
        <v>1101</v>
      </c>
      <c r="F146" s="96"/>
      <c r="G146" s="96"/>
      <c r="H146" s="58" t="s">
        <v>437</v>
      </c>
      <c r="I146" s="58" t="s">
        <v>437</v>
      </c>
      <c r="J146" s="59">
        <v>772723</v>
      </c>
      <c r="K146" s="95" t="s">
        <v>43</v>
      </c>
      <c r="L146" s="95"/>
      <c r="M146" s="58" t="s">
        <v>72</v>
      </c>
      <c r="N146" s="59">
        <v>99</v>
      </c>
      <c r="O146" s="58" t="s">
        <v>128</v>
      </c>
      <c r="P146" s="58" t="s">
        <v>513</v>
      </c>
      <c r="Q146" s="58" t="s">
        <v>514</v>
      </c>
      <c r="R146" s="58" t="s">
        <v>515</v>
      </c>
      <c r="S146" s="58" t="s">
        <v>42</v>
      </c>
      <c r="T146" s="73">
        <v>405000</v>
      </c>
      <c r="U146" s="74">
        <f t="shared" si="81"/>
        <v>411019.8183319571</v>
      </c>
      <c r="V146" s="74"/>
      <c r="W146" s="74">
        <v>394593</v>
      </c>
      <c r="X146" s="74"/>
      <c r="Y146" s="74">
        <v>239.03</v>
      </c>
      <c r="Z146" s="74"/>
      <c r="AA146" s="75" t="s">
        <v>43</v>
      </c>
      <c r="AB146" s="74"/>
      <c r="AC146" s="74"/>
      <c r="AD146" s="75" t="s">
        <v>43</v>
      </c>
      <c r="AE146" s="74"/>
      <c r="AF146" s="74"/>
      <c r="AG146" s="74">
        <v>0</v>
      </c>
      <c r="AH146" s="75" t="s">
        <v>42</v>
      </c>
      <c r="AI146" s="74"/>
      <c r="AJ146" s="74">
        <f t="shared" si="76"/>
        <v>0</v>
      </c>
      <c r="AK146" s="74">
        <f t="shared" si="77"/>
        <v>465198.18331957061</v>
      </c>
      <c r="AL146" s="74">
        <f t="shared" si="78"/>
        <v>0</v>
      </c>
      <c r="AM146" s="74">
        <f t="shared" si="83"/>
        <v>488458.09248554916</v>
      </c>
      <c r="AN146" s="74">
        <f t="shared" si="82"/>
        <v>0</v>
      </c>
      <c r="AO146" s="74">
        <f t="shared" si="87"/>
        <v>502414.03798513633</v>
      </c>
      <c r="AP146" s="74">
        <f t="shared" si="80"/>
        <v>0</v>
      </c>
      <c r="AQ146" s="74">
        <f t="shared" si="73"/>
        <v>529860.73080099106</v>
      </c>
      <c r="AR146" s="76">
        <v>113.9</v>
      </c>
      <c r="AS146" s="74">
        <f t="shared" si="74"/>
        <v>0</v>
      </c>
      <c r="AT146" s="76">
        <v>105</v>
      </c>
      <c r="AU146" s="74">
        <f t="shared" si="75"/>
        <v>576845.74731626757</v>
      </c>
      <c r="AV146" s="76">
        <v>124</v>
      </c>
      <c r="AW146" s="74">
        <f t="shared" si="84"/>
        <v>0</v>
      </c>
      <c r="AX146" s="76">
        <v>122</v>
      </c>
      <c r="AY146" s="77">
        <f t="shared" si="85"/>
        <v>582429</v>
      </c>
      <c r="AZ146" s="78">
        <v>125.2</v>
      </c>
      <c r="BA146" s="77">
        <f t="shared" si="86"/>
        <v>0</v>
      </c>
      <c r="BB146" s="78">
        <v>123.3</v>
      </c>
      <c r="BC146" s="79">
        <v>37987</v>
      </c>
      <c r="BD146" s="59"/>
      <c r="BE146" s="80">
        <v>232.89</v>
      </c>
      <c r="BF146" s="80">
        <v>231.32</v>
      </c>
      <c r="BG146" s="80">
        <v>228.58</v>
      </c>
      <c r="BH146" s="73"/>
      <c r="BI146" s="73"/>
      <c r="BJ146" s="73"/>
      <c r="BK146" s="73"/>
      <c r="BL146" s="79">
        <v>42996</v>
      </c>
      <c r="BM146" s="79">
        <v>36434</v>
      </c>
      <c r="BN146" s="58" t="s">
        <v>44</v>
      </c>
      <c r="BO146" s="58" t="s">
        <v>70</v>
      </c>
      <c r="BP146" s="58" t="s">
        <v>184</v>
      </c>
      <c r="BQ146">
        <v>2016</v>
      </c>
      <c r="BR146" s="59"/>
      <c r="BV146" s="18"/>
      <c r="BW146" s="18"/>
    </row>
    <row r="147" spans="2:75" x14ac:dyDescent="0.3">
      <c r="B147" s="20" t="s">
        <v>516</v>
      </c>
      <c r="C147" s="20" t="s">
        <v>516</v>
      </c>
      <c r="D147" s="57" t="s">
        <v>1185</v>
      </c>
      <c r="E147" s="58" t="s">
        <v>115</v>
      </c>
      <c r="F147" s="96"/>
      <c r="G147" s="96"/>
      <c r="H147" s="58" t="s">
        <v>115</v>
      </c>
      <c r="I147" s="58" t="s">
        <v>115</v>
      </c>
      <c r="J147" s="59">
        <v>777772</v>
      </c>
      <c r="K147" s="95" t="s">
        <v>43</v>
      </c>
      <c r="L147" s="95"/>
      <c r="M147" s="58" t="s">
        <v>39</v>
      </c>
      <c r="N147" s="59">
        <v>11</v>
      </c>
      <c r="O147" s="58" t="s">
        <v>40</v>
      </c>
      <c r="P147" s="58" t="s">
        <v>517</v>
      </c>
      <c r="Q147" s="58" t="s">
        <v>42</v>
      </c>
      <c r="R147" s="58" t="s">
        <v>518</v>
      </c>
      <c r="S147" s="58" t="s">
        <v>519</v>
      </c>
      <c r="T147" s="73">
        <v>1790000</v>
      </c>
      <c r="U147" s="74">
        <f t="shared" si="81"/>
        <v>1816606.1106523536</v>
      </c>
      <c r="V147" s="74"/>
      <c r="W147" s="74">
        <v>1337086</v>
      </c>
      <c r="X147" s="74"/>
      <c r="Y147" s="74">
        <v>1056.46</v>
      </c>
      <c r="Z147" s="74"/>
      <c r="AA147" s="75" t="s">
        <v>43</v>
      </c>
      <c r="AB147" s="74"/>
      <c r="AC147" s="74"/>
      <c r="AD147" s="75" t="s">
        <v>43</v>
      </c>
      <c r="AE147" s="74"/>
      <c r="AF147" s="74"/>
      <c r="AG147" s="74">
        <v>0</v>
      </c>
      <c r="AH147" s="75" t="s">
        <v>42</v>
      </c>
      <c r="AI147" s="74"/>
      <c r="AJ147" s="74">
        <f t="shared" si="76"/>
        <v>0</v>
      </c>
      <c r="AK147" s="74">
        <f t="shared" si="77"/>
        <v>2056061.1065235343</v>
      </c>
      <c r="AL147" s="74">
        <f t="shared" si="78"/>
        <v>0</v>
      </c>
      <c r="AM147" s="74">
        <f t="shared" si="83"/>
        <v>2158864.1618497111</v>
      </c>
      <c r="AN147" s="74">
        <f t="shared" si="82"/>
        <v>0</v>
      </c>
      <c r="AO147" s="74">
        <f t="shared" si="87"/>
        <v>2220545.9950454175</v>
      </c>
      <c r="AP147" s="74">
        <f t="shared" si="80"/>
        <v>0</v>
      </c>
      <c r="AQ147" s="74">
        <f t="shared" si="73"/>
        <v>2341853.6003303058</v>
      </c>
      <c r="AR147" s="76">
        <v>113.9</v>
      </c>
      <c r="AS147" s="74">
        <f t="shared" si="74"/>
        <v>0</v>
      </c>
      <c r="AT147" s="76">
        <v>105</v>
      </c>
      <c r="AU147" s="74">
        <f t="shared" si="75"/>
        <v>2549515.7720891824</v>
      </c>
      <c r="AV147" s="76">
        <v>124</v>
      </c>
      <c r="AW147" s="74">
        <f t="shared" si="84"/>
        <v>0</v>
      </c>
      <c r="AX147" s="76">
        <v>122</v>
      </c>
      <c r="AY147" s="77">
        <f t="shared" si="85"/>
        <v>2574189</v>
      </c>
      <c r="AZ147" s="78">
        <v>125.2</v>
      </c>
      <c r="BA147" s="77">
        <f t="shared" si="86"/>
        <v>0</v>
      </c>
      <c r="BB147" s="78">
        <v>123.3</v>
      </c>
      <c r="BC147" s="79">
        <v>40360</v>
      </c>
      <c r="BD147" s="59"/>
      <c r="BE147" s="80">
        <v>789.15</v>
      </c>
      <c r="BF147" s="80">
        <v>783.84</v>
      </c>
      <c r="BG147" s="80">
        <v>774.56</v>
      </c>
      <c r="BH147" s="73"/>
      <c r="BI147" s="73"/>
      <c r="BJ147" s="73"/>
      <c r="BK147" s="73"/>
      <c r="BL147" s="79">
        <v>42996</v>
      </c>
      <c r="BM147" s="79">
        <v>40599</v>
      </c>
      <c r="BN147" s="58" t="s">
        <v>44</v>
      </c>
      <c r="BO147" s="58" t="s">
        <v>44</v>
      </c>
      <c r="BP147" s="58" t="s">
        <v>520</v>
      </c>
      <c r="BQ147">
        <v>2016</v>
      </c>
      <c r="BR147" s="59"/>
      <c r="BV147" s="18"/>
      <c r="BW147" s="18"/>
    </row>
    <row r="148" spans="2:75" x14ac:dyDescent="0.3">
      <c r="B148" s="20" t="s">
        <v>521</v>
      </c>
      <c r="C148" s="20" t="s">
        <v>1309</v>
      </c>
      <c r="D148" s="57" t="s">
        <v>1186</v>
      </c>
      <c r="E148" s="58" t="s">
        <v>1123</v>
      </c>
      <c r="F148" s="96"/>
      <c r="G148" s="96"/>
      <c r="H148" s="58" t="s">
        <v>127</v>
      </c>
      <c r="I148" s="58" t="s">
        <v>127</v>
      </c>
      <c r="J148" s="59">
        <v>772723</v>
      </c>
      <c r="K148" s="95" t="s">
        <v>43</v>
      </c>
      <c r="L148" s="95"/>
      <c r="M148" s="58" t="s">
        <v>72</v>
      </c>
      <c r="N148" s="59">
        <v>99</v>
      </c>
      <c r="O148" s="58" t="s">
        <v>128</v>
      </c>
      <c r="P148" s="58" t="s">
        <v>522</v>
      </c>
      <c r="Q148" s="58" t="s">
        <v>514</v>
      </c>
      <c r="R148" s="58" t="s">
        <v>523</v>
      </c>
      <c r="S148" s="58" t="s">
        <v>42</v>
      </c>
      <c r="T148" s="73">
        <v>170000</v>
      </c>
      <c r="U148" s="74">
        <f t="shared" si="81"/>
        <v>172526.8373245252</v>
      </c>
      <c r="V148" s="74"/>
      <c r="W148" s="74">
        <v>157838</v>
      </c>
      <c r="X148" s="74"/>
      <c r="Y148" s="74">
        <v>100.33</v>
      </c>
      <c r="Z148" s="74"/>
      <c r="AA148" s="75" t="s">
        <v>43</v>
      </c>
      <c r="AB148" s="74"/>
      <c r="AC148" s="74"/>
      <c r="AD148" s="75" t="s">
        <v>43</v>
      </c>
      <c r="AE148" s="74"/>
      <c r="AF148" s="74"/>
      <c r="AG148" s="74">
        <v>0</v>
      </c>
      <c r="AH148" s="75" t="s">
        <v>42</v>
      </c>
      <c r="AI148" s="74"/>
      <c r="AJ148" s="74">
        <f t="shared" si="76"/>
        <v>0</v>
      </c>
      <c r="AK148" s="74">
        <f t="shared" si="77"/>
        <v>195268.37324525186</v>
      </c>
      <c r="AL148" s="74">
        <f t="shared" si="78"/>
        <v>0</v>
      </c>
      <c r="AM148" s="74">
        <f t="shared" si="83"/>
        <v>205031.79190751447</v>
      </c>
      <c r="AN148" s="74">
        <f t="shared" si="82"/>
        <v>0</v>
      </c>
      <c r="AO148" s="74">
        <f t="shared" si="87"/>
        <v>210889.84310487204</v>
      </c>
      <c r="AP148" s="74">
        <f t="shared" si="80"/>
        <v>0</v>
      </c>
      <c r="AQ148" s="74">
        <f t="shared" si="73"/>
        <v>222410.67712634191</v>
      </c>
      <c r="AR148" s="76">
        <v>113.9</v>
      </c>
      <c r="AS148" s="74">
        <f t="shared" si="74"/>
        <v>0</v>
      </c>
      <c r="AT148" s="76">
        <v>105</v>
      </c>
      <c r="AU148" s="74">
        <f t="shared" si="75"/>
        <v>242132.78282411234</v>
      </c>
      <c r="AV148" s="76">
        <v>124</v>
      </c>
      <c r="AW148" s="74">
        <f t="shared" si="84"/>
        <v>0</v>
      </c>
      <c r="AX148" s="76">
        <v>122</v>
      </c>
      <c r="AY148" s="77">
        <f t="shared" si="85"/>
        <v>244477</v>
      </c>
      <c r="AZ148" s="78">
        <v>125.2</v>
      </c>
      <c r="BA148" s="77">
        <f t="shared" si="86"/>
        <v>0</v>
      </c>
      <c r="BB148" s="78">
        <v>123.3</v>
      </c>
      <c r="BC148" s="79">
        <v>37987</v>
      </c>
      <c r="BD148" s="59"/>
      <c r="BE148" s="80">
        <v>93.16</v>
      </c>
      <c r="BF148" s="80">
        <v>92.53</v>
      </c>
      <c r="BG148" s="80">
        <v>91.43</v>
      </c>
      <c r="BH148" s="73"/>
      <c r="BI148" s="73"/>
      <c r="BJ148" s="73"/>
      <c r="BK148" s="73"/>
      <c r="BL148" s="79">
        <v>42996</v>
      </c>
      <c r="BM148" s="79">
        <v>36434</v>
      </c>
      <c r="BN148" s="58" t="s">
        <v>44</v>
      </c>
      <c r="BO148" s="58" t="s">
        <v>70</v>
      </c>
      <c r="BP148" s="58" t="s">
        <v>184</v>
      </c>
      <c r="BQ148">
        <v>2016</v>
      </c>
      <c r="BR148" s="59"/>
      <c r="BV148" s="18"/>
      <c r="BW148" s="18"/>
    </row>
    <row r="149" spans="2:75" x14ac:dyDescent="0.3">
      <c r="B149" s="20" t="s">
        <v>521</v>
      </c>
      <c r="C149" s="20" t="s">
        <v>1309</v>
      </c>
      <c r="D149" s="57" t="s">
        <v>1186</v>
      </c>
      <c r="E149" s="58" t="s">
        <v>1123</v>
      </c>
      <c r="F149" s="96"/>
      <c r="G149" s="96"/>
      <c r="H149" s="58" t="s">
        <v>127</v>
      </c>
      <c r="I149" s="58" t="s">
        <v>127</v>
      </c>
      <c r="J149" s="59">
        <v>772724</v>
      </c>
      <c r="K149" s="95" t="s">
        <v>43</v>
      </c>
      <c r="L149" s="95"/>
      <c r="M149" s="58" t="s">
        <v>66</v>
      </c>
      <c r="N149" s="59">
        <v>99</v>
      </c>
      <c r="O149" s="58" t="s">
        <v>128</v>
      </c>
      <c r="P149" s="58" t="s">
        <v>524</v>
      </c>
      <c r="Q149" s="58" t="s">
        <v>245</v>
      </c>
      <c r="R149" s="58" t="s">
        <v>525</v>
      </c>
      <c r="S149" s="58" t="s">
        <v>42</v>
      </c>
      <c r="T149" s="73">
        <v>775000</v>
      </c>
      <c r="U149" s="74">
        <f t="shared" si="81"/>
        <v>786519.40545004129</v>
      </c>
      <c r="V149" s="74"/>
      <c r="W149" s="74">
        <v>710268</v>
      </c>
      <c r="X149" s="74"/>
      <c r="Y149" s="74">
        <v>457.41</v>
      </c>
      <c r="Z149" s="74"/>
      <c r="AA149" s="75" t="s">
        <v>43</v>
      </c>
      <c r="AB149" s="74"/>
      <c r="AC149" s="74"/>
      <c r="AD149" s="75" t="s">
        <v>43</v>
      </c>
      <c r="AE149" s="74"/>
      <c r="AF149" s="74"/>
      <c r="AG149" s="74">
        <v>0</v>
      </c>
      <c r="AH149" s="75" t="s">
        <v>42</v>
      </c>
      <c r="AI149" s="74"/>
      <c r="AJ149" s="74">
        <f t="shared" si="76"/>
        <v>0</v>
      </c>
      <c r="AK149" s="74">
        <f t="shared" si="77"/>
        <v>890194.05450041278</v>
      </c>
      <c r="AL149" s="74">
        <f t="shared" si="78"/>
        <v>0</v>
      </c>
      <c r="AM149" s="74">
        <f t="shared" si="83"/>
        <v>934703.75722543348</v>
      </c>
      <c r="AN149" s="74">
        <f t="shared" si="82"/>
        <v>0</v>
      </c>
      <c r="AO149" s="74">
        <f t="shared" si="87"/>
        <v>961409.57886044588</v>
      </c>
      <c r="AP149" s="74">
        <f t="shared" si="80"/>
        <v>0</v>
      </c>
      <c r="AQ149" s="74">
        <f t="shared" si="73"/>
        <v>1013931.0280759702</v>
      </c>
      <c r="AR149" s="76">
        <v>113.9</v>
      </c>
      <c r="AS149" s="74">
        <f t="shared" si="74"/>
        <v>0</v>
      </c>
      <c r="AT149" s="76">
        <v>105</v>
      </c>
      <c r="AU149" s="74">
        <f t="shared" si="75"/>
        <v>1103840.6275805118</v>
      </c>
      <c r="AV149" s="76">
        <v>124</v>
      </c>
      <c r="AW149" s="74">
        <f t="shared" si="84"/>
        <v>0</v>
      </c>
      <c r="AX149" s="76">
        <v>122</v>
      </c>
      <c r="AY149" s="77">
        <f t="shared" si="85"/>
        <v>1114523</v>
      </c>
      <c r="AZ149" s="78">
        <v>125.2</v>
      </c>
      <c r="BA149" s="77">
        <f t="shared" si="86"/>
        <v>0</v>
      </c>
      <c r="BB149" s="78">
        <v>123.3</v>
      </c>
      <c r="BC149" s="59"/>
      <c r="BD149" s="59"/>
      <c r="BE149" s="80">
        <v>419.2</v>
      </c>
      <c r="BF149" s="80">
        <v>416.38</v>
      </c>
      <c r="BG149" s="80">
        <v>411.45</v>
      </c>
      <c r="BH149" s="73"/>
      <c r="BI149" s="73"/>
      <c r="BJ149" s="73"/>
      <c r="BK149" s="73"/>
      <c r="BL149" s="79">
        <v>42996</v>
      </c>
      <c r="BM149" s="79">
        <v>36434</v>
      </c>
      <c r="BN149" s="58" t="s">
        <v>44</v>
      </c>
      <c r="BO149" s="58" t="s">
        <v>70</v>
      </c>
      <c r="BP149" s="58" t="s">
        <v>184</v>
      </c>
      <c r="BQ149">
        <v>2016</v>
      </c>
      <c r="BR149" s="59"/>
      <c r="BV149" s="18"/>
      <c r="BW149" s="18"/>
    </row>
    <row r="150" spans="2:75" x14ac:dyDescent="0.3">
      <c r="B150" s="20" t="s">
        <v>526</v>
      </c>
      <c r="C150" s="20" t="s">
        <v>1310</v>
      </c>
      <c r="D150" s="57" t="s">
        <v>1186</v>
      </c>
      <c r="E150" s="58" t="s">
        <v>1123</v>
      </c>
      <c r="F150" s="96"/>
      <c r="G150" s="96"/>
      <c r="H150" s="58" t="s">
        <v>127</v>
      </c>
      <c r="I150" s="58" t="s">
        <v>127</v>
      </c>
      <c r="J150" s="59">
        <v>777772</v>
      </c>
      <c r="K150" s="95" t="s">
        <v>43</v>
      </c>
      <c r="L150" s="95"/>
      <c r="M150" s="58" t="s">
        <v>39</v>
      </c>
      <c r="N150" s="59">
        <v>99</v>
      </c>
      <c r="O150" s="58" t="s">
        <v>128</v>
      </c>
      <c r="P150" s="58" t="s">
        <v>45</v>
      </c>
      <c r="Q150" s="58" t="s">
        <v>41</v>
      </c>
      <c r="R150" s="58" t="s">
        <v>527</v>
      </c>
      <c r="S150" s="58" t="s">
        <v>42</v>
      </c>
      <c r="T150" s="73">
        <v>320000</v>
      </c>
      <c r="U150" s="74">
        <f t="shared" si="81"/>
        <v>324756.39966969448</v>
      </c>
      <c r="V150" s="74"/>
      <c r="W150" s="74">
        <v>537773</v>
      </c>
      <c r="X150" s="74"/>
      <c r="Y150" s="74">
        <v>188.86</v>
      </c>
      <c r="Z150" s="74"/>
      <c r="AA150" s="75" t="s">
        <v>43</v>
      </c>
      <c r="AB150" s="74"/>
      <c r="AC150" s="74"/>
      <c r="AD150" s="75" t="s">
        <v>43</v>
      </c>
      <c r="AE150" s="74"/>
      <c r="AF150" s="74"/>
      <c r="AG150" s="74">
        <v>0</v>
      </c>
      <c r="AH150" s="75" t="s">
        <v>42</v>
      </c>
      <c r="AI150" s="74"/>
      <c r="AJ150" s="74">
        <f t="shared" si="76"/>
        <v>0</v>
      </c>
      <c r="AK150" s="74">
        <f t="shared" si="77"/>
        <v>367563.99669694464</v>
      </c>
      <c r="AL150" s="74">
        <f t="shared" si="78"/>
        <v>0</v>
      </c>
      <c r="AM150" s="74">
        <f t="shared" si="83"/>
        <v>385942.19653179188</v>
      </c>
      <c r="AN150" s="74">
        <f t="shared" si="82"/>
        <v>0</v>
      </c>
      <c r="AO150" s="74">
        <f t="shared" si="87"/>
        <v>396969.11643270025</v>
      </c>
      <c r="AP150" s="74">
        <f t="shared" si="80"/>
        <v>0</v>
      </c>
      <c r="AQ150" s="74">
        <f t="shared" si="73"/>
        <v>418655.39223782002</v>
      </c>
      <c r="AR150" s="76">
        <v>113.9</v>
      </c>
      <c r="AS150" s="74">
        <f t="shared" si="74"/>
        <v>0</v>
      </c>
      <c r="AT150" s="76">
        <v>105</v>
      </c>
      <c r="AU150" s="74">
        <f t="shared" si="75"/>
        <v>455779.35590421141</v>
      </c>
      <c r="AV150" s="76">
        <v>124</v>
      </c>
      <c r="AW150" s="74">
        <f t="shared" si="84"/>
        <v>0</v>
      </c>
      <c r="AX150" s="76">
        <v>122</v>
      </c>
      <c r="AY150" s="77">
        <f t="shared" si="85"/>
        <v>460191</v>
      </c>
      <c r="AZ150" s="78">
        <v>125.2</v>
      </c>
      <c r="BA150" s="77">
        <f t="shared" si="86"/>
        <v>0</v>
      </c>
      <c r="BB150" s="78">
        <v>123.3</v>
      </c>
      <c r="BC150" s="59"/>
      <c r="BD150" s="59"/>
      <c r="BE150" s="80">
        <v>317.39</v>
      </c>
      <c r="BF150" s="80">
        <v>315.26</v>
      </c>
      <c r="BG150" s="80">
        <v>165.72</v>
      </c>
      <c r="BH150" s="73"/>
      <c r="BI150" s="73"/>
      <c r="BJ150" s="73"/>
      <c r="BK150" s="73"/>
      <c r="BL150" s="79">
        <v>42996</v>
      </c>
      <c r="BM150" s="79">
        <v>36434</v>
      </c>
      <c r="BN150" s="58" t="s">
        <v>44</v>
      </c>
      <c r="BO150" s="58" t="s">
        <v>70</v>
      </c>
      <c r="BP150" s="58" t="s">
        <v>184</v>
      </c>
      <c r="BQ150">
        <v>2016</v>
      </c>
      <c r="BR150" s="59"/>
      <c r="BV150" s="18"/>
      <c r="BW150" s="18"/>
    </row>
    <row r="151" spans="2:75" x14ac:dyDescent="0.3">
      <c r="B151" s="20" t="s">
        <v>528</v>
      </c>
      <c r="C151" s="20" t="s">
        <v>528</v>
      </c>
      <c r="D151" s="57" t="s">
        <v>1188</v>
      </c>
      <c r="E151" s="58" t="s">
        <v>986</v>
      </c>
      <c r="F151" s="96"/>
      <c r="G151" s="96"/>
      <c r="H151" s="58" t="s">
        <v>110</v>
      </c>
      <c r="I151" s="58" t="s">
        <v>110</v>
      </c>
      <c r="J151" s="59">
        <v>772723</v>
      </c>
      <c r="K151" s="95" t="s">
        <v>43</v>
      </c>
      <c r="L151" s="95"/>
      <c r="M151" s="58" t="s">
        <v>72</v>
      </c>
      <c r="N151" s="59">
        <v>11</v>
      </c>
      <c r="O151" s="58" t="s">
        <v>40</v>
      </c>
      <c r="P151" s="58" t="s">
        <v>529</v>
      </c>
      <c r="Q151" s="58" t="s">
        <v>92</v>
      </c>
      <c r="R151" s="58" t="s">
        <v>530</v>
      </c>
      <c r="S151" s="58" t="s">
        <v>42</v>
      </c>
      <c r="T151" s="73">
        <v>5525000</v>
      </c>
      <c r="U151" s="74">
        <f t="shared" si="81"/>
        <v>5607122.2130470686</v>
      </c>
      <c r="V151" s="74">
        <v>775000</v>
      </c>
      <c r="W151" s="74">
        <v>3518455</v>
      </c>
      <c r="X151" s="74">
        <v>630577</v>
      </c>
      <c r="Y151" s="74">
        <v>3260.86</v>
      </c>
      <c r="Z151" s="74">
        <v>457.41</v>
      </c>
      <c r="AA151" s="75" t="s">
        <v>43</v>
      </c>
      <c r="AB151" s="74"/>
      <c r="AC151" s="74"/>
      <c r="AD151" s="75" t="s">
        <v>43</v>
      </c>
      <c r="AE151" s="74"/>
      <c r="AF151" s="74"/>
      <c r="AG151" s="74">
        <v>0</v>
      </c>
      <c r="AH151" s="75" t="s">
        <v>42</v>
      </c>
      <c r="AI151" s="74"/>
      <c r="AJ151" s="74">
        <f t="shared" si="76"/>
        <v>785810.81081081077</v>
      </c>
      <c r="AK151" s="74">
        <f t="shared" si="77"/>
        <v>6346222.1304706847</v>
      </c>
      <c r="AL151" s="74">
        <f t="shared" si="78"/>
        <v>821621.62162162154</v>
      </c>
      <c r="AM151" s="74">
        <f t="shared" si="83"/>
        <v>6663533.236994219</v>
      </c>
      <c r="AN151" s="74">
        <f t="shared" si="82"/>
        <v>862702.70270270261</v>
      </c>
      <c r="AO151" s="74">
        <f t="shared" si="87"/>
        <v>6853919.9009083398</v>
      </c>
      <c r="AP151" s="74">
        <f t="shared" si="80"/>
        <v>862702.70270270261</v>
      </c>
      <c r="AQ151" s="74">
        <f t="shared" si="73"/>
        <v>7228347.0066061104</v>
      </c>
      <c r="AR151" s="76">
        <v>113.9</v>
      </c>
      <c r="AS151" s="74">
        <f>AP151+617806.46</f>
        <v>1480509.1627027025</v>
      </c>
      <c r="AT151" s="76">
        <v>105</v>
      </c>
      <c r="AU151" s="74">
        <f t="shared" si="75"/>
        <v>7869315.4417836498</v>
      </c>
      <c r="AV151" s="76">
        <v>124</v>
      </c>
      <c r="AW151" s="74">
        <f t="shared" si="84"/>
        <v>1720210.646187902</v>
      </c>
      <c r="AX151" s="76">
        <v>122</v>
      </c>
      <c r="AY151" s="77">
        <f t="shared" si="85"/>
        <v>7945471</v>
      </c>
      <c r="AZ151" s="78">
        <v>125.2</v>
      </c>
      <c r="BA151" s="77">
        <f t="shared" si="86"/>
        <v>1738541</v>
      </c>
      <c r="BB151" s="78">
        <v>123.3</v>
      </c>
      <c r="BC151" s="79">
        <v>36675</v>
      </c>
      <c r="BD151" s="59"/>
      <c r="BE151" s="80">
        <v>2448.7600000000002</v>
      </c>
      <c r="BF151" s="80">
        <v>2434.8000000000002</v>
      </c>
      <c r="BG151" s="80">
        <v>2407.1</v>
      </c>
      <c r="BH151" s="73"/>
      <c r="BI151" s="73"/>
      <c r="BJ151" s="73"/>
      <c r="BK151" s="73"/>
      <c r="BL151" s="79">
        <v>43045</v>
      </c>
      <c r="BM151" s="79">
        <v>36833</v>
      </c>
      <c r="BN151" s="58" t="s">
        <v>44</v>
      </c>
      <c r="BO151" s="58" t="s">
        <v>44</v>
      </c>
      <c r="BP151" s="58" t="s">
        <v>531</v>
      </c>
      <c r="BQ151">
        <v>2016</v>
      </c>
      <c r="BR151" s="59"/>
      <c r="BV151" s="18"/>
      <c r="BW151" s="18"/>
    </row>
    <row r="152" spans="2:75" x14ac:dyDescent="0.3">
      <c r="B152" s="20" t="s">
        <v>532</v>
      </c>
      <c r="C152" s="20" t="s">
        <v>532</v>
      </c>
      <c r="D152" s="57" t="s">
        <v>1188</v>
      </c>
      <c r="E152" s="58" t="s">
        <v>986</v>
      </c>
      <c r="F152" s="96"/>
      <c r="G152" s="96"/>
      <c r="H152" s="58" t="s">
        <v>110</v>
      </c>
      <c r="I152" s="58" t="s">
        <v>110</v>
      </c>
      <c r="J152" s="59">
        <v>772723</v>
      </c>
      <c r="K152" s="95" t="s">
        <v>1440</v>
      </c>
      <c r="L152" s="95"/>
      <c r="M152" s="58" t="s">
        <v>72</v>
      </c>
      <c r="N152" s="59">
        <v>11</v>
      </c>
      <c r="O152" s="58" t="s">
        <v>40</v>
      </c>
      <c r="P152" s="58" t="s">
        <v>533</v>
      </c>
      <c r="Q152" s="58" t="s">
        <v>92</v>
      </c>
      <c r="R152" s="58" t="s">
        <v>534</v>
      </c>
      <c r="S152" s="58" t="s">
        <v>42</v>
      </c>
      <c r="T152" s="73">
        <v>5525000</v>
      </c>
      <c r="U152" s="74">
        <f t="shared" si="81"/>
        <v>5607122.2130470686</v>
      </c>
      <c r="V152" s="74">
        <v>845000</v>
      </c>
      <c r="W152" s="74">
        <v>3518455</v>
      </c>
      <c r="X152" s="74">
        <v>785105</v>
      </c>
      <c r="Y152" s="74">
        <v>3260.86</v>
      </c>
      <c r="Z152" s="74">
        <v>498.72</v>
      </c>
      <c r="AA152" s="75" t="s">
        <v>43</v>
      </c>
      <c r="AB152" s="74"/>
      <c r="AC152" s="74"/>
      <c r="AD152" s="75" t="s">
        <v>43</v>
      </c>
      <c r="AE152" s="74"/>
      <c r="AF152" s="74"/>
      <c r="AG152" s="74">
        <v>0</v>
      </c>
      <c r="AH152" s="75" t="s">
        <v>42</v>
      </c>
      <c r="AI152" s="74"/>
      <c r="AJ152" s="74">
        <f t="shared" si="76"/>
        <v>856787.27114210988</v>
      </c>
      <c r="AK152" s="74">
        <f t="shared" si="77"/>
        <v>6346222.1304706847</v>
      </c>
      <c r="AL152" s="74">
        <f t="shared" si="78"/>
        <v>895832.60680034873</v>
      </c>
      <c r="AM152" s="74">
        <f t="shared" si="83"/>
        <v>6663533.236994219</v>
      </c>
      <c r="AN152" s="74">
        <f t="shared" si="82"/>
        <v>940624.23714036623</v>
      </c>
      <c r="AO152" s="74">
        <f>AM152/105*108+46362</f>
        <v>6900281.9009083398</v>
      </c>
      <c r="AP152" s="74">
        <f t="shared" si="80"/>
        <v>940624.23714036623</v>
      </c>
      <c r="AQ152" s="74">
        <f t="shared" si="73"/>
        <v>7277241.745494999</v>
      </c>
      <c r="AR152" s="76">
        <v>113.9</v>
      </c>
      <c r="AS152" s="74">
        <f t="shared" ref="AS152:AS163" si="88">AP152</f>
        <v>940624.23714036623</v>
      </c>
      <c r="AT152" s="76">
        <v>105</v>
      </c>
      <c r="AU152" s="74">
        <f t="shared" si="75"/>
        <v>7922545.8862280939</v>
      </c>
      <c r="AV152" s="76">
        <v>124</v>
      </c>
      <c r="AW152" s="74">
        <f t="shared" si="84"/>
        <v>1092915.7802964253</v>
      </c>
      <c r="AX152" s="76">
        <v>122</v>
      </c>
      <c r="AY152" s="77">
        <f t="shared" si="85"/>
        <v>7999216</v>
      </c>
      <c r="AZ152" s="78">
        <v>125.2</v>
      </c>
      <c r="BA152" s="77">
        <f t="shared" si="86"/>
        <v>1104562</v>
      </c>
      <c r="BB152" s="78">
        <v>123.3</v>
      </c>
      <c r="BC152" s="79">
        <v>36675</v>
      </c>
      <c r="BD152" s="59"/>
      <c r="BE152" s="80">
        <v>2539.96</v>
      </c>
      <c r="BF152" s="80">
        <v>2526</v>
      </c>
      <c r="BG152" s="80">
        <v>2497.5</v>
      </c>
      <c r="BH152" s="73"/>
      <c r="BI152" s="73"/>
      <c r="BJ152" s="73"/>
      <c r="BK152" s="73"/>
      <c r="BL152" s="79">
        <v>43045</v>
      </c>
      <c r="BM152" s="79">
        <v>36833</v>
      </c>
      <c r="BN152" s="58" t="s">
        <v>44</v>
      </c>
      <c r="BO152" s="58" t="s">
        <v>44</v>
      </c>
      <c r="BP152" s="58" t="s">
        <v>535</v>
      </c>
      <c r="BQ152">
        <v>2016</v>
      </c>
      <c r="BR152" s="59" t="s">
        <v>1005</v>
      </c>
      <c r="BV152" s="18"/>
      <c r="BW152" s="18"/>
    </row>
    <row r="153" spans="2:75" x14ac:dyDescent="0.3">
      <c r="B153" s="20" t="s">
        <v>536</v>
      </c>
      <c r="C153" s="20" t="s">
        <v>1311</v>
      </c>
      <c r="D153" s="57" t="s">
        <v>1189</v>
      </c>
      <c r="E153" s="58" t="s">
        <v>1386</v>
      </c>
      <c r="F153" s="96"/>
      <c r="G153" s="96"/>
      <c r="H153" s="58" t="s">
        <v>348</v>
      </c>
      <c r="I153" s="58" t="s">
        <v>348</v>
      </c>
      <c r="J153" s="59">
        <v>772723</v>
      </c>
      <c r="K153" s="95" t="s">
        <v>43</v>
      </c>
      <c r="L153" s="95"/>
      <c r="M153" s="58" t="s">
        <v>72</v>
      </c>
      <c r="N153" s="59">
        <v>11</v>
      </c>
      <c r="O153" s="58" t="s">
        <v>40</v>
      </c>
      <c r="P153" s="58" t="s">
        <v>537</v>
      </c>
      <c r="Q153" s="58" t="s">
        <v>92</v>
      </c>
      <c r="R153" s="58" t="s">
        <v>538</v>
      </c>
      <c r="S153" s="58" t="s">
        <v>42</v>
      </c>
      <c r="T153" s="73">
        <v>1700000</v>
      </c>
      <c r="U153" s="74">
        <f t="shared" si="81"/>
        <v>1725268.3732452518</v>
      </c>
      <c r="V153" s="74">
        <v>230000</v>
      </c>
      <c r="W153" s="74">
        <v>1588237</v>
      </c>
      <c r="X153" s="74">
        <v>249239</v>
      </c>
      <c r="Y153" s="74">
        <v>1003.34</v>
      </c>
      <c r="Z153" s="74">
        <v>135.75</v>
      </c>
      <c r="AA153" s="75" t="s">
        <v>43</v>
      </c>
      <c r="AB153" s="74"/>
      <c r="AC153" s="74"/>
      <c r="AD153" s="75" t="s">
        <v>43</v>
      </c>
      <c r="AE153" s="74"/>
      <c r="AF153" s="74"/>
      <c r="AG153" s="74">
        <v>0</v>
      </c>
      <c r="AH153" s="75" t="s">
        <v>42</v>
      </c>
      <c r="AI153" s="74"/>
      <c r="AJ153" s="74">
        <f t="shared" si="76"/>
        <v>233208.36965998256</v>
      </c>
      <c r="AK153" s="74">
        <f t="shared" si="77"/>
        <v>1952683.7324525183</v>
      </c>
      <c r="AL153" s="74">
        <f t="shared" si="78"/>
        <v>243836.09415867479</v>
      </c>
      <c r="AM153" s="74">
        <f t="shared" si="83"/>
        <v>2050317.9190751442</v>
      </c>
      <c r="AN153" s="74">
        <f t="shared" si="82"/>
        <v>256027.89886660854</v>
      </c>
      <c r="AO153" s="74">
        <f>AM153/105*108</f>
        <v>2108898.4310487197</v>
      </c>
      <c r="AP153" s="74">
        <f t="shared" si="80"/>
        <v>256027.89886660854</v>
      </c>
      <c r="AQ153" s="74">
        <f t="shared" si="73"/>
        <v>2224106.7712634183</v>
      </c>
      <c r="AR153" s="76">
        <v>113.9</v>
      </c>
      <c r="AS153" s="74">
        <f t="shared" si="88"/>
        <v>256027.89886660854</v>
      </c>
      <c r="AT153" s="76">
        <v>105</v>
      </c>
      <c r="AU153" s="74">
        <f t="shared" si="75"/>
        <v>2421327.8282411224</v>
      </c>
      <c r="AV153" s="76">
        <v>124</v>
      </c>
      <c r="AW153" s="74">
        <f t="shared" si="84"/>
        <v>297480.0348735833</v>
      </c>
      <c r="AX153" s="76">
        <v>122</v>
      </c>
      <c r="AY153" s="77">
        <f t="shared" si="85"/>
        <v>2444761</v>
      </c>
      <c r="AZ153" s="78">
        <v>125.2</v>
      </c>
      <c r="BA153" s="77">
        <f t="shared" si="86"/>
        <v>300650</v>
      </c>
      <c r="BB153" s="78">
        <v>123.3</v>
      </c>
      <c r="BC153" s="79">
        <v>36526</v>
      </c>
      <c r="BD153" s="59"/>
      <c r="BE153" s="80">
        <v>1084.48</v>
      </c>
      <c r="BF153" s="80">
        <v>1078.18</v>
      </c>
      <c r="BG153" s="80">
        <v>1065.8599999999999</v>
      </c>
      <c r="BH153" s="73"/>
      <c r="BI153" s="73"/>
      <c r="BJ153" s="73"/>
      <c r="BK153" s="73"/>
      <c r="BL153" s="79">
        <v>42996</v>
      </c>
      <c r="BM153" s="79">
        <v>36434</v>
      </c>
      <c r="BN153" s="58" t="s">
        <v>44</v>
      </c>
      <c r="BO153" s="58" t="s">
        <v>70</v>
      </c>
      <c r="BP153" s="58" t="s">
        <v>184</v>
      </c>
      <c r="BQ153">
        <v>2016</v>
      </c>
      <c r="BR153" s="59"/>
      <c r="BV153" s="18"/>
      <c r="BW153" s="18"/>
    </row>
    <row r="154" spans="2:75" x14ac:dyDescent="0.3">
      <c r="B154" s="20" t="s">
        <v>539</v>
      </c>
      <c r="C154" s="20" t="s">
        <v>1312</v>
      </c>
      <c r="D154" s="57" t="s">
        <v>1189</v>
      </c>
      <c r="E154" s="58" t="s">
        <v>1386</v>
      </c>
      <c r="F154" s="96"/>
      <c r="G154" s="96"/>
      <c r="H154" s="58" t="s">
        <v>348</v>
      </c>
      <c r="I154" s="58" t="s">
        <v>348</v>
      </c>
      <c r="J154" s="59">
        <v>772724</v>
      </c>
      <c r="K154" s="95" t="s">
        <v>43</v>
      </c>
      <c r="L154" s="95"/>
      <c r="M154" s="58" t="s">
        <v>66</v>
      </c>
      <c r="N154" s="59">
        <v>11</v>
      </c>
      <c r="O154" s="58" t="s">
        <v>40</v>
      </c>
      <c r="P154" s="58" t="s">
        <v>123</v>
      </c>
      <c r="Q154" s="58" t="s">
        <v>124</v>
      </c>
      <c r="R154" s="58" t="s">
        <v>540</v>
      </c>
      <c r="S154" s="58" t="s">
        <v>42</v>
      </c>
      <c r="T154" s="73">
        <v>560000</v>
      </c>
      <c r="U154" s="74">
        <f t="shared" si="81"/>
        <v>568323.6994219654</v>
      </c>
      <c r="V154" s="74">
        <v>95000</v>
      </c>
      <c r="W154" s="74">
        <v>532701</v>
      </c>
      <c r="X154" s="74">
        <v>77264</v>
      </c>
      <c r="Y154" s="74">
        <v>330.51</v>
      </c>
      <c r="Z154" s="74">
        <v>56.07</v>
      </c>
      <c r="AA154" s="75" t="s">
        <v>43</v>
      </c>
      <c r="AB154" s="74"/>
      <c r="AC154" s="74"/>
      <c r="AD154" s="75" t="s">
        <v>43</v>
      </c>
      <c r="AE154" s="74"/>
      <c r="AF154" s="74"/>
      <c r="AG154" s="74">
        <v>0</v>
      </c>
      <c r="AH154" s="75" t="s">
        <v>42</v>
      </c>
      <c r="AI154" s="74"/>
      <c r="AJ154" s="74">
        <f t="shared" si="76"/>
        <v>96325.196163905843</v>
      </c>
      <c r="AK154" s="74">
        <f t="shared" si="77"/>
        <v>643236.99421965319</v>
      </c>
      <c r="AL154" s="74">
        <f t="shared" si="78"/>
        <v>100714.90845684393</v>
      </c>
      <c r="AM154" s="74">
        <f t="shared" si="83"/>
        <v>675398.84393063583</v>
      </c>
      <c r="AN154" s="74">
        <f t="shared" si="82"/>
        <v>105750.65387968613</v>
      </c>
      <c r="AO154" s="74">
        <f>AM154/105*108</f>
        <v>694695.95375722542</v>
      </c>
      <c r="AP154" s="74">
        <f t="shared" si="80"/>
        <v>105750.65387968613</v>
      </c>
      <c r="AQ154" s="74">
        <f t="shared" ref="AQ154:AQ163" si="89">AO154/108*113.9</f>
        <v>732646.936416185</v>
      </c>
      <c r="AR154" s="76">
        <v>113.9</v>
      </c>
      <c r="AS154" s="74">
        <f t="shared" si="88"/>
        <v>105750.65387968613</v>
      </c>
      <c r="AT154" s="76">
        <v>105</v>
      </c>
      <c r="AU154" s="74">
        <f t="shared" ref="AU154:AU182" si="90">AQ154/AR154*AV154</f>
        <v>797613.87283236999</v>
      </c>
      <c r="AV154" s="76">
        <v>124</v>
      </c>
      <c r="AW154" s="74">
        <f t="shared" si="84"/>
        <v>122872.1883173496</v>
      </c>
      <c r="AX154" s="76">
        <v>122</v>
      </c>
      <c r="AY154" s="77">
        <f t="shared" si="85"/>
        <v>805333</v>
      </c>
      <c r="AZ154" s="78">
        <v>125.2</v>
      </c>
      <c r="BA154" s="77">
        <f t="shared" si="86"/>
        <v>124182</v>
      </c>
      <c r="BB154" s="78">
        <v>123.3</v>
      </c>
      <c r="BC154" s="79">
        <v>36482</v>
      </c>
      <c r="BD154" s="59"/>
      <c r="BE154" s="80">
        <v>360</v>
      </c>
      <c r="BF154" s="80">
        <v>357.89</v>
      </c>
      <c r="BG154" s="80">
        <v>353.79</v>
      </c>
      <c r="BH154" s="73"/>
      <c r="BI154" s="73"/>
      <c r="BJ154" s="73"/>
      <c r="BK154" s="73"/>
      <c r="BL154" s="79">
        <v>42996</v>
      </c>
      <c r="BM154" s="79">
        <v>36434</v>
      </c>
      <c r="BN154" s="58" t="s">
        <v>44</v>
      </c>
      <c r="BO154" s="58" t="s">
        <v>70</v>
      </c>
      <c r="BP154" s="58" t="s">
        <v>184</v>
      </c>
      <c r="BQ154">
        <v>2016</v>
      </c>
      <c r="BR154" s="59"/>
      <c r="BV154" s="18"/>
      <c r="BW154" s="18"/>
    </row>
    <row r="155" spans="2:75" x14ac:dyDescent="0.3">
      <c r="B155" s="20" t="s">
        <v>1018</v>
      </c>
      <c r="C155" s="20" t="s">
        <v>1313</v>
      </c>
      <c r="D155" s="57" t="s">
        <v>1397</v>
      </c>
      <c r="E155" s="58" t="s">
        <v>1101</v>
      </c>
      <c r="F155" s="96"/>
      <c r="G155" s="96"/>
      <c r="H155" s="58" t="s">
        <v>541</v>
      </c>
      <c r="I155" s="58" t="s">
        <v>541</v>
      </c>
      <c r="J155" s="59">
        <v>772723</v>
      </c>
      <c r="K155" s="95" t="s">
        <v>1440</v>
      </c>
      <c r="L155" s="95"/>
      <c r="M155" s="58" t="s">
        <v>72</v>
      </c>
      <c r="N155" s="59">
        <v>13</v>
      </c>
      <c r="O155" s="58" t="s">
        <v>542</v>
      </c>
      <c r="P155" s="58" t="s">
        <v>543</v>
      </c>
      <c r="Q155" s="58" t="s">
        <v>92</v>
      </c>
      <c r="R155" s="58" t="s">
        <v>544</v>
      </c>
      <c r="S155" s="58" t="s">
        <v>42</v>
      </c>
      <c r="T155" s="73">
        <v>2980000</v>
      </c>
      <c r="U155" s="74">
        <f t="shared" si="81"/>
        <v>3024293.9719240298</v>
      </c>
      <c r="V155" s="74">
        <v>610000</v>
      </c>
      <c r="W155" s="74">
        <v>2564855</v>
      </c>
      <c r="X155" s="74">
        <v>613131</v>
      </c>
      <c r="Y155" s="74">
        <v>1758.8</v>
      </c>
      <c r="Z155" s="74">
        <v>360.02</v>
      </c>
      <c r="AA155" s="75" t="s">
        <v>43</v>
      </c>
      <c r="AB155" s="74"/>
      <c r="AC155" s="74"/>
      <c r="AD155" s="75" t="s">
        <v>43</v>
      </c>
      <c r="AE155" s="74"/>
      <c r="AF155" s="74"/>
      <c r="AG155" s="74">
        <v>0</v>
      </c>
      <c r="AH155" s="75" t="s">
        <v>42</v>
      </c>
      <c r="AI155" s="74"/>
      <c r="AJ155" s="74">
        <f t="shared" si="76"/>
        <v>618509.15431560588</v>
      </c>
      <c r="AK155" s="74">
        <f t="shared" si="77"/>
        <v>3422939.7192402971</v>
      </c>
      <c r="AL155" s="74">
        <f t="shared" si="78"/>
        <v>646695.72798605042</v>
      </c>
      <c r="AM155" s="74">
        <f t="shared" si="83"/>
        <v>3594086.7052023122</v>
      </c>
      <c r="AN155" s="74">
        <f t="shared" si="82"/>
        <v>679030.51438535296</v>
      </c>
      <c r="AO155" s="74">
        <f>AM155/105*108+(49259)</f>
        <v>3746033.8967795214</v>
      </c>
      <c r="AP155" s="74">
        <f t="shared" si="80"/>
        <v>679030.51438535296</v>
      </c>
      <c r="AQ155" s="74">
        <f t="shared" si="89"/>
        <v>3950678.3411406251</v>
      </c>
      <c r="AR155" s="76">
        <v>113.9</v>
      </c>
      <c r="AS155" s="74">
        <f t="shared" si="88"/>
        <v>679030.51438535296</v>
      </c>
      <c r="AT155" s="76">
        <v>105</v>
      </c>
      <c r="AU155" s="74">
        <f t="shared" si="90"/>
        <v>4301001.8814875986</v>
      </c>
      <c r="AV155" s="76">
        <v>124</v>
      </c>
      <c r="AW155" s="74">
        <f t="shared" si="84"/>
        <v>788968.78814298147</v>
      </c>
      <c r="AX155" s="76">
        <v>122</v>
      </c>
      <c r="AY155" s="77">
        <f t="shared" si="85"/>
        <v>4342625</v>
      </c>
      <c r="AZ155" s="78">
        <v>125.2</v>
      </c>
      <c r="BA155" s="77">
        <f t="shared" si="86"/>
        <v>797376</v>
      </c>
      <c r="BB155" s="78">
        <v>123.3</v>
      </c>
      <c r="BC155" s="79">
        <v>36526</v>
      </c>
      <c r="BD155" s="59"/>
      <c r="BE155" s="80">
        <v>1875.65</v>
      </c>
      <c r="BF155" s="80">
        <v>1865.47</v>
      </c>
      <c r="BG155" s="80">
        <v>1844.48</v>
      </c>
      <c r="BH155" s="73"/>
      <c r="BI155" s="73"/>
      <c r="BJ155" s="73"/>
      <c r="BK155" s="73"/>
      <c r="BL155" s="79">
        <v>42996</v>
      </c>
      <c r="BM155" s="79">
        <v>36434</v>
      </c>
      <c r="BN155" s="58" t="s">
        <v>44</v>
      </c>
      <c r="BO155" s="58" t="s">
        <v>70</v>
      </c>
      <c r="BP155" s="58" t="s">
        <v>184</v>
      </c>
      <c r="BQ155">
        <v>2016</v>
      </c>
      <c r="BR155" s="59" t="s">
        <v>1005</v>
      </c>
      <c r="BV155" s="18"/>
      <c r="BW155" s="18"/>
    </row>
    <row r="156" spans="2:75" x14ac:dyDescent="0.3">
      <c r="B156" s="20" t="s">
        <v>1020</v>
      </c>
      <c r="C156" s="20" t="s">
        <v>1132</v>
      </c>
      <c r="D156" s="57" t="s">
        <v>1397</v>
      </c>
      <c r="E156" s="58" t="s">
        <v>1101</v>
      </c>
      <c r="F156" s="96"/>
      <c r="G156" s="96"/>
      <c r="H156" s="58" t="s">
        <v>541</v>
      </c>
      <c r="I156" s="58" t="s">
        <v>541</v>
      </c>
      <c r="J156" s="59">
        <v>772723</v>
      </c>
      <c r="K156" s="95" t="s">
        <v>43</v>
      </c>
      <c r="L156" s="95"/>
      <c r="M156" s="58" t="s">
        <v>72</v>
      </c>
      <c r="N156" s="59">
        <v>13</v>
      </c>
      <c r="O156" s="58" t="s">
        <v>542</v>
      </c>
      <c r="P156" s="58" t="s">
        <v>545</v>
      </c>
      <c r="Q156" s="58" t="s">
        <v>92</v>
      </c>
      <c r="R156" s="58" t="s">
        <v>546</v>
      </c>
      <c r="S156" s="58" t="s">
        <v>42</v>
      </c>
      <c r="T156" s="73">
        <v>2175000</v>
      </c>
      <c r="U156" s="74">
        <f t="shared" si="81"/>
        <v>2207328.6540049547</v>
      </c>
      <c r="V156" s="74">
        <v>270000</v>
      </c>
      <c r="W156" s="74">
        <v>2022290</v>
      </c>
      <c r="X156" s="74">
        <v>510942</v>
      </c>
      <c r="Y156" s="74">
        <v>1283.69</v>
      </c>
      <c r="Z156" s="74">
        <v>159.35</v>
      </c>
      <c r="AA156" s="75" t="s">
        <v>43</v>
      </c>
      <c r="AB156" s="74"/>
      <c r="AC156" s="74"/>
      <c r="AD156" s="75" t="s">
        <v>43</v>
      </c>
      <c r="AE156" s="74"/>
      <c r="AF156" s="74"/>
      <c r="AG156" s="74">
        <v>0</v>
      </c>
      <c r="AH156" s="75" t="s">
        <v>42</v>
      </c>
      <c r="AI156" s="74"/>
      <c r="AJ156" s="74">
        <f t="shared" si="76"/>
        <v>273766.34699215344</v>
      </c>
      <c r="AK156" s="74">
        <f t="shared" si="77"/>
        <v>2498286.5400495459</v>
      </c>
      <c r="AL156" s="74">
        <f t="shared" si="78"/>
        <v>286242.37140366167</v>
      </c>
      <c r="AM156" s="74">
        <f t="shared" si="83"/>
        <v>2623200.8670520233</v>
      </c>
      <c r="AN156" s="74">
        <f t="shared" si="82"/>
        <v>300554.48997384479</v>
      </c>
      <c r="AO156" s="74">
        <f t="shared" ref="AO156:AO162" si="91">AM156/105*108</f>
        <v>2698149.4632535097</v>
      </c>
      <c r="AP156" s="74">
        <f t="shared" si="80"/>
        <v>300554.48997384479</v>
      </c>
      <c r="AQ156" s="74">
        <f t="shared" si="89"/>
        <v>2845548.369116433</v>
      </c>
      <c r="AR156" s="76">
        <v>113.9</v>
      </c>
      <c r="AS156" s="74">
        <f t="shared" si="88"/>
        <v>300554.48997384479</v>
      </c>
      <c r="AT156" s="76">
        <v>105</v>
      </c>
      <c r="AU156" s="74">
        <f t="shared" si="90"/>
        <v>3097875.3096614368</v>
      </c>
      <c r="AV156" s="76">
        <v>124</v>
      </c>
      <c r="AW156" s="74">
        <f t="shared" si="84"/>
        <v>349215.6931124673</v>
      </c>
      <c r="AX156" s="76">
        <v>122</v>
      </c>
      <c r="AY156" s="77">
        <f t="shared" si="85"/>
        <v>3127855</v>
      </c>
      <c r="AZ156" s="78">
        <v>125.2</v>
      </c>
      <c r="BA156" s="77">
        <f t="shared" si="86"/>
        <v>352937</v>
      </c>
      <c r="BB156" s="78">
        <v>123.3</v>
      </c>
      <c r="BC156" s="79">
        <v>36526</v>
      </c>
      <c r="BD156" s="59"/>
      <c r="BE156" s="80">
        <v>1495.12</v>
      </c>
      <c r="BF156" s="80">
        <v>1487.09</v>
      </c>
      <c r="BG156" s="80">
        <v>1470.4</v>
      </c>
      <c r="BH156" s="73"/>
      <c r="BI156" s="73"/>
      <c r="BJ156" s="73"/>
      <c r="BK156" s="73"/>
      <c r="BL156" s="79">
        <v>42996</v>
      </c>
      <c r="BM156" s="79">
        <v>36434</v>
      </c>
      <c r="BN156" s="58" t="s">
        <v>44</v>
      </c>
      <c r="BO156" s="58" t="s">
        <v>70</v>
      </c>
      <c r="BP156" s="58" t="s">
        <v>184</v>
      </c>
      <c r="BQ156">
        <v>2016</v>
      </c>
      <c r="BR156" s="59"/>
      <c r="BV156" s="18"/>
      <c r="BW156" s="18"/>
    </row>
    <row r="157" spans="2:75" x14ac:dyDescent="0.3">
      <c r="B157" s="20" t="s">
        <v>547</v>
      </c>
      <c r="C157" s="20" t="s">
        <v>1314</v>
      </c>
      <c r="D157" s="57" t="s">
        <v>1397</v>
      </c>
      <c r="E157" s="58" t="s">
        <v>1101</v>
      </c>
      <c r="F157" s="96"/>
      <c r="G157" s="96"/>
      <c r="H157" s="58" t="s">
        <v>541</v>
      </c>
      <c r="I157" s="58" t="s">
        <v>541</v>
      </c>
      <c r="J157" s="59">
        <v>772723</v>
      </c>
      <c r="K157" s="95" t="s">
        <v>1440</v>
      </c>
      <c r="L157" s="95"/>
      <c r="M157" s="58" t="s">
        <v>72</v>
      </c>
      <c r="N157" s="59">
        <v>11</v>
      </c>
      <c r="O157" s="58" t="s">
        <v>40</v>
      </c>
      <c r="P157" s="58" t="s">
        <v>548</v>
      </c>
      <c r="Q157" s="58" t="s">
        <v>42</v>
      </c>
      <c r="R157" s="58" t="s">
        <v>549</v>
      </c>
      <c r="S157" s="58" t="s">
        <v>550</v>
      </c>
      <c r="T157" s="73">
        <v>820000</v>
      </c>
      <c r="U157" s="74">
        <f t="shared" si="81"/>
        <v>832188.27415359206</v>
      </c>
      <c r="V157" s="74"/>
      <c r="W157" s="74">
        <v>843443</v>
      </c>
      <c r="X157" s="74"/>
      <c r="Y157" s="74">
        <v>483.96</v>
      </c>
      <c r="Z157" s="74"/>
      <c r="AA157" s="75" t="s">
        <v>43</v>
      </c>
      <c r="AB157" s="74"/>
      <c r="AC157" s="74"/>
      <c r="AD157" s="75" t="s">
        <v>43</v>
      </c>
      <c r="AE157" s="74"/>
      <c r="AF157" s="74"/>
      <c r="AG157" s="74">
        <v>0</v>
      </c>
      <c r="AH157" s="75" t="s">
        <v>42</v>
      </c>
      <c r="AI157" s="74"/>
      <c r="AJ157" s="74">
        <f t="shared" si="76"/>
        <v>0</v>
      </c>
      <c r="AK157" s="74">
        <f t="shared" si="77"/>
        <v>941882.74153592065</v>
      </c>
      <c r="AL157" s="74">
        <f t="shared" si="78"/>
        <v>0</v>
      </c>
      <c r="AM157" s="74">
        <f t="shared" si="83"/>
        <v>988976.87861271668</v>
      </c>
      <c r="AN157" s="74">
        <f t="shared" si="82"/>
        <v>0</v>
      </c>
      <c r="AO157" s="74">
        <f t="shared" si="91"/>
        <v>1017233.3608587943</v>
      </c>
      <c r="AP157" s="74">
        <f t="shared" si="80"/>
        <v>0</v>
      </c>
      <c r="AQ157" s="74">
        <f t="shared" si="89"/>
        <v>1072804.4426094138</v>
      </c>
      <c r="AR157" s="76">
        <v>113.9</v>
      </c>
      <c r="AS157" s="74">
        <f t="shared" si="88"/>
        <v>0</v>
      </c>
      <c r="AT157" s="76">
        <v>105</v>
      </c>
      <c r="AU157" s="74">
        <f t="shared" si="90"/>
        <v>1167934.5995045416</v>
      </c>
      <c r="AV157" s="76">
        <v>124</v>
      </c>
      <c r="AW157" s="74">
        <f t="shared" si="84"/>
        <v>0</v>
      </c>
      <c r="AX157" s="76">
        <v>122</v>
      </c>
      <c r="AY157" s="77">
        <f t="shared" si="85"/>
        <v>1179238</v>
      </c>
      <c r="AZ157" s="78">
        <v>125.2</v>
      </c>
      <c r="BA157" s="77">
        <f t="shared" si="86"/>
        <v>0</v>
      </c>
      <c r="BB157" s="78">
        <v>123.3</v>
      </c>
      <c r="BC157" s="79">
        <v>40725</v>
      </c>
      <c r="BD157" s="59"/>
      <c r="BE157" s="80">
        <v>497.8</v>
      </c>
      <c r="BF157" s="80">
        <v>494.45</v>
      </c>
      <c r="BG157" s="80">
        <v>488.6</v>
      </c>
      <c r="BH157" s="73"/>
      <c r="BI157" s="73"/>
      <c r="BJ157" s="73"/>
      <c r="BK157" s="73"/>
      <c r="BL157" s="79">
        <v>42996</v>
      </c>
      <c r="BM157" s="79">
        <v>40883</v>
      </c>
      <c r="BN157" s="58" t="s">
        <v>44</v>
      </c>
      <c r="BO157" s="58" t="s">
        <v>44</v>
      </c>
      <c r="BP157" s="58" t="s">
        <v>551</v>
      </c>
      <c r="BQ157">
        <v>2016</v>
      </c>
      <c r="BR157" s="59"/>
      <c r="BV157" s="18"/>
      <c r="BW157" s="18"/>
    </row>
    <row r="158" spans="2:75" x14ac:dyDescent="0.3">
      <c r="B158" s="20" t="s">
        <v>547</v>
      </c>
      <c r="C158" s="20" t="s">
        <v>1314</v>
      </c>
      <c r="D158" s="57" t="s">
        <v>1397</v>
      </c>
      <c r="E158" s="58" t="s">
        <v>1101</v>
      </c>
      <c r="F158" s="96"/>
      <c r="G158" s="96"/>
      <c r="H158" s="58" t="s">
        <v>541</v>
      </c>
      <c r="I158" s="58" t="s">
        <v>541</v>
      </c>
      <c r="J158" s="59">
        <v>772723</v>
      </c>
      <c r="K158" s="95" t="s">
        <v>1440</v>
      </c>
      <c r="L158" s="95"/>
      <c r="M158" s="58" t="s">
        <v>72</v>
      </c>
      <c r="N158" s="59">
        <v>11</v>
      </c>
      <c r="O158" s="58" t="s">
        <v>40</v>
      </c>
      <c r="P158" s="58" t="s">
        <v>552</v>
      </c>
      <c r="Q158" s="58" t="s">
        <v>42</v>
      </c>
      <c r="R158" s="58" t="s">
        <v>553</v>
      </c>
      <c r="S158" s="58" t="s">
        <v>550</v>
      </c>
      <c r="T158" s="73">
        <v>820000</v>
      </c>
      <c r="U158" s="74">
        <f t="shared" si="81"/>
        <v>832188.27415359206</v>
      </c>
      <c r="V158" s="74">
        <v>120000</v>
      </c>
      <c r="W158" s="74">
        <v>843443</v>
      </c>
      <c r="X158" s="74">
        <v>49847</v>
      </c>
      <c r="Y158" s="74">
        <v>483.96</v>
      </c>
      <c r="Z158" s="74">
        <v>70.819999999999993</v>
      </c>
      <c r="AA158" s="75" t="s">
        <v>43</v>
      </c>
      <c r="AB158" s="74"/>
      <c r="AC158" s="74"/>
      <c r="AD158" s="75" t="s">
        <v>43</v>
      </c>
      <c r="AE158" s="74"/>
      <c r="AF158" s="74"/>
      <c r="AG158" s="74">
        <v>0</v>
      </c>
      <c r="AH158" s="75" t="s">
        <v>42</v>
      </c>
      <c r="AI158" s="74"/>
      <c r="AJ158" s="74">
        <f t="shared" si="76"/>
        <v>121673.93199651263</v>
      </c>
      <c r="AK158" s="74">
        <f t="shared" si="77"/>
        <v>941882.74153592065</v>
      </c>
      <c r="AL158" s="74">
        <f t="shared" si="78"/>
        <v>127218.83173496075</v>
      </c>
      <c r="AM158" s="74">
        <f t="shared" si="83"/>
        <v>988976.87861271668</v>
      </c>
      <c r="AN158" s="74">
        <f t="shared" si="82"/>
        <v>133579.77332170881</v>
      </c>
      <c r="AO158" s="74">
        <f t="shared" si="91"/>
        <v>1017233.3608587943</v>
      </c>
      <c r="AP158" s="74">
        <f t="shared" si="80"/>
        <v>133579.77332170881</v>
      </c>
      <c r="AQ158" s="74">
        <f t="shared" si="89"/>
        <v>1072804.4426094138</v>
      </c>
      <c r="AR158" s="76">
        <v>113.9</v>
      </c>
      <c r="AS158" s="74">
        <f t="shared" si="88"/>
        <v>133579.77332170881</v>
      </c>
      <c r="AT158" s="76">
        <v>105</v>
      </c>
      <c r="AU158" s="74">
        <f t="shared" si="90"/>
        <v>1167934.5995045416</v>
      </c>
      <c r="AV158" s="76">
        <v>124</v>
      </c>
      <c r="AW158" s="74">
        <f t="shared" si="84"/>
        <v>155206.97471665216</v>
      </c>
      <c r="AX158" s="76">
        <v>122</v>
      </c>
      <c r="AY158" s="77">
        <f t="shared" si="85"/>
        <v>1179238</v>
      </c>
      <c r="AZ158" s="78">
        <v>125.2</v>
      </c>
      <c r="BA158" s="77">
        <f t="shared" si="86"/>
        <v>156861</v>
      </c>
      <c r="BB158" s="78">
        <v>123.3</v>
      </c>
      <c r="BC158" s="79">
        <v>40725</v>
      </c>
      <c r="BD158" s="59"/>
      <c r="BE158" s="80">
        <v>527.22</v>
      </c>
      <c r="BF158" s="80">
        <v>523.87</v>
      </c>
      <c r="BG158" s="80">
        <v>517.76</v>
      </c>
      <c r="BH158" s="73"/>
      <c r="BI158" s="73"/>
      <c r="BJ158" s="73"/>
      <c r="BK158" s="73"/>
      <c r="BL158" s="79">
        <v>42996</v>
      </c>
      <c r="BM158" s="79">
        <v>40883</v>
      </c>
      <c r="BN158" s="58" t="s">
        <v>44</v>
      </c>
      <c r="BO158" s="58" t="s">
        <v>44</v>
      </c>
      <c r="BP158" s="58" t="s">
        <v>554</v>
      </c>
      <c r="BQ158">
        <v>2016</v>
      </c>
      <c r="BR158" s="59"/>
      <c r="BV158" s="18"/>
      <c r="BW158" s="18"/>
    </row>
    <row r="159" spans="2:75" x14ac:dyDescent="0.3">
      <c r="B159" s="20" t="s">
        <v>1019</v>
      </c>
      <c r="C159" s="20" t="s">
        <v>1315</v>
      </c>
      <c r="D159" s="57" t="s">
        <v>1397</v>
      </c>
      <c r="E159" s="58" t="s">
        <v>1101</v>
      </c>
      <c r="F159" s="96"/>
      <c r="G159" s="96"/>
      <c r="H159" s="58" t="s">
        <v>541</v>
      </c>
      <c r="I159" s="58" t="s">
        <v>541</v>
      </c>
      <c r="J159" s="59">
        <v>772723</v>
      </c>
      <c r="K159" s="95" t="s">
        <v>43</v>
      </c>
      <c r="L159" s="95"/>
      <c r="M159" s="58" t="s">
        <v>72</v>
      </c>
      <c r="N159" s="59">
        <v>14</v>
      </c>
      <c r="O159" s="58" t="s">
        <v>132</v>
      </c>
      <c r="P159" s="58" t="s">
        <v>555</v>
      </c>
      <c r="Q159" s="58" t="s">
        <v>217</v>
      </c>
      <c r="R159" s="58" t="s">
        <v>556</v>
      </c>
      <c r="S159" s="58" t="s">
        <v>42</v>
      </c>
      <c r="T159" s="73">
        <v>1850000</v>
      </c>
      <c r="U159" s="74">
        <f t="shared" si="81"/>
        <v>1877497.9355904213</v>
      </c>
      <c r="V159" s="74">
        <v>400000</v>
      </c>
      <c r="W159" s="74">
        <v>1627695</v>
      </c>
      <c r="X159" s="74">
        <v>338967</v>
      </c>
      <c r="Y159" s="74">
        <v>1091.8699999999999</v>
      </c>
      <c r="Z159" s="74">
        <v>236.08</v>
      </c>
      <c r="AA159" s="75" t="s">
        <v>43</v>
      </c>
      <c r="AB159" s="74"/>
      <c r="AC159" s="74"/>
      <c r="AD159" s="75" t="s">
        <v>43</v>
      </c>
      <c r="AE159" s="74"/>
      <c r="AF159" s="74"/>
      <c r="AG159" s="74">
        <v>0</v>
      </c>
      <c r="AH159" s="75" t="s">
        <v>42</v>
      </c>
      <c r="AI159" s="74"/>
      <c r="AJ159" s="74">
        <f t="shared" si="76"/>
        <v>405579.77332170878</v>
      </c>
      <c r="AK159" s="74">
        <f t="shared" si="77"/>
        <v>2124979.3559042113</v>
      </c>
      <c r="AL159" s="74">
        <f t="shared" si="78"/>
        <v>424062.77244986914</v>
      </c>
      <c r="AM159" s="74">
        <f t="shared" si="83"/>
        <v>2231228.3236994222</v>
      </c>
      <c r="AN159" s="74">
        <f t="shared" si="82"/>
        <v>445265.91107236262</v>
      </c>
      <c r="AO159" s="74">
        <f t="shared" si="91"/>
        <v>2294977.7043765485</v>
      </c>
      <c r="AP159" s="74">
        <f t="shared" si="80"/>
        <v>445265.91107236262</v>
      </c>
      <c r="AQ159" s="74">
        <f t="shared" si="89"/>
        <v>2420351.486374897</v>
      </c>
      <c r="AR159" s="76">
        <v>113.9</v>
      </c>
      <c r="AS159" s="74">
        <f t="shared" si="88"/>
        <v>445265.91107236262</v>
      </c>
      <c r="AT159" s="76">
        <v>105</v>
      </c>
      <c r="AU159" s="74">
        <f t="shared" si="90"/>
        <v>2634974.4013212221</v>
      </c>
      <c r="AV159" s="76">
        <v>124</v>
      </c>
      <c r="AW159" s="74">
        <f t="shared" si="84"/>
        <v>517356.58238884032</v>
      </c>
      <c r="AX159" s="76">
        <v>122</v>
      </c>
      <c r="AY159" s="77">
        <f t="shared" si="85"/>
        <v>2660475</v>
      </c>
      <c r="AZ159" s="78">
        <v>125.2</v>
      </c>
      <c r="BA159" s="77">
        <f t="shared" si="86"/>
        <v>522870</v>
      </c>
      <c r="BB159" s="78">
        <v>123.3</v>
      </c>
      <c r="BC159" s="79">
        <v>36526</v>
      </c>
      <c r="BD159" s="59"/>
      <c r="BE159" s="80">
        <v>1160.73</v>
      </c>
      <c r="BF159" s="80">
        <v>1154.27</v>
      </c>
      <c r="BG159" s="80">
        <v>1141.21</v>
      </c>
      <c r="BH159" s="73"/>
      <c r="BI159" s="73"/>
      <c r="BJ159" s="73"/>
      <c r="BK159" s="73"/>
      <c r="BL159" s="79">
        <v>42996</v>
      </c>
      <c r="BM159" s="79">
        <v>36434</v>
      </c>
      <c r="BN159" s="58" t="s">
        <v>44</v>
      </c>
      <c r="BO159" s="58" t="s">
        <v>70</v>
      </c>
      <c r="BP159" s="58" t="s">
        <v>184</v>
      </c>
      <c r="BQ159">
        <v>2016</v>
      </c>
      <c r="BR159" s="59" t="s">
        <v>1464</v>
      </c>
      <c r="BV159" s="18"/>
      <c r="BW159" s="18"/>
    </row>
    <row r="160" spans="2:75" x14ac:dyDescent="0.3">
      <c r="B160" s="20" t="s">
        <v>557</v>
      </c>
      <c r="C160" s="20" t="s">
        <v>1316</v>
      </c>
      <c r="D160" s="57" t="s">
        <v>1397</v>
      </c>
      <c r="E160" s="58" t="s">
        <v>1101</v>
      </c>
      <c r="F160" s="96"/>
      <c r="G160" s="96"/>
      <c r="H160" s="58" t="s">
        <v>541</v>
      </c>
      <c r="I160" s="58" t="s">
        <v>541</v>
      </c>
      <c r="J160" s="59">
        <v>772724</v>
      </c>
      <c r="K160" s="95" t="s">
        <v>1440</v>
      </c>
      <c r="L160" s="95"/>
      <c r="M160" s="58" t="s">
        <v>66</v>
      </c>
      <c r="N160" s="59">
        <v>99</v>
      </c>
      <c r="O160" s="58" t="s">
        <v>128</v>
      </c>
      <c r="P160" s="58" t="s">
        <v>558</v>
      </c>
      <c r="Q160" s="58" t="s">
        <v>245</v>
      </c>
      <c r="R160" s="58" t="s">
        <v>559</v>
      </c>
      <c r="S160" s="58" t="s">
        <v>42</v>
      </c>
      <c r="T160" s="73">
        <v>1830000</v>
      </c>
      <c r="U160" s="74">
        <f t="shared" si="81"/>
        <v>1857200.6606110653</v>
      </c>
      <c r="V160" s="74">
        <v>200000</v>
      </c>
      <c r="W160" s="74">
        <v>1677020</v>
      </c>
      <c r="X160" s="74">
        <v>162006</v>
      </c>
      <c r="Y160" s="74">
        <v>1080.07</v>
      </c>
      <c r="Z160" s="74">
        <v>118.04</v>
      </c>
      <c r="AA160" s="75" t="s">
        <v>43</v>
      </c>
      <c r="AB160" s="74"/>
      <c r="AC160" s="74"/>
      <c r="AD160" s="75" t="s">
        <v>43</v>
      </c>
      <c r="AE160" s="74"/>
      <c r="AF160" s="74"/>
      <c r="AG160" s="74">
        <v>0</v>
      </c>
      <c r="AH160" s="75" t="s">
        <v>560</v>
      </c>
      <c r="AI160" s="74"/>
      <c r="AJ160" s="74">
        <f t="shared" si="76"/>
        <v>202789.88666085439</v>
      </c>
      <c r="AK160" s="74">
        <f t="shared" si="77"/>
        <v>2102006.6061106524</v>
      </c>
      <c r="AL160" s="74">
        <f t="shared" si="78"/>
        <v>212031.38622493457</v>
      </c>
      <c r="AM160" s="74">
        <f t="shared" si="83"/>
        <v>2207106.936416185</v>
      </c>
      <c r="AN160" s="74">
        <f t="shared" si="82"/>
        <v>222632.95553618131</v>
      </c>
      <c r="AO160" s="74">
        <f t="shared" si="91"/>
        <v>2270167.1345995045</v>
      </c>
      <c r="AP160" s="74">
        <f t="shared" si="80"/>
        <v>222632.95553618131</v>
      </c>
      <c r="AQ160" s="74">
        <f t="shared" si="89"/>
        <v>2394185.5243600332</v>
      </c>
      <c r="AR160" s="76">
        <v>113.9</v>
      </c>
      <c r="AS160" s="74">
        <f t="shared" si="88"/>
        <v>222632.95553618131</v>
      </c>
      <c r="AT160" s="76">
        <v>105</v>
      </c>
      <c r="AU160" s="74">
        <f t="shared" si="90"/>
        <v>2606488.1915772092</v>
      </c>
      <c r="AV160" s="76">
        <v>124</v>
      </c>
      <c r="AW160" s="74">
        <f t="shared" si="84"/>
        <v>258678.29119442016</v>
      </c>
      <c r="AX160" s="76">
        <v>122</v>
      </c>
      <c r="AY160" s="77">
        <f t="shared" si="85"/>
        <v>2631713</v>
      </c>
      <c r="AZ160" s="78">
        <v>125.2</v>
      </c>
      <c r="BA160" s="77">
        <f t="shared" si="86"/>
        <v>261435</v>
      </c>
      <c r="BB160" s="78">
        <v>123.3</v>
      </c>
      <c r="BC160" s="79">
        <v>39083</v>
      </c>
      <c r="BD160" s="59"/>
      <c r="BE160" s="80">
        <v>1085.4000000000001</v>
      </c>
      <c r="BF160" s="80">
        <v>1078.74</v>
      </c>
      <c r="BG160" s="80">
        <v>1066.26</v>
      </c>
      <c r="BH160" s="73"/>
      <c r="BI160" s="73"/>
      <c r="BJ160" s="73"/>
      <c r="BK160" s="73"/>
      <c r="BL160" s="79">
        <v>42996</v>
      </c>
      <c r="BM160" s="79">
        <v>36434</v>
      </c>
      <c r="BN160" s="58" t="s">
        <v>44</v>
      </c>
      <c r="BO160" s="58" t="s">
        <v>70</v>
      </c>
      <c r="BP160" s="58" t="s">
        <v>146</v>
      </c>
      <c r="BQ160">
        <v>2016</v>
      </c>
      <c r="BR160" s="59" t="s">
        <v>1464</v>
      </c>
      <c r="BV160" s="18"/>
      <c r="BW160" s="18"/>
    </row>
    <row r="161" spans="2:75" x14ac:dyDescent="0.3">
      <c r="B161" s="20" t="s">
        <v>561</v>
      </c>
      <c r="C161" s="20" t="s">
        <v>1317</v>
      </c>
      <c r="D161" s="57" t="s">
        <v>1398</v>
      </c>
      <c r="E161" s="58" t="s">
        <v>562</v>
      </c>
      <c r="F161" s="96"/>
      <c r="G161" s="96"/>
      <c r="H161" s="58" t="s">
        <v>562</v>
      </c>
      <c r="I161" s="58" t="s">
        <v>562</v>
      </c>
      <c r="J161" s="59">
        <v>777772</v>
      </c>
      <c r="K161" s="95" t="s">
        <v>43</v>
      </c>
      <c r="L161" s="95"/>
      <c r="M161" s="58" t="s">
        <v>39</v>
      </c>
      <c r="N161" s="59">
        <v>12</v>
      </c>
      <c r="O161" s="58" t="s">
        <v>49</v>
      </c>
      <c r="P161" s="58" t="s">
        <v>563</v>
      </c>
      <c r="Q161" s="58" t="s">
        <v>42</v>
      </c>
      <c r="R161" s="58" t="s">
        <v>564</v>
      </c>
      <c r="S161" s="58" t="s">
        <v>42</v>
      </c>
      <c r="T161" s="73">
        <v>260000</v>
      </c>
      <c r="U161" s="74">
        <f t="shared" si="81"/>
        <v>263864.57473162678</v>
      </c>
      <c r="V161" s="74"/>
      <c r="W161" s="74">
        <v>205350</v>
      </c>
      <c r="X161" s="74"/>
      <c r="Y161" s="74">
        <v>153.44999999999999</v>
      </c>
      <c r="Z161" s="74"/>
      <c r="AA161" s="75" t="s">
        <v>43</v>
      </c>
      <c r="AB161" s="74"/>
      <c r="AC161" s="74"/>
      <c r="AD161" s="75" t="s">
        <v>43</v>
      </c>
      <c r="AE161" s="74"/>
      <c r="AF161" s="74"/>
      <c r="AG161" s="74">
        <v>0</v>
      </c>
      <c r="AH161" s="75" t="s">
        <v>42</v>
      </c>
      <c r="AI161" s="74"/>
      <c r="AJ161" s="74">
        <f t="shared" si="76"/>
        <v>0</v>
      </c>
      <c r="AK161" s="74">
        <f t="shared" si="77"/>
        <v>298645.74731626757</v>
      </c>
      <c r="AL161" s="74">
        <f t="shared" si="78"/>
        <v>0</v>
      </c>
      <c r="AM161" s="74">
        <f t="shared" si="83"/>
        <v>313578.03468208096</v>
      </c>
      <c r="AN161" s="74">
        <f t="shared" si="82"/>
        <v>0</v>
      </c>
      <c r="AO161" s="74">
        <f t="shared" si="91"/>
        <v>322537.407101569</v>
      </c>
      <c r="AP161" s="74">
        <f t="shared" si="80"/>
        <v>0</v>
      </c>
      <c r="AQ161" s="74">
        <f t="shared" si="89"/>
        <v>340157.50619322876</v>
      </c>
      <c r="AR161" s="76">
        <v>113.9</v>
      </c>
      <c r="AS161" s="74">
        <f t="shared" si="88"/>
        <v>0</v>
      </c>
      <c r="AT161" s="76">
        <v>105</v>
      </c>
      <c r="AU161" s="74">
        <f t="shared" si="90"/>
        <v>370320.72667217179</v>
      </c>
      <c r="AV161" s="76">
        <v>124</v>
      </c>
      <c r="AW161" s="74">
        <f t="shared" si="84"/>
        <v>0</v>
      </c>
      <c r="AX161" s="76">
        <v>122</v>
      </c>
      <c r="AY161" s="77">
        <f t="shared" si="85"/>
        <v>373905</v>
      </c>
      <c r="AZ161" s="78">
        <v>125.2</v>
      </c>
      <c r="BA161" s="77">
        <f t="shared" si="86"/>
        <v>0</v>
      </c>
      <c r="BB161" s="78">
        <v>123.3</v>
      </c>
      <c r="BC161" s="79">
        <v>41275</v>
      </c>
      <c r="BD161" s="59"/>
      <c r="BE161" s="80">
        <v>121.2</v>
      </c>
      <c r="BF161" s="80">
        <v>120.38</v>
      </c>
      <c r="BG161" s="80">
        <v>118.96</v>
      </c>
      <c r="BH161" s="73"/>
      <c r="BI161" s="73"/>
      <c r="BJ161" s="73"/>
      <c r="BK161" s="73"/>
      <c r="BL161" s="79">
        <v>42996</v>
      </c>
      <c r="BM161" s="79">
        <v>41652</v>
      </c>
      <c r="BN161" s="58" t="s">
        <v>44</v>
      </c>
      <c r="BO161" s="58" t="s">
        <v>44</v>
      </c>
      <c r="BP161" s="58" t="s">
        <v>221</v>
      </c>
      <c r="BQ161">
        <v>2016</v>
      </c>
      <c r="BR161" s="59"/>
      <c r="BV161" s="18"/>
      <c r="BW161" s="18"/>
    </row>
    <row r="162" spans="2:75" x14ac:dyDescent="0.3">
      <c r="B162" s="20" t="s">
        <v>565</v>
      </c>
      <c r="C162" s="20" t="s">
        <v>1318</v>
      </c>
      <c r="D162" s="57" t="s">
        <v>1398</v>
      </c>
      <c r="E162" s="58" t="s">
        <v>562</v>
      </c>
      <c r="F162" s="96"/>
      <c r="G162" s="96"/>
      <c r="H162" s="58" t="s">
        <v>562</v>
      </c>
      <c r="I162" s="58" t="s">
        <v>562</v>
      </c>
      <c r="J162" s="59">
        <v>777772</v>
      </c>
      <c r="K162" s="95" t="s">
        <v>43</v>
      </c>
      <c r="L162" s="95"/>
      <c r="M162" s="58" t="s">
        <v>39</v>
      </c>
      <c r="N162" s="59">
        <v>16</v>
      </c>
      <c r="O162" s="58" t="s">
        <v>262</v>
      </c>
      <c r="P162" s="58" t="s">
        <v>566</v>
      </c>
      <c r="Q162" s="58" t="s">
        <v>42</v>
      </c>
      <c r="R162" s="58" t="s">
        <v>567</v>
      </c>
      <c r="S162" s="58" t="s">
        <v>568</v>
      </c>
      <c r="T162" s="73">
        <v>575000</v>
      </c>
      <c r="U162" s="74">
        <f t="shared" si="81"/>
        <v>583546.65565648233</v>
      </c>
      <c r="V162" s="74"/>
      <c r="W162" s="74">
        <v>563790</v>
      </c>
      <c r="X162" s="74"/>
      <c r="Y162" s="74">
        <v>339.37</v>
      </c>
      <c r="Z162" s="74"/>
      <c r="AA162" s="75" t="s">
        <v>43</v>
      </c>
      <c r="AB162" s="74"/>
      <c r="AC162" s="74"/>
      <c r="AD162" s="75" t="s">
        <v>43</v>
      </c>
      <c r="AE162" s="74"/>
      <c r="AF162" s="74"/>
      <c r="AG162" s="74">
        <v>0</v>
      </c>
      <c r="AH162" s="75" t="s">
        <v>42</v>
      </c>
      <c r="AI162" s="74"/>
      <c r="AJ162" s="74">
        <f t="shared" si="76"/>
        <v>0</v>
      </c>
      <c r="AK162" s="74">
        <f t="shared" si="77"/>
        <v>660466.55656482244</v>
      </c>
      <c r="AL162" s="74">
        <f t="shared" si="78"/>
        <v>0</v>
      </c>
      <c r="AM162" s="74">
        <f t="shared" si="83"/>
        <v>693489.88439306361</v>
      </c>
      <c r="AN162" s="74">
        <f t="shared" si="82"/>
        <v>0</v>
      </c>
      <c r="AO162" s="74">
        <f t="shared" si="91"/>
        <v>713303.88109000819</v>
      </c>
      <c r="AP162" s="74">
        <f t="shared" si="80"/>
        <v>0</v>
      </c>
      <c r="AQ162" s="74">
        <f t="shared" si="89"/>
        <v>752271.4079273328</v>
      </c>
      <c r="AR162" s="76">
        <v>113.9</v>
      </c>
      <c r="AS162" s="74">
        <f t="shared" si="88"/>
        <v>0</v>
      </c>
      <c r="AT162" s="76">
        <v>105</v>
      </c>
      <c r="AU162" s="74">
        <f t="shared" si="90"/>
        <v>818978.53014037979</v>
      </c>
      <c r="AV162" s="76">
        <v>124</v>
      </c>
      <c r="AW162" s="74">
        <f t="shared" si="84"/>
        <v>0</v>
      </c>
      <c r="AX162" s="76">
        <v>122</v>
      </c>
      <c r="AY162" s="77">
        <f t="shared" si="85"/>
        <v>826905</v>
      </c>
      <c r="AZ162" s="78">
        <v>125.2</v>
      </c>
      <c r="BA162" s="77">
        <f t="shared" si="86"/>
        <v>0</v>
      </c>
      <c r="BB162" s="78">
        <v>123.3</v>
      </c>
      <c r="BC162" s="79">
        <v>42186</v>
      </c>
      <c r="BD162" s="59"/>
      <c r="BE162" s="80">
        <v>332.75</v>
      </c>
      <c r="BF162" s="80">
        <v>330.51</v>
      </c>
      <c r="BG162" s="80"/>
      <c r="BH162" s="73"/>
      <c r="BI162" s="73"/>
      <c r="BJ162" s="73"/>
      <c r="BK162" s="73"/>
      <c r="BL162" s="79">
        <v>42996</v>
      </c>
      <c r="BM162" s="79">
        <v>42398</v>
      </c>
      <c r="BN162" s="58" t="s">
        <v>44</v>
      </c>
      <c r="BO162" s="58" t="s">
        <v>44</v>
      </c>
      <c r="BP162" s="58" t="s">
        <v>221</v>
      </c>
      <c r="BQ162">
        <v>2016</v>
      </c>
      <c r="BR162" s="59"/>
      <c r="BV162" s="18"/>
      <c r="BW162" s="18"/>
    </row>
    <row r="163" spans="2:75" x14ac:dyDescent="0.3">
      <c r="B163" s="20" t="s">
        <v>569</v>
      </c>
      <c r="C163" s="20" t="s">
        <v>1319</v>
      </c>
      <c r="D163" s="57" t="e">
        <v>#N/A</v>
      </c>
      <c r="E163" s="58" t="s">
        <v>115</v>
      </c>
      <c r="F163" s="96"/>
      <c r="G163" s="96"/>
      <c r="H163" s="58" t="s">
        <v>115</v>
      </c>
      <c r="I163" s="58" t="s">
        <v>115</v>
      </c>
      <c r="J163" s="59">
        <v>777772</v>
      </c>
      <c r="K163" s="95" t="s">
        <v>43</v>
      </c>
      <c r="L163" s="95"/>
      <c r="M163" s="58" t="s">
        <v>39</v>
      </c>
      <c r="N163" s="59">
        <v>11</v>
      </c>
      <c r="O163" s="58" t="s">
        <v>40</v>
      </c>
      <c r="P163" s="58" t="s">
        <v>570</v>
      </c>
      <c r="Q163" s="58" t="s">
        <v>42</v>
      </c>
      <c r="R163" s="58" t="s">
        <v>571</v>
      </c>
      <c r="S163" s="58" t="s">
        <v>572</v>
      </c>
      <c r="T163" s="73">
        <v>320000</v>
      </c>
      <c r="U163" s="74">
        <f t="shared" si="81"/>
        <v>324756.39966969448</v>
      </c>
      <c r="V163" s="74"/>
      <c r="W163" s="74">
        <v>147973</v>
      </c>
      <c r="X163" s="74"/>
      <c r="Y163" s="74">
        <v>188.86</v>
      </c>
      <c r="Z163" s="74"/>
      <c r="AA163" s="75" t="s">
        <v>43</v>
      </c>
      <c r="AB163" s="74"/>
      <c r="AC163" s="74"/>
      <c r="AD163" s="75" t="s">
        <v>43</v>
      </c>
      <c r="AE163" s="74"/>
      <c r="AF163" s="74"/>
      <c r="AG163" s="74">
        <v>2010</v>
      </c>
      <c r="AH163" s="75" t="s">
        <v>42</v>
      </c>
      <c r="AI163" s="74"/>
      <c r="AJ163" s="74">
        <f t="shared" si="76"/>
        <v>0</v>
      </c>
      <c r="AK163" s="74">
        <f t="shared" si="77"/>
        <v>367563.99669694464</v>
      </c>
      <c r="AL163" s="74">
        <f t="shared" si="78"/>
        <v>0</v>
      </c>
      <c r="AM163" s="74">
        <f t="shared" si="83"/>
        <v>385942.19653179188</v>
      </c>
      <c r="AN163" s="74">
        <f t="shared" si="82"/>
        <v>0</v>
      </c>
      <c r="AO163" s="74">
        <v>0</v>
      </c>
      <c r="AP163" s="74">
        <f t="shared" si="80"/>
        <v>0</v>
      </c>
      <c r="AQ163" s="74">
        <f t="shared" si="89"/>
        <v>0</v>
      </c>
      <c r="AR163" s="76">
        <v>113.9</v>
      </c>
      <c r="AS163" s="74">
        <f t="shared" si="88"/>
        <v>0</v>
      </c>
      <c r="AT163" s="76">
        <v>105</v>
      </c>
      <c r="AU163" s="74">
        <f t="shared" si="90"/>
        <v>0</v>
      </c>
      <c r="AV163" s="76">
        <v>124</v>
      </c>
      <c r="AW163" s="74">
        <f t="shared" si="84"/>
        <v>0</v>
      </c>
      <c r="AX163" s="76">
        <v>122</v>
      </c>
      <c r="AY163" s="77">
        <f t="shared" si="85"/>
        <v>0</v>
      </c>
      <c r="AZ163" s="78">
        <v>125.2</v>
      </c>
      <c r="BA163" s="77">
        <f t="shared" si="86"/>
        <v>0</v>
      </c>
      <c r="BB163" s="78">
        <v>123.3</v>
      </c>
      <c r="BC163" s="79">
        <v>40360</v>
      </c>
      <c r="BD163" s="59"/>
      <c r="BE163" s="80">
        <v>87.33</v>
      </c>
      <c r="BF163" s="80">
        <v>86.75</v>
      </c>
      <c r="BG163" s="80">
        <v>85.72</v>
      </c>
      <c r="BH163" s="73"/>
      <c r="BI163" s="73"/>
      <c r="BJ163" s="73"/>
      <c r="BK163" s="73"/>
      <c r="BL163" s="79">
        <v>42996</v>
      </c>
      <c r="BM163" s="79">
        <v>40599</v>
      </c>
      <c r="BN163" s="58" t="s">
        <v>44</v>
      </c>
      <c r="BO163" s="58" t="s">
        <v>44</v>
      </c>
      <c r="BP163" s="58" t="s">
        <v>221</v>
      </c>
      <c r="BQ163">
        <v>2016</v>
      </c>
      <c r="BR163" s="59"/>
      <c r="BV163" s="18"/>
      <c r="BW163" s="18"/>
    </row>
    <row r="164" spans="2:75" x14ac:dyDescent="0.3">
      <c r="B164" s="20" t="s">
        <v>1047</v>
      </c>
      <c r="C164" s="20" t="s">
        <v>1047</v>
      </c>
      <c r="D164" s="57" t="s">
        <v>1190</v>
      </c>
      <c r="E164" s="58" t="s">
        <v>115</v>
      </c>
      <c r="F164" s="96"/>
      <c r="G164" s="96"/>
      <c r="H164" s="58"/>
      <c r="I164" s="58"/>
      <c r="J164" s="59"/>
      <c r="K164" s="95" t="s">
        <v>43</v>
      </c>
      <c r="L164" s="95"/>
      <c r="M164" s="58"/>
      <c r="N164" s="59"/>
      <c r="O164" s="58" t="s">
        <v>40</v>
      </c>
      <c r="P164" s="58" t="s">
        <v>1046</v>
      </c>
      <c r="Q164" s="58"/>
      <c r="R164" s="58"/>
      <c r="S164" s="58"/>
      <c r="T164" s="73"/>
      <c r="U164" s="74"/>
      <c r="V164" s="74"/>
      <c r="W164" s="74"/>
      <c r="X164" s="74"/>
      <c r="Y164" s="74"/>
      <c r="Z164" s="74"/>
      <c r="AA164" s="75"/>
      <c r="AB164" s="74"/>
      <c r="AC164" s="74"/>
      <c r="AD164" s="75"/>
      <c r="AE164" s="74"/>
      <c r="AF164" s="74"/>
      <c r="AG164" s="74"/>
      <c r="AH164" s="75"/>
      <c r="AI164" s="74"/>
      <c r="AJ164" s="74"/>
      <c r="AK164" s="74"/>
      <c r="AL164" s="74"/>
      <c r="AM164" s="74"/>
      <c r="AN164" s="74"/>
      <c r="AO164" s="74"/>
      <c r="AP164" s="74"/>
      <c r="AQ164" s="74">
        <v>490000</v>
      </c>
      <c r="AR164" s="76">
        <v>113.9</v>
      </c>
      <c r="AS164" s="74">
        <v>0</v>
      </c>
      <c r="AT164" s="76">
        <v>105</v>
      </c>
      <c r="AU164" s="74">
        <f t="shared" si="90"/>
        <v>533450.39508340647</v>
      </c>
      <c r="AV164" s="76">
        <v>124</v>
      </c>
      <c r="AW164" s="74">
        <f t="shared" si="84"/>
        <v>0</v>
      </c>
      <c r="AX164" s="76">
        <v>122</v>
      </c>
      <c r="AY164" s="77">
        <f t="shared" si="85"/>
        <v>538613</v>
      </c>
      <c r="AZ164" s="78">
        <v>125.2</v>
      </c>
      <c r="BA164" s="77">
        <f t="shared" si="86"/>
        <v>0</v>
      </c>
      <c r="BB164" s="78">
        <v>123.3</v>
      </c>
      <c r="BC164" s="79"/>
      <c r="BD164" s="59"/>
      <c r="BE164" s="80"/>
      <c r="BF164" s="80"/>
      <c r="BG164" s="80"/>
      <c r="BH164" s="73"/>
      <c r="BI164" s="73"/>
      <c r="BJ164" s="73"/>
      <c r="BK164" s="73"/>
      <c r="BL164" s="79"/>
      <c r="BM164" s="79"/>
      <c r="BN164" s="58"/>
      <c r="BO164" s="58"/>
      <c r="BP164" s="58"/>
      <c r="BR164" s="59"/>
      <c r="BV164" s="18"/>
      <c r="BW164" s="18"/>
    </row>
    <row r="165" spans="2:75" x14ac:dyDescent="0.3">
      <c r="B165" s="20" t="s">
        <v>573</v>
      </c>
      <c r="C165" s="20" t="s">
        <v>1320</v>
      </c>
      <c r="D165" s="57" t="s">
        <v>1191</v>
      </c>
      <c r="E165" s="58" t="s">
        <v>1101</v>
      </c>
      <c r="F165" s="96"/>
      <c r="G165" s="96"/>
      <c r="H165" s="58" t="s">
        <v>470</v>
      </c>
      <c r="I165" s="58" t="s">
        <v>470</v>
      </c>
      <c r="J165" s="59">
        <v>777772</v>
      </c>
      <c r="K165" s="95" t="s">
        <v>43</v>
      </c>
      <c r="L165" s="95"/>
      <c r="M165" s="58" t="s">
        <v>39</v>
      </c>
      <c r="N165" s="59">
        <v>12</v>
      </c>
      <c r="O165" s="58" t="s">
        <v>49</v>
      </c>
      <c r="P165" s="58" t="s">
        <v>574</v>
      </c>
      <c r="Q165" s="58" t="s">
        <v>42</v>
      </c>
      <c r="R165" s="58" t="s">
        <v>575</v>
      </c>
      <c r="S165" s="58" t="s">
        <v>42</v>
      </c>
      <c r="T165" s="73">
        <v>1200000</v>
      </c>
      <c r="U165" s="74">
        <f t="shared" ref="U165:U170" si="92">122.9*T165/121.1</f>
        <v>1217836.4987613542</v>
      </c>
      <c r="V165" s="74"/>
      <c r="W165" s="74">
        <v>256687</v>
      </c>
      <c r="X165" s="74"/>
      <c r="Y165" s="74">
        <v>708.24</v>
      </c>
      <c r="Z165" s="74"/>
      <c r="AA165" s="75" t="s">
        <v>43</v>
      </c>
      <c r="AB165" s="74"/>
      <c r="AC165" s="74"/>
      <c r="AD165" s="75" t="s">
        <v>43</v>
      </c>
      <c r="AE165" s="74"/>
      <c r="AF165" s="74"/>
      <c r="AG165" s="74">
        <v>0</v>
      </c>
      <c r="AH165" s="75" t="s">
        <v>42</v>
      </c>
      <c r="AI165" s="74"/>
      <c r="AJ165" s="74">
        <f t="shared" ref="AJ165:AJ170" si="93">116.3*V165/114.7</f>
        <v>0</v>
      </c>
      <c r="AK165" s="74">
        <f t="shared" ref="AK165:AK170" si="94">139.1/122.9*U165</f>
        <v>1378364.9876135425</v>
      </c>
      <c r="AL165" s="74">
        <f t="shared" ref="AL165:AL170" si="95">121.6/116.3*AJ165</f>
        <v>0</v>
      </c>
      <c r="AM165" s="74">
        <f t="shared" ref="AM165:AM170" si="96">AK165*1.05</f>
        <v>1447283.2369942197</v>
      </c>
      <c r="AN165" s="74">
        <f t="shared" ref="AN165:AN170" si="97">AL165*1.05</f>
        <v>0</v>
      </c>
      <c r="AO165" s="74">
        <f t="shared" ref="AO165:AO170" si="98">AM165/105*108</f>
        <v>1488634.1866226259</v>
      </c>
      <c r="AP165" s="74">
        <f t="shared" ref="AP165:AP169" si="99">AN165</f>
        <v>0</v>
      </c>
      <c r="AQ165" s="74">
        <f t="shared" ref="AQ165:AQ170" si="100">AO165/108*113.9</f>
        <v>1569957.7208918249</v>
      </c>
      <c r="AR165" s="76">
        <v>113.9</v>
      </c>
      <c r="AS165" s="74">
        <f t="shared" ref="AS165:AS170" si="101">AP165</f>
        <v>0</v>
      </c>
      <c r="AT165" s="76">
        <v>105</v>
      </c>
      <c r="AU165" s="74">
        <f t="shared" si="90"/>
        <v>1709172.5846407928</v>
      </c>
      <c r="AV165" s="76">
        <v>124</v>
      </c>
      <c r="AW165" s="74">
        <f t="shared" si="84"/>
        <v>0</v>
      </c>
      <c r="AX165" s="76">
        <v>122</v>
      </c>
      <c r="AY165" s="77">
        <f t="shared" si="85"/>
        <v>1725713</v>
      </c>
      <c r="AZ165" s="78">
        <v>125.2</v>
      </c>
      <c r="BA165" s="77">
        <f t="shared" si="86"/>
        <v>0</v>
      </c>
      <c r="BB165" s="78">
        <v>123.3</v>
      </c>
      <c r="BC165" s="79">
        <v>41275</v>
      </c>
      <c r="BD165" s="59"/>
      <c r="BE165" s="80">
        <v>151.5</v>
      </c>
      <c r="BF165" s="80">
        <v>150.47999999999999</v>
      </c>
      <c r="BG165" s="80">
        <v>148.69999999999999</v>
      </c>
      <c r="BH165" s="73"/>
      <c r="BI165" s="73"/>
      <c r="BJ165" s="73"/>
      <c r="BK165" s="73"/>
      <c r="BL165" s="79">
        <v>42996</v>
      </c>
      <c r="BM165" s="79">
        <v>41652</v>
      </c>
      <c r="BN165" s="58" t="s">
        <v>44</v>
      </c>
      <c r="BO165" s="58" t="s">
        <v>44</v>
      </c>
      <c r="BP165" s="58" t="s">
        <v>221</v>
      </c>
      <c r="BQ165">
        <v>2016</v>
      </c>
      <c r="BR165" s="59"/>
      <c r="BV165" s="18"/>
      <c r="BW165" s="18"/>
    </row>
    <row r="166" spans="2:75" x14ac:dyDescent="0.3">
      <c r="B166" s="20" t="s">
        <v>576</v>
      </c>
      <c r="C166" s="20" t="s">
        <v>1321</v>
      </c>
      <c r="D166" s="57" t="s">
        <v>1191</v>
      </c>
      <c r="E166" s="58" t="s">
        <v>1101</v>
      </c>
      <c r="F166" s="96"/>
      <c r="G166" s="96"/>
      <c r="H166" s="58" t="s">
        <v>470</v>
      </c>
      <c r="I166" s="58" t="s">
        <v>470</v>
      </c>
      <c r="J166" s="59">
        <v>772724</v>
      </c>
      <c r="K166" s="95" t="s">
        <v>43</v>
      </c>
      <c r="L166" s="95"/>
      <c r="M166" s="58" t="s">
        <v>66</v>
      </c>
      <c r="N166" s="59">
        <v>99</v>
      </c>
      <c r="O166" s="58" t="s">
        <v>128</v>
      </c>
      <c r="P166" s="58" t="s">
        <v>577</v>
      </c>
      <c r="Q166" s="58" t="s">
        <v>245</v>
      </c>
      <c r="R166" s="58" t="s">
        <v>578</v>
      </c>
      <c r="S166" s="58" t="s">
        <v>42</v>
      </c>
      <c r="T166" s="73">
        <v>1100000</v>
      </c>
      <c r="U166" s="74">
        <f t="shared" si="92"/>
        <v>1116350.1238645748</v>
      </c>
      <c r="V166" s="74"/>
      <c r="W166" s="74">
        <v>986483</v>
      </c>
      <c r="X166" s="74"/>
      <c r="Y166" s="74">
        <v>649.22</v>
      </c>
      <c r="Z166" s="74"/>
      <c r="AA166" s="75" t="s">
        <v>43</v>
      </c>
      <c r="AB166" s="74"/>
      <c r="AC166" s="74"/>
      <c r="AD166" s="75" t="s">
        <v>43</v>
      </c>
      <c r="AE166" s="74"/>
      <c r="AF166" s="74"/>
      <c r="AG166" s="74">
        <v>0</v>
      </c>
      <c r="AH166" s="75" t="s">
        <v>42</v>
      </c>
      <c r="AI166" s="74"/>
      <c r="AJ166" s="74">
        <f t="shared" si="93"/>
        <v>0</v>
      </c>
      <c r="AK166" s="74">
        <f t="shared" si="94"/>
        <v>1263501.2386457473</v>
      </c>
      <c r="AL166" s="74">
        <f t="shared" si="95"/>
        <v>0</v>
      </c>
      <c r="AM166" s="74">
        <f t="shared" si="96"/>
        <v>1326676.3005780347</v>
      </c>
      <c r="AN166" s="74">
        <f t="shared" si="97"/>
        <v>0</v>
      </c>
      <c r="AO166" s="74">
        <f t="shared" si="98"/>
        <v>1364581.3377374073</v>
      </c>
      <c r="AP166" s="74">
        <f t="shared" si="99"/>
        <v>0</v>
      </c>
      <c r="AQ166" s="74">
        <f t="shared" si="100"/>
        <v>1439127.9108175065</v>
      </c>
      <c r="AR166" s="76">
        <v>113.9</v>
      </c>
      <c r="AS166" s="74">
        <f t="shared" si="101"/>
        <v>0</v>
      </c>
      <c r="AT166" s="76">
        <v>105</v>
      </c>
      <c r="AU166" s="74">
        <f t="shared" si="90"/>
        <v>1566741.5359207268</v>
      </c>
      <c r="AV166" s="76">
        <v>124</v>
      </c>
      <c r="AW166" s="74">
        <f t="shared" si="84"/>
        <v>0</v>
      </c>
      <c r="AX166" s="76">
        <v>122</v>
      </c>
      <c r="AY166" s="77">
        <f t="shared" si="85"/>
        <v>1581904</v>
      </c>
      <c r="AZ166" s="78">
        <v>125.2</v>
      </c>
      <c r="BA166" s="77">
        <f t="shared" si="86"/>
        <v>0</v>
      </c>
      <c r="BB166" s="78">
        <v>123.3</v>
      </c>
      <c r="BC166" s="59"/>
      <c r="BD166" s="59"/>
      <c r="BE166" s="80">
        <v>582.22</v>
      </c>
      <c r="BF166" s="80">
        <v>578.30999999999995</v>
      </c>
      <c r="BG166" s="80">
        <v>571.46</v>
      </c>
      <c r="BH166" s="73"/>
      <c r="BI166" s="73"/>
      <c r="BJ166" s="73"/>
      <c r="BK166" s="73"/>
      <c r="BL166" s="79">
        <v>42996</v>
      </c>
      <c r="BM166" s="79">
        <v>36434</v>
      </c>
      <c r="BN166" s="58" t="s">
        <v>44</v>
      </c>
      <c r="BO166" s="58" t="s">
        <v>70</v>
      </c>
      <c r="BP166" s="58" t="s">
        <v>184</v>
      </c>
      <c r="BQ166">
        <v>2016</v>
      </c>
      <c r="BR166" s="59"/>
      <c r="BV166" s="18"/>
      <c r="BW166" s="18"/>
    </row>
    <row r="167" spans="2:75" x14ac:dyDescent="0.3">
      <c r="B167" s="20" t="s">
        <v>579</v>
      </c>
      <c r="C167" s="20" t="s">
        <v>1322</v>
      </c>
      <c r="D167" s="57" t="s">
        <v>1399</v>
      </c>
      <c r="E167" s="58" t="s">
        <v>1101</v>
      </c>
      <c r="F167" s="96"/>
      <c r="G167" s="96"/>
      <c r="H167" s="58" t="s">
        <v>82</v>
      </c>
      <c r="I167" s="58" t="s">
        <v>82</v>
      </c>
      <c r="J167" s="59">
        <v>772723</v>
      </c>
      <c r="K167" s="95" t="s">
        <v>43</v>
      </c>
      <c r="L167" s="95"/>
      <c r="M167" s="58" t="s">
        <v>72</v>
      </c>
      <c r="N167" s="59">
        <v>99</v>
      </c>
      <c r="O167" s="58" t="s">
        <v>128</v>
      </c>
      <c r="P167" s="58" t="s">
        <v>580</v>
      </c>
      <c r="Q167" s="58" t="s">
        <v>245</v>
      </c>
      <c r="R167" s="58" t="s">
        <v>581</v>
      </c>
      <c r="S167" s="58" t="s">
        <v>42</v>
      </c>
      <c r="T167" s="73">
        <v>1660000</v>
      </c>
      <c r="U167" s="74">
        <f t="shared" si="92"/>
        <v>1684673.8232865401</v>
      </c>
      <c r="V167" s="74">
        <v>220000</v>
      </c>
      <c r="W167" s="74">
        <v>1529048</v>
      </c>
      <c r="X167" s="74">
        <v>162006</v>
      </c>
      <c r="Y167" s="74">
        <v>979.73</v>
      </c>
      <c r="Z167" s="74">
        <v>129.84</v>
      </c>
      <c r="AA167" s="75" t="s">
        <v>43</v>
      </c>
      <c r="AB167" s="74"/>
      <c r="AC167" s="74"/>
      <c r="AD167" s="75" t="s">
        <v>43</v>
      </c>
      <c r="AE167" s="74"/>
      <c r="AF167" s="74"/>
      <c r="AG167" s="74">
        <v>0</v>
      </c>
      <c r="AH167" s="75" t="s">
        <v>42</v>
      </c>
      <c r="AI167" s="74"/>
      <c r="AJ167" s="74">
        <f t="shared" si="93"/>
        <v>223068.87532693983</v>
      </c>
      <c r="AK167" s="74">
        <f t="shared" si="94"/>
        <v>1906738.2328654004</v>
      </c>
      <c r="AL167" s="74">
        <f t="shared" si="95"/>
        <v>233234.52484742805</v>
      </c>
      <c r="AM167" s="74">
        <f t="shared" si="96"/>
        <v>2002075.1445086705</v>
      </c>
      <c r="AN167" s="74">
        <f t="shared" si="97"/>
        <v>244896.25108979948</v>
      </c>
      <c r="AO167" s="74">
        <f t="shared" si="98"/>
        <v>2059277.2914946326</v>
      </c>
      <c r="AP167" s="74">
        <f t="shared" si="99"/>
        <v>244896.25108979948</v>
      </c>
      <c r="AQ167" s="74">
        <f t="shared" si="100"/>
        <v>2171774.8472336913</v>
      </c>
      <c r="AR167" s="76">
        <v>113.9</v>
      </c>
      <c r="AS167" s="74">
        <f t="shared" si="101"/>
        <v>244896.25108979948</v>
      </c>
      <c r="AT167" s="76">
        <v>105</v>
      </c>
      <c r="AU167" s="74">
        <f t="shared" si="90"/>
        <v>2364355.4087530966</v>
      </c>
      <c r="AV167" s="76">
        <v>124</v>
      </c>
      <c r="AW167" s="74">
        <f t="shared" si="84"/>
        <v>284546.12031386222</v>
      </c>
      <c r="AX167" s="76">
        <v>122</v>
      </c>
      <c r="AY167" s="77">
        <f t="shared" si="85"/>
        <v>2387237</v>
      </c>
      <c r="AZ167" s="78">
        <v>125.2</v>
      </c>
      <c r="BA167" s="77">
        <f t="shared" si="86"/>
        <v>287579</v>
      </c>
      <c r="BB167" s="78">
        <v>123.3</v>
      </c>
      <c r="BC167" s="79">
        <v>37987</v>
      </c>
      <c r="BD167" s="59"/>
      <c r="BE167" s="80">
        <v>998.06</v>
      </c>
      <c r="BF167" s="80">
        <v>992</v>
      </c>
      <c r="BG167" s="80">
        <v>980.54</v>
      </c>
      <c r="BH167" s="73"/>
      <c r="BI167" s="73"/>
      <c r="BJ167" s="73"/>
      <c r="BK167" s="73"/>
      <c r="BL167" s="79">
        <v>42996</v>
      </c>
      <c r="BM167" s="79">
        <v>36434</v>
      </c>
      <c r="BN167" s="58" t="s">
        <v>44</v>
      </c>
      <c r="BO167" s="58" t="s">
        <v>70</v>
      </c>
      <c r="BP167" s="58" t="s">
        <v>184</v>
      </c>
      <c r="BQ167">
        <v>2016</v>
      </c>
      <c r="BR167" s="59"/>
      <c r="BV167" s="18"/>
      <c r="BW167" s="18"/>
    </row>
    <row r="168" spans="2:75" x14ac:dyDescent="0.3">
      <c r="B168" s="20" t="s">
        <v>582</v>
      </c>
      <c r="C168" s="20" t="s">
        <v>1323</v>
      </c>
      <c r="D168" s="57" t="s">
        <v>1192</v>
      </c>
      <c r="E168" s="58" t="s">
        <v>1382</v>
      </c>
      <c r="F168" s="96"/>
      <c r="G168" s="96"/>
      <c r="H168" s="58" t="s">
        <v>55</v>
      </c>
      <c r="I168" s="58" t="s">
        <v>55</v>
      </c>
      <c r="J168" s="59">
        <v>777772</v>
      </c>
      <c r="K168" s="95" t="s">
        <v>43</v>
      </c>
      <c r="L168" s="95"/>
      <c r="M168" s="58" t="s">
        <v>39</v>
      </c>
      <c r="N168" s="59">
        <v>99</v>
      </c>
      <c r="O168" s="58" t="s">
        <v>128</v>
      </c>
      <c r="P168" s="58" t="s">
        <v>583</v>
      </c>
      <c r="Q168" s="58" t="s">
        <v>41</v>
      </c>
      <c r="R168" s="58" t="s">
        <v>584</v>
      </c>
      <c r="S168" s="58" t="s">
        <v>42</v>
      </c>
      <c r="T168" s="73">
        <v>355000</v>
      </c>
      <c r="U168" s="74">
        <f t="shared" si="92"/>
        <v>360276.63088356733</v>
      </c>
      <c r="V168" s="74"/>
      <c r="W168" s="74">
        <v>320607</v>
      </c>
      <c r="X168" s="74"/>
      <c r="Y168" s="74">
        <v>209.52</v>
      </c>
      <c r="Z168" s="74"/>
      <c r="AA168" s="75" t="s">
        <v>43</v>
      </c>
      <c r="AB168" s="74"/>
      <c r="AC168" s="74"/>
      <c r="AD168" s="75" t="s">
        <v>43</v>
      </c>
      <c r="AE168" s="74"/>
      <c r="AF168" s="74"/>
      <c r="AG168" s="74">
        <v>0</v>
      </c>
      <c r="AH168" s="75" t="s">
        <v>42</v>
      </c>
      <c r="AI168" s="74"/>
      <c r="AJ168" s="74">
        <f t="shared" si="93"/>
        <v>0</v>
      </c>
      <c r="AK168" s="74">
        <f t="shared" si="94"/>
        <v>407766.30883567297</v>
      </c>
      <c r="AL168" s="74">
        <f t="shared" si="95"/>
        <v>0</v>
      </c>
      <c r="AM168" s="74">
        <f t="shared" si="96"/>
        <v>428154.62427745666</v>
      </c>
      <c r="AN168" s="74">
        <f t="shared" si="97"/>
        <v>0</v>
      </c>
      <c r="AO168" s="74">
        <f t="shared" si="98"/>
        <v>440387.61354252684</v>
      </c>
      <c r="AP168" s="74">
        <f t="shared" si="99"/>
        <v>0</v>
      </c>
      <c r="AQ168" s="74">
        <f t="shared" si="100"/>
        <v>464445.82576383156</v>
      </c>
      <c r="AR168" s="76">
        <v>113.9</v>
      </c>
      <c r="AS168" s="74">
        <f t="shared" si="101"/>
        <v>0</v>
      </c>
      <c r="AT168" s="76">
        <v>105</v>
      </c>
      <c r="AU168" s="74">
        <f t="shared" si="90"/>
        <v>505630.22295623453</v>
      </c>
      <c r="AV168" s="76">
        <v>124</v>
      </c>
      <c r="AW168" s="74">
        <f t="shared" si="84"/>
        <v>0</v>
      </c>
      <c r="AX168" s="76">
        <v>122</v>
      </c>
      <c r="AY168" s="77">
        <f t="shared" si="85"/>
        <v>510524</v>
      </c>
      <c r="AZ168" s="78">
        <v>125.2</v>
      </c>
      <c r="BA168" s="77">
        <f t="shared" si="86"/>
        <v>0</v>
      </c>
      <c r="BB168" s="78">
        <v>123.3</v>
      </c>
      <c r="BC168" s="79">
        <v>36526</v>
      </c>
      <c r="BD168" s="59"/>
      <c r="BE168" s="80">
        <v>189.22</v>
      </c>
      <c r="BF168" s="80">
        <v>187.95</v>
      </c>
      <c r="BG168" s="80">
        <v>185.72</v>
      </c>
      <c r="BH168" s="73"/>
      <c r="BI168" s="73"/>
      <c r="BJ168" s="73"/>
      <c r="BK168" s="73"/>
      <c r="BL168" s="79">
        <v>42996</v>
      </c>
      <c r="BM168" s="79">
        <v>36434</v>
      </c>
      <c r="BN168" s="58" t="s">
        <v>44</v>
      </c>
      <c r="BO168" s="58" t="s">
        <v>70</v>
      </c>
      <c r="BP168" s="58" t="s">
        <v>184</v>
      </c>
      <c r="BQ168">
        <v>2016</v>
      </c>
      <c r="BR168" s="59"/>
      <c r="BV168" s="18"/>
      <c r="BW168" s="18"/>
    </row>
    <row r="169" spans="2:75" x14ac:dyDescent="0.3">
      <c r="B169" s="20" t="s">
        <v>585</v>
      </c>
      <c r="C169" s="20" t="s">
        <v>1324</v>
      </c>
      <c r="D169" s="57" t="s">
        <v>1192</v>
      </c>
      <c r="E169" s="58" t="s">
        <v>1382</v>
      </c>
      <c r="F169" s="96"/>
      <c r="G169" s="96"/>
      <c r="H169" s="58" t="s">
        <v>55</v>
      </c>
      <c r="I169" s="58" t="s">
        <v>55</v>
      </c>
      <c r="J169" s="59">
        <v>772723</v>
      </c>
      <c r="K169" s="95" t="s">
        <v>43</v>
      </c>
      <c r="L169" s="95"/>
      <c r="M169" s="58" t="s">
        <v>72</v>
      </c>
      <c r="N169" s="59">
        <v>11</v>
      </c>
      <c r="O169" s="58" t="s">
        <v>40</v>
      </c>
      <c r="P169" s="58" t="s">
        <v>586</v>
      </c>
      <c r="Q169" s="58" t="s">
        <v>514</v>
      </c>
      <c r="R169" s="58" t="s">
        <v>587</v>
      </c>
      <c r="S169" s="58" t="s">
        <v>42</v>
      </c>
      <c r="T169" s="73">
        <v>690000</v>
      </c>
      <c r="U169" s="74">
        <f t="shared" si="92"/>
        <v>700255.98678777867</v>
      </c>
      <c r="V169" s="74"/>
      <c r="W169" s="74">
        <v>641215</v>
      </c>
      <c r="X169" s="74"/>
      <c r="Y169" s="74">
        <v>407.24</v>
      </c>
      <c r="Z169" s="74"/>
      <c r="AA169" s="75" t="s">
        <v>43</v>
      </c>
      <c r="AB169" s="74"/>
      <c r="AC169" s="74"/>
      <c r="AD169" s="75" t="s">
        <v>43</v>
      </c>
      <c r="AE169" s="74"/>
      <c r="AF169" s="74"/>
      <c r="AG169" s="74">
        <v>0</v>
      </c>
      <c r="AH169" s="75" t="s">
        <v>42</v>
      </c>
      <c r="AI169" s="74"/>
      <c r="AJ169" s="74">
        <f t="shared" si="93"/>
        <v>0</v>
      </c>
      <c r="AK169" s="74">
        <f t="shared" si="94"/>
        <v>792559.86787778686</v>
      </c>
      <c r="AL169" s="74">
        <f t="shared" si="95"/>
        <v>0</v>
      </c>
      <c r="AM169" s="74">
        <f t="shared" si="96"/>
        <v>832187.86127167626</v>
      </c>
      <c r="AN169" s="74">
        <f t="shared" si="97"/>
        <v>0</v>
      </c>
      <c r="AO169" s="74">
        <f t="shared" si="98"/>
        <v>855964.65730800992</v>
      </c>
      <c r="AP169" s="74">
        <f t="shared" si="99"/>
        <v>0</v>
      </c>
      <c r="AQ169" s="74">
        <f t="shared" si="100"/>
        <v>902725.68951279938</v>
      </c>
      <c r="AR169" s="76">
        <v>113.9</v>
      </c>
      <c r="AS169" s="74">
        <f t="shared" si="101"/>
        <v>0</v>
      </c>
      <c r="AT169" s="76">
        <v>105</v>
      </c>
      <c r="AU169" s="74">
        <f t="shared" si="90"/>
        <v>982774.2361684558</v>
      </c>
      <c r="AV169" s="76">
        <v>124</v>
      </c>
      <c r="AW169" s="74">
        <f t="shared" ref="AW169:AW189" si="102">AS169/AT169*AX169</f>
        <v>0</v>
      </c>
      <c r="AX169" s="76">
        <v>122</v>
      </c>
      <c r="AY169" s="77">
        <f t="shared" ref="AY169:AY194" si="103">CEILING(((AU169/AV169)*AZ169),1)</f>
        <v>992285</v>
      </c>
      <c r="AZ169" s="78">
        <v>125.2</v>
      </c>
      <c r="BA169" s="77">
        <f t="shared" ref="BA169:BA194" si="104">CEILING(((AW169/AX169)*BB169),1)</f>
        <v>0</v>
      </c>
      <c r="BB169" s="78">
        <v>123.3</v>
      </c>
      <c r="BC169" s="79">
        <v>36482</v>
      </c>
      <c r="BD169" s="59"/>
      <c r="BE169" s="80">
        <v>378.45</v>
      </c>
      <c r="BF169" s="80">
        <v>375.9</v>
      </c>
      <c r="BG169" s="80">
        <v>371.45</v>
      </c>
      <c r="BH169" s="73"/>
      <c r="BI169" s="73"/>
      <c r="BJ169" s="73"/>
      <c r="BK169" s="73"/>
      <c r="BL169" s="79">
        <v>42996</v>
      </c>
      <c r="BM169" s="79">
        <v>36434</v>
      </c>
      <c r="BN169" s="58" t="s">
        <v>44</v>
      </c>
      <c r="BO169" s="58" t="s">
        <v>70</v>
      </c>
      <c r="BP169" s="58" t="s">
        <v>588</v>
      </c>
      <c r="BQ169">
        <v>2016</v>
      </c>
      <c r="BR169" s="59"/>
      <c r="BV169" s="18"/>
      <c r="BW169" s="18"/>
    </row>
    <row r="170" spans="2:75" x14ac:dyDescent="0.3">
      <c r="B170" s="20" t="s">
        <v>589</v>
      </c>
      <c r="C170" s="20" t="s">
        <v>589</v>
      </c>
      <c r="D170" s="57" t="s">
        <v>1193</v>
      </c>
      <c r="E170" s="58" t="s">
        <v>1101</v>
      </c>
      <c r="F170" s="96"/>
      <c r="G170" s="96"/>
      <c r="H170" s="58" t="s">
        <v>166</v>
      </c>
      <c r="I170" s="58" t="s">
        <v>166</v>
      </c>
      <c r="J170" s="59">
        <v>997973</v>
      </c>
      <c r="K170" s="95" t="s">
        <v>43</v>
      </c>
      <c r="L170" s="95"/>
      <c r="M170" s="58" t="s">
        <v>177</v>
      </c>
      <c r="N170" s="59">
        <v>11</v>
      </c>
      <c r="O170" s="58" t="s">
        <v>40</v>
      </c>
      <c r="P170" s="58" t="s">
        <v>590</v>
      </c>
      <c r="Q170" s="58" t="s">
        <v>179</v>
      </c>
      <c r="R170" s="58" t="s">
        <v>591</v>
      </c>
      <c r="S170" s="58" t="s">
        <v>42</v>
      </c>
      <c r="T170" s="73"/>
      <c r="U170" s="74">
        <f t="shared" si="92"/>
        <v>0</v>
      </c>
      <c r="V170" s="74">
        <v>3770000</v>
      </c>
      <c r="W170" s="74">
        <v>443917</v>
      </c>
      <c r="X170" s="74">
        <v>3822057</v>
      </c>
      <c r="Y170" s="74"/>
      <c r="Z170" s="74">
        <v>2225.0500000000002</v>
      </c>
      <c r="AA170" s="75" t="s">
        <v>43</v>
      </c>
      <c r="AB170" s="74"/>
      <c r="AC170" s="74"/>
      <c r="AD170" s="75" t="s">
        <v>43</v>
      </c>
      <c r="AE170" s="74"/>
      <c r="AF170" s="74"/>
      <c r="AG170" s="74">
        <v>0</v>
      </c>
      <c r="AH170" s="75" t="s">
        <v>42</v>
      </c>
      <c r="AI170" s="74"/>
      <c r="AJ170" s="74">
        <f t="shared" si="93"/>
        <v>3822589.3635571054</v>
      </c>
      <c r="AK170" s="74">
        <f t="shared" si="94"/>
        <v>0</v>
      </c>
      <c r="AL170" s="74">
        <f t="shared" si="95"/>
        <v>3996791.6303400169</v>
      </c>
      <c r="AM170" s="74">
        <f t="shared" si="96"/>
        <v>0</v>
      </c>
      <c r="AN170" s="74">
        <f t="shared" si="97"/>
        <v>4196631.2118570181</v>
      </c>
      <c r="AO170" s="74">
        <f t="shared" si="98"/>
        <v>0</v>
      </c>
      <c r="AP170" s="74">
        <f>AN170+7940</f>
        <v>4204571.2118570181</v>
      </c>
      <c r="AQ170" s="74">
        <f t="shared" si="100"/>
        <v>0</v>
      </c>
      <c r="AR170" s="76">
        <v>113.9</v>
      </c>
      <c r="AS170" s="74">
        <f t="shared" si="101"/>
        <v>4204571.2118570181</v>
      </c>
      <c r="AT170" s="76">
        <v>105</v>
      </c>
      <c r="AU170" s="74">
        <f t="shared" si="90"/>
        <v>0</v>
      </c>
      <c r="AV170" s="76">
        <v>124</v>
      </c>
      <c r="AW170" s="74">
        <f t="shared" si="102"/>
        <v>4885311.3128243452</v>
      </c>
      <c r="AX170" s="76">
        <v>122</v>
      </c>
      <c r="AY170" s="77">
        <f t="shared" si="103"/>
        <v>0</v>
      </c>
      <c r="AZ170" s="78">
        <v>125.2</v>
      </c>
      <c r="BA170" s="77">
        <f t="shared" si="104"/>
        <v>4937368</v>
      </c>
      <c r="BB170" s="78">
        <v>123.3</v>
      </c>
      <c r="BC170" s="79">
        <v>39448</v>
      </c>
      <c r="BD170" s="59"/>
      <c r="BE170" s="80">
        <v>2517.7800000000002</v>
      </c>
      <c r="BF170" s="80">
        <v>2516.02</v>
      </c>
      <c r="BG170" s="80">
        <v>2466.79</v>
      </c>
      <c r="BH170" s="73"/>
      <c r="BI170" s="73"/>
      <c r="BJ170" s="73"/>
      <c r="BK170" s="73"/>
      <c r="BL170" s="79">
        <v>42997</v>
      </c>
      <c r="BM170" s="79">
        <v>39892</v>
      </c>
      <c r="BN170" s="58" t="s">
        <v>44</v>
      </c>
      <c r="BO170" s="58" t="s">
        <v>44</v>
      </c>
      <c r="BP170" s="58" t="s">
        <v>184</v>
      </c>
      <c r="BQ170">
        <v>2016</v>
      </c>
      <c r="BR170" s="59"/>
      <c r="BV170" s="18"/>
      <c r="BW170" s="18"/>
    </row>
    <row r="171" spans="2:75" x14ac:dyDescent="0.3">
      <c r="B171" s="20" t="s">
        <v>589</v>
      </c>
      <c r="C171" s="20" t="s">
        <v>589</v>
      </c>
      <c r="D171" s="57" t="s">
        <v>1193</v>
      </c>
      <c r="E171" s="58" t="s">
        <v>1101</v>
      </c>
      <c r="F171" s="96"/>
      <c r="G171" s="96"/>
      <c r="H171" s="58"/>
      <c r="I171" s="58"/>
      <c r="J171" s="59"/>
      <c r="K171" s="95" t="s">
        <v>43</v>
      </c>
      <c r="L171" s="95"/>
      <c r="M171" s="58"/>
      <c r="N171" s="59"/>
      <c r="O171" s="58" t="s">
        <v>40</v>
      </c>
      <c r="P171" s="58" t="s">
        <v>590</v>
      </c>
      <c r="Q171" s="58"/>
      <c r="R171" s="58"/>
      <c r="S171" s="58"/>
      <c r="T171" s="73"/>
      <c r="U171" s="74"/>
      <c r="V171" s="74"/>
      <c r="W171" s="74"/>
      <c r="X171" s="74"/>
      <c r="Y171" s="74"/>
      <c r="Z171" s="74"/>
      <c r="AA171" s="75"/>
      <c r="AB171" s="74"/>
      <c r="AC171" s="74"/>
      <c r="AD171" s="75"/>
      <c r="AE171" s="74"/>
      <c r="AF171" s="74"/>
      <c r="AG171" s="74"/>
      <c r="AH171" s="75"/>
      <c r="AI171" s="74"/>
      <c r="AJ171" s="74"/>
      <c r="AK171" s="74"/>
      <c r="AL171" s="74"/>
      <c r="AM171" s="74"/>
      <c r="AN171" s="74"/>
      <c r="AO171" s="74"/>
      <c r="AP171" s="74"/>
      <c r="AQ171" s="74"/>
      <c r="AR171" s="76">
        <v>113.9</v>
      </c>
      <c r="AS171" s="74">
        <v>477000</v>
      </c>
      <c r="AT171" s="76">
        <v>105</v>
      </c>
      <c r="AU171" s="74">
        <f t="shared" si="90"/>
        <v>0</v>
      </c>
      <c r="AV171" s="76">
        <v>124</v>
      </c>
      <c r="AW171" s="74">
        <f t="shared" si="102"/>
        <v>554228.57142857148</v>
      </c>
      <c r="AX171" s="76">
        <v>122</v>
      </c>
      <c r="AY171" s="77">
        <f t="shared" si="103"/>
        <v>0</v>
      </c>
      <c r="AZ171" s="78">
        <v>125.2</v>
      </c>
      <c r="BA171" s="77">
        <f t="shared" si="104"/>
        <v>560135</v>
      </c>
      <c r="BB171" s="78">
        <v>123.3</v>
      </c>
      <c r="BC171" s="79">
        <v>44606</v>
      </c>
      <c r="BD171" s="59"/>
      <c r="BE171" s="80"/>
      <c r="BF171" s="80"/>
      <c r="BG171" s="80"/>
      <c r="BH171" s="73"/>
      <c r="BI171" s="73"/>
      <c r="BJ171" s="73"/>
      <c r="BK171" s="73"/>
      <c r="BL171" s="79"/>
      <c r="BM171" s="79"/>
      <c r="BN171" s="58"/>
      <c r="BO171" s="58"/>
      <c r="BP171" s="58" t="s">
        <v>1037</v>
      </c>
      <c r="BR171" s="59"/>
      <c r="BV171" s="18"/>
      <c r="BW171" s="18"/>
    </row>
    <row r="172" spans="2:75" x14ac:dyDescent="0.3">
      <c r="B172" s="20" t="s">
        <v>589</v>
      </c>
      <c r="C172" s="20" t="s">
        <v>589</v>
      </c>
      <c r="D172" s="57" t="s">
        <v>1193</v>
      </c>
      <c r="E172" s="58" t="s">
        <v>1101</v>
      </c>
      <c r="F172" s="96"/>
      <c r="G172" s="96"/>
      <c r="H172" s="58" t="s">
        <v>166</v>
      </c>
      <c r="I172" s="58" t="s">
        <v>166</v>
      </c>
      <c r="J172" s="59">
        <v>997973</v>
      </c>
      <c r="K172" s="95" t="s">
        <v>43</v>
      </c>
      <c r="L172" s="95"/>
      <c r="M172" s="58" t="s">
        <v>177</v>
      </c>
      <c r="N172" s="59">
        <v>99</v>
      </c>
      <c r="O172" s="58" t="s">
        <v>128</v>
      </c>
      <c r="P172" s="58" t="s">
        <v>592</v>
      </c>
      <c r="Q172" s="58" t="s">
        <v>179</v>
      </c>
      <c r="R172" s="58" t="s">
        <v>593</v>
      </c>
      <c r="S172" s="58" t="s">
        <v>42</v>
      </c>
      <c r="T172" s="73"/>
      <c r="U172" s="74">
        <f>122.9*T172/121.1</f>
        <v>0</v>
      </c>
      <c r="V172" s="74"/>
      <c r="W172" s="74"/>
      <c r="X172" s="74">
        <v>29215</v>
      </c>
      <c r="Y172" s="74"/>
      <c r="Z172" s="74"/>
      <c r="AA172" s="75" t="s">
        <v>43</v>
      </c>
      <c r="AB172" s="74"/>
      <c r="AC172" s="74"/>
      <c r="AD172" s="75" t="s">
        <v>43</v>
      </c>
      <c r="AE172" s="74"/>
      <c r="AF172" s="74"/>
      <c r="AG172" s="74">
        <v>0</v>
      </c>
      <c r="AH172" s="75" t="s">
        <v>42</v>
      </c>
      <c r="AI172" s="74"/>
      <c r="AJ172" s="74">
        <f>116.3*V172/114.7</f>
        <v>0</v>
      </c>
      <c r="AK172" s="74">
        <f>139.1/122.9*U172</f>
        <v>0</v>
      </c>
      <c r="AL172" s="74">
        <f>121.6/116.3*AJ172</f>
        <v>0</v>
      </c>
      <c r="AM172" s="74">
        <f>AK172*1.05</f>
        <v>0</v>
      </c>
      <c r="AN172" s="74">
        <f>AL172*1.05</f>
        <v>0</v>
      </c>
      <c r="AO172" s="74">
        <f>AM172/105*108</f>
        <v>0</v>
      </c>
      <c r="AP172" s="74">
        <f t="shared" ref="AP172:AP177" si="105">AN172</f>
        <v>0</v>
      </c>
      <c r="AQ172" s="74">
        <f t="shared" ref="AQ172:AQ189" si="106">AO172/108*113.9</f>
        <v>0</v>
      </c>
      <c r="AR172" s="76">
        <v>113.9</v>
      </c>
      <c r="AS172" s="74">
        <f t="shared" ref="AS172:AS187" si="107">AP172</f>
        <v>0</v>
      </c>
      <c r="AT172" s="76">
        <v>105</v>
      </c>
      <c r="AU172" s="74">
        <f t="shared" si="90"/>
        <v>0</v>
      </c>
      <c r="AV172" s="76">
        <v>124</v>
      </c>
      <c r="AW172" s="74">
        <f t="shared" si="102"/>
        <v>0</v>
      </c>
      <c r="AX172" s="76">
        <v>122</v>
      </c>
      <c r="AY172" s="77">
        <f t="shared" si="103"/>
        <v>0</v>
      </c>
      <c r="AZ172" s="78">
        <v>125.2</v>
      </c>
      <c r="BA172" s="77">
        <f t="shared" si="104"/>
        <v>0</v>
      </c>
      <c r="BB172" s="78">
        <v>123.3</v>
      </c>
      <c r="BC172" s="79">
        <v>39814</v>
      </c>
      <c r="BD172" s="59"/>
      <c r="BE172" s="80">
        <v>17.239999999999998</v>
      </c>
      <c r="BF172" s="80">
        <v>17.239999999999998</v>
      </c>
      <c r="BG172" s="80">
        <v>17.09</v>
      </c>
      <c r="BH172" s="73"/>
      <c r="BI172" s="73"/>
      <c r="BJ172" s="73"/>
      <c r="BK172" s="73"/>
      <c r="BL172" s="79">
        <v>43003</v>
      </c>
      <c r="BM172" s="79">
        <v>40224</v>
      </c>
      <c r="BN172" s="58" t="s">
        <v>44</v>
      </c>
      <c r="BO172" s="58" t="s">
        <v>44</v>
      </c>
      <c r="BP172" s="58" t="s">
        <v>221</v>
      </c>
      <c r="BQ172">
        <v>2016</v>
      </c>
      <c r="BR172" s="59"/>
      <c r="BV172" s="18"/>
      <c r="BW172" s="18"/>
    </row>
    <row r="173" spans="2:75" x14ac:dyDescent="0.3">
      <c r="B173" s="20" t="s">
        <v>594</v>
      </c>
      <c r="C173" s="20" t="s">
        <v>594</v>
      </c>
      <c r="D173" s="57" t="s">
        <v>1194</v>
      </c>
      <c r="E173" s="58" t="s">
        <v>986</v>
      </c>
      <c r="F173" s="96"/>
      <c r="G173" s="96"/>
      <c r="H173" s="58" t="s">
        <v>595</v>
      </c>
      <c r="I173" s="58" t="s">
        <v>595</v>
      </c>
      <c r="J173" s="59">
        <v>777772</v>
      </c>
      <c r="K173" s="95" t="s">
        <v>43</v>
      </c>
      <c r="L173" s="95"/>
      <c r="M173" s="58" t="s">
        <v>39</v>
      </c>
      <c r="N173" s="59">
        <v>11</v>
      </c>
      <c r="O173" s="58" t="s">
        <v>40</v>
      </c>
      <c r="P173" s="58" t="s">
        <v>596</v>
      </c>
      <c r="Q173" s="58" t="s">
        <v>42</v>
      </c>
      <c r="R173" s="58" t="s">
        <v>597</v>
      </c>
      <c r="S173" s="58" t="s">
        <v>42</v>
      </c>
      <c r="T173" s="73">
        <v>50000</v>
      </c>
      <c r="U173" s="74">
        <f>122.9*T173/121.1</f>
        <v>50743.187448389763</v>
      </c>
      <c r="V173" s="74"/>
      <c r="W173" s="74">
        <v>35237</v>
      </c>
      <c r="X173" s="74"/>
      <c r="Y173" s="74">
        <v>29.51</v>
      </c>
      <c r="Z173" s="74"/>
      <c r="AA173" s="75" t="s">
        <v>43</v>
      </c>
      <c r="AB173" s="74"/>
      <c r="AC173" s="74"/>
      <c r="AD173" s="75" t="s">
        <v>43</v>
      </c>
      <c r="AE173" s="74"/>
      <c r="AF173" s="74"/>
      <c r="AG173" s="74">
        <v>0</v>
      </c>
      <c r="AH173" s="75" t="s">
        <v>42</v>
      </c>
      <c r="AI173" s="74"/>
      <c r="AJ173" s="74">
        <f>116.3*V173/114.7</f>
        <v>0</v>
      </c>
      <c r="AK173" s="74">
        <f>139.1/122.9*U173</f>
        <v>57431.874483897605</v>
      </c>
      <c r="AL173" s="74">
        <f>121.6/116.3*AJ173</f>
        <v>0</v>
      </c>
      <c r="AM173" s="74">
        <f>AK173*1.05</f>
        <v>60303.46820809249</v>
      </c>
      <c r="AN173" s="74">
        <f>AL173*1.05</f>
        <v>0</v>
      </c>
      <c r="AO173" s="74">
        <f>AM173/105*108</f>
        <v>62026.424442609416</v>
      </c>
      <c r="AP173" s="74">
        <f t="shared" si="105"/>
        <v>0</v>
      </c>
      <c r="AQ173" s="74">
        <f t="shared" si="106"/>
        <v>65414.905037159377</v>
      </c>
      <c r="AR173" s="76">
        <v>113.9</v>
      </c>
      <c r="AS173" s="74">
        <f t="shared" si="107"/>
        <v>0</v>
      </c>
      <c r="AT173" s="76">
        <v>105</v>
      </c>
      <c r="AU173" s="74">
        <f t="shared" si="90"/>
        <v>71215.524360033029</v>
      </c>
      <c r="AV173" s="76">
        <v>124</v>
      </c>
      <c r="AW173" s="74">
        <f t="shared" si="102"/>
        <v>0</v>
      </c>
      <c r="AX173" s="76">
        <v>122</v>
      </c>
      <c r="AY173" s="77">
        <f t="shared" si="103"/>
        <v>71905</v>
      </c>
      <c r="AZ173" s="78">
        <v>125.2</v>
      </c>
      <c r="BA173" s="77">
        <f t="shared" si="104"/>
        <v>0</v>
      </c>
      <c r="BB173" s="78">
        <v>123.3</v>
      </c>
      <c r="BC173" s="79">
        <v>42186</v>
      </c>
      <c r="BD173" s="59"/>
      <c r="BE173" s="80">
        <v>20.8</v>
      </c>
      <c r="BF173" s="80">
        <v>20.66</v>
      </c>
      <c r="BG173" s="80"/>
      <c r="BH173" s="73"/>
      <c r="BI173" s="73"/>
      <c r="BJ173" s="73"/>
      <c r="BK173" s="73"/>
      <c r="BL173" s="79">
        <v>42997</v>
      </c>
      <c r="BM173" s="79">
        <v>42409</v>
      </c>
      <c r="BN173" s="58" t="s">
        <v>44</v>
      </c>
      <c r="BO173" s="58" t="s">
        <v>44</v>
      </c>
      <c r="BP173" s="58" t="s">
        <v>598</v>
      </c>
      <c r="BQ173">
        <v>2016</v>
      </c>
      <c r="BR173" s="59"/>
      <c r="BV173" s="18"/>
      <c r="BW173" s="18"/>
    </row>
    <row r="174" spans="2:75" x14ac:dyDescent="0.3">
      <c r="B174" s="22" t="s">
        <v>1011</v>
      </c>
      <c r="C174" s="22" t="s">
        <v>1011</v>
      </c>
      <c r="D174" s="55" t="e">
        <v>#N/A</v>
      </c>
      <c r="E174" s="59" t="s">
        <v>1101</v>
      </c>
      <c r="F174" s="95"/>
      <c r="G174" s="95"/>
      <c r="H174" s="58"/>
      <c r="I174" s="58"/>
      <c r="J174" s="59"/>
      <c r="K174" s="95" t="s">
        <v>43</v>
      </c>
      <c r="L174" s="95"/>
      <c r="M174" s="58"/>
      <c r="N174" s="59"/>
      <c r="O174" s="58" t="s">
        <v>40</v>
      </c>
      <c r="P174" s="58" t="s">
        <v>1009</v>
      </c>
      <c r="Q174" s="58"/>
      <c r="R174" s="58"/>
      <c r="S174" s="58"/>
      <c r="T174" s="73"/>
      <c r="U174" s="74"/>
      <c r="V174" s="74"/>
      <c r="W174" s="74"/>
      <c r="X174" s="74"/>
      <c r="Y174" s="74"/>
      <c r="Z174" s="74"/>
      <c r="AA174" s="75"/>
      <c r="AB174" s="74"/>
      <c r="AC174" s="74"/>
      <c r="AD174" s="75"/>
      <c r="AE174" s="74"/>
      <c r="AF174" s="74"/>
      <c r="AG174" s="74"/>
      <c r="AH174" s="75"/>
      <c r="AI174" s="74"/>
      <c r="AJ174" s="74"/>
      <c r="AK174" s="74"/>
      <c r="AL174" s="74"/>
      <c r="AM174" s="74"/>
      <c r="AN174" s="74">
        <v>65000</v>
      </c>
      <c r="AO174" s="74">
        <f>AM174/105*108</f>
        <v>0</v>
      </c>
      <c r="AP174" s="74">
        <f t="shared" si="105"/>
        <v>65000</v>
      </c>
      <c r="AQ174" s="74">
        <f t="shared" si="106"/>
        <v>0</v>
      </c>
      <c r="AR174" s="76">
        <v>113.9</v>
      </c>
      <c r="AS174" s="74">
        <f t="shared" si="107"/>
        <v>65000</v>
      </c>
      <c r="AT174" s="76">
        <v>105</v>
      </c>
      <c r="AU174" s="74">
        <f t="shared" si="90"/>
        <v>0</v>
      </c>
      <c r="AV174" s="76">
        <v>124</v>
      </c>
      <c r="AW174" s="74">
        <f t="shared" si="102"/>
        <v>75523.809523809527</v>
      </c>
      <c r="AX174" s="76">
        <v>122</v>
      </c>
      <c r="AY174" s="77">
        <f t="shared" si="103"/>
        <v>0</v>
      </c>
      <c r="AZ174" s="78">
        <v>125.2</v>
      </c>
      <c r="BA174" s="77">
        <f t="shared" si="104"/>
        <v>76329</v>
      </c>
      <c r="BB174" s="78">
        <v>123.3</v>
      </c>
      <c r="BC174" s="79">
        <v>44077</v>
      </c>
      <c r="BD174" s="59"/>
      <c r="BE174" s="80"/>
      <c r="BF174" s="80"/>
      <c r="BG174" s="80"/>
      <c r="BH174" s="73"/>
      <c r="BI174" s="73"/>
      <c r="BJ174" s="73"/>
      <c r="BK174" s="73"/>
      <c r="BL174" s="79"/>
      <c r="BM174" s="79"/>
      <c r="BN174" s="58"/>
      <c r="BO174" s="58"/>
      <c r="BP174" s="58"/>
      <c r="BR174" s="59" t="s">
        <v>1465</v>
      </c>
      <c r="BV174" s="18"/>
      <c r="BW174" s="18"/>
    </row>
    <row r="175" spans="2:75" x14ac:dyDescent="0.3">
      <c r="B175" s="20" t="s">
        <v>660</v>
      </c>
      <c r="C175" s="20" t="s">
        <v>1334</v>
      </c>
      <c r="D175" s="57" t="s">
        <v>1207</v>
      </c>
      <c r="E175" s="58" t="s">
        <v>1101</v>
      </c>
      <c r="F175" s="97" t="s">
        <v>1473</v>
      </c>
      <c r="G175" s="97" t="s">
        <v>1476</v>
      </c>
      <c r="H175" s="58" t="s">
        <v>166</v>
      </c>
      <c r="I175" s="58" t="s">
        <v>166</v>
      </c>
      <c r="J175" s="59">
        <v>772724</v>
      </c>
      <c r="K175" s="95" t="s">
        <v>43</v>
      </c>
      <c r="L175" s="104" t="s">
        <v>1470</v>
      </c>
      <c r="M175" s="58" t="s">
        <v>66</v>
      </c>
      <c r="N175" s="59">
        <v>99</v>
      </c>
      <c r="O175" s="58" t="s">
        <v>128</v>
      </c>
      <c r="P175" s="58" t="s">
        <v>661</v>
      </c>
      <c r="Q175" s="58" t="s">
        <v>662</v>
      </c>
      <c r="R175" s="58" t="s">
        <v>663</v>
      </c>
      <c r="S175" s="58" t="s">
        <v>42</v>
      </c>
      <c r="T175" s="73">
        <v>54100000</v>
      </c>
      <c r="U175" s="74">
        <f>122.9*T175/121.1</f>
        <v>54904128.819157727</v>
      </c>
      <c r="V175" s="74"/>
      <c r="W175" s="74">
        <v>50803859</v>
      </c>
      <c r="X175" s="74">
        <v>4569915</v>
      </c>
      <c r="Y175" s="74">
        <v>31929.82</v>
      </c>
      <c r="Z175" s="74"/>
      <c r="AA175" s="75" t="s">
        <v>43</v>
      </c>
      <c r="AB175" s="74"/>
      <c r="AC175" s="74"/>
      <c r="AD175" s="75" t="s">
        <v>43</v>
      </c>
      <c r="AE175" s="74"/>
      <c r="AF175" s="74"/>
      <c r="AG175" s="74">
        <v>0</v>
      </c>
      <c r="AH175" s="75" t="s">
        <v>42</v>
      </c>
      <c r="AI175" s="74"/>
      <c r="AJ175" s="74">
        <f>116.3*V175/114.7</f>
        <v>0</v>
      </c>
      <c r="AK175" s="74">
        <f>139.1/122.9*U175</f>
        <v>62141288.191577211</v>
      </c>
      <c r="AL175" s="74">
        <f>121.6/116.3*AJ175</f>
        <v>0</v>
      </c>
      <c r="AM175" s="74">
        <f t="shared" ref="AM175:AN177" si="108">AK175*1.05</f>
        <v>65248352.601156071</v>
      </c>
      <c r="AN175" s="74">
        <f t="shared" si="108"/>
        <v>0</v>
      </c>
      <c r="AO175" s="74">
        <f>AM175/105*108</f>
        <v>67112591.24690339</v>
      </c>
      <c r="AP175" s="74">
        <f t="shared" si="105"/>
        <v>0</v>
      </c>
      <c r="AQ175" s="74">
        <f t="shared" si="106"/>
        <v>70778927.250206441</v>
      </c>
      <c r="AR175" s="76">
        <v>113.9</v>
      </c>
      <c r="AS175" s="74">
        <f t="shared" si="107"/>
        <v>0</v>
      </c>
      <c r="AT175" s="76">
        <v>105</v>
      </c>
      <c r="AU175" s="74">
        <f t="shared" si="90"/>
        <v>77055197.357555747</v>
      </c>
      <c r="AV175" s="76">
        <v>124</v>
      </c>
      <c r="AW175" s="74">
        <f t="shared" si="102"/>
        <v>0</v>
      </c>
      <c r="AX175" s="76">
        <v>122</v>
      </c>
      <c r="AY175" s="77">
        <f t="shared" si="103"/>
        <v>77800893</v>
      </c>
      <c r="AZ175" s="78">
        <v>125.2</v>
      </c>
      <c r="BA175" s="77">
        <f t="shared" si="104"/>
        <v>0</v>
      </c>
      <c r="BB175" s="78">
        <v>123.3</v>
      </c>
      <c r="BC175" s="79">
        <v>40360</v>
      </c>
      <c r="BD175" s="59"/>
      <c r="BE175" s="80">
        <v>32681.599999999999</v>
      </c>
      <c r="BF175" s="80">
        <v>32480.02</v>
      </c>
      <c r="BG175" s="80">
        <v>32103.56</v>
      </c>
      <c r="BH175" s="73"/>
      <c r="BI175" s="73"/>
      <c r="BJ175" s="73"/>
      <c r="BK175" s="73"/>
      <c r="BL175" s="79">
        <v>42997</v>
      </c>
      <c r="BM175" s="79">
        <v>36434</v>
      </c>
      <c r="BN175" s="58" t="s">
        <v>44</v>
      </c>
      <c r="BO175" s="58" t="s">
        <v>70</v>
      </c>
      <c r="BP175" s="58" t="s">
        <v>184</v>
      </c>
      <c r="BQ175">
        <v>2016</v>
      </c>
      <c r="BR175" s="59"/>
      <c r="BV175" s="18"/>
      <c r="BW175" s="18"/>
    </row>
    <row r="176" spans="2:75" x14ac:dyDescent="0.3">
      <c r="B176" s="20" t="s">
        <v>603</v>
      </c>
      <c r="C176" s="20" t="s">
        <v>603</v>
      </c>
      <c r="D176" s="57" t="s">
        <v>1195</v>
      </c>
      <c r="E176" s="58" t="s">
        <v>1101</v>
      </c>
      <c r="F176" s="97" t="s">
        <v>1473</v>
      </c>
      <c r="G176" s="97" t="s">
        <v>1473</v>
      </c>
      <c r="H176" s="58" t="s">
        <v>137</v>
      </c>
      <c r="I176" s="58" t="s">
        <v>137</v>
      </c>
      <c r="J176" s="59">
        <v>772723</v>
      </c>
      <c r="K176" s="95" t="s">
        <v>1440</v>
      </c>
      <c r="L176" s="104" t="s">
        <v>1472</v>
      </c>
      <c r="M176" s="58" t="s">
        <v>72</v>
      </c>
      <c r="N176" s="59">
        <v>11</v>
      </c>
      <c r="O176" s="58" t="s">
        <v>40</v>
      </c>
      <c r="P176" s="58" t="s">
        <v>604</v>
      </c>
      <c r="Q176" s="58" t="s">
        <v>42</v>
      </c>
      <c r="R176" s="58" t="s">
        <v>605</v>
      </c>
      <c r="S176" s="58" t="s">
        <v>42</v>
      </c>
      <c r="T176" s="73">
        <v>8350000</v>
      </c>
      <c r="U176" s="74">
        <f>122.9*T176/121.1</f>
        <v>8474112.3038810901</v>
      </c>
      <c r="V176" s="74">
        <v>2828600</v>
      </c>
      <c r="W176" s="74">
        <v>6113014</v>
      </c>
      <c r="X176" s="74">
        <v>940821</v>
      </c>
      <c r="Y176" s="74">
        <v>4928.17</v>
      </c>
      <c r="Z176" s="74">
        <v>1669.44</v>
      </c>
      <c r="AA176" s="75" t="s">
        <v>43</v>
      </c>
      <c r="AB176" s="74"/>
      <c r="AC176" s="74"/>
      <c r="AD176" s="75" t="s">
        <v>43</v>
      </c>
      <c r="AE176" s="74"/>
      <c r="AF176" s="74"/>
      <c r="AG176" s="74">
        <v>0</v>
      </c>
      <c r="AH176" s="75" t="s">
        <v>42</v>
      </c>
      <c r="AI176" s="74"/>
      <c r="AJ176" s="74">
        <f>116.3*V176/114.7</f>
        <v>2868057.3670444638</v>
      </c>
      <c r="AK176" s="74">
        <f>139.1/122.9*U176</f>
        <v>9591123.0388108995</v>
      </c>
      <c r="AL176" s="74">
        <f>121.6/116.3*AJ176</f>
        <v>2998759.8953792499</v>
      </c>
      <c r="AM176" s="74">
        <f t="shared" si="108"/>
        <v>10070679.190751445</v>
      </c>
      <c r="AN176" s="74">
        <f t="shared" si="108"/>
        <v>3148697.8901482127</v>
      </c>
      <c r="AO176" s="74">
        <f>AM176/105*108+185076</f>
        <v>10543488.88191577</v>
      </c>
      <c r="AP176" s="74">
        <f t="shared" si="105"/>
        <v>3148697.8901482127</v>
      </c>
      <c r="AQ176" s="74">
        <f t="shared" si="106"/>
        <v>11119475.774538947</v>
      </c>
      <c r="AR176" s="76">
        <v>113.9</v>
      </c>
      <c r="AS176" s="74">
        <f t="shared" si="107"/>
        <v>3148697.8901482127</v>
      </c>
      <c r="AT176" s="76">
        <v>105</v>
      </c>
      <c r="AU176" s="74">
        <f t="shared" si="90"/>
        <v>12105487.23479218</v>
      </c>
      <c r="AV176" s="76">
        <v>124</v>
      </c>
      <c r="AW176" s="74">
        <f t="shared" si="102"/>
        <v>3658487.0723626851</v>
      </c>
      <c r="AX176" s="76">
        <v>122</v>
      </c>
      <c r="AY176" s="77">
        <f t="shared" si="103"/>
        <v>12222638</v>
      </c>
      <c r="AZ176" s="78">
        <v>125.2</v>
      </c>
      <c r="BA176" s="77">
        <f t="shared" si="104"/>
        <v>3697471</v>
      </c>
      <c r="BB176" s="78">
        <v>123.3</v>
      </c>
      <c r="BC176" s="79">
        <v>41814</v>
      </c>
      <c r="BD176" s="59"/>
      <c r="BE176" s="80">
        <v>4163.17</v>
      </c>
      <c r="BF176" s="80">
        <v>4138.92</v>
      </c>
      <c r="BG176" s="80">
        <v>4091.59</v>
      </c>
      <c r="BH176" s="73"/>
      <c r="BI176" s="73"/>
      <c r="BJ176" s="73"/>
      <c r="BK176" s="73"/>
      <c r="BL176" s="79">
        <v>43158</v>
      </c>
      <c r="BM176" s="79">
        <v>42142</v>
      </c>
      <c r="BN176" s="58" t="s">
        <v>44</v>
      </c>
      <c r="BO176" s="58" t="s">
        <v>44</v>
      </c>
      <c r="BP176" s="58" t="s">
        <v>221</v>
      </c>
      <c r="BQ176">
        <v>2016</v>
      </c>
      <c r="BR176" s="59" t="s">
        <v>1021</v>
      </c>
      <c r="BV176" s="18"/>
      <c r="BW176" s="18"/>
    </row>
    <row r="177" spans="1:75" x14ac:dyDescent="0.3">
      <c r="B177" s="20" t="s">
        <v>606</v>
      </c>
      <c r="C177" s="20" t="s">
        <v>1325</v>
      </c>
      <c r="D177" s="57" t="s">
        <v>1401</v>
      </c>
      <c r="E177" s="58" t="s">
        <v>986</v>
      </c>
      <c r="F177" s="96"/>
      <c r="G177" s="96"/>
      <c r="H177" s="58" t="s">
        <v>226</v>
      </c>
      <c r="I177" s="58" t="s">
        <v>226</v>
      </c>
      <c r="J177" s="59">
        <v>772723</v>
      </c>
      <c r="K177" s="95" t="s">
        <v>43</v>
      </c>
      <c r="L177" s="95"/>
      <c r="M177" s="58" t="s">
        <v>72</v>
      </c>
      <c r="N177" s="59">
        <v>11</v>
      </c>
      <c r="O177" s="58" t="s">
        <v>40</v>
      </c>
      <c r="P177" s="58" t="s">
        <v>607</v>
      </c>
      <c r="Q177" s="58" t="s">
        <v>92</v>
      </c>
      <c r="R177" s="58" t="s">
        <v>608</v>
      </c>
      <c r="S177" s="58" t="s">
        <v>42</v>
      </c>
      <c r="T177" s="73">
        <v>2230000</v>
      </c>
      <c r="U177" s="74">
        <f>122.9*T177/121.1</f>
        <v>2263146.1601981833</v>
      </c>
      <c r="V177" s="74">
        <v>600000</v>
      </c>
      <c r="W177" s="74">
        <v>2071614</v>
      </c>
      <c r="X177" s="74">
        <v>403768</v>
      </c>
      <c r="Y177" s="74">
        <v>1316.15</v>
      </c>
      <c r="Z177" s="74">
        <v>354.12</v>
      </c>
      <c r="AA177" s="75" t="s">
        <v>43</v>
      </c>
      <c r="AB177" s="74"/>
      <c r="AC177" s="74"/>
      <c r="AD177" s="75" t="s">
        <v>43</v>
      </c>
      <c r="AE177" s="74"/>
      <c r="AF177" s="74"/>
      <c r="AG177" s="74">
        <v>0</v>
      </c>
      <c r="AH177" s="75" t="s">
        <v>42</v>
      </c>
      <c r="AI177" s="74"/>
      <c r="AJ177" s="74">
        <f>116.3*V177/114.7</f>
        <v>608369.65998256323</v>
      </c>
      <c r="AK177" s="74">
        <f>139.1/122.9*U177</f>
        <v>2561461.6019818331</v>
      </c>
      <c r="AL177" s="74">
        <f>121.6/116.3*AJ177</f>
        <v>636094.1586748038</v>
      </c>
      <c r="AM177" s="74">
        <f t="shared" si="108"/>
        <v>2689534.682080925</v>
      </c>
      <c r="AN177" s="74">
        <f t="shared" si="108"/>
        <v>667898.86660854402</v>
      </c>
      <c r="AO177" s="74">
        <f>AM177/105*108</f>
        <v>2766378.5301403799</v>
      </c>
      <c r="AP177" s="74">
        <f t="shared" si="105"/>
        <v>667898.86660854402</v>
      </c>
      <c r="AQ177" s="74">
        <f t="shared" si="106"/>
        <v>2917504.7646573079</v>
      </c>
      <c r="AR177" s="76">
        <v>113.9</v>
      </c>
      <c r="AS177" s="74">
        <f t="shared" si="107"/>
        <v>667898.86660854402</v>
      </c>
      <c r="AT177" s="76">
        <v>105</v>
      </c>
      <c r="AU177" s="74">
        <f t="shared" si="90"/>
        <v>3176212.3864574726</v>
      </c>
      <c r="AV177" s="76">
        <v>124</v>
      </c>
      <c r="AW177" s="74">
        <f t="shared" si="102"/>
        <v>776034.87358326069</v>
      </c>
      <c r="AX177" s="76">
        <v>122</v>
      </c>
      <c r="AY177" s="77">
        <f t="shared" si="103"/>
        <v>3206950</v>
      </c>
      <c r="AZ177" s="78">
        <v>125.2</v>
      </c>
      <c r="BA177" s="77">
        <f t="shared" si="104"/>
        <v>784305</v>
      </c>
      <c r="BB177" s="78">
        <v>123.3</v>
      </c>
      <c r="BC177" s="79">
        <v>36526</v>
      </c>
      <c r="BD177" s="59"/>
      <c r="BE177" s="80">
        <v>1460.97</v>
      </c>
      <c r="BF177" s="80">
        <v>1452.75</v>
      </c>
      <c r="BG177" s="80">
        <v>1436.27</v>
      </c>
      <c r="BH177" s="73"/>
      <c r="BI177" s="73"/>
      <c r="BJ177" s="73"/>
      <c r="BK177" s="73"/>
      <c r="BL177" s="79">
        <v>42997</v>
      </c>
      <c r="BM177" s="79">
        <v>36434</v>
      </c>
      <c r="BN177" s="58" t="s">
        <v>44</v>
      </c>
      <c r="BO177" s="58" t="s">
        <v>70</v>
      </c>
      <c r="BP177" s="58" t="s">
        <v>184</v>
      </c>
      <c r="BQ177">
        <v>2016</v>
      </c>
      <c r="BR177" s="59"/>
      <c r="BV177" s="18"/>
      <c r="BW177" s="18"/>
    </row>
    <row r="178" spans="1:75" x14ac:dyDescent="0.3">
      <c r="B178" s="20" t="s">
        <v>609</v>
      </c>
      <c r="C178" s="20" t="s">
        <v>1326</v>
      </c>
      <c r="D178" s="57" t="s">
        <v>1196</v>
      </c>
      <c r="E178" s="58" t="s">
        <v>986</v>
      </c>
      <c r="F178" s="96"/>
      <c r="G178" s="96"/>
      <c r="H178" s="58" t="s">
        <v>289</v>
      </c>
      <c r="I178" s="58" t="s">
        <v>289</v>
      </c>
      <c r="J178" s="59">
        <v>772724</v>
      </c>
      <c r="K178" s="95" t="s">
        <v>43</v>
      </c>
      <c r="L178" s="95"/>
      <c r="M178" s="58" t="s">
        <v>66</v>
      </c>
      <c r="N178" s="59">
        <v>11</v>
      </c>
      <c r="O178" s="58" t="s">
        <v>40</v>
      </c>
      <c r="P178" s="58" t="s">
        <v>123</v>
      </c>
      <c r="Q178" s="58" t="s">
        <v>124</v>
      </c>
      <c r="R178" s="58" t="s">
        <v>610</v>
      </c>
      <c r="S178" s="58" t="s">
        <v>42</v>
      </c>
      <c r="T178" s="73">
        <v>560000</v>
      </c>
      <c r="U178" s="74">
        <f t="shared" ref="U178:U182" si="109">122.9*T178/121.1</f>
        <v>568323.6994219654</v>
      </c>
      <c r="V178" s="74">
        <v>95000</v>
      </c>
      <c r="W178" s="74">
        <v>532701</v>
      </c>
      <c r="X178" s="74">
        <v>74771</v>
      </c>
      <c r="Y178" s="74">
        <v>330.51</v>
      </c>
      <c r="Z178" s="74">
        <v>56.07</v>
      </c>
      <c r="AA178" s="75" t="s">
        <v>43</v>
      </c>
      <c r="AB178" s="74"/>
      <c r="AC178" s="74"/>
      <c r="AD178" s="75" t="s">
        <v>43</v>
      </c>
      <c r="AE178" s="74"/>
      <c r="AF178" s="74"/>
      <c r="AG178" s="74">
        <v>0</v>
      </c>
      <c r="AH178" s="75" t="s">
        <v>42</v>
      </c>
      <c r="AI178" s="74"/>
      <c r="AJ178" s="74">
        <f t="shared" ref="AJ178:AJ182" si="110">116.3*V178/114.7</f>
        <v>96325.196163905843</v>
      </c>
      <c r="AK178" s="74">
        <f t="shared" ref="AK178:AK182" si="111">139.1/122.9*U178</f>
        <v>643236.99421965319</v>
      </c>
      <c r="AL178" s="74">
        <f t="shared" ref="AL178:AL182" si="112">121.6/116.3*AJ178</f>
        <v>100714.90845684393</v>
      </c>
      <c r="AM178" s="74">
        <f t="shared" ref="AM178:AN182" si="113">AK178*1.05</f>
        <v>675398.84393063583</v>
      </c>
      <c r="AN178" s="74">
        <f t="shared" si="113"/>
        <v>105750.65387968613</v>
      </c>
      <c r="AO178" s="74">
        <f>AM178/105*108</f>
        <v>694695.95375722542</v>
      </c>
      <c r="AP178" s="74">
        <f t="shared" ref="AP178:AP187" si="114">AN178</f>
        <v>105750.65387968613</v>
      </c>
      <c r="AQ178" s="74">
        <f t="shared" si="106"/>
        <v>732646.936416185</v>
      </c>
      <c r="AR178" s="76">
        <v>113.9</v>
      </c>
      <c r="AS178" s="74">
        <f t="shared" si="107"/>
        <v>105750.65387968613</v>
      </c>
      <c r="AT178" s="76">
        <v>105</v>
      </c>
      <c r="AU178" s="74">
        <f t="shared" si="90"/>
        <v>797613.87283236999</v>
      </c>
      <c r="AV178" s="76">
        <v>124</v>
      </c>
      <c r="AW178" s="74">
        <f t="shared" si="102"/>
        <v>122872.1883173496</v>
      </c>
      <c r="AX178" s="76">
        <v>122</v>
      </c>
      <c r="AY178" s="77">
        <f t="shared" si="103"/>
        <v>805333</v>
      </c>
      <c r="AZ178" s="78">
        <v>125.2</v>
      </c>
      <c r="BA178" s="77">
        <f t="shared" si="104"/>
        <v>124182</v>
      </c>
      <c r="BB178" s="78">
        <v>123.3</v>
      </c>
      <c r="BC178" s="79">
        <v>36482</v>
      </c>
      <c r="BD178" s="59"/>
      <c r="BE178" s="80">
        <v>358.53</v>
      </c>
      <c r="BF178" s="80">
        <v>356.42</v>
      </c>
      <c r="BG178" s="80">
        <v>352.33</v>
      </c>
      <c r="BH178" s="73"/>
      <c r="BI178" s="73"/>
      <c r="BJ178" s="73"/>
      <c r="BK178" s="73"/>
      <c r="BL178" s="79">
        <v>42997</v>
      </c>
      <c r="BM178" s="79">
        <v>36434</v>
      </c>
      <c r="BN178" s="58" t="s">
        <v>44</v>
      </c>
      <c r="BO178" s="58" t="s">
        <v>70</v>
      </c>
      <c r="BP178" s="58" t="s">
        <v>184</v>
      </c>
      <c r="BQ178">
        <v>2016</v>
      </c>
      <c r="BR178" s="59"/>
      <c r="BV178" s="18"/>
      <c r="BW178" s="18"/>
    </row>
    <row r="179" spans="1:75" x14ac:dyDescent="0.3">
      <c r="B179" s="20" t="s">
        <v>161</v>
      </c>
      <c r="C179" s="20" t="s">
        <v>161</v>
      </c>
      <c r="D179" s="57" t="s">
        <v>1197</v>
      </c>
      <c r="E179" s="58" t="s">
        <v>986</v>
      </c>
      <c r="F179" s="97" t="s">
        <v>1473</v>
      </c>
      <c r="G179" s="97" t="s">
        <v>1473</v>
      </c>
      <c r="H179" s="58" t="s">
        <v>162</v>
      </c>
      <c r="I179" s="58" t="s">
        <v>162</v>
      </c>
      <c r="J179" s="59">
        <v>772723</v>
      </c>
      <c r="K179" s="95" t="s">
        <v>1440</v>
      </c>
      <c r="L179" s="104" t="s">
        <v>1472</v>
      </c>
      <c r="M179" s="58" t="s">
        <v>72</v>
      </c>
      <c r="N179" s="59">
        <v>41</v>
      </c>
      <c r="O179" s="58" t="s">
        <v>611</v>
      </c>
      <c r="P179" s="58" t="s">
        <v>612</v>
      </c>
      <c r="Q179" s="58" t="s">
        <v>42</v>
      </c>
      <c r="R179" s="58" t="s">
        <v>613</v>
      </c>
      <c r="S179" s="58" t="s">
        <v>42</v>
      </c>
      <c r="T179" s="73">
        <v>7750000</v>
      </c>
      <c r="U179" s="74">
        <f t="shared" si="109"/>
        <v>7865194.0545004131</v>
      </c>
      <c r="V179" s="74">
        <v>2912500</v>
      </c>
      <c r="W179" s="74">
        <v>8584628</v>
      </c>
      <c r="X179" s="74">
        <v>1100000</v>
      </c>
      <c r="Y179" s="74">
        <v>4574.05</v>
      </c>
      <c r="Z179" s="74">
        <v>1718.96</v>
      </c>
      <c r="AA179" s="75" t="s">
        <v>43</v>
      </c>
      <c r="AB179" s="74"/>
      <c r="AC179" s="74"/>
      <c r="AD179" s="75" t="s">
        <v>43</v>
      </c>
      <c r="AE179" s="74"/>
      <c r="AF179" s="74"/>
      <c r="AG179" s="74">
        <v>0</v>
      </c>
      <c r="AH179" s="75" t="s">
        <v>42</v>
      </c>
      <c r="AI179" s="74"/>
      <c r="AJ179" s="74">
        <f t="shared" si="110"/>
        <v>2953127.724498692</v>
      </c>
      <c r="AK179" s="74">
        <f t="shared" si="111"/>
        <v>8901940.5450041275</v>
      </c>
      <c r="AL179" s="74">
        <f t="shared" si="112"/>
        <v>3087707.0619006096</v>
      </c>
      <c r="AM179" s="74">
        <f t="shared" si="113"/>
        <v>9347037.5722543336</v>
      </c>
      <c r="AN179" s="74">
        <f t="shared" si="113"/>
        <v>3242092.4149956401</v>
      </c>
      <c r="AO179" s="74">
        <f>AM179/105*108</f>
        <v>9614095.7886044569</v>
      </c>
      <c r="AP179" s="74">
        <f t="shared" si="114"/>
        <v>3242092.4149956401</v>
      </c>
      <c r="AQ179" s="74">
        <f t="shared" si="106"/>
        <v>10139310.280759702</v>
      </c>
      <c r="AR179" s="76">
        <v>113.9</v>
      </c>
      <c r="AS179" s="74">
        <f t="shared" si="107"/>
        <v>3242092.4149956401</v>
      </c>
      <c r="AT179" s="76">
        <v>105</v>
      </c>
      <c r="AU179" s="74">
        <f t="shared" si="90"/>
        <v>11038406.275805118</v>
      </c>
      <c r="AV179" s="76">
        <v>124</v>
      </c>
      <c r="AW179" s="74">
        <f t="shared" si="102"/>
        <v>3767002.6155187436</v>
      </c>
      <c r="AX179" s="76">
        <v>122</v>
      </c>
      <c r="AY179" s="77">
        <f t="shared" si="103"/>
        <v>11145230</v>
      </c>
      <c r="AZ179" s="78">
        <v>125.2</v>
      </c>
      <c r="BA179" s="77">
        <f t="shared" si="104"/>
        <v>3807143</v>
      </c>
      <c r="BB179" s="78">
        <v>123.3</v>
      </c>
      <c r="BC179" s="79">
        <v>42447</v>
      </c>
      <c r="BD179" s="59"/>
      <c r="BE179" s="80">
        <v>5715.87</v>
      </c>
      <c r="BF179" s="80"/>
      <c r="BG179" s="80"/>
      <c r="BH179" s="73"/>
      <c r="BI179" s="73"/>
      <c r="BJ179" s="73"/>
      <c r="BK179" s="73"/>
      <c r="BL179" s="79">
        <v>43046</v>
      </c>
      <c r="BM179" s="79">
        <v>42808</v>
      </c>
      <c r="BN179" s="58" t="s">
        <v>44</v>
      </c>
      <c r="BO179" s="58" t="s">
        <v>44</v>
      </c>
      <c r="BP179" s="58" t="s">
        <v>614</v>
      </c>
      <c r="BQ179">
        <v>2016</v>
      </c>
      <c r="BR179" s="59"/>
      <c r="BV179" s="18"/>
      <c r="BW179" s="18"/>
    </row>
    <row r="180" spans="1:75" x14ac:dyDescent="0.3">
      <c r="B180" s="20" t="s">
        <v>161</v>
      </c>
      <c r="C180" s="20" t="s">
        <v>161</v>
      </c>
      <c r="D180" s="57" t="s">
        <v>1197</v>
      </c>
      <c r="E180" s="58" t="s">
        <v>986</v>
      </c>
      <c r="F180" s="96"/>
      <c r="G180" s="96"/>
      <c r="H180" s="58" t="s">
        <v>162</v>
      </c>
      <c r="I180" s="58" t="s">
        <v>162</v>
      </c>
      <c r="J180" s="59">
        <v>772723</v>
      </c>
      <c r="K180" s="95" t="s">
        <v>43</v>
      </c>
      <c r="L180" s="95"/>
      <c r="M180" s="58" t="s">
        <v>72</v>
      </c>
      <c r="N180" s="59">
        <v>11</v>
      </c>
      <c r="O180" s="58" t="s">
        <v>40</v>
      </c>
      <c r="P180" s="58" t="s">
        <v>615</v>
      </c>
      <c r="Q180" s="58" t="s">
        <v>42</v>
      </c>
      <c r="R180" s="58" t="s">
        <v>616</v>
      </c>
      <c r="S180" s="58" t="s">
        <v>42</v>
      </c>
      <c r="T180" s="73">
        <v>210000</v>
      </c>
      <c r="U180" s="74">
        <f t="shared" si="109"/>
        <v>213121.38728323701</v>
      </c>
      <c r="V180" s="74"/>
      <c r="W180" s="74"/>
      <c r="X180" s="74"/>
      <c r="Y180" s="74">
        <v>123.94</v>
      </c>
      <c r="Z180" s="74"/>
      <c r="AA180" s="75" t="s">
        <v>43</v>
      </c>
      <c r="AB180" s="74"/>
      <c r="AC180" s="74"/>
      <c r="AD180" s="75" t="s">
        <v>43</v>
      </c>
      <c r="AE180" s="74"/>
      <c r="AF180" s="74"/>
      <c r="AG180" s="74">
        <v>0</v>
      </c>
      <c r="AH180" s="75" t="s">
        <v>42</v>
      </c>
      <c r="AI180" s="74"/>
      <c r="AJ180" s="74">
        <f t="shared" si="110"/>
        <v>0</v>
      </c>
      <c r="AK180" s="74">
        <f t="shared" si="111"/>
        <v>241213.87283236993</v>
      </c>
      <c r="AL180" s="74">
        <f t="shared" si="112"/>
        <v>0</v>
      </c>
      <c r="AM180" s="74">
        <f t="shared" si="113"/>
        <v>253274.56647398844</v>
      </c>
      <c r="AN180" s="74">
        <f t="shared" si="113"/>
        <v>0</v>
      </c>
      <c r="AO180" s="74">
        <f>AM180/105*108</f>
        <v>260510.98265895955</v>
      </c>
      <c r="AP180" s="74">
        <f t="shared" si="114"/>
        <v>0</v>
      </c>
      <c r="AQ180" s="74">
        <f t="shared" si="106"/>
        <v>274742.60115606937</v>
      </c>
      <c r="AR180" s="76">
        <v>113.9</v>
      </c>
      <c r="AS180" s="74">
        <f t="shared" si="107"/>
        <v>0</v>
      </c>
      <c r="AT180" s="76">
        <v>105</v>
      </c>
      <c r="AU180" s="74">
        <f t="shared" si="90"/>
        <v>299105.20231213875</v>
      </c>
      <c r="AV180" s="76">
        <v>124</v>
      </c>
      <c r="AW180" s="74">
        <f t="shared" si="102"/>
        <v>0</v>
      </c>
      <c r="AX180" s="76">
        <v>122</v>
      </c>
      <c r="AY180" s="77">
        <f t="shared" si="103"/>
        <v>302000</v>
      </c>
      <c r="AZ180" s="78">
        <v>125.2</v>
      </c>
      <c r="BA180" s="77">
        <f t="shared" si="104"/>
        <v>0</v>
      </c>
      <c r="BB180" s="78">
        <v>123.3</v>
      </c>
      <c r="BC180" s="79">
        <v>42736</v>
      </c>
      <c r="BD180" s="59"/>
      <c r="BE180" s="80"/>
      <c r="BF180" s="80"/>
      <c r="BG180" s="80"/>
      <c r="BH180" s="73"/>
      <c r="BI180" s="73"/>
      <c r="BJ180" s="73"/>
      <c r="BK180" s="73"/>
      <c r="BL180" s="79">
        <v>43045</v>
      </c>
      <c r="BM180" s="79">
        <v>43045</v>
      </c>
      <c r="BN180" s="58" t="s">
        <v>44</v>
      </c>
      <c r="BO180" s="58" t="s">
        <v>44</v>
      </c>
      <c r="BP180" s="58" t="s">
        <v>617</v>
      </c>
      <c r="BQ180">
        <v>0</v>
      </c>
      <c r="BR180" s="59"/>
      <c r="BV180" s="18"/>
      <c r="BW180" s="18"/>
    </row>
    <row r="181" spans="1:75" x14ac:dyDescent="0.3">
      <c r="B181" s="20" t="s">
        <v>618</v>
      </c>
      <c r="C181" s="20" t="s">
        <v>1327</v>
      </c>
      <c r="D181" s="57" t="s">
        <v>1198</v>
      </c>
      <c r="E181" s="58" t="s">
        <v>1384</v>
      </c>
      <c r="F181" s="96"/>
      <c r="G181" s="96"/>
      <c r="H181" s="58" t="s">
        <v>155</v>
      </c>
      <c r="I181" s="58" t="s">
        <v>155</v>
      </c>
      <c r="J181" s="59">
        <v>772724</v>
      </c>
      <c r="K181" s="95" t="s">
        <v>43</v>
      </c>
      <c r="L181" s="95"/>
      <c r="M181" s="58" t="s">
        <v>66</v>
      </c>
      <c r="N181" s="59">
        <v>11</v>
      </c>
      <c r="O181" s="58" t="s">
        <v>40</v>
      </c>
      <c r="P181" s="58" t="s">
        <v>123</v>
      </c>
      <c r="Q181" s="58" t="s">
        <v>124</v>
      </c>
      <c r="R181" s="58" t="s">
        <v>619</v>
      </c>
      <c r="S181" s="58" t="s">
        <v>42</v>
      </c>
      <c r="T181" s="73">
        <v>560000</v>
      </c>
      <c r="U181" s="74">
        <f t="shared" si="109"/>
        <v>568323.6994219654</v>
      </c>
      <c r="V181" s="74">
        <v>95000</v>
      </c>
      <c r="W181" s="74">
        <v>532701</v>
      </c>
      <c r="X181" s="74">
        <v>84742</v>
      </c>
      <c r="Y181" s="74">
        <v>330.51</v>
      </c>
      <c r="Z181" s="74">
        <v>56.07</v>
      </c>
      <c r="AA181" s="75" t="s">
        <v>43</v>
      </c>
      <c r="AB181" s="74"/>
      <c r="AC181" s="74"/>
      <c r="AD181" s="75" t="s">
        <v>43</v>
      </c>
      <c r="AE181" s="74"/>
      <c r="AF181" s="74"/>
      <c r="AG181" s="74">
        <v>0</v>
      </c>
      <c r="AH181" s="75" t="s">
        <v>42</v>
      </c>
      <c r="AI181" s="74"/>
      <c r="AJ181" s="74">
        <f t="shared" si="110"/>
        <v>96325.196163905843</v>
      </c>
      <c r="AK181" s="74">
        <f t="shared" si="111"/>
        <v>643236.99421965319</v>
      </c>
      <c r="AL181" s="74">
        <f t="shared" si="112"/>
        <v>100714.90845684393</v>
      </c>
      <c r="AM181" s="74">
        <f t="shared" si="113"/>
        <v>675398.84393063583</v>
      </c>
      <c r="AN181" s="74">
        <f t="shared" si="113"/>
        <v>105750.65387968613</v>
      </c>
      <c r="AO181" s="74">
        <f>AM181/105*108</f>
        <v>694695.95375722542</v>
      </c>
      <c r="AP181" s="74">
        <f t="shared" si="114"/>
        <v>105750.65387968613</v>
      </c>
      <c r="AQ181" s="74">
        <f t="shared" si="106"/>
        <v>732646.936416185</v>
      </c>
      <c r="AR181" s="76">
        <v>113.9</v>
      </c>
      <c r="AS181" s="74">
        <f t="shared" si="107"/>
        <v>105750.65387968613</v>
      </c>
      <c r="AT181" s="76">
        <v>105</v>
      </c>
      <c r="AU181" s="74">
        <f t="shared" si="90"/>
        <v>797613.87283236999</v>
      </c>
      <c r="AV181" s="76">
        <v>124</v>
      </c>
      <c r="AW181" s="74">
        <f t="shared" si="102"/>
        <v>122872.1883173496</v>
      </c>
      <c r="AX181" s="76">
        <v>122</v>
      </c>
      <c r="AY181" s="77">
        <f t="shared" si="103"/>
        <v>805333</v>
      </c>
      <c r="AZ181" s="78">
        <v>125.2</v>
      </c>
      <c r="BA181" s="77">
        <f t="shared" si="104"/>
        <v>124182</v>
      </c>
      <c r="BB181" s="78">
        <v>123.3</v>
      </c>
      <c r="BC181" s="79">
        <v>36482</v>
      </c>
      <c r="BD181" s="59"/>
      <c r="BE181" s="80">
        <v>364.41</v>
      </c>
      <c r="BF181" s="80">
        <v>362.3</v>
      </c>
      <c r="BG181" s="80">
        <v>358.17</v>
      </c>
      <c r="BH181" s="73"/>
      <c r="BI181" s="73"/>
      <c r="BJ181" s="73"/>
      <c r="BK181" s="73"/>
      <c r="BL181" s="79">
        <v>42997</v>
      </c>
      <c r="BM181" s="79">
        <v>36434</v>
      </c>
      <c r="BN181" s="58" t="s">
        <v>44</v>
      </c>
      <c r="BO181" s="58" t="s">
        <v>70</v>
      </c>
      <c r="BP181" s="58" t="s">
        <v>184</v>
      </c>
      <c r="BQ181">
        <v>2016</v>
      </c>
      <c r="BR181" s="59"/>
      <c r="BV181" s="18"/>
      <c r="BW181" s="18"/>
    </row>
    <row r="182" spans="1:75" x14ac:dyDescent="0.3">
      <c r="B182" s="20" t="s">
        <v>620</v>
      </c>
      <c r="C182" s="20" t="s">
        <v>1134</v>
      </c>
      <c r="D182" s="57" t="s">
        <v>1198</v>
      </c>
      <c r="E182" s="58" t="s">
        <v>1384</v>
      </c>
      <c r="F182" s="96"/>
      <c r="G182" s="96"/>
      <c r="H182" s="58" t="s">
        <v>155</v>
      </c>
      <c r="I182" s="58" t="s">
        <v>155</v>
      </c>
      <c r="J182" s="59">
        <v>772723</v>
      </c>
      <c r="K182" s="95" t="s">
        <v>1440</v>
      </c>
      <c r="L182" s="95"/>
      <c r="M182" s="58" t="s">
        <v>72</v>
      </c>
      <c r="N182" s="59">
        <v>11</v>
      </c>
      <c r="O182" s="58" t="s">
        <v>40</v>
      </c>
      <c r="P182" s="58" t="s">
        <v>621</v>
      </c>
      <c r="Q182" s="58" t="s">
        <v>217</v>
      </c>
      <c r="R182" s="58" t="s">
        <v>622</v>
      </c>
      <c r="S182" s="58" t="s">
        <v>42</v>
      </c>
      <c r="T182" s="73">
        <v>2070000</v>
      </c>
      <c r="U182" s="74">
        <f t="shared" si="109"/>
        <v>2100767.9603633364</v>
      </c>
      <c r="V182" s="74">
        <v>500000</v>
      </c>
      <c r="W182" s="74">
        <v>1954083</v>
      </c>
      <c r="X182" s="74">
        <v>356413</v>
      </c>
      <c r="Y182" s="74">
        <v>1221.71</v>
      </c>
      <c r="Z182" s="74">
        <v>295.10000000000002</v>
      </c>
      <c r="AA182" s="75" t="s">
        <v>43</v>
      </c>
      <c r="AB182" s="74"/>
      <c r="AC182" s="74"/>
      <c r="AD182" s="75" t="s">
        <v>43</v>
      </c>
      <c r="AE182" s="74"/>
      <c r="AF182" s="74"/>
      <c r="AG182" s="74">
        <v>0</v>
      </c>
      <c r="AH182" s="75" t="s">
        <v>42</v>
      </c>
      <c r="AI182" s="74"/>
      <c r="AJ182" s="74">
        <f t="shared" si="110"/>
        <v>506974.716652136</v>
      </c>
      <c r="AK182" s="74">
        <f t="shared" si="111"/>
        <v>2377679.6036333609</v>
      </c>
      <c r="AL182" s="74">
        <f t="shared" si="112"/>
        <v>530078.4655623365</v>
      </c>
      <c r="AM182" s="74">
        <f t="shared" si="113"/>
        <v>2496563.5838150289</v>
      </c>
      <c r="AN182" s="74">
        <f t="shared" si="113"/>
        <v>556582.38884045335</v>
      </c>
      <c r="AO182" s="74">
        <f>AM182/105*108+4487</f>
        <v>2572380.9719240298</v>
      </c>
      <c r="AP182" s="74">
        <f t="shared" si="114"/>
        <v>556582.38884045335</v>
      </c>
      <c r="AQ182" s="74">
        <f t="shared" si="106"/>
        <v>2712909.1916865464</v>
      </c>
      <c r="AR182" s="76">
        <v>113.9</v>
      </c>
      <c r="AS182" s="74">
        <f t="shared" si="107"/>
        <v>556582.38884045335</v>
      </c>
      <c r="AT182" s="76">
        <v>105</v>
      </c>
      <c r="AU182" s="74">
        <f t="shared" si="90"/>
        <v>2953474.4492461081</v>
      </c>
      <c r="AV182" s="76">
        <v>124</v>
      </c>
      <c r="AW182" s="74">
        <f t="shared" si="102"/>
        <v>646695.72798605054</v>
      </c>
      <c r="AX182" s="76">
        <v>122</v>
      </c>
      <c r="AY182" s="77">
        <f t="shared" si="103"/>
        <v>2982057</v>
      </c>
      <c r="AZ182" s="78">
        <v>125.2</v>
      </c>
      <c r="BA182" s="77">
        <f t="shared" si="104"/>
        <v>653587</v>
      </c>
      <c r="BB182" s="78">
        <v>123.3</v>
      </c>
      <c r="BC182" s="79">
        <v>36526</v>
      </c>
      <c r="BD182" s="59"/>
      <c r="BE182" s="80">
        <v>1363.65</v>
      </c>
      <c r="BF182" s="80">
        <v>1355.9</v>
      </c>
      <c r="BG182" s="80">
        <v>1340.49</v>
      </c>
      <c r="BH182" s="73"/>
      <c r="BI182" s="73"/>
      <c r="BJ182" s="73"/>
      <c r="BK182" s="73"/>
      <c r="BL182" s="79">
        <v>42997</v>
      </c>
      <c r="BM182" s="79">
        <v>36434</v>
      </c>
      <c r="BN182" s="58" t="s">
        <v>44</v>
      </c>
      <c r="BO182" s="58" t="s">
        <v>70</v>
      </c>
      <c r="BP182" s="58" t="s">
        <v>184</v>
      </c>
      <c r="BQ182">
        <v>2016</v>
      </c>
      <c r="BR182" s="59" t="s">
        <v>1021</v>
      </c>
      <c r="BV182" s="18"/>
      <c r="BW182" s="18"/>
    </row>
    <row r="183" spans="1:75" x14ac:dyDescent="0.3">
      <c r="B183" s="20" t="s">
        <v>623</v>
      </c>
      <c r="C183" s="20" t="s">
        <v>623</v>
      </c>
      <c r="D183" s="57" t="s">
        <v>1199</v>
      </c>
      <c r="E183" s="58" t="s">
        <v>986</v>
      </c>
      <c r="F183" s="96"/>
      <c r="G183" s="96"/>
      <c r="H183" s="58" t="s">
        <v>482</v>
      </c>
      <c r="I183" s="58" t="s">
        <v>482</v>
      </c>
      <c r="J183" s="59">
        <v>777772</v>
      </c>
      <c r="K183" s="95" t="s">
        <v>43</v>
      </c>
      <c r="L183" s="95"/>
      <c r="M183" s="58" t="s">
        <v>39</v>
      </c>
      <c r="N183" s="59">
        <v>11</v>
      </c>
      <c r="O183" s="58" t="s">
        <v>40</v>
      </c>
      <c r="P183" s="58" t="s">
        <v>624</v>
      </c>
      <c r="Q183" s="58" t="s">
        <v>41</v>
      </c>
      <c r="R183" s="58" t="s">
        <v>625</v>
      </c>
      <c r="S183" s="58" t="s">
        <v>42</v>
      </c>
      <c r="T183" s="73">
        <v>460000</v>
      </c>
      <c r="U183" s="74">
        <f t="shared" ref="U183:U189" si="115">122.9*T183/121.1</f>
        <v>466837.3245251858</v>
      </c>
      <c r="V183" s="74"/>
      <c r="W183" s="74">
        <v>449023</v>
      </c>
      <c r="X183" s="74"/>
      <c r="Y183" s="74">
        <v>271.49</v>
      </c>
      <c r="Z183" s="74"/>
      <c r="AA183" s="75" t="s">
        <v>43</v>
      </c>
      <c r="AB183" s="74"/>
      <c r="AC183" s="74"/>
      <c r="AD183" s="75" t="s">
        <v>43</v>
      </c>
      <c r="AE183" s="74"/>
      <c r="AF183" s="74"/>
      <c r="AG183" s="74">
        <v>0</v>
      </c>
      <c r="AH183" s="75" t="s">
        <v>42</v>
      </c>
      <c r="AI183" s="74"/>
      <c r="AJ183" s="74">
        <f t="shared" ref="AJ183:AJ189" si="116">116.3*V183/114.7</f>
        <v>0</v>
      </c>
      <c r="AK183" s="74">
        <f t="shared" ref="AK183:AK189" si="117">139.1/122.9*U183</f>
        <v>528373.24525185791</v>
      </c>
      <c r="AL183" s="74">
        <f t="shared" ref="AL183:AL189" si="118">121.6/116.3*AJ183</f>
        <v>0</v>
      </c>
      <c r="AM183" s="74">
        <f t="shared" ref="AM183:AN189" si="119">AK183*1.05</f>
        <v>554791.90751445084</v>
      </c>
      <c r="AN183" s="74">
        <f t="shared" si="119"/>
        <v>0</v>
      </c>
      <c r="AO183" s="74">
        <f t="shared" ref="AO183:AO189" si="120">AM183/105*108</f>
        <v>570643.10487200657</v>
      </c>
      <c r="AP183" s="74">
        <f t="shared" si="114"/>
        <v>0</v>
      </c>
      <c r="AQ183" s="74">
        <f t="shared" si="106"/>
        <v>601817.12634186621</v>
      </c>
      <c r="AR183" s="76">
        <v>113.9</v>
      </c>
      <c r="AS183" s="74">
        <f t="shared" si="107"/>
        <v>0</v>
      </c>
      <c r="AT183" s="76">
        <v>105</v>
      </c>
      <c r="AU183" s="74">
        <f t="shared" ref="AU183:AU189" si="121">AQ183/AR183*AV183</f>
        <v>655182.8241123039</v>
      </c>
      <c r="AV183" s="76">
        <v>124</v>
      </c>
      <c r="AW183" s="74">
        <f t="shared" si="102"/>
        <v>0</v>
      </c>
      <c r="AX183" s="76">
        <v>122</v>
      </c>
      <c r="AY183" s="77">
        <f t="shared" si="103"/>
        <v>661524</v>
      </c>
      <c r="AZ183" s="78">
        <v>125.2</v>
      </c>
      <c r="BA183" s="77">
        <f t="shared" si="104"/>
        <v>0</v>
      </c>
      <c r="BB183" s="78">
        <v>123.3</v>
      </c>
      <c r="BC183" s="79">
        <v>40725</v>
      </c>
      <c r="BD183" s="59"/>
      <c r="BE183" s="80">
        <v>265.01</v>
      </c>
      <c r="BF183" s="80">
        <v>263.23</v>
      </c>
      <c r="BG183" s="80">
        <v>260.11</v>
      </c>
      <c r="BH183" s="73"/>
      <c r="BI183" s="73"/>
      <c r="BJ183" s="73"/>
      <c r="BK183" s="73"/>
      <c r="BL183" s="79">
        <v>42997</v>
      </c>
      <c r="BM183" s="79">
        <v>40981</v>
      </c>
      <c r="BN183" s="58" t="s">
        <v>44</v>
      </c>
      <c r="BO183" s="58" t="s">
        <v>44</v>
      </c>
      <c r="BP183" s="58" t="s">
        <v>221</v>
      </c>
      <c r="BQ183">
        <v>2016</v>
      </c>
      <c r="BR183" s="59"/>
      <c r="BV183" s="18"/>
      <c r="BW183" s="18"/>
    </row>
    <row r="184" spans="1:75" x14ac:dyDescent="0.3">
      <c r="B184" s="20" t="s">
        <v>626</v>
      </c>
      <c r="C184" s="20" t="s">
        <v>626</v>
      </c>
      <c r="D184" s="57" t="s">
        <v>1200</v>
      </c>
      <c r="E184" s="58" t="s">
        <v>627</v>
      </c>
      <c r="F184" s="96"/>
      <c r="G184" s="96"/>
      <c r="H184" s="58" t="s">
        <v>627</v>
      </c>
      <c r="I184" s="58" t="s">
        <v>627</v>
      </c>
      <c r="J184" s="59">
        <v>777772</v>
      </c>
      <c r="K184" s="95" t="s">
        <v>43</v>
      </c>
      <c r="L184" s="95"/>
      <c r="M184" s="58" t="s">
        <v>39</v>
      </c>
      <c r="N184" s="59">
        <v>12</v>
      </c>
      <c r="O184" s="58" t="s">
        <v>49</v>
      </c>
      <c r="P184" s="58" t="s">
        <v>628</v>
      </c>
      <c r="Q184" s="58" t="s">
        <v>42</v>
      </c>
      <c r="R184" s="58" t="s">
        <v>629</v>
      </c>
      <c r="S184" s="58" t="s">
        <v>42</v>
      </c>
      <c r="T184" s="73">
        <v>20000</v>
      </c>
      <c r="U184" s="74">
        <f t="shared" si="115"/>
        <v>20297.274979355905</v>
      </c>
      <c r="V184" s="74"/>
      <c r="W184" s="74">
        <v>82139</v>
      </c>
      <c r="X184" s="74"/>
      <c r="Y184" s="74">
        <v>11.8</v>
      </c>
      <c r="Z184" s="74"/>
      <c r="AA184" s="75" t="s">
        <v>43</v>
      </c>
      <c r="AB184" s="74"/>
      <c r="AC184" s="74"/>
      <c r="AD184" s="75" t="s">
        <v>43</v>
      </c>
      <c r="AE184" s="74"/>
      <c r="AF184" s="74"/>
      <c r="AG184" s="74">
        <v>0</v>
      </c>
      <c r="AH184" s="75" t="s">
        <v>42</v>
      </c>
      <c r="AI184" s="74"/>
      <c r="AJ184" s="74">
        <f t="shared" si="116"/>
        <v>0</v>
      </c>
      <c r="AK184" s="74">
        <f t="shared" si="117"/>
        <v>22972.74979355904</v>
      </c>
      <c r="AL184" s="74">
        <f t="shared" si="118"/>
        <v>0</v>
      </c>
      <c r="AM184" s="74">
        <f t="shared" si="119"/>
        <v>24121.387283236993</v>
      </c>
      <c r="AN184" s="74">
        <f t="shared" si="119"/>
        <v>0</v>
      </c>
      <c r="AO184" s="74">
        <f t="shared" si="120"/>
        <v>24810.569777043765</v>
      </c>
      <c r="AP184" s="74">
        <f t="shared" si="114"/>
        <v>0</v>
      </c>
      <c r="AQ184" s="74">
        <f t="shared" si="106"/>
        <v>26165.962014863751</v>
      </c>
      <c r="AR184" s="76">
        <v>113.9</v>
      </c>
      <c r="AS184" s="74">
        <f t="shared" si="107"/>
        <v>0</v>
      </c>
      <c r="AT184" s="76">
        <v>105</v>
      </c>
      <c r="AU184" s="74">
        <f t="shared" si="121"/>
        <v>28486.209744013213</v>
      </c>
      <c r="AV184" s="76">
        <v>124</v>
      </c>
      <c r="AW184" s="74">
        <f t="shared" si="102"/>
        <v>0</v>
      </c>
      <c r="AX184" s="76">
        <v>122</v>
      </c>
      <c r="AY184" s="77">
        <f t="shared" si="103"/>
        <v>28762</v>
      </c>
      <c r="AZ184" s="78">
        <v>125.2</v>
      </c>
      <c r="BA184" s="77">
        <f t="shared" si="104"/>
        <v>0</v>
      </c>
      <c r="BB184" s="78">
        <v>123.3</v>
      </c>
      <c r="BC184" s="79">
        <v>41275</v>
      </c>
      <c r="BD184" s="59"/>
      <c r="BE184" s="80">
        <v>48.48</v>
      </c>
      <c r="BF184" s="80">
        <v>48.15</v>
      </c>
      <c r="BG184" s="80">
        <v>47.58</v>
      </c>
      <c r="BH184" s="73"/>
      <c r="BI184" s="73"/>
      <c r="BJ184" s="73"/>
      <c r="BK184" s="73"/>
      <c r="BL184" s="79">
        <v>43045</v>
      </c>
      <c r="BM184" s="79">
        <v>41652</v>
      </c>
      <c r="BN184" s="58" t="s">
        <v>44</v>
      </c>
      <c r="BO184" s="58" t="s">
        <v>44</v>
      </c>
      <c r="BP184" s="58" t="s">
        <v>630</v>
      </c>
      <c r="BQ184">
        <v>2016</v>
      </c>
      <c r="BR184" s="59"/>
      <c r="BV184" s="18"/>
      <c r="BW184" s="18"/>
    </row>
    <row r="185" spans="1:75" x14ac:dyDescent="0.3">
      <c r="B185" s="20" t="s">
        <v>631</v>
      </c>
      <c r="C185" s="20" t="s">
        <v>1328</v>
      </c>
      <c r="D185" s="57" t="s">
        <v>1201</v>
      </c>
      <c r="E185" s="58" t="s">
        <v>1385</v>
      </c>
      <c r="F185" s="96"/>
      <c r="G185" s="96"/>
      <c r="H185" s="58" t="s">
        <v>632</v>
      </c>
      <c r="I185" s="58" t="s">
        <v>632</v>
      </c>
      <c r="J185" s="59">
        <v>772723</v>
      </c>
      <c r="K185" s="95" t="s">
        <v>43</v>
      </c>
      <c r="L185" s="95"/>
      <c r="M185" s="58" t="s">
        <v>72</v>
      </c>
      <c r="N185" s="59">
        <v>11</v>
      </c>
      <c r="O185" s="58" t="s">
        <v>40</v>
      </c>
      <c r="P185" s="58" t="s">
        <v>633</v>
      </c>
      <c r="Q185" s="58" t="s">
        <v>217</v>
      </c>
      <c r="R185" s="58" t="s">
        <v>634</v>
      </c>
      <c r="S185" s="58" t="s">
        <v>42</v>
      </c>
      <c r="T185" s="73">
        <v>2230000</v>
      </c>
      <c r="U185" s="74">
        <f t="shared" si="115"/>
        <v>2263146.1601981833</v>
      </c>
      <c r="V185" s="74">
        <v>510000</v>
      </c>
      <c r="W185" s="74">
        <v>2032155</v>
      </c>
      <c r="X185" s="74">
        <v>416232</v>
      </c>
      <c r="Y185" s="74">
        <v>1316.15</v>
      </c>
      <c r="Z185" s="74">
        <v>301</v>
      </c>
      <c r="AA185" s="75" t="s">
        <v>43</v>
      </c>
      <c r="AB185" s="74"/>
      <c r="AC185" s="74"/>
      <c r="AD185" s="75" t="s">
        <v>43</v>
      </c>
      <c r="AE185" s="74"/>
      <c r="AF185" s="74"/>
      <c r="AG185" s="74">
        <v>0</v>
      </c>
      <c r="AH185" s="75" t="s">
        <v>42</v>
      </c>
      <c r="AI185" s="74"/>
      <c r="AJ185" s="74">
        <f t="shared" si="116"/>
        <v>517114.21098517871</v>
      </c>
      <c r="AK185" s="74">
        <f t="shared" si="117"/>
        <v>2561461.6019818331</v>
      </c>
      <c r="AL185" s="74">
        <f t="shared" si="118"/>
        <v>540680.03487358324</v>
      </c>
      <c r="AM185" s="74">
        <f t="shared" si="119"/>
        <v>2689534.682080925</v>
      </c>
      <c r="AN185" s="74">
        <f t="shared" si="119"/>
        <v>567714.03661726241</v>
      </c>
      <c r="AO185" s="74">
        <f t="shared" si="120"/>
        <v>2766378.5301403799</v>
      </c>
      <c r="AP185" s="74">
        <f t="shared" si="114"/>
        <v>567714.03661726241</v>
      </c>
      <c r="AQ185" s="74">
        <f t="shared" si="106"/>
        <v>2917504.7646573079</v>
      </c>
      <c r="AR185" s="76">
        <v>113.9</v>
      </c>
      <c r="AS185" s="74">
        <f t="shared" si="107"/>
        <v>567714.03661726241</v>
      </c>
      <c r="AT185" s="76">
        <v>105</v>
      </c>
      <c r="AU185" s="74">
        <f t="shared" si="121"/>
        <v>3176212.3864574726</v>
      </c>
      <c r="AV185" s="76">
        <v>124</v>
      </c>
      <c r="AW185" s="74">
        <f t="shared" si="102"/>
        <v>659629.64254577155</v>
      </c>
      <c r="AX185" s="76">
        <v>122</v>
      </c>
      <c r="AY185" s="77">
        <f t="shared" si="103"/>
        <v>3206950</v>
      </c>
      <c r="AZ185" s="78">
        <v>125.2</v>
      </c>
      <c r="BA185" s="77">
        <f t="shared" si="104"/>
        <v>666659</v>
      </c>
      <c r="BB185" s="78">
        <v>123.3</v>
      </c>
      <c r="BC185" s="79">
        <v>36526</v>
      </c>
      <c r="BD185" s="59"/>
      <c r="BE185" s="80">
        <v>1445.04</v>
      </c>
      <c r="BF185" s="80">
        <v>1436.97</v>
      </c>
      <c r="BG185" s="80">
        <v>1420.7</v>
      </c>
      <c r="BH185" s="73"/>
      <c r="BI185" s="73"/>
      <c r="BJ185" s="73"/>
      <c r="BK185" s="73"/>
      <c r="BL185" s="79">
        <v>42997</v>
      </c>
      <c r="BM185" s="79">
        <v>36434</v>
      </c>
      <c r="BN185" s="58" t="s">
        <v>44</v>
      </c>
      <c r="BO185" s="58" t="s">
        <v>70</v>
      </c>
      <c r="BP185" s="58" t="s">
        <v>184</v>
      </c>
      <c r="BQ185">
        <v>2016</v>
      </c>
      <c r="BR185" s="59"/>
      <c r="BV185" s="18"/>
      <c r="BW185" s="18"/>
    </row>
    <row r="186" spans="1:75" x14ac:dyDescent="0.3">
      <c r="B186" s="20" t="s">
        <v>635</v>
      </c>
      <c r="C186" s="20" t="s">
        <v>1329</v>
      </c>
      <c r="D186" s="57" t="s">
        <v>1201</v>
      </c>
      <c r="E186" s="58" t="s">
        <v>1385</v>
      </c>
      <c r="F186" s="96"/>
      <c r="G186" s="96"/>
      <c r="H186" s="58" t="s">
        <v>632</v>
      </c>
      <c r="I186" s="58" t="s">
        <v>632</v>
      </c>
      <c r="J186" s="59">
        <v>772724</v>
      </c>
      <c r="K186" s="95" t="s">
        <v>43</v>
      </c>
      <c r="L186" s="95"/>
      <c r="M186" s="58" t="s">
        <v>66</v>
      </c>
      <c r="N186" s="59">
        <v>11</v>
      </c>
      <c r="O186" s="58" t="s">
        <v>40</v>
      </c>
      <c r="P186" s="58" t="s">
        <v>123</v>
      </c>
      <c r="Q186" s="58" t="s">
        <v>124</v>
      </c>
      <c r="R186" s="58" t="s">
        <v>636</v>
      </c>
      <c r="S186" s="58" t="s">
        <v>42</v>
      </c>
      <c r="T186" s="73">
        <v>550000</v>
      </c>
      <c r="U186" s="74">
        <f t="shared" si="115"/>
        <v>558175.06193228741</v>
      </c>
      <c r="V186" s="74">
        <v>90000</v>
      </c>
      <c r="W186" s="74">
        <v>522836</v>
      </c>
      <c r="X186" s="74">
        <v>77264</v>
      </c>
      <c r="Y186" s="74">
        <v>324.61</v>
      </c>
      <c r="Z186" s="74">
        <v>53.12</v>
      </c>
      <c r="AA186" s="75" t="s">
        <v>43</v>
      </c>
      <c r="AB186" s="74"/>
      <c r="AC186" s="74"/>
      <c r="AD186" s="75" t="s">
        <v>43</v>
      </c>
      <c r="AE186" s="74"/>
      <c r="AF186" s="74"/>
      <c r="AG186" s="74">
        <v>0</v>
      </c>
      <c r="AH186" s="75" t="s">
        <v>42</v>
      </c>
      <c r="AI186" s="74"/>
      <c r="AJ186" s="74">
        <f t="shared" si="116"/>
        <v>91255.448997384476</v>
      </c>
      <c r="AK186" s="74">
        <f t="shared" si="117"/>
        <v>631750.61932287365</v>
      </c>
      <c r="AL186" s="74">
        <f t="shared" si="118"/>
        <v>95414.123801220558</v>
      </c>
      <c r="AM186" s="74">
        <f t="shared" si="119"/>
        <v>663338.15028901736</v>
      </c>
      <c r="AN186" s="74">
        <f t="shared" si="119"/>
        <v>100184.82999128159</v>
      </c>
      <c r="AO186" s="74">
        <f t="shared" si="120"/>
        <v>682290.66886870365</v>
      </c>
      <c r="AP186" s="74">
        <f t="shared" si="114"/>
        <v>100184.82999128159</v>
      </c>
      <c r="AQ186" s="74">
        <f t="shared" si="106"/>
        <v>719563.95540875325</v>
      </c>
      <c r="AR186" s="76">
        <v>113.9</v>
      </c>
      <c r="AS186" s="74">
        <f t="shared" si="107"/>
        <v>100184.82999128159</v>
      </c>
      <c r="AT186" s="76">
        <v>105</v>
      </c>
      <c r="AU186" s="74">
        <f t="shared" si="121"/>
        <v>783370.76796036342</v>
      </c>
      <c r="AV186" s="76">
        <v>124</v>
      </c>
      <c r="AW186" s="74">
        <f t="shared" si="102"/>
        <v>116405.23103748908</v>
      </c>
      <c r="AX186" s="76">
        <v>122</v>
      </c>
      <c r="AY186" s="77">
        <f t="shared" si="103"/>
        <v>790952</v>
      </c>
      <c r="AZ186" s="78">
        <v>125.2</v>
      </c>
      <c r="BA186" s="77">
        <f t="shared" si="104"/>
        <v>117646</v>
      </c>
      <c r="BB186" s="78">
        <v>123.3</v>
      </c>
      <c r="BC186" s="79">
        <v>36482</v>
      </c>
      <c r="BD186" s="59"/>
      <c r="BE186" s="80">
        <v>354.18</v>
      </c>
      <c r="BF186" s="80">
        <v>352.1</v>
      </c>
      <c r="BG186" s="80">
        <v>348.07</v>
      </c>
      <c r="BH186" s="73"/>
      <c r="BI186" s="73"/>
      <c r="BJ186" s="73"/>
      <c r="BK186" s="73"/>
      <c r="BL186" s="79">
        <v>42997</v>
      </c>
      <c r="BM186" s="79">
        <v>36434</v>
      </c>
      <c r="BN186" s="58" t="s">
        <v>44</v>
      </c>
      <c r="BO186" s="58" t="s">
        <v>70</v>
      </c>
      <c r="BP186" s="58" t="s">
        <v>184</v>
      </c>
      <c r="BQ186">
        <v>2016</v>
      </c>
      <c r="BR186" s="59"/>
      <c r="BV186" s="18"/>
      <c r="BW186" s="18"/>
    </row>
    <row r="187" spans="1:75" x14ac:dyDescent="0.3">
      <c r="B187" s="20" t="s">
        <v>637</v>
      </c>
      <c r="C187" s="20" t="s">
        <v>1330</v>
      </c>
      <c r="D187" s="57" t="s">
        <v>1202</v>
      </c>
      <c r="E187" s="58" t="s">
        <v>986</v>
      </c>
      <c r="F187" s="96"/>
      <c r="G187" s="96"/>
      <c r="H187" s="58" t="s">
        <v>595</v>
      </c>
      <c r="I187" s="58" t="s">
        <v>595</v>
      </c>
      <c r="J187" s="59">
        <v>777773</v>
      </c>
      <c r="K187" s="95" t="s">
        <v>43</v>
      </c>
      <c r="L187" s="95"/>
      <c r="M187" s="58" t="s">
        <v>290</v>
      </c>
      <c r="N187" s="59">
        <v>99</v>
      </c>
      <c r="O187" s="58" t="s">
        <v>128</v>
      </c>
      <c r="P187" s="58" t="s">
        <v>638</v>
      </c>
      <c r="Q187" s="58" t="s">
        <v>361</v>
      </c>
      <c r="R187" s="58" t="s">
        <v>639</v>
      </c>
      <c r="S187" s="58" t="s">
        <v>42</v>
      </c>
      <c r="T187" s="73">
        <v>110000</v>
      </c>
      <c r="U187" s="74">
        <f t="shared" si="115"/>
        <v>111635.01238645749</v>
      </c>
      <c r="V187" s="74">
        <v>25000</v>
      </c>
      <c r="W187" s="74">
        <v>88783</v>
      </c>
      <c r="X187" s="74">
        <v>5483</v>
      </c>
      <c r="Y187" s="74">
        <v>64.92</v>
      </c>
      <c r="Z187" s="74">
        <v>14.76</v>
      </c>
      <c r="AA187" s="75" t="s">
        <v>43</v>
      </c>
      <c r="AB187" s="74"/>
      <c r="AC187" s="74"/>
      <c r="AD187" s="75" t="s">
        <v>43</v>
      </c>
      <c r="AE187" s="74"/>
      <c r="AF187" s="74"/>
      <c r="AG187" s="74">
        <v>0</v>
      </c>
      <c r="AH187" s="75" t="s">
        <v>42</v>
      </c>
      <c r="AI187" s="74"/>
      <c r="AJ187" s="74">
        <f t="shared" si="116"/>
        <v>25348.735832606799</v>
      </c>
      <c r="AK187" s="74">
        <f t="shared" si="117"/>
        <v>126350.12386457474</v>
      </c>
      <c r="AL187" s="74">
        <f t="shared" si="118"/>
        <v>26503.923278116821</v>
      </c>
      <c r="AM187" s="74">
        <f t="shared" si="119"/>
        <v>132667.63005780347</v>
      </c>
      <c r="AN187" s="74">
        <f t="shared" si="119"/>
        <v>27829.119442022664</v>
      </c>
      <c r="AO187" s="74">
        <f t="shared" si="120"/>
        <v>136458.13377374073</v>
      </c>
      <c r="AP187" s="74">
        <f t="shared" si="114"/>
        <v>27829.119442022664</v>
      </c>
      <c r="AQ187" s="74">
        <f t="shared" si="106"/>
        <v>143912.79108175065</v>
      </c>
      <c r="AR187" s="76">
        <v>113.9</v>
      </c>
      <c r="AS187" s="74">
        <f t="shared" si="107"/>
        <v>27829.119442022664</v>
      </c>
      <c r="AT187" s="76">
        <v>105</v>
      </c>
      <c r="AU187" s="74">
        <f t="shared" si="121"/>
        <v>156674.15359207269</v>
      </c>
      <c r="AV187" s="76">
        <v>124</v>
      </c>
      <c r="AW187" s="74">
        <f t="shared" si="102"/>
        <v>32334.78639930252</v>
      </c>
      <c r="AX187" s="76">
        <v>122</v>
      </c>
      <c r="AY187" s="77">
        <f t="shared" si="103"/>
        <v>158191</v>
      </c>
      <c r="AZ187" s="78">
        <v>125.2</v>
      </c>
      <c r="BA187" s="77">
        <f t="shared" si="104"/>
        <v>32680</v>
      </c>
      <c r="BB187" s="78">
        <v>123.3</v>
      </c>
      <c r="BC187" s="79">
        <v>36526</v>
      </c>
      <c r="BD187" s="59"/>
      <c r="BE187" s="80">
        <v>55.64</v>
      </c>
      <c r="BF187" s="80">
        <v>55.29</v>
      </c>
      <c r="BG187" s="80">
        <v>54.64</v>
      </c>
      <c r="BH187" s="73"/>
      <c r="BI187" s="73"/>
      <c r="BJ187" s="73"/>
      <c r="BK187" s="73"/>
      <c r="BL187" s="79">
        <v>42997</v>
      </c>
      <c r="BM187" s="79">
        <v>36434</v>
      </c>
      <c r="BN187" s="58" t="s">
        <v>44</v>
      </c>
      <c r="BO187" s="58" t="s">
        <v>70</v>
      </c>
      <c r="BP187" s="58" t="s">
        <v>640</v>
      </c>
      <c r="BQ187">
        <v>2016</v>
      </c>
      <c r="BR187" s="59"/>
      <c r="BV187" s="18"/>
      <c r="BW187" s="18"/>
    </row>
    <row r="188" spans="1:75" x14ac:dyDescent="0.3">
      <c r="B188" s="20" t="s">
        <v>641</v>
      </c>
      <c r="C188" s="20" t="s">
        <v>1331</v>
      </c>
      <c r="D188" s="57" t="s">
        <v>1203</v>
      </c>
      <c r="E188" s="58" t="s">
        <v>1111</v>
      </c>
      <c r="F188" s="96"/>
      <c r="G188" s="96"/>
      <c r="H188" s="58" t="s">
        <v>65</v>
      </c>
      <c r="I188" s="58" t="s">
        <v>65</v>
      </c>
      <c r="J188" s="59">
        <v>772723</v>
      </c>
      <c r="K188" s="95" t="s">
        <v>1440</v>
      </c>
      <c r="L188" s="95"/>
      <c r="M188" s="58" t="s">
        <v>72</v>
      </c>
      <c r="N188" s="59">
        <v>11</v>
      </c>
      <c r="O188" s="58" t="s">
        <v>40</v>
      </c>
      <c r="P188" s="58" t="s">
        <v>642</v>
      </c>
      <c r="Q188" s="58" t="s">
        <v>92</v>
      </c>
      <c r="R188" s="58" t="s">
        <v>643</v>
      </c>
      <c r="S188" s="58" t="s">
        <v>42</v>
      </c>
      <c r="T188" s="73">
        <v>3150000</v>
      </c>
      <c r="U188" s="74">
        <f t="shared" si="115"/>
        <v>3196820.809248555</v>
      </c>
      <c r="V188" s="74">
        <v>714000</v>
      </c>
      <c r="W188" s="74">
        <v>3215934</v>
      </c>
      <c r="X188" s="74">
        <v>737950</v>
      </c>
      <c r="Y188" s="74">
        <v>1859.13</v>
      </c>
      <c r="Z188" s="74">
        <v>421.4</v>
      </c>
      <c r="AA188" s="75" t="s">
        <v>43</v>
      </c>
      <c r="AB188" s="74"/>
      <c r="AC188" s="74"/>
      <c r="AD188" s="75" t="s">
        <v>43</v>
      </c>
      <c r="AE188" s="74"/>
      <c r="AF188" s="74"/>
      <c r="AG188" s="74">
        <v>0</v>
      </c>
      <c r="AH188" s="75" t="s">
        <v>42</v>
      </c>
      <c r="AI188" s="74"/>
      <c r="AJ188" s="74">
        <f t="shared" si="116"/>
        <v>723959.89537925017</v>
      </c>
      <c r="AK188" s="74">
        <f t="shared" si="117"/>
        <v>3618208.0924855489</v>
      </c>
      <c r="AL188" s="74">
        <f t="shared" si="118"/>
        <v>756952.04882301646</v>
      </c>
      <c r="AM188" s="74">
        <f t="shared" si="119"/>
        <v>3799118.4971098267</v>
      </c>
      <c r="AN188" s="74">
        <f t="shared" si="119"/>
        <v>794799.65126416727</v>
      </c>
      <c r="AO188" s="74">
        <f t="shared" si="120"/>
        <v>3907664.7398843933</v>
      </c>
      <c r="AP188" s="74">
        <f>AN188+272057</f>
        <v>1066856.6512641674</v>
      </c>
      <c r="AQ188" s="74">
        <f t="shared" si="106"/>
        <v>4121139.017341041</v>
      </c>
      <c r="AR188" s="76">
        <v>113.9</v>
      </c>
      <c r="AS188" s="74">
        <v>794799</v>
      </c>
      <c r="AT188" s="76">
        <v>105</v>
      </c>
      <c r="AU188" s="74">
        <f t="shared" si="121"/>
        <v>4486578.0346820811</v>
      </c>
      <c r="AV188" s="76">
        <v>124</v>
      </c>
      <c r="AW188" s="74">
        <f t="shared" si="102"/>
        <v>923480.74285714282</v>
      </c>
      <c r="AX188" s="76">
        <v>122</v>
      </c>
      <c r="AY188" s="77">
        <f t="shared" si="103"/>
        <v>4529997</v>
      </c>
      <c r="AZ188" s="78">
        <v>125.2</v>
      </c>
      <c r="BA188" s="77">
        <f t="shared" si="104"/>
        <v>933322</v>
      </c>
      <c r="BB188" s="78">
        <v>123.3</v>
      </c>
      <c r="BC188" s="79">
        <v>36526</v>
      </c>
      <c r="BD188" s="59"/>
      <c r="BE188" s="80">
        <v>2333.58</v>
      </c>
      <c r="BF188" s="80">
        <v>2320.8200000000002</v>
      </c>
      <c r="BG188" s="80">
        <v>2294.66</v>
      </c>
      <c r="BH188" s="73"/>
      <c r="BI188" s="73"/>
      <c r="BJ188" s="73"/>
      <c r="BK188" s="73"/>
      <c r="BL188" s="79">
        <v>43045</v>
      </c>
      <c r="BM188" s="79">
        <v>36434</v>
      </c>
      <c r="BN188" s="58" t="s">
        <v>44</v>
      </c>
      <c r="BO188" s="58" t="s">
        <v>70</v>
      </c>
      <c r="BP188" s="58" t="s">
        <v>1034</v>
      </c>
      <c r="BQ188">
        <v>2016</v>
      </c>
      <c r="BR188" s="59"/>
      <c r="BV188" s="18"/>
      <c r="BW188" s="18"/>
    </row>
    <row r="189" spans="1:75" x14ac:dyDescent="0.3">
      <c r="B189" s="20" t="s">
        <v>641</v>
      </c>
      <c r="C189" s="20" t="s">
        <v>1331</v>
      </c>
      <c r="D189" s="57" t="s">
        <v>1203</v>
      </c>
      <c r="E189" s="58" t="s">
        <v>1111</v>
      </c>
      <c r="F189" s="96"/>
      <c r="G189" s="96"/>
      <c r="H189" s="58" t="s">
        <v>65</v>
      </c>
      <c r="I189" s="58" t="s">
        <v>65</v>
      </c>
      <c r="J189" s="59">
        <v>772723</v>
      </c>
      <c r="K189" s="95" t="s">
        <v>43</v>
      </c>
      <c r="L189" s="95"/>
      <c r="M189" s="58" t="s">
        <v>72</v>
      </c>
      <c r="N189" s="59">
        <v>99</v>
      </c>
      <c r="O189" s="58" t="s">
        <v>128</v>
      </c>
      <c r="P189" s="58" t="s">
        <v>644</v>
      </c>
      <c r="Q189" s="58" t="s">
        <v>134</v>
      </c>
      <c r="R189" s="58" t="s">
        <v>645</v>
      </c>
      <c r="S189" s="58" t="s">
        <v>42</v>
      </c>
      <c r="T189" s="73">
        <v>530000</v>
      </c>
      <c r="U189" s="74">
        <f t="shared" si="115"/>
        <v>537877.78695293143</v>
      </c>
      <c r="V189" s="74">
        <v>16000</v>
      </c>
      <c r="W189" s="74">
        <v>493241</v>
      </c>
      <c r="X189" s="74">
        <v>350182</v>
      </c>
      <c r="Y189" s="74">
        <v>312.81</v>
      </c>
      <c r="Z189" s="74">
        <v>9.44</v>
      </c>
      <c r="AA189" s="75" t="s">
        <v>43</v>
      </c>
      <c r="AB189" s="74"/>
      <c r="AC189" s="74"/>
      <c r="AD189" s="75" t="s">
        <v>43</v>
      </c>
      <c r="AE189" s="74"/>
      <c r="AF189" s="74"/>
      <c r="AG189" s="74">
        <v>0</v>
      </c>
      <c r="AH189" s="75" t="s">
        <v>42</v>
      </c>
      <c r="AI189" s="74"/>
      <c r="AJ189" s="74">
        <f t="shared" si="116"/>
        <v>16223.190932868352</v>
      </c>
      <c r="AK189" s="74">
        <f t="shared" si="117"/>
        <v>608777.86952931457</v>
      </c>
      <c r="AL189" s="74">
        <f t="shared" si="118"/>
        <v>16962.510897994769</v>
      </c>
      <c r="AM189" s="74">
        <f t="shared" si="119"/>
        <v>639216.76300578029</v>
      </c>
      <c r="AN189" s="74">
        <f t="shared" si="119"/>
        <v>17810.636442894509</v>
      </c>
      <c r="AO189" s="74">
        <f t="shared" si="120"/>
        <v>657480.09909165977</v>
      </c>
      <c r="AP189" s="74">
        <f>AN189</f>
        <v>17810.636442894509</v>
      </c>
      <c r="AQ189" s="74">
        <f t="shared" si="106"/>
        <v>693397.99339388928</v>
      </c>
      <c r="AR189" s="76">
        <v>113.9</v>
      </c>
      <c r="AS189" s="74">
        <f>AP189</f>
        <v>17810.636442894509</v>
      </c>
      <c r="AT189" s="76">
        <v>105</v>
      </c>
      <c r="AU189" s="74">
        <f t="shared" si="121"/>
        <v>754884.55821635004</v>
      </c>
      <c r="AV189" s="76">
        <v>124</v>
      </c>
      <c r="AW189" s="74">
        <f t="shared" si="102"/>
        <v>20694.263295553617</v>
      </c>
      <c r="AX189" s="76">
        <v>122</v>
      </c>
      <c r="AY189" s="77">
        <f t="shared" si="103"/>
        <v>762190</v>
      </c>
      <c r="AZ189" s="78">
        <v>125.2</v>
      </c>
      <c r="BA189" s="77">
        <f t="shared" si="104"/>
        <v>20915</v>
      </c>
      <c r="BB189" s="78">
        <v>123.3</v>
      </c>
      <c r="BC189" s="79">
        <v>36526</v>
      </c>
      <c r="BD189" s="59"/>
      <c r="BE189" s="80">
        <v>497.79</v>
      </c>
      <c r="BF189" s="80">
        <v>495.83</v>
      </c>
      <c r="BG189" s="80">
        <v>490.59</v>
      </c>
      <c r="BH189" s="73"/>
      <c r="BI189" s="73"/>
      <c r="BJ189" s="73"/>
      <c r="BK189" s="73"/>
      <c r="BL189" s="79">
        <v>43045</v>
      </c>
      <c r="BM189" s="79">
        <v>36434</v>
      </c>
      <c r="BN189" s="58" t="s">
        <v>44</v>
      </c>
      <c r="BO189" s="58" t="s">
        <v>70</v>
      </c>
      <c r="BP189" s="58" t="s">
        <v>646</v>
      </c>
      <c r="BQ189">
        <v>2016</v>
      </c>
      <c r="BR189" s="59"/>
      <c r="BV189" s="18"/>
      <c r="BW189" s="18"/>
    </row>
    <row r="190" spans="1:75" x14ac:dyDescent="0.3">
      <c r="A190" t="s">
        <v>1083</v>
      </c>
      <c r="B190" s="20" t="s">
        <v>1068</v>
      </c>
      <c r="C190" s="20" t="s">
        <v>1068</v>
      </c>
      <c r="D190" s="57" t="s">
        <v>1404</v>
      </c>
      <c r="E190" s="58" t="s">
        <v>1101</v>
      </c>
      <c r="F190" s="97" t="s">
        <v>1473</v>
      </c>
      <c r="G190" s="97" t="s">
        <v>1476</v>
      </c>
      <c r="H190" s="58"/>
      <c r="I190" s="58"/>
      <c r="J190" s="59"/>
      <c r="K190" s="95" t="s">
        <v>43</v>
      </c>
      <c r="L190" s="104" t="s">
        <v>1470</v>
      </c>
      <c r="M190" s="58"/>
      <c r="N190" s="59"/>
      <c r="O190" s="58" t="s">
        <v>40</v>
      </c>
      <c r="P190" s="58" t="s">
        <v>1069</v>
      </c>
      <c r="Q190" s="58"/>
      <c r="R190" s="58"/>
      <c r="S190" s="58"/>
      <c r="T190" s="73"/>
      <c r="U190" s="74"/>
      <c r="V190" s="74"/>
      <c r="W190" s="74"/>
      <c r="X190" s="74"/>
      <c r="Y190" s="74"/>
      <c r="Z190" s="74"/>
      <c r="AA190" s="75"/>
      <c r="AB190" s="74"/>
      <c r="AC190" s="74"/>
      <c r="AD190" s="75"/>
      <c r="AE190" s="74"/>
      <c r="AF190" s="74"/>
      <c r="AG190" s="74"/>
      <c r="AH190" s="75"/>
      <c r="AI190" s="74"/>
      <c r="AJ190" s="74"/>
      <c r="AK190" s="74"/>
      <c r="AL190" s="74"/>
      <c r="AM190" s="74"/>
      <c r="AN190" s="74"/>
      <c r="AO190" s="74"/>
      <c r="AP190" s="74"/>
      <c r="AQ190" s="74"/>
      <c r="AR190" s="76"/>
      <c r="AS190" s="74"/>
      <c r="AT190" s="76"/>
      <c r="AU190" s="74">
        <v>29500000</v>
      </c>
      <c r="AV190" s="76">
        <v>124</v>
      </c>
      <c r="AW190" s="74"/>
      <c r="AX190" s="76">
        <v>122</v>
      </c>
      <c r="AY190" s="77">
        <f t="shared" si="103"/>
        <v>29785484</v>
      </c>
      <c r="AZ190" s="78">
        <v>125.2</v>
      </c>
      <c r="BA190" s="77">
        <f t="shared" si="104"/>
        <v>0</v>
      </c>
      <c r="BB190" s="78">
        <v>123.3</v>
      </c>
      <c r="BC190" s="79"/>
      <c r="BD190" s="59"/>
      <c r="BE190" s="80"/>
      <c r="BF190" s="80"/>
      <c r="BG190" s="80"/>
      <c r="BH190" s="73"/>
      <c r="BI190" s="73"/>
      <c r="BJ190" s="73"/>
      <c r="BK190" s="73"/>
      <c r="BL190" s="79"/>
      <c r="BM190" s="79"/>
      <c r="BN190" s="58"/>
      <c r="BO190" s="58"/>
      <c r="BP190" s="58" t="s">
        <v>1072</v>
      </c>
      <c r="BR190" s="59"/>
      <c r="BV190" s="18"/>
      <c r="BW190" s="18"/>
    </row>
    <row r="191" spans="1:75" x14ac:dyDescent="0.3">
      <c r="B191" s="20" t="s">
        <v>647</v>
      </c>
      <c r="C191" s="20" t="s">
        <v>1332</v>
      </c>
      <c r="D191" s="57" t="s">
        <v>1205</v>
      </c>
      <c r="E191" s="58" t="s">
        <v>1382</v>
      </c>
      <c r="F191" s="96"/>
      <c r="G191" s="96"/>
      <c r="H191" s="58" t="s">
        <v>55</v>
      </c>
      <c r="I191" s="58" t="s">
        <v>55</v>
      </c>
      <c r="J191" s="59">
        <v>772723</v>
      </c>
      <c r="K191" s="95" t="s">
        <v>43</v>
      </c>
      <c r="L191" s="95"/>
      <c r="M191" s="58" t="s">
        <v>72</v>
      </c>
      <c r="N191" s="59">
        <v>99</v>
      </c>
      <c r="O191" s="58" t="s">
        <v>128</v>
      </c>
      <c r="P191" s="58" t="s">
        <v>648</v>
      </c>
      <c r="Q191" s="58" t="s">
        <v>92</v>
      </c>
      <c r="R191" s="58" t="s">
        <v>649</v>
      </c>
      <c r="S191" s="58" t="s">
        <v>42</v>
      </c>
      <c r="T191" s="73">
        <v>1700000</v>
      </c>
      <c r="U191" s="74">
        <f>122.9*T191/121.1</f>
        <v>1725268.3732452518</v>
      </c>
      <c r="V191" s="74">
        <v>390000</v>
      </c>
      <c r="W191" s="74">
        <v>1578372</v>
      </c>
      <c r="X191" s="74">
        <v>346444</v>
      </c>
      <c r="Y191" s="74">
        <v>1003.34</v>
      </c>
      <c r="Z191" s="74">
        <v>230.18</v>
      </c>
      <c r="AA191" s="75" t="s">
        <v>43</v>
      </c>
      <c r="AB191" s="74"/>
      <c r="AC191" s="74"/>
      <c r="AD191" s="75" t="s">
        <v>43</v>
      </c>
      <c r="AE191" s="74"/>
      <c r="AF191" s="74"/>
      <c r="AG191" s="74">
        <v>0</v>
      </c>
      <c r="AH191" s="75" t="s">
        <v>42</v>
      </c>
      <c r="AI191" s="74"/>
      <c r="AJ191" s="74">
        <f>116.3*V191/114.7</f>
        <v>395440.27898866608</v>
      </c>
      <c r="AK191" s="74">
        <f>139.1/122.9*U191</f>
        <v>1952683.7324525183</v>
      </c>
      <c r="AL191" s="74">
        <f>121.6/116.3*AJ191</f>
        <v>413461.20313862246</v>
      </c>
      <c r="AM191" s="74">
        <f t="shared" ref="AM191:AN194" si="122">AK191*1.05</f>
        <v>2050317.9190751442</v>
      </c>
      <c r="AN191" s="74">
        <f t="shared" si="122"/>
        <v>434134.26329555362</v>
      </c>
      <c r="AO191" s="74">
        <f>AM191/105*108</f>
        <v>2108898.4310487197</v>
      </c>
      <c r="AP191" s="74">
        <f>AN191</f>
        <v>434134.26329555362</v>
      </c>
      <c r="AQ191" s="74">
        <f>AO191/108*113.9</f>
        <v>2224106.7712634183</v>
      </c>
      <c r="AR191" s="76">
        <v>113.9</v>
      </c>
      <c r="AS191" s="74">
        <f t="shared" ref="AS191:AS194" si="123">AP191</f>
        <v>434134.26329555362</v>
      </c>
      <c r="AT191" s="76">
        <v>105</v>
      </c>
      <c r="AU191" s="74">
        <f t="shared" ref="AU191:AU199" si="124">AQ191/AR191*AV191</f>
        <v>2421327.8282411224</v>
      </c>
      <c r="AV191" s="76">
        <v>124</v>
      </c>
      <c r="AW191" s="74">
        <f t="shared" ref="AW191:AW199" si="125">AS191/AT191*AX191</f>
        <v>504422.66782911943</v>
      </c>
      <c r="AX191" s="76">
        <v>122</v>
      </c>
      <c r="AY191" s="77">
        <f t="shared" si="103"/>
        <v>2444761</v>
      </c>
      <c r="AZ191" s="78">
        <v>125.2</v>
      </c>
      <c r="BA191" s="77">
        <f t="shared" si="104"/>
        <v>509798</v>
      </c>
      <c r="BB191" s="78">
        <v>123.3</v>
      </c>
      <c r="BC191" s="79">
        <v>36526</v>
      </c>
      <c r="BD191" s="59"/>
      <c r="BE191" s="80">
        <v>1136.03</v>
      </c>
      <c r="BF191" s="80">
        <v>1129.76</v>
      </c>
      <c r="BG191" s="80">
        <v>1117</v>
      </c>
      <c r="BH191" s="73"/>
      <c r="BI191" s="73"/>
      <c r="BJ191" s="73"/>
      <c r="BK191" s="73"/>
      <c r="BL191" s="79">
        <v>42997</v>
      </c>
      <c r="BM191" s="79">
        <v>36434</v>
      </c>
      <c r="BN191" s="58" t="s">
        <v>44</v>
      </c>
      <c r="BO191" s="58" t="s">
        <v>70</v>
      </c>
      <c r="BP191" s="58" t="s">
        <v>184</v>
      </c>
      <c r="BQ191">
        <v>2016</v>
      </c>
      <c r="BR191" s="59"/>
      <c r="BV191" s="18"/>
      <c r="BW191" s="18"/>
    </row>
    <row r="192" spans="1:75" x14ac:dyDescent="0.3">
      <c r="B192" s="20" t="s">
        <v>650</v>
      </c>
      <c r="C192" s="20" t="s">
        <v>650</v>
      </c>
      <c r="D192" s="57" t="s">
        <v>1206</v>
      </c>
      <c r="E192" s="58" t="s">
        <v>1101</v>
      </c>
      <c r="F192" s="96"/>
      <c r="G192" s="96"/>
      <c r="H192" s="58" t="s">
        <v>166</v>
      </c>
      <c r="I192" s="58" t="s">
        <v>166</v>
      </c>
      <c r="J192" s="59">
        <v>773733</v>
      </c>
      <c r="K192" s="95" t="s">
        <v>43</v>
      </c>
      <c r="L192" s="95"/>
      <c r="M192" s="58" t="s">
        <v>651</v>
      </c>
      <c r="N192" s="59">
        <v>11</v>
      </c>
      <c r="O192" s="58" t="s">
        <v>40</v>
      </c>
      <c r="P192" s="58" t="s">
        <v>652</v>
      </c>
      <c r="Q192" s="58" t="s">
        <v>42</v>
      </c>
      <c r="R192" s="58" t="s">
        <v>653</v>
      </c>
      <c r="S192" s="58" t="s">
        <v>42</v>
      </c>
      <c r="T192" s="73">
        <v>560000</v>
      </c>
      <c r="U192" s="74">
        <f>122.9*T192/121.1</f>
        <v>568323.6994219654</v>
      </c>
      <c r="V192" s="74">
        <v>60000</v>
      </c>
      <c r="W192" s="74">
        <v>553723</v>
      </c>
      <c r="X192" s="74">
        <v>12128</v>
      </c>
      <c r="Y192" s="74">
        <v>330.51</v>
      </c>
      <c r="Z192" s="74">
        <v>35.409999999999997</v>
      </c>
      <c r="AA192" s="75" t="s">
        <v>43</v>
      </c>
      <c r="AB192" s="74"/>
      <c r="AC192" s="74"/>
      <c r="AD192" s="75" t="s">
        <v>43</v>
      </c>
      <c r="AE192" s="74"/>
      <c r="AF192" s="74"/>
      <c r="AG192" s="74">
        <v>0</v>
      </c>
      <c r="AH192" s="75" t="s">
        <v>42</v>
      </c>
      <c r="AI192" s="74"/>
      <c r="AJ192" s="74">
        <f>116.3*V192/114.7</f>
        <v>60836.965998256317</v>
      </c>
      <c r="AK192" s="74">
        <f>139.1/122.9*U192</f>
        <v>643236.99421965319</v>
      </c>
      <c r="AL192" s="74">
        <f>121.6/116.3*AJ192</f>
        <v>63609.415867480377</v>
      </c>
      <c r="AM192" s="74">
        <f t="shared" si="122"/>
        <v>675398.84393063583</v>
      </c>
      <c r="AN192" s="74">
        <f t="shared" si="122"/>
        <v>66789.886660854405</v>
      </c>
      <c r="AO192" s="74">
        <f>AM192/105*108</f>
        <v>694695.95375722542</v>
      </c>
      <c r="AP192" s="74">
        <f>AN192</f>
        <v>66789.886660854405</v>
      </c>
      <c r="AQ192" s="74">
        <f>AO192/108*113.9</f>
        <v>732646.936416185</v>
      </c>
      <c r="AR192" s="76">
        <v>113.9</v>
      </c>
      <c r="AS192" s="74">
        <f t="shared" si="123"/>
        <v>66789.886660854405</v>
      </c>
      <c r="AT192" s="76">
        <v>105</v>
      </c>
      <c r="AU192" s="74">
        <f t="shared" si="124"/>
        <v>797613.87283236999</v>
      </c>
      <c r="AV192" s="76">
        <v>124</v>
      </c>
      <c r="AW192" s="74">
        <f t="shared" si="125"/>
        <v>77603.487358326078</v>
      </c>
      <c r="AX192" s="76">
        <v>122</v>
      </c>
      <c r="AY192" s="77">
        <f t="shared" si="103"/>
        <v>805333</v>
      </c>
      <c r="AZ192" s="78">
        <v>125.2</v>
      </c>
      <c r="BA192" s="77">
        <f t="shared" si="104"/>
        <v>78431</v>
      </c>
      <c r="BB192" s="78">
        <v>123.3</v>
      </c>
      <c r="BC192" s="79">
        <v>42186</v>
      </c>
      <c r="BD192" s="59"/>
      <c r="BE192" s="80">
        <v>333.97</v>
      </c>
      <c r="BF192" s="80">
        <v>331.77</v>
      </c>
      <c r="BG192" s="80"/>
      <c r="BH192" s="73"/>
      <c r="BI192" s="73"/>
      <c r="BJ192" s="73"/>
      <c r="BK192" s="73"/>
      <c r="BL192" s="79">
        <v>43003</v>
      </c>
      <c r="BM192" s="79">
        <v>42398</v>
      </c>
      <c r="BN192" s="58" t="s">
        <v>44</v>
      </c>
      <c r="BO192" s="58" t="s">
        <v>44</v>
      </c>
      <c r="BP192" s="58" t="s">
        <v>654</v>
      </c>
      <c r="BQ192">
        <v>2016</v>
      </c>
      <c r="BR192" s="59"/>
      <c r="BV192" s="18"/>
      <c r="BW192" s="18"/>
    </row>
    <row r="193" spans="1:75" x14ac:dyDescent="0.3">
      <c r="B193" s="20" t="s">
        <v>650</v>
      </c>
      <c r="C193" s="20" t="s">
        <v>650</v>
      </c>
      <c r="D193" s="57" t="s">
        <v>1206</v>
      </c>
      <c r="E193" s="58" t="s">
        <v>1101</v>
      </c>
      <c r="F193" s="96"/>
      <c r="G193" s="96"/>
      <c r="H193" s="58" t="s">
        <v>166</v>
      </c>
      <c r="I193" s="58" t="s">
        <v>166</v>
      </c>
      <c r="J193" s="59">
        <v>772724</v>
      </c>
      <c r="K193" s="95" t="s">
        <v>43</v>
      </c>
      <c r="L193" s="95"/>
      <c r="M193" s="58" t="s">
        <v>66</v>
      </c>
      <c r="N193" s="59">
        <v>12</v>
      </c>
      <c r="O193" s="58" t="s">
        <v>49</v>
      </c>
      <c r="P193" s="58" t="s">
        <v>655</v>
      </c>
      <c r="Q193" s="58" t="s">
        <v>42</v>
      </c>
      <c r="R193" s="58" t="s">
        <v>656</v>
      </c>
      <c r="S193" s="58" t="s">
        <v>42</v>
      </c>
      <c r="T193" s="73"/>
      <c r="U193" s="74">
        <f>122.9*T193/121.1</f>
        <v>0</v>
      </c>
      <c r="V193" s="74">
        <v>35000</v>
      </c>
      <c r="W193" s="74"/>
      <c r="X193" s="74">
        <v>75000</v>
      </c>
      <c r="Y193" s="74"/>
      <c r="Z193" s="74">
        <v>20.66</v>
      </c>
      <c r="AA193" s="75" t="s">
        <v>43</v>
      </c>
      <c r="AB193" s="74"/>
      <c r="AC193" s="74"/>
      <c r="AD193" s="75" t="s">
        <v>43</v>
      </c>
      <c r="AE193" s="74"/>
      <c r="AF193" s="74"/>
      <c r="AG193" s="74">
        <v>0</v>
      </c>
      <c r="AH193" s="75" t="s">
        <v>42</v>
      </c>
      <c r="AI193" s="74"/>
      <c r="AJ193" s="74">
        <f>116.3*V193/114.7</f>
        <v>35488.230165649518</v>
      </c>
      <c r="AK193" s="74">
        <f>139.1/122.9*U193</f>
        <v>0</v>
      </c>
      <c r="AL193" s="74">
        <f>121.6/116.3*AJ193</f>
        <v>37105.492589363552</v>
      </c>
      <c r="AM193" s="74">
        <f t="shared" si="122"/>
        <v>0</v>
      </c>
      <c r="AN193" s="74">
        <f t="shared" si="122"/>
        <v>38960.76721883173</v>
      </c>
      <c r="AO193" s="74">
        <f>AM193/105*108</f>
        <v>0</v>
      </c>
      <c r="AP193" s="74">
        <f>AN193</f>
        <v>38960.76721883173</v>
      </c>
      <c r="AQ193" s="74">
        <f>AO193/108*113.9</f>
        <v>0</v>
      </c>
      <c r="AR193" s="76">
        <v>113.9</v>
      </c>
      <c r="AS193" s="74">
        <f t="shared" si="123"/>
        <v>38960.76721883173</v>
      </c>
      <c r="AT193" s="76">
        <v>105</v>
      </c>
      <c r="AU193" s="74">
        <f t="shared" si="124"/>
        <v>0</v>
      </c>
      <c r="AV193" s="76">
        <v>124</v>
      </c>
      <c r="AW193" s="74">
        <f t="shared" si="125"/>
        <v>45268.700959023532</v>
      </c>
      <c r="AX193" s="76">
        <v>122</v>
      </c>
      <c r="AY193" s="77">
        <f t="shared" si="103"/>
        <v>0</v>
      </c>
      <c r="AZ193" s="78">
        <v>125.2</v>
      </c>
      <c r="BA193" s="77">
        <f t="shared" si="104"/>
        <v>45752</v>
      </c>
      <c r="BB193" s="78">
        <v>123.3</v>
      </c>
      <c r="BC193" s="79">
        <v>42005</v>
      </c>
      <c r="BD193" s="59"/>
      <c r="BE193" s="80">
        <v>44.27</v>
      </c>
      <c r="BF193" s="80">
        <v>44.27</v>
      </c>
      <c r="BG193" s="80"/>
      <c r="BH193" s="73"/>
      <c r="BI193" s="73"/>
      <c r="BJ193" s="73"/>
      <c r="BK193" s="73"/>
      <c r="BL193" s="79">
        <v>43003</v>
      </c>
      <c r="BM193" s="79">
        <v>42408</v>
      </c>
      <c r="BN193" s="58" t="s">
        <v>44</v>
      </c>
      <c r="BO193" s="58" t="s">
        <v>44</v>
      </c>
      <c r="BP193" s="58" t="s">
        <v>221</v>
      </c>
      <c r="BQ193">
        <v>2016</v>
      </c>
      <c r="BR193" s="59"/>
      <c r="BV193" s="18"/>
      <c r="BW193" s="18"/>
    </row>
    <row r="194" spans="1:75" x14ac:dyDescent="0.3">
      <c r="B194" s="20" t="s">
        <v>657</v>
      </c>
      <c r="C194" s="20" t="s">
        <v>1333</v>
      </c>
      <c r="D194" s="57" t="s">
        <v>1402</v>
      </c>
      <c r="E194" s="58" t="s">
        <v>1101</v>
      </c>
      <c r="F194" s="96"/>
      <c r="G194" s="96"/>
      <c r="H194" s="58" t="s">
        <v>170</v>
      </c>
      <c r="I194" s="58" t="s">
        <v>170</v>
      </c>
      <c r="J194" s="59">
        <v>777772</v>
      </c>
      <c r="K194" s="95" t="s">
        <v>43</v>
      </c>
      <c r="L194" s="95"/>
      <c r="M194" s="58" t="s">
        <v>39</v>
      </c>
      <c r="N194" s="59">
        <v>99</v>
      </c>
      <c r="O194" s="58" t="s">
        <v>128</v>
      </c>
      <c r="P194" s="58" t="s">
        <v>658</v>
      </c>
      <c r="Q194" s="58" t="s">
        <v>41</v>
      </c>
      <c r="R194" s="58" t="s">
        <v>659</v>
      </c>
      <c r="S194" s="58" t="s">
        <v>42</v>
      </c>
      <c r="T194" s="73">
        <v>2040000</v>
      </c>
      <c r="U194" s="74">
        <f>122.9*T194/121.1</f>
        <v>2070322.0478943023</v>
      </c>
      <c r="V194" s="74"/>
      <c r="W194" s="74">
        <v>1894047</v>
      </c>
      <c r="X194" s="74"/>
      <c r="Y194" s="74">
        <v>1204.01</v>
      </c>
      <c r="Z194" s="74"/>
      <c r="AA194" s="75" t="s">
        <v>43</v>
      </c>
      <c r="AB194" s="74"/>
      <c r="AC194" s="74"/>
      <c r="AD194" s="75" t="s">
        <v>43</v>
      </c>
      <c r="AE194" s="74"/>
      <c r="AF194" s="74"/>
      <c r="AG194" s="74">
        <v>0</v>
      </c>
      <c r="AH194" s="75" t="s">
        <v>42</v>
      </c>
      <c r="AI194" s="74"/>
      <c r="AJ194" s="74">
        <f>116.3*V194/114.7</f>
        <v>0</v>
      </c>
      <c r="AK194" s="74">
        <f>139.1/122.9*U194</f>
        <v>2343220.478943022</v>
      </c>
      <c r="AL194" s="74">
        <f>121.6/116.3*AJ194</f>
        <v>0</v>
      </c>
      <c r="AM194" s="74">
        <f t="shared" si="122"/>
        <v>2460381.5028901733</v>
      </c>
      <c r="AN194" s="74">
        <f t="shared" si="122"/>
        <v>0</v>
      </c>
      <c r="AO194" s="74">
        <f>AM194/105*108</f>
        <v>2530678.117258464</v>
      </c>
      <c r="AP194" s="74">
        <f>AN194</f>
        <v>0</v>
      </c>
      <c r="AQ194" s="74">
        <f>AO194/108*113.9</f>
        <v>2668928.1255161026</v>
      </c>
      <c r="AR194" s="76">
        <v>113.9</v>
      </c>
      <c r="AS194" s="74">
        <f t="shared" si="123"/>
        <v>0</v>
      </c>
      <c r="AT194" s="76">
        <v>105</v>
      </c>
      <c r="AU194" s="74">
        <f t="shared" si="124"/>
        <v>2905593.3938893476</v>
      </c>
      <c r="AV194" s="76">
        <v>124</v>
      </c>
      <c r="AW194" s="74">
        <f t="shared" si="125"/>
        <v>0</v>
      </c>
      <c r="AX194" s="76">
        <v>122</v>
      </c>
      <c r="AY194" s="77">
        <f t="shared" si="103"/>
        <v>2933713</v>
      </c>
      <c r="AZ194" s="78">
        <v>125.2</v>
      </c>
      <c r="BA194" s="77">
        <f t="shared" si="104"/>
        <v>0</v>
      </c>
      <c r="BB194" s="78">
        <v>123.3</v>
      </c>
      <c r="BC194" s="79">
        <v>36526</v>
      </c>
      <c r="BD194" s="59"/>
      <c r="BE194" s="80">
        <v>1117.8699999999999</v>
      </c>
      <c r="BF194" s="80">
        <v>1110.3499999999999</v>
      </c>
      <c r="BG194" s="80">
        <v>1097.2</v>
      </c>
      <c r="BH194" s="73"/>
      <c r="BI194" s="73"/>
      <c r="BJ194" s="73"/>
      <c r="BK194" s="73"/>
      <c r="BL194" s="79">
        <v>42997</v>
      </c>
      <c r="BM194" s="79">
        <v>36434</v>
      </c>
      <c r="BN194" s="58" t="s">
        <v>44</v>
      </c>
      <c r="BO194" s="58" t="s">
        <v>70</v>
      </c>
      <c r="BP194" s="58" t="s">
        <v>184</v>
      </c>
      <c r="BQ194">
        <v>2016</v>
      </c>
      <c r="BR194" s="59"/>
      <c r="BV194" s="18"/>
      <c r="BW194" s="18"/>
    </row>
    <row r="195" spans="1:75" x14ac:dyDescent="0.3">
      <c r="B195" s="20" t="s">
        <v>344</v>
      </c>
      <c r="C195" s="20" t="s">
        <v>344</v>
      </c>
      <c r="D195" s="57" t="s">
        <v>1168</v>
      </c>
      <c r="E195" s="58" t="s">
        <v>986</v>
      </c>
      <c r="F195" s="97" t="s">
        <v>1473</v>
      </c>
      <c r="G195" s="97" t="s">
        <v>1473</v>
      </c>
      <c r="H195" s="58" t="s">
        <v>110</v>
      </c>
      <c r="I195" s="58" t="s">
        <v>110</v>
      </c>
      <c r="J195" s="59">
        <v>772724</v>
      </c>
      <c r="K195" s="95" t="s">
        <v>1440</v>
      </c>
      <c r="L195" s="104" t="s">
        <v>1471</v>
      </c>
      <c r="M195" s="58" t="s">
        <v>66</v>
      </c>
      <c r="N195" s="59">
        <v>11</v>
      </c>
      <c r="O195" s="58" t="s">
        <v>40</v>
      </c>
      <c r="P195" s="58" t="s">
        <v>345</v>
      </c>
      <c r="Q195" s="58" t="s">
        <v>99</v>
      </c>
      <c r="R195" s="58" t="s">
        <v>346</v>
      </c>
      <c r="S195" s="58" t="s">
        <v>42</v>
      </c>
      <c r="T195" s="73">
        <v>24860000</v>
      </c>
      <c r="U195" s="74">
        <f t="shared" ref="U195:U199" si="126">122.9*T195/121.1</f>
        <v>25229512.799339391</v>
      </c>
      <c r="V195" s="74">
        <v>1330000</v>
      </c>
      <c r="W195" s="74">
        <v>23576937</v>
      </c>
      <c r="X195" s="74">
        <v>1230418</v>
      </c>
      <c r="Y195" s="74">
        <v>14672.37</v>
      </c>
      <c r="Z195" s="74">
        <v>784.97</v>
      </c>
      <c r="AA195" s="75" t="s">
        <v>43</v>
      </c>
      <c r="AB195" s="74"/>
      <c r="AC195" s="74"/>
      <c r="AD195" s="75" t="s">
        <v>43</v>
      </c>
      <c r="AE195" s="74"/>
      <c r="AF195" s="74"/>
      <c r="AG195" s="74">
        <v>0</v>
      </c>
      <c r="AH195" s="75" t="s">
        <v>42</v>
      </c>
      <c r="AI195" s="74"/>
      <c r="AJ195" s="74">
        <f t="shared" ref="AJ195:AJ199" si="127">116.3*V195/114.7</f>
        <v>1348552.7462946817</v>
      </c>
      <c r="AK195" s="74">
        <f t="shared" ref="AK195:AK199" si="128">139.1/122.9*U195</f>
        <v>28555127.993393891</v>
      </c>
      <c r="AL195" s="74">
        <f t="shared" ref="AL195:AL199" si="129">121.6/116.3*AJ195</f>
        <v>1410008.718395815</v>
      </c>
      <c r="AM195" s="74">
        <f t="shared" ref="AM195:AN199" si="130">AK195*1.05</f>
        <v>29982884.393063586</v>
      </c>
      <c r="AN195" s="74">
        <f t="shared" si="130"/>
        <v>1480509.1543156058</v>
      </c>
      <c r="AO195" s="74">
        <f>AM195/105*108+13460</f>
        <v>30852998.232865404</v>
      </c>
      <c r="AP195" s="74">
        <f t="shared" ref="AP195:AP199" si="131">AN195</f>
        <v>1480509.1543156058</v>
      </c>
      <c r="AQ195" s="74">
        <f t="shared" ref="AQ195:AQ199" si="132">AO195/108*113.9</f>
        <v>32538486.099290457</v>
      </c>
      <c r="AR195" s="76">
        <v>113.9</v>
      </c>
      <c r="AS195" s="74">
        <v>5704508</v>
      </c>
      <c r="AT195" s="76">
        <v>105</v>
      </c>
      <c r="AU195" s="74">
        <f t="shared" si="124"/>
        <v>35423812.785882495</v>
      </c>
      <c r="AV195" s="76">
        <v>124</v>
      </c>
      <c r="AW195" s="74">
        <f t="shared" si="125"/>
        <v>6628095.009523809</v>
      </c>
      <c r="AX195" s="76">
        <v>122</v>
      </c>
      <c r="AY195" s="77">
        <f t="shared" ref="AY195:AY224" si="133">CEILING(((AU195/AV195)*AZ195),1)</f>
        <v>35766624</v>
      </c>
      <c r="AZ195" s="78">
        <v>125.2</v>
      </c>
      <c r="BA195" s="77">
        <f t="shared" ref="BA195:BA224" si="134">CEILING(((AW195/AX195)*BB195),1)</f>
        <v>6698723</v>
      </c>
      <c r="BB195" s="78">
        <v>123.3</v>
      </c>
      <c r="BC195" s="79">
        <v>38917</v>
      </c>
      <c r="BD195" s="59"/>
      <c r="BE195" s="80">
        <v>14641.3</v>
      </c>
      <c r="BF195" s="80">
        <v>14547.75</v>
      </c>
      <c r="BG195" s="80">
        <v>14377.66</v>
      </c>
      <c r="BH195" s="73"/>
      <c r="BI195" s="73"/>
      <c r="BJ195" s="73"/>
      <c r="BK195" s="73"/>
      <c r="BL195" s="79">
        <v>42969</v>
      </c>
      <c r="BM195" s="79">
        <v>39048</v>
      </c>
      <c r="BN195" s="58" t="s">
        <v>44</v>
      </c>
      <c r="BO195" s="58" t="s">
        <v>44</v>
      </c>
      <c r="BP195" s="58" t="s">
        <v>184</v>
      </c>
      <c r="BQ195">
        <v>2016</v>
      </c>
      <c r="BR195" s="59" t="s">
        <v>1005</v>
      </c>
      <c r="BV195" s="18"/>
      <c r="BW195" s="18"/>
    </row>
    <row r="196" spans="1:75" x14ac:dyDescent="0.3">
      <c r="B196" s="20" t="s">
        <v>664</v>
      </c>
      <c r="C196" s="20" t="s">
        <v>1335</v>
      </c>
      <c r="D196" s="57" t="s">
        <v>1208</v>
      </c>
      <c r="E196" s="58" t="s">
        <v>986</v>
      </c>
      <c r="F196" s="96"/>
      <c r="G196" s="96"/>
      <c r="H196" s="58" t="s">
        <v>595</v>
      </c>
      <c r="I196" s="58" t="s">
        <v>595</v>
      </c>
      <c r="J196" s="59">
        <v>772724</v>
      </c>
      <c r="K196" s="95" t="s">
        <v>43</v>
      </c>
      <c r="L196" s="95"/>
      <c r="M196" s="58" t="s">
        <v>66</v>
      </c>
      <c r="N196" s="59">
        <v>11</v>
      </c>
      <c r="O196" s="58" t="s">
        <v>40</v>
      </c>
      <c r="P196" s="58" t="s">
        <v>123</v>
      </c>
      <c r="Q196" s="58" t="s">
        <v>124</v>
      </c>
      <c r="R196" s="58" t="s">
        <v>665</v>
      </c>
      <c r="S196" s="58" t="s">
        <v>42</v>
      </c>
      <c r="T196" s="73">
        <v>525000</v>
      </c>
      <c r="U196" s="74">
        <f t="shared" si="126"/>
        <v>532803.4682080925</v>
      </c>
      <c r="V196" s="74">
        <v>100000</v>
      </c>
      <c r="W196" s="74">
        <v>493241</v>
      </c>
      <c r="X196" s="74">
        <v>77264</v>
      </c>
      <c r="Y196" s="74">
        <v>309.86</v>
      </c>
      <c r="Z196" s="74">
        <v>59.02</v>
      </c>
      <c r="AA196" s="75" t="s">
        <v>43</v>
      </c>
      <c r="AB196" s="74"/>
      <c r="AC196" s="74"/>
      <c r="AD196" s="75" t="s">
        <v>43</v>
      </c>
      <c r="AE196" s="74"/>
      <c r="AF196" s="74"/>
      <c r="AG196" s="74">
        <v>0</v>
      </c>
      <c r="AH196" s="75" t="s">
        <v>42</v>
      </c>
      <c r="AI196" s="74"/>
      <c r="AJ196" s="74">
        <f t="shared" si="127"/>
        <v>101394.9433304272</v>
      </c>
      <c r="AK196" s="74">
        <f t="shared" si="128"/>
        <v>603034.68208092486</v>
      </c>
      <c r="AL196" s="74">
        <f t="shared" si="129"/>
        <v>106015.69311246728</v>
      </c>
      <c r="AM196" s="74">
        <f t="shared" si="130"/>
        <v>633186.41618497111</v>
      </c>
      <c r="AN196" s="74">
        <f t="shared" si="130"/>
        <v>111316.47776809066</v>
      </c>
      <c r="AO196" s="74">
        <f>AM196/105*108</f>
        <v>651277.45664739888</v>
      </c>
      <c r="AP196" s="74">
        <f t="shared" si="131"/>
        <v>111316.47776809066</v>
      </c>
      <c r="AQ196" s="74">
        <f t="shared" si="132"/>
        <v>686856.50289017346</v>
      </c>
      <c r="AR196" s="76">
        <v>113.9</v>
      </c>
      <c r="AS196" s="74">
        <f>AP196</f>
        <v>111316.47776809066</v>
      </c>
      <c r="AT196" s="76">
        <v>105</v>
      </c>
      <c r="AU196" s="74">
        <f t="shared" si="124"/>
        <v>747763.00578034692</v>
      </c>
      <c r="AV196" s="76">
        <v>124</v>
      </c>
      <c r="AW196" s="74">
        <f t="shared" si="125"/>
        <v>129339.14559721008</v>
      </c>
      <c r="AX196" s="76">
        <v>122</v>
      </c>
      <c r="AY196" s="77">
        <f t="shared" si="133"/>
        <v>755000</v>
      </c>
      <c r="AZ196" s="78">
        <v>125.2</v>
      </c>
      <c r="BA196" s="77">
        <f t="shared" si="134"/>
        <v>130718</v>
      </c>
      <c r="BB196" s="78">
        <v>123.3</v>
      </c>
      <c r="BC196" s="79">
        <v>36482</v>
      </c>
      <c r="BD196" s="59"/>
      <c r="BE196" s="80">
        <v>336.71</v>
      </c>
      <c r="BF196" s="80">
        <v>334.75</v>
      </c>
      <c r="BG196" s="80">
        <v>330.93</v>
      </c>
      <c r="BH196" s="73"/>
      <c r="BI196" s="73"/>
      <c r="BJ196" s="73"/>
      <c r="BK196" s="73"/>
      <c r="BL196" s="79">
        <v>42997</v>
      </c>
      <c r="BM196" s="79">
        <v>36434</v>
      </c>
      <c r="BN196" s="58" t="s">
        <v>44</v>
      </c>
      <c r="BO196" s="58" t="s">
        <v>70</v>
      </c>
      <c r="BP196" s="58" t="s">
        <v>184</v>
      </c>
      <c r="BQ196">
        <v>2016</v>
      </c>
      <c r="BR196" s="59"/>
      <c r="BV196" s="18"/>
      <c r="BW196" s="18"/>
    </row>
    <row r="197" spans="1:75" x14ac:dyDescent="0.3">
      <c r="B197" s="20" t="s">
        <v>666</v>
      </c>
      <c r="C197" s="20" t="s">
        <v>1336</v>
      </c>
      <c r="D197" s="57" t="s">
        <v>1208</v>
      </c>
      <c r="E197" s="58" t="s">
        <v>986</v>
      </c>
      <c r="F197" s="96"/>
      <c r="G197" s="96"/>
      <c r="H197" s="58" t="s">
        <v>595</v>
      </c>
      <c r="I197" s="58" t="s">
        <v>595</v>
      </c>
      <c r="J197" s="59">
        <v>772723</v>
      </c>
      <c r="K197" s="95" t="s">
        <v>43</v>
      </c>
      <c r="L197" s="95"/>
      <c r="M197" s="58" t="s">
        <v>72</v>
      </c>
      <c r="N197" s="59">
        <v>11</v>
      </c>
      <c r="O197" s="58" t="s">
        <v>40</v>
      </c>
      <c r="P197" s="58" t="s">
        <v>1063</v>
      </c>
      <c r="Q197" s="58" t="s">
        <v>92</v>
      </c>
      <c r="R197" s="58" t="s">
        <v>667</v>
      </c>
      <c r="S197" s="58" t="s">
        <v>42</v>
      </c>
      <c r="T197" s="73">
        <v>2300000</v>
      </c>
      <c r="U197" s="74">
        <f t="shared" si="126"/>
        <v>2334186.6226259293</v>
      </c>
      <c r="V197" s="74">
        <v>450000</v>
      </c>
      <c r="W197" s="74">
        <v>2170261</v>
      </c>
      <c r="X197" s="74">
        <v>316535</v>
      </c>
      <c r="Y197" s="74">
        <v>1357.46</v>
      </c>
      <c r="Z197" s="74">
        <v>265.58999999999997</v>
      </c>
      <c r="AA197" s="75" t="s">
        <v>43</v>
      </c>
      <c r="AB197" s="74"/>
      <c r="AC197" s="74"/>
      <c r="AD197" s="75" t="s">
        <v>43</v>
      </c>
      <c r="AE197" s="74"/>
      <c r="AF197" s="74"/>
      <c r="AG197" s="74">
        <v>0</v>
      </c>
      <c r="AH197" s="75" t="s">
        <v>42</v>
      </c>
      <c r="AI197" s="74"/>
      <c r="AJ197" s="74">
        <f t="shared" si="127"/>
        <v>456277.24498692242</v>
      </c>
      <c r="AK197" s="74">
        <f t="shared" si="128"/>
        <v>2641866.2262592898</v>
      </c>
      <c r="AL197" s="74">
        <f t="shared" si="129"/>
        <v>477070.61900610285</v>
      </c>
      <c r="AM197" s="74">
        <f t="shared" si="130"/>
        <v>2773959.5375722544</v>
      </c>
      <c r="AN197" s="74">
        <f t="shared" si="130"/>
        <v>500924.14995640801</v>
      </c>
      <c r="AO197" s="74">
        <f>AM197/105*108</f>
        <v>2853215.5243600328</v>
      </c>
      <c r="AP197" s="74">
        <f t="shared" si="131"/>
        <v>500924.14995640801</v>
      </c>
      <c r="AQ197" s="74">
        <f t="shared" si="132"/>
        <v>3009085.6317093312</v>
      </c>
      <c r="AR197" s="76">
        <v>113.9</v>
      </c>
      <c r="AS197" s="74">
        <f>AP197</f>
        <v>500924.14995640801</v>
      </c>
      <c r="AT197" s="76">
        <v>105</v>
      </c>
      <c r="AU197" s="74">
        <f t="shared" si="124"/>
        <v>3275914.1205615192</v>
      </c>
      <c r="AV197" s="76">
        <v>124</v>
      </c>
      <c r="AW197" s="74">
        <f t="shared" si="125"/>
        <v>582026.15518744546</v>
      </c>
      <c r="AX197" s="76">
        <v>122</v>
      </c>
      <c r="AY197" s="77">
        <f t="shared" si="133"/>
        <v>3307617</v>
      </c>
      <c r="AZ197" s="78">
        <v>125.2</v>
      </c>
      <c r="BA197" s="77">
        <f t="shared" si="134"/>
        <v>588229</v>
      </c>
      <c r="BB197" s="78">
        <v>123.3</v>
      </c>
      <c r="BC197" s="79">
        <v>36526</v>
      </c>
      <c r="BD197" s="59"/>
      <c r="BE197" s="80">
        <v>1467.71</v>
      </c>
      <c r="BF197" s="80">
        <v>1459.1</v>
      </c>
      <c r="BG197" s="80">
        <v>1442.39</v>
      </c>
      <c r="BH197" s="73"/>
      <c r="BI197" s="73"/>
      <c r="BJ197" s="73"/>
      <c r="BK197" s="73"/>
      <c r="BL197" s="79">
        <v>42997</v>
      </c>
      <c r="BM197" s="79">
        <v>36434</v>
      </c>
      <c r="BN197" s="58" t="s">
        <v>44</v>
      </c>
      <c r="BO197" s="58" t="s">
        <v>70</v>
      </c>
      <c r="BP197" s="58" t="s">
        <v>184</v>
      </c>
      <c r="BQ197">
        <v>2016</v>
      </c>
      <c r="BR197" s="59"/>
      <c r="BV197" s="18"/>
      <c r="BW197" s="18"/>
    </row>
    <row r="198" spans="1:75" x14ac:dyDescent="0.3">
      <c r="B198" s="20" t="s">
        <v>668</v>
      </c>
      <c r="C198" s="20" t="s">
        <v>668</v>
      </c>
      <c r="D198" s="57" t="s">
        <v>1209</v>
      </c>
      <c r="E198" s="58" t="s">
        <v>669</v>
      </c>
      <c r="F198" s="96"/>
      <c r="G198" s="96"/>
      <c r="H198" s="58" t="s">
        <v>669</v>
      </c>
      <c r="I198" s="58" t="s">
        <v>669</v>
      </c>
      <c r="J198" s="59">
        <v>777772</v>
      </c>
      <c r="K198" s="95" t="s">
        <v>43</v>
      </c>
      <c r="L198" s="95"/>
      <c r="M198" s="58" t="s">
        <v>39</v>
      </c>
      <c r="N198" s="59">
        <v>12</v>
      </c>
      <c r="O198" s="58" t="s">
        <v>49</v>
      </c>
      <c r="P198" s="58" t="s">
        <v>670</v>
      </c>
      <c r="Q198" s="58" t="s">
        <v>42</v>
      </c>
      <c r="R198" s="58" t="s">
        <v>671</v>
      </c>
      <c r="S198" s="58" t="s">
        <v>42</v>
      </c>
      <c r="T198" s="73">
        <v>480000</v>
      </c>
      <c r="U198" s="74">
        <f t="shared" si="126"/>
        <v>487134.59950454172</v>
      </c>
      <c r="V198" s="74"/>
      <c r="W198" s="74">
        <v>82139</v>
      </c>
      <c r="X198" s="74"/>
      <c r="Y198" s="74">
        <v>283.3</v>
      </c>
      <c r="Z198" s="74"/>
      <c r="AA198" s="75" t="s">
        <v>43</v>
      </c>
      <c r="AB198" s="74"/>
      <c r="AC198" s="74"/>
      <c r="AD198" s="75" t="s">
        <v>43</v>
      </c>
      <c r="AE198" s="74"/>
      <c r="AF198" s="74"/>
      <c r="AG198" s="74">
        <v>0</v>
      </c>
      <c r="AH198" s="75" t="s">
        <v>42</v>
      </c>
      <c r="AI198" s="74"/>
      <c r="AJ198" s="74">
        <f t="shared" si="127"/>
        <v>0</v>
      </c>
      <c r="AK198" s="74">
        <f t="shared" si="128"/>
        <v>551345.99504541699</v>
      </c>
      <c r="AL198" s="74">
        <f t="shared" si="129"/>
        <v>0</v>
      </c>
      <c r="AM198" s="74">
        <f t="shared" si="130"/>
        <v>578913.29479768791</v>
      </c>
      <c r="AN198" s="74">
        <f t="shared" si="130"/>
        <v>0</v>
      </c>
      <c r="AO198" s="74">
        <f>AM198/105*108</f>
        <v>595453.67464905034</v>
      </c>
      <c r="AP198" s="74">
        <f t="shared" si="131"/>
        <v>0</v>
      </c>
      <c r="AQ198" s="74">
        <f t="shared" si="132"/>
        <v>627983.08835673006</v>
      </c>
      <c r="AR198" s="76">
        <v>113.9</v>
      </c>
      <c r="AS198" s="74">
        <f>AP198</f>
        <v>0</v>
      </c>
      <c r="AT198" s="76">
        <v>105</v>
      </c>
      <c r="AU198" s="74">
        <f t="shared" si="124"/>
        <v>683669.03385631705</v>
      </c>
      <c r="AV198" s="76">
        <v>124</v>
      </c>
      <c r="AW198" s="74">
        <f t="shared" si="125"/>
        <v>0</v>
      </c>
      <c r="AX198" s="76">
        <v>122</v>
      </c>
      <c r="AY198" s="77">
        <f t="shared" si="133"/>
        <v>690286</v>
      </c>
      <c r="AZ198" s="78">
        <v>125.2</v>
      </c>
      <c r="BA198" s="77">
        <f t="shared" si="134"/>
        <v>0</v>
      </c>
      <c r="BB198" s="78">
        <v>123.3</v>
      </c>
      <c r="BC198" s="79">
        <v>41275</v>
      </c>
      <c r="BD198" s="59"/>
      <c r="BE198" s="80">
        <v>48.48</v>
      </c>
      <c r="BF198" s="80">
        <v>48.15</v>
      </c>
      <c r="BG198" s="80">
        <v>47.58</v>
      </c>
      <c r="BH198" s="73"/>
      <c r="BI198" s="73"/>
      <c r="BJ198" s="73"/>
      <c r="BK198" s="73"/>
      <c r="BL198" s="79">
        <v>42997</v>
      </c>
      <c r="BM198" s="79">
        <v>41652</v>
      </c>
      <c r="BN198" s="58" t="s">
        <v>44</v>
      </c>
      <c r="BO198" s="58" t="s">
        <v>44</v>
      </c>
      <c r="BP198" s="58" t="s">
        <v>221</v>
      </c>
      <c r="BQ198">
        <v>2016</v>
      </c>
      <c r="BR198" s="59"/>
      <c r="BV198" s="18"/>
      <c r="BW198" s="18"/>
    </row>
    <row r="199" spans="1:75" x14ac:dyDescent="0.3">
      <c r="B199" s="20" t="s">
        <v>672</v>
      </c>
      <c r="C199" s="20" t="s">
        <v>1337</v>
      </c>
      <c r="D199" s="57" t="s">
        <v>1210</v>
      </c>
      <c r="E199" s="58" t="s">
        <v>1101</v>
      </c>
      <c r="F199" s="96"/>
      <c r="G199" s="96"/>
      <c r="H199" s="58" t="s">
        <v>313</v>
      </c>
      <c r="I199" s="58" t="s">
        <v>313</v>
      </c>
      <c r="J199" s="59">
        <v>777772</v>
      </c>
      <c r="K199" s="95" t="s">
        <v>43</v>
      </c>
      <c r="L199" s="95"/>
      <c r="M199" s="58" t="s">
        <v>39</v>
      </c>
      <c r="N199" s="59">
        <v>12</v>
      </c>
      <c r="O199" s="58" t="s">
        <v>49</v>
      </c>
      <c r="P199" s="58" t="s">
        <v>673</v>
      </c>
      <c r="Q199" s="58" t="s">
        <v>41</v>
      </c>
      <c r="R199" s="58" t="s">
        <v>674</v>
      </c>
      <c r="S199" s="58" t="s">
        <v>42</v>
      </c>
      <c r="T199" s="73">
        <v>790000</v>
      </c>
      <c r="U199" s="74">
        <f t="shared" si="126"/>
        <v>801742.36168455821</v>
      </c>
      <c r="V199" s="74"/>
      <c r="W199" s="74">
        <v>591888</v>
      </c>
      <c r="X199" s="74"/>
      <c r="Y199" s="74">
        <v>466.26</v>
      </c>
      <c r="Z199" s="74"/>
      <c r="AA199" s="75" t="s">
        <v>43</v>
      </c>
      <c r="AB199" s="74"/>
      <c r="AC199" s="74"/>
      <c r="AD199" s="75" t="s">
        <v>43</v>
      </c>
      <c r="AE199" s="74"/>
      <c r="AF199" s="74"/>
      <c r="AG199" s="74">
        <v>0</v>
      </c>
      <c r="AH199" s="75" t="s">
        <v>42</v>
      </c>
      <c r="AI199" s="74"/>
      <c r="AJ199" s="74">
        <f t="shared" si="127"/>
        <v>0</v>
      </c>
      <c r="AK199" s="74">
        <f t="shared" si="128"/>
        <v>907423.61684558203</v>
      </c>
      <c r="AL199" s="74">
        <f t="shared" si="129"/>
        <v>0</v>
      </c>
      <c r="AM199" s="74">
        <f t="shared" si="130"/>
        <v>952794.79768786114</v>
      </c>
      <c r="AN199" s="74">
        <f t="shared" si="130"/>
        <v>0</v>
      </c>
      <c r="AO199" s="74">
        <f>AM199/105*108</f>
        <v>980017.50619322853</v>
      </c>
      <c r="AP199" s="74">
        <f t="shared" si="131"/>
        <v>0</v>
      </c>
      <c r="AQ199" s="74">
        <f t="shared" si="132"/>
        <v>1033555.4995871179</v>
      </c>
      <c r="AR199" s="76">
        <v>113.9</v>
      </c>
      <c r="AS199" s="74">
        <f>AP199</f>
        <v>0</v>
      </c>
      <c r="AT199" s="76">
        <v>105</v>
      </c>
      <c r="AU199" s="74">
        <f t="shared" si="124"/>
        <v>1125205.2848885218</v>
      </c>
      <c r="AV199" s="76">
        <v>124</v>
      </c>
      <c r="AW199" s="74">
        <f t="shared" si="125"/>
        <v>0</v>
      </c>
      <c r="AX199" s="76">
        <v>122</v>
      </c>
      <c r="AY199" s="77">
        <f t="shared" si="133"/>
        <v>1136095</v>
      </c>
      <c r="AZ199" s="78">
        <v>125.2</v>
      </c>
      <c r="BA199" s="77">
        <f t="shared" si="134"/>
        <v>0</v>
      </c>
      <c r="BB199" s="78">
        <v>123.3</v>
      </c>
      <c r="BC199" s="79">
        <v>36526</v>
      </c>
      <c r="BD199" s="59"/>
      <c r="BE199" s="80">
        <v>349.33</v>
      </c>
      <c r="BF199" s="80">
        <v>346.98</v>
      </c>
      <c r="BG199" s="80">
        <v>342.87</v>
      </c>
      <c r="BH199" s="73"/>
      <c r="BI199" s="73"/>
      <c r="BJ199" s="73"/>
      <c r="BK199" s="73"/>
      <c r="BL199" s="79">
        <v>42997</v>
      </c>
      <c r="BM199" s="79">
        <v>36434</v>
      </c>
      <c r="BN199" s="58" t="s">
        <v>44</v>
      </c>
      <c r="BO199" s="58" t="s">
        <v>70</v>
      </c>
      <c r="BP199" s="58" t="s">
        <v>184</v>
      </c>
      <c r="BQ199">
        <v>2016</v>
      </c>
      <c r="BR199" s="59"/>
      <c r="BV199" s="18"/>
      <c r="BW199" s="18"/>
    </row>
    <row r="200" spans="1:75" x14ac:dyDescent="0.3">
      <c r="A200" t="s">
        <v>1083</v>
      </c>
      <c r="B200" s="20" t="s">
        <v>1066</v>
      </c>
      <c r="C200" s="20" t="s">
        <v>1066</v>
      </c>
      <c r="D200" s="57" t="s">
        <v>1403</v>
      </c>
      <c r="E200" s="58" t="s">
        <v>1111</v>
      </c>
      <c r="F200" s="96"/>
      <c r="G200" s="96"/>
      <c r="H200" s="58"/>
      <c r="I200" s="58"/>
      <c r="J200" s="59"/>
      <c r="K200" s="95" t="s">
        <v>43</v>
      </c>
      <c r="L200" s="95"/>
      <c r="M200" s="58"/>
      <c r="N200" s="59"/>
      <c r="O200" s="58" t="s">
        <v>40</v>
      </c>
      <c r="P200" s="58" t="s">
        <v>1067</v>
      </c>
      <c r="Q200" s="58"/>
      <c r="R200" s="58"/>
      <c r="S200" s="58"/>
      <c r="T200" s="73"/>
      <c r="U200" s="74"/>
      <c r="V200" s="74"/>
      <c r="W200" s="74"/>
      <c r="X200" s="74"/>
      <c r="Y200" s="74"/>
      <c r="Z200" s="74"/>
      <c r="AA200" s="75"/>
      <c r="AB200" s="74"/>
      <c r="AC200" s="74"/>
      <c r="AD200" s="75"/>
      <c r="AE200" s="74"/>
      <c r="AF200" s="74"/>
      <c r="AG200" s="74"/>
      <c r="AH200" s="75"/>
      <c r="AI200" s="74"/>
      <c r="AJ200" s="74"/>
      <c r="AK200" s="74"/>
      <c r="AL200" s="74"/>
      <c r="AM200" s="74"/>
      <c r="AN200" s="74"/>
      <c r="AO200" s="74"/>
      <c r="AP200" s="74"/>
      <c r="AQ200" s="74"/>
      <c r="AR200" s="76"/>
      <c r="AS200" s="74"/>
      <c r="AT200" s="76"/>
      <c r="AU200" s="27">
        <v>1250000</v>
      </c>
      <c r="AV200" s="76">
        <v>124</v>
      </c>
      <c r="AW200" s="74"/>
      <c r="AX200" s="76">
        <v>122</v>
      </c>
      <c r="AY200" s="77">
        <f t="shared" si="133"/>
        <v>1262097</v>
      </c>
      <c r="AZ200" s="78">
        <v>125.2</v>
      </c>
      <c r="BA200" s="77">
        <f t="shared" si="134"/>
        <v>0</v>
      </c>
      <c r="BB200" s="78">
        <v>123.3</v>
      </c>
      <c r="BC200" s="79"/>
      <c r="BD200" s="59"/>
      <c r="BE200" s="80"/>
      <c r="BF200" s="80"/>
      <c r="BG200" s="80"/>
      <c r="BH200" s="73"/>
      <c r="BI200" s="73"/>
      <c r="BJ200" s="73"/>
      <c r="BK200" s="73"/>
      <c r="BL200" s="79"/>
      <c r="BM200" s="79"/>
      <c r="BN200" s="58"/>
      <c r="BO200" s="58"/>
      <c r="BP200" s="58"/>
      <c r="BR200" s="59"/>
      <c r="BV200" s="18"/>
      <c r="BW200" s="18"/>
    </row>
    <row r="201" spans="1:75" x14ac:dyDescent="0.3">
      <c r="B201" s="20" t="s">
        <v>676</v>
      </c>
      <c r="C201" s="20" t="s">
        <v>1338</v>
      </c>
      <c r="D201" s="57" t="s">
        <v>1211</v>
      </c>
      <c r="E201" s="58" t="s">
        <v>1111</v>
      </c>
      <c r="F201" s="96"/>
      <c r="G201" s="96"/>
      <c r="H201" s="58" t="s">
        <v>94</v>
      </c>
      <c r="I201" s="58" t="s">
        <v>94</v>
      </c>
      <c r="J201" s="59">
        <v>772723</v>
      </c>
      <c r="K201" s="95" t="s">
        <v>43</v>
      </c>
      <c r="L201" s="95"/>
      <c r="M201" s="58" t="s">
        <v>72</v>
      </c>
      <c r="N201" s="59">
        <v>99</v>
      </c>
      <c r="O201" s="58" t="s">
        <v>128</v>
      </c>
      <c r="P201" s="58" t="s">
        <v>677</v>
      </c>
      <c r="Q201" s="58" t="s">
        <v>217</v>
      </c>
      <c r="R201" s="58" t="s">
        <v>678</v>
      </c>
      <c r="S201" s="58" t="s">
        <v>42</v>
      </c>
      <c r="T201" s="73">
        <v>2890000</v>
      </c>
      <c r="U201" s="74">
        <f t="shared" ref="U201:U232" si="135">122.9*T201/121.1</f>
        <v>2932956.2345169284</v>
      </c>
      <c r="V201" s="74">
        <v>645000</v>
      </c>
      <c r="W201" s="74">
        <v>2762152</v>
      </c>
      <c r="X201" s="74">
        <v>493496</v>
      </c>
      <c r="Y201" s="74">
        <v>1705.68</v>
      </c>
      <c r="Z201" s="74">
        <v>380.68</v>
      </c>
      <c r="AA201" s="75" t="s">
        <v>43</v>
      </c>
      <c r="AB201" s="74"/>
      <c r="AC201" s="74"/>
      <c r="AD201" s="75" t="s">
        <v>43</v>
      </c>
      <c r="AE201" s="74"/>
      <c r="AF201" s="74"/>
      <c r="AG201" s="74">
        <v>0</v>
      </c>
      <c r="AH201" s="75" t="s">
        <v>42</v>
      </c>
      <c r="AI201" s="74"/>
      <c r="AJ201" s="74">
        <f t="shared" ref="AJ201:AJ232" si="136">116.3*V201/114.7</f>
        <v>653997.38448125543</v>
      </c>
      <c r="AK201" s="74">
        <f t="shared" ref="AK201:AK232" si="137">139.1/122.9*U201</f>
        <v>3319562.3451692816</v>
      </c>
      <c r="AL201" s="74">
        <f t="shared" ref="AL201:AL232" si="138">121.6/116.3*AJ201</f>
        <v>683801.22057541402</v>
      </c>
      <c r="AM201" s="74">
        <f t="shared" ref="AM201:AM223" si="139">AK201*1.05</f>
        <v>3485540.462427746</v>
      </c>
      <c r="AN201" s="74">
        <f t="shared" ref="AN201:AN223" si="140">AL201*1.05</f>
        <v>717991.28160418477</v>
      </c>
      <c r="AO201" s="74">
        <f t="shared" ref="AO201:AO211" si="141">AM201/105*108</f>
        <v>3585127.3327828241</v>
      </c>
      <c r="AP201" s="74">
        <f>AN201+340071</f>
        <v>1058062.2816041848</v>
      </c>
      <c r="AQ201" s="74">
        <f t="shared" ref="AQ201:AQ232" si="142">AO201/108*113.9</f>
        <v>3780981.511147812</v>
      </c>
      <c r="AR201" s="76">
        <v>113.9</v>
      </c>
      <c r="AS201" s="27">
        <v>717991</v>
      </c>
      <c r="AT201" s="76">
        <v>105</v>
      </c>
      <c r="AU201" s="74">
        <f t="shared" ref="AU201:AU232" si="143">AQ201/AR201*AV201</f>
        <v>4116257.308009909</v>
      </c>
      <c r="AV201" s="76">
        <v>124</v>
      </c>
      <c r="AW201" s="74">
        <f t="shared" ref="AW201:AW232" si="144">AS201/AT201*AX201</f>
        <v>834237.16190476192</v>
      </c>
      <c r="AX201" s="76">
        <v>122</v>
      </c>
      <c r="AY201" s="77">
        <f t="shared" si="133"/>
        <v>4156093</v>
      </c>
      <c r="AZ201" s="78">
        <v>125.2</v>
      </c>
      <c r="BA201" s="77">
        <f t="shared" si="134"/>
        <v>843127</v>
      </c>
      <c r="BB201" s="78">
        <v>123.3</v>
      </c>
      <c r="BC201" s="79">
        <v>36526</v>
      </c>
      <c r="BD201" s="59"/>
      <c r="BE201" s="80">
        <v>1921.48</v>
      </c>
      <c r="BF201" s="80">
        <v>1910.52</v>
      </c>
      <c r="BG201" s="80">
        <v>1888.78</v>
      </c>
      <c r="BH201" s="73"/>
      <c r="BI201" s="73"/>
      <c r="BJ201" s="73"/>
      <c r="BK201" s="73"/>
      <c r="BL201" s="79">
        <v>42997</v>
      </c>
      <c r="BM201" s="79">
        <v>36434</v>
      </c>
      <c r="BN201" s="58" t="s">
        <v>44</v>
      </c>
      <c r="BO201" s="58" t="s">
        <v>70</v>
      </c>
      <c r="BP201" s="21"/>
      <c r="BQ201">
        <v>2016</v>
      </c>
      <c r="BR201" s="59"/>
      <c r="BV201" s="18"/>
      <c r="BW201" s="18"/>
    </row>
    <row r="202" spans="1:75" x14ac:dyDescent="0.3">
      <c r="B202" s="20" t="s">
        <v>679</v>
      </c>
      <c r="C202" s="20" t="s">
        <v>1339</v>
      </c>
      <c r="D202" s="57" t="s">
        <v>1211</v>
      </c>
      <c r="E202" s="58" t="s">
        <v>1111</v>
      </c>
      <c r="F202" s="96"/>
      <c r="G202" s="96"/>
      <c r="H202" s="58" t="s">
        <v>94</v>
      </c>
      <c r="I202" s="58" t="s">
        <v>94</v>
      </c>
      <c r="J202" s="59">
        <v>772723</v>
      </c>
      <c r="K202" s="95" t="s">
        <v>1440</v>
      </c>
      <c r="L202" s="95"/>
      <c r="M202" s="58" t="s">
        <v>72</v>
      </c>
      <c r="N202" s="59">
        <v>11</v>
      </c>
      <c r="O202" s="58" t="s">
        <v>40</v>
      </c>
      <c r="P202" s="58" t="s">
        <v>680</v>
      </c>
      <c r="Q202" s="58" t="s">
        <v>92</v>
      </c>
      <c r="R202" s="58" t="s">
        <v>681</v>
      </c>
      <c r="S202" s="58" t="s">
        <v>42</v>
      </c>
      <c r="T202" s="73">
        <v>1450000</v>
      </c>
      <c r="U202" s="74">
        <f t="shared" si="135"/>
        <v>1471552.4360033032</v>
      </c>
      <c r="V202" s="74">
        <v>350000</v>
      </c>
      <c r="W202" s="74">
        <v>567227</v>
      </c>
      <c r="X202" s="74">
        <v>149544</v>
      </c>
      <c r="Y202" s="74">
        <v>855.79</v>
      </c>
      <c r="Z202" s="74">
        <v>206.57</v>
      </c>
      <c r="AA202" s="75" t="s">
        <v>43</v>
      </c>
      <c r="AB202" s="74"/>
      <c r="AC202" s="74"/>
      <c r="AD202" s="75" t="s">
        <v>43</v>
      </c>
      <c r="AE202" s="74"/>
      <c r="AF202" s="74"/>
      <c r="AG202" s="74">
        <v>0</v>
      </c>
      <c r="AH202" s="75" t="s">
        <v>42</v>
      </c>
      <c r="AI202" s="74"/>
      <c r="AJ202" s="74">
        <f t="shared" si="136"/>
        <v>354882.3016564952</v>
      </c>
      <c r="AK202" s="74">
        <f t="shared" si="137"/>
        <v>1665524.3600330306</v>
      </c>
      <c r="AL202" s="74">
        <f t="shared" si="138"/>
        <v>371054.92589363555</v>
      </c>
      <c r="AM202" s="74">
        <f t="shared" si="139"/>
        <v>1748800.5780346822</v>
      </c>
      <c r="AN202" s="74">
        <f t="shared" si="140"/>
        <v>389607.67218831734</v>
      </c>
      <c r="AO202" s="74">
        <f t="shared" si="141"/>
        <v>1798766.3088356734</v>
      </c>
      <c r="AP202" s="74">
        <f t="shared" ref="AP202:AP215" si="145">AN202</f>
        <v>389607.67218831734</v>
      </c>
      <c r="AQ202" s="74">
        <f t="shared" si="142"/>
        <v>1897032.2460776223</v>
      </c>
      <c r="AR202" s="76">
        <v>113.9</v>
      </c>
      <c r="AS202" s="74">
        <f t="shared" ref="AS202:AS210" si="146">AP202</f>
        <v>389607.67218831734</v>
      </c>
      <c r="AT202" s="76">
        <v>105</v>
      </c>
      <c r="AU202" s="74">
        <f t="shared" si="143"/>
        <v>2065250.2064409582</v>
      </c>
      <c r="AV202" s="76">
        <v>124</v>
      </c>
      <c r="AW202" s="74">
        <f t="shared" si="144"/>
        <v>452687.00959023542</v>
      </c>
      <c r="AX202" s="76">
        <v>122</v>
      </c>
      <c r="AY202" s="77">
        <f t="shared" si="133"/>
        <v>2085237</v>
      </c>
      <c r="AZ202" s="78">
        <v>125.2</v>
      </c>
      <c r="BA202" s="77">
        <f t="shared" si="134"/>
        <v>457511</v>
      </c>
      <c r="BB202" s="78">
        <v>123.3</v>
      </c>
      <c r="BC202" s="79">
        <v>36526</v>
      </c>
      <c r="BD202" s="59"/>
      <c r="BE202" s="80">
        <v>423.04</v>
      </c>
      <c r="BF202" s="80">
        <v>420.79</v>
      </c>
      <c r="BG202" s="80">
        <v>416.08</v>
      </c>
      <c r="BH202" s="73"/>
      <c r="BI202" s="73"/>
      <c r="BJ202" s="73"/>
      <c r="BK202" s="73"/>
      <c r="BL202" s="79">
        <v>42997</v>
      </c>
      <c r="BM202" s="79">
        <v>36434</v>
      </c>
      <c r="BN202" s="58" t="s">
        <v>44</v>
      </c>
      <c r="BO202" s="58" t="s">
        <v>70</v>
      </c>
      <c r="BP202" s="58" t="s">
        <v>184</v>
      </c>
      <c r="BQ202">
        <v>2016</v>
      </c>
      <c r="BR202" s="59"/>
      <c r="BV202" s="18"/>
      <c r="BW202" s="18"/>
    </row>
    <row r="203" spans="1:75" x14ac:dyDescent="0.3">
      <c r="B203" s="20" t="s">
        <v>682</v>
      </c>
      <c r="C203" s="20" t="s">
        <v>682</v>
      </c>
      <c r="D203" s="57" t="e">
        <v>#N/A</v>
      </c>
      <c r="E203" s="58" t="s">
        <v>986</v>
      </c>
      <c r="F203" s="96"/>
      <c r="G203" s="96"/>
      <c r="H203" s="58" t="s">
        <v>289</v>
      </c>
      <c r="I203" s="58" t="s">
        <v>289</v>
      </c>
      <c r="J203" s="59">
        <v>777773</v>
      </c>
      <c r="K203" s="95" t="s">
        <v>43</v>
      </c>
      <c r="L203" s="95"/>
      <c r="M203" s="58" t="s">
        <v>290</v>
      </c>
      <c r="N203" s="59">
        <v>99</v>
      </c>
      <c r="O203" s="58" t="s">
        <v>128</v>
      </c>
      <c r="P203" s="58" t="s">
        <v>683</v>
      </c>
      <c r="Q203" s="58" t="s">
        <v>361</v>
      </c>
      <c r="R203" s="58" t="s">
        <v>684</v>
      </c>
      <c r="S203" s="58" t="s">
        <v>42</v>
      </c>
      <c r="T203" s="73">
        <v>75000</v>
      </c>
      <c r="U203" s="74">
        <f t="shared" si="135"/>
        <v>76114.78117258464</v>
      </c>
      <c r="V203" s="74">
        <v>25000</v>
      </c>
      <c r="W203" s="74">
        <v>69053</v>
      </c>
      <c r="X203" s="74">
        <v>10966</v>
      </c>
      <c r="Y203" s="74">
        <v>44.27</v>
      </c>
      <c r="Z203" s="74">
        <v>14.76</v>
      </c>
      <c r="AA203" s="75" t="s">
        <v>43</v>
      </c>
      <c r="AB203" s="74"/>
      <c r="AC203" s="74"/>
      <c r="AD203" s="75" t="s">
        <v>43</v>
      </c>
      <c r="AE203" s="74"/>
      <c r="AF203" s="74"/>
      <c r="AG203" s="74">
        <v>0</v>
      </c>
      <c r="AH203" s="75" t="s">
        <v>42</v>
      </c>
      <c r="AI203" s="74"/>
      <c r="AJ203" s="74">
        <f t="shared" si="136"/>
        <v>25348.735832606799</v>
      </c>
      <c r="AK203" s="74">
        <f t="shared" si="137"/>
        <v>86147.811725846404</v>
      </c>
      <c r="AL203" s="74">
        <f t="shared" si="138"/>
        <v>26503.923278116821</v>
      </c>
      <c r="AM203" s="74">
        <f t="shared" si="139"/>
        <v>90455.202312138732</v>
      </c>
      <c r="AN203" s="74">
        <f t="shared" si="140"/>
        <v>27829.119442022664</v>
      </c>
      <c r="AO203" s="74">
        <f t="shared" si="141"/>
        <v>93039.63666391412</v>
      </c>
      <c r="AP203" s="74">
        <f t="shared" si="145"/>
        <v>27829.119442022664</v>
      </c>
      <c r="AQ203" s="74">
        <f t="shared" si="142"/>
        <v>98122.357555739058</v>
      </c>
      <c r="AR203" s="76">
        <v>113.9</v>
      </c>
      <c r="AS203" s="74">
        <f t="shared" si="146"/>
        <v>27829.119442022664</v>
      </c>
      <c r="AT203" s="76">
        <v>105</v>
      </c>
      <c r="AU203" s="74">
        <f t="shared" si="143"/>
        <v>106823.28654004955</v>
      </c>
      <c r="AV203" s="76">
        <v>124</v>
      </c>
      <c r="AW203" s="74">
        <f t="shared" si="144"/>
        <v>32334.78639930252</v>
      </c>
      <c r="AX203" s="76">
        <v>122</v>
      </c>
      <c r="AY203" s="77">
        <f t="shared" si="133"/>
        <v>107858</v>
      </c>
      <c r="AZ203" s="78">
        <v>125.2</v>
      </c>
      <c r="BA203" s="77">
        <f t="shared" si="134"/>
        <v>32680</v>
      </c>
      <c r="BB203" s="78">
        <v>123.3</v>
      </c>
      <c r="BC203" s="79">
        <v>39083</v>
      </c>
      <c r="BD203" s="59"/>
      <c r="BE203" s="80">
        <v>47.23</v>
      </c>
      <c r="BF203" s="80">
        <v>46.95</v>
      </c>
      <c r="BG203" s="80">
        <v>46.42</v>
      </c>
      <c r="BH203" s="73"/>
      <c r="BI203" s="73"/>
      <c r="BJ203" s="73"/>
      <c r="BK203" s="73"/>
      <c r="BL203" s="79">
        <v>42997</v>
      </c>
      <c r="BM203" s="79">
        <v>36434</v>
      </c>
      <c r="BN203" s="58" t="s">
        <v>44</v>
      </c>
      <c r="BO203" s="58" t="s">
        <v>70</v>
      </c>
      <c r="BP203" s="58" t="s">
        <v>221</v>
      </c>
      <c r="BQ203">
        <v>2016</v>
      </c>
      <c r="BR203" s="59"/>
      <c r="BV203" s="18"/>
      <c r="BW203" s="18"/>
    </row>
    <row r="204" spans="1:75" x14ac:dyDescent="0.3">
      <c r="B204" s="20" t="s">
        <v>685</v>
      </c>
      <c r="C204" s="20" t="s">
        <v>685</v>
      </c>
      <c r="D204" s="57" t="s">
        <v>1212</v>
      </c>
      <c r="E204" s="58" t="s">
        <v>986</v>
      </c>
      <c r="F204" s="96"/>
      <c r="G204" s="96"/>
      <c r="H204" s="58" t="s">
        <v>110</v>
      </c>
      <c r="I204" s="58" t="s">
        <v>110</v>
      </c>
      <c r="J204" s="59">
        <v>772724</v>
      </c>
      <c r="K204" s="95" t="s">
        <v>43</v>
      </c>
      <c r="L204" s="95"/>
      <c r="M204" s="58" t="s">
        <v>66</v>
      </c>
      <c r="N204" s="59">
        <v>11</v>
      </c>
      <c r="O204" s="58" t="s">
        <v>40</v>
      </c>
      <c r="P204" s="58" t="s">
        <v>686</v>
      </c>
      <c r="Q204" s="58" t="s">
        <v>687</v>
      </c>
      <c r="R204" s="58" t="s">
        <v>688</v>
      </c>
      <c r="S204" s="58" t="s">
        <v>42</v>
      </c>
      <c r="T204" s="73"/>
      <c r="U204" s="74">
        <f t="shared" si="135"/>
        <v>0</v>
      </c>
      <c r="V204" s="74">
        <v>225000</v>
      </c>
      <c r="W204" s="74"/>
      <c r="X204" s="74">
        <v>179453</v>
      </c>
      <c r="Y204" s="74"/>
      <c r="Z204" s="74">
        <v>132.80000000000001</v>
      </c>
      <c r="AA204" s="75" t="s">
        <v>43</v>
      </c>
      <c r="AB204" s="74"/>
      <c r="AC204" s="74"/>
      <c r="AD204" s="75" t="s">
        <v>43</v>
      </c>
      <c r="AE204" s="74"/>
      <c r="AF204" s="74"/>
      <c r="AG204" s="74">
        <v>0</v>
      </c>
      <c r="AH204" s="75" t="s">
        <v>42</v>
      </c>
      <c r="AI204" s="74"/>
      <c r="AJ204" s="74">
        <f t="shared" si="136"/>
        <v>228138.62249346121</v>
      </c>
      <c r="AK204" s="74">
        <f t="shared" si="137"/>
        <v>0</v>
      </c>
      <c r="AL204" s="74">
        <f t="shared" si="138"/>
        <v>238535.30950305142</v>
      </c>
      <c r="AM204" s="74">
        <f t="shared" si="139"/>
        <v>0</v>
      </c>
      <c r="AN204" s="74">
        <f t="shared" si="140"/>
        <v>250462.07497820401</v>
      </c>
      <c r="AO204" s="74">
        <f t="shared" si="141"/>
        <v>0</v>
      </c>
      <c r="AP204" s="74">
        <f t="shared" si="145"/>
        <v>250462.07497820401</v>
      </c>
      <c r="AQ204" s="74">
        <f t="shared" si="142"/>
        <v>0</v>
      </c>
      <c r="AR204" s="76">
        <v>113.9</v>
      </c>
      <c r="AS204" s="74">
        <f t="shared" si="146"/>
        <v>250462.07497820401</v>
      </c>
      <c r="AT204" s="76">
        <v>105</v>
      </c>
      <c r="AU204" s="74">
        <f t="shared" si="143"/>
        <v>0</v>
      </c>
      <c r="AV204" s="76">
        <v>124</v>
      </c>
      <c r="AW204" s="74">
        <f t="shared" si="144"/>
        <v>291013.07759372273</v>
      </c>
      <c r="AX204" s="76">
        <v>122</v>
      </c>
      <c r="AY204" s="77">
        <f t="shared" si="133"/>
        <v>0</v>
      </c>
      <c r="AZ204" s="78">
        <v>125.2</v>
      </c>
      <c r="BA204" s="77">
        <f t="shared" si="134"/>
        <v>294115</v>
      </c>
      <c r="BB204" s="78">
        <v>123.3</v>
      </c>
      <c r="BC204" s="79">
        <v>37008</v>
      </c>
      <c r="BD204" s="59"/>
      <c r="BE204" s="80">
        <v>105.91</v>
      </c>
      <c r="BF204" s="80">
        <v>105.91</v>
      </c>
      <c r="BG204" s="80">
        <v>104.98</v>
      </c>
      <c r="BH204" s="73"/>
      <c r="BI204" s="73"/>
      <c r="BJ204" s="73"/>
      <c r="BK204" s="73"/>
      <c r="BL204" s="79">
        <v>42997</v>
      </c>
      <c r="BM204" s="79">
        <v>37123</v>
      </c>
      <c r="BN204" s="58" t="s">
        <v>44</v>
      </c>
      <c r="BO204" s="58" t="s">
        <v>44</v>
      </c>
      <c r="BP204" s="58" t="s">
        <v>184</v>
      </c>
      <c r="BQ204">
        <v>2016</v>
      </c>
      <c r="BR204" s="59"/>
      <c r="BV204" s="18"/>
      <c r="BW204" s="18"/>
    </row>
    <row r="205" spans="1:75" x14ac:dyDescent="0.3">
      <c r="B205" s="20" t="s">
        <v>689</v>
      </c>
      <c r="C205" s="20" t="s">
        <v>689</v>
      </c>
      <c r="D205" s="57" t="s">
        <v>1213</v>
      </c>
      <c r="E205" s="58" t="s">
        <v>986</v>
      </c>
      <c r="F205" s="97" t="s">
        <v>1473</v>
      </c>
      <c r="G205" s="97" t="s">
        <v>1473</v>
      </c>
      <c r="H205" s="58" t="s">
        <v>110</v>
      </c>
      <c r="I205" s="58" t="s">
        <v>110</v>
      </c>
      <c r="J205" s="59">
        <v>772720</v>
      </c>
      <c r="K205" s="95" t="s">
        <v>1440</v>
      </c>
      <c r="L205" s="104" t="s">
        <v>1472</v>
      </c>
      <c r="M205" s="58" t="s">
        <v>193</v>
      </c>
      <c r="N205" s="59">
        <v>11</v>
      </c>
      <c r="O205" s="58" t="s">
        <v>40</v>
      </c>
      <c r="P205" s="58" t="s">
        <v>690</v>
      </c>
      <c r="Q205" s="58" t="s">
        <v>195</v>
      </c>
      <c r="R205" s="58" t="s">
        <v>691</v>
      </c>
      <c r="S205" s="58" t="s">
        <v>692</v>
      </c>
      <c r="T205" s="73">
        <v>13780000</v>
      </c>
      <c r="U205" s="74">
        <f t="shared" si="135"/>
        <v>13984822.460776219</v>
      </c>
      <c r="V205" s="74"/>
      <c r="W205" s="74">
        <v>12936775</v>
      </c>
      <c r="X205" s="74"/>
      <c r="Y205" s="74">
        <v>8132.96</v>
      </c>
      <c r="Z205" s="74"/>
      <c r="AA205" s="75" t="s">
        <v>43</v>
      </c>
      <c r="AB205" s="74"/>
      <c r="AC205" s="74"/>
      <c r="AD205" s="75" t="s">
        <v>43</v>
      </c>
      <c r="AE205" s="74"/>
      <c r="AF205" s="74"/>
      <c r="AG205" s="74">
        <v>0</v>
      </c>
      <c r="AH205" s="75" t="s">
        <v>42</v>
      </c>
      <c r="AI205" s="74"/>
      <c r="AJ205" s="74">
        <f t="shared" si="136"/>
        <v>0</v>
      </c>
      <c r="AK205" s="74">
        <f t="shared" si="137"/>
        <v>15828224.60776218</v>
      </c>
      <c r="AL205" s="74">
        <f t="shared" si="138"/>
        <v>0</v>
      </c>
      <c r="AM205" s="74">
        <f t="shared" si="139"/>
        <v>16619635.838150291</v>
      </c>
      <c r="AN205" s="74">
        <f t="shared" si="140"/>
        <v>0</v>
      </c>
      <c r="AO205" s="74">
        <f t="shared" si="141"/>
        <v>17094482.576383159</v>
      </c>
      <c r="AP205" s="74">
        <f t="shared" si="145"/>
        <v>0</v>
      </c>
      <c r="AQ205" s="74">
        <f t="shared" si="142"/>
        <v>18028347.828241128</v>
      </c>
      <c r="AR205" s="76">
        <v>113.9</v>
      </c>
      <c r="AS205" s="74">
        <f t="shared" si="146"/>
        <v>0</v>
      </c>
      <c r="AT205" s="76">
        <v>105</v>
      </c>
      <c r="AU205" s="74">
        <f t="shared" si="143"/>
        <v>19626998.513625108</v>
      </c>
      <c r="AV205" s="76">
        <v>124</v>
      </c>
      <c r="AW205" s="74">
        <f t="shared" si="144"/>
        <v>0</v>
      </c>
      <c r="AX205" s="76">
        <v>122</v>
      </c>
      <c r="AY205" s="77">
        <f t="shared" si="133"/>
        <v>19816938</v>
      </c>
      <c r="AZ205" s="78">
        <v>125.2</v>
      </c>
      <c r="BA205" s="77">
        <f t="shared" si="134"/>
        <v>0</v>
      </c>
      <c r="BB205" s="78">
        <v>123.3</v>
      </c>
      <c r="BC205" s="79">
        <v>38527</v>
      </c>
      <c r="BD205" s="59"/>
      <c r="BE205" s="80">
        <v>7635.28</v>
      </c>
      <c r="BF205" s="80">
        <v>7518</v>
      </c>
      <c r="BG205" s="80">
        <v>7428.96</v>
      </c>
      <c r="BH205" s="73"/>
      <c r="BI205" s="73"/>
      <c r="BJ205" s="73"/>
      <c r="BK205" s="73"/>
      <c r="BL205" s="79">
        <v>42997</v>
      </c>
      <c r="BM205" s="79">
        <v>38545</v>
      </c>
      <c r="BN205" s="58" t="s">
        <v>44</v>
      </c>
      <c r="BO205" s="58" t="s">
        <v>198</v>
      </c>
      <c r="BP205" s="58" t="s">
        <v>221</v>
      </c>
      <c r="BQ205">
        <v>2016</v>
      </c>
      <c r="BR205" s="59" t="s">
        <v>1005</v>
      </c>
      <c r="BV205" s="18"/>
      <c r="BW205" s="18"/>
    </row>
    <row r="206" spans="1:75" x14ac:dyDescent="0.3">
      <c r="B206" s="20" t="s">
        <v>693</v>
      </c>
      <c r="C206" s="20" t="s">
        <v>693</v>
      </c>
      <c r="D206" s="57" t="s">
        <v>1213</v>
      </c>
      <c r="E206" s="58" t="s">
        <v>986</v>
      </c>
      <c r="F206" s="96"/>
      <c r="G206" s="96"/>
      <c r="H206" s="58" t="s">
        <v>110</v>
      </c>
      <c r="I206" s="58" t="s">
        <v>110</v>
      </c>
      <c r="J206" s="59">
        <v>772724</v>
      </c>
      <c r="K206" s="95" t="s">
        <v>1466</v>
      </c>
      <c r="L206" s="95"/>
      <c r="M206" s="58" t="s">
        <v>66</v>
      </c>
      <c r="N206" s="59">
        <v>11</v>
      </c>
      <c r="O206" s="58" t="s">
        <v>40</v>
      </c>
      <c r="P206" s="58" t="s">
        <v>694</v>
      </c>
      <c r="Q206" s="58" t="s">
        <v>241</v>
      </c>
      <c r="R206" s="58" t="s">
        <v>695</v>
      </c>
      <c r="S206" s="58" t="s">
        <v>692</v>
      </c>
      <c r="T206" s="73"/>
      <c r="U206" s="74">
        <f t="shared" si="135"/>
        <v>0</v>
      </c>
      <c r="V206" s="74">
        <v>210000</v>
      </c>
      <c r="W206" s="74"/>
      <c r="X206" s="74">
        <v>210618</v>
      </c>
      <c r="Y206" s="74"/>
      <c r="Z206" s="74">
        <v>123.94</v>
      </c>
      <c r="AA206" s="75" t="s">
        <v>43</v>
      </c>
      <c r="AB206" s="74"/>
      <c r="AC206" s="74"/>
      <c r="AD206" s="75" t="s">
        <v>43</v>
      </c>
      <c r="AE206" s="74"/>
      <c r="AF206" s="74"/>
      <c r="AG206" s="74">
        <v>0</v>
      </c>
      <c r="AH206" s="75" t="s">
        <v>42</v>
      </c>
      <c r="AI206" s="74"/>
      <c r="AJ206" s="74">
        <f t="shared" si="136"/>
        <v>212929.38099389712</v>
      </c>
      <c r="AK206" s="74">
        <f t="shared" si="137"/>
        <v>0</v>
      </c>
      <c r="AL206" s="74">
        <f t="shared" si="138"/>
        <v>222632.95553618134</v>
      </c>
      <c r="AM206" s="74">
        <f t="shared" si="139"/>
        <v>0</v>
      </c>
      <c r="AN206" s="74">
        <f t="shared" si="140"/>
        <v>233764.60331299042</v>
      </c>
      <c r="AO206" s="74">
        <f t="shared" si="141"/>
        <v>0</v>
      </c>
      <c r="AP206" s="74">
        <f t="shared" si="145"/>
        <v>233764.60331299042</v>
      </c>
      <c r="AQ206" s="74">
        <f t="shared" si="142"/>
        <v>0</v>
      </c>
      <c r="AR206" s="76">
        <v>113.9</v>
      </c>
      <c r="AS206" s="74">
        <f t="shared" si="146"/>
        <v>233764.60331299042</v>
      </c>
      <c r="AT206" s="76">
        <v>105</v>
      </c>
      <c r="AU206" s="74">
        <f t="shared" si="143"/>
        <v>0</v>
      </c>
      <c r="AV206" s="76">
        <v>124</v>
      </c>
      <c r="AW206" s="74">
        <f t="shared" si="144"/>
        <v>271612.20575414127</v>
      </c>
      <c r="AX206" s="76">
        <v>122</v>
      </c>
      <c r="AY206" s="77">
        <f t="shared" si="133"/>
        <v>0</v>
      </c>
      <c r="AZ206" s="78">
        <v>125.2</v>
      </c>
      <c r="BA206" s="77">
        <f t="shared" si="134"/>
        <v>274507</v>
      </c>
      <c r="BB206" s="78">
        <v>123.3</v>
      </c>
      <c r="BC206" s="79">
        <v>38527</v>
      </c>
      <c r="BD206" s="59"/>
      <c r="BE206" s="80">
        <v>124.31</v>
      </c>
      <c r="BF206" s="80">
        <v>124.31</v>
      </c>
      <c r="BG206" s="80">
        <v>123.21</v>
      </c>
      <c r="BH206" s="73"/>
      <c r="BI206" s="73"/>
      <c r="BJ206" s="73"/>
      <c r="BK206" s="73"/>
      <c r="BL206" s="79">
        <v>42997</v>
      </c>
      <c r="BM206" s="79">
        <v>38545</v>
      </c>
      <c r="BN206" s="58" t="s">
        <v>44</v>
      </c>
      <c r="BO206" s="58" t="s">
        <v>198</v>
      </c>
      <c r="BP206" s="58" t="s">
        <v>184</v>
      </c>
      <c r="BQ206">
        <v>2016</v>
      </c>
      <c r="BR206" s="59"/>
      <c r="BV206" s="18"/>
      <c r="BW206" s="18"/>
    </row>
    <row r="207" spans="1:75" x14ac:dyDescent="0.3">
      <c r="B207" s="20" t="s">
        <v>696</v>
      </c>
      <c r="C207" s="20" t="s">
        <v>696</v>
      </c>
      <c r="D207" s="57" t="s">
        <v>1213</v>
      </c>
      <c r="E207" s="58" t="s">
        <v>986</v>
      </c>
      <c r="F207" s="96"/>
      <c r="G207" s="96"/>
      <c r="H207" s="58" t="s">
        <v>110</v>
      </c>
      <c r="I207" s="58" t="s">
        <v>110</v>
      </c>
      <c r="J207" s="59">
        <v>772720</v>
      </c>
      <c r="K207" s="95" t="s">
        <v>1466</v>
      </c>
      <c r="L207" s="95"/>
      <c r="M207" s="58" t="s">
        <v>193</v>
      </c>
      <c r="N207" s="59">
        <v>11</v>
      </c>
      <c r="O207" s="58" t="s">
        <v>40</v>
      </c>
      <c r="P207" s="58" t="s">
        <v>697</v>
      </c>
      <c r="Q207" s="58" t="s">
        <v>195</v>
      </c>
      <c r="R207" s="58" t="s">
        <v>698</v>
      </c>
      <c r="S207" s="58" t="s">
        <v>692</v>
      </c>
      <c r="T207" s="73"/>
      <c r="U207" s="74">
        <f t="shared" si="135"/>
        <v>0</v>
      </c>
      <c r="V207" s="74"/>
      <c r="W207" s="74"/>
      <c r="X207" s="74">
        <v>145810</v>
      </c>
      <c r="Y207" s="74"/>
      <c r="Z207" s="74"/>
      <c r="AA207" s="75" t="s">
        <v>43</v>
      </c>
      <c r="AB207" s="74"/>
      <c r="AC207" s="74"/>
      <c r="AD207" s="75" t="s">
        <v>43</v>
      </c>
      <c r="AE207" s="74"/>
      <c r="AF207" s="74"/>
      <c r="AG207" s="74">
        <v>0</v>
      </c>
      <c r="AH207" s="75" t="s">
        <v>42</v>
      </c>
      <c r="AI207" s="74"/>
      <c r="AJ207" s="74">
        <f t="shared" si="136"/>
        <v>0</v>
      </c>
      <c r="AK207" s="74">
        <f t="shared" si="137"/>
        <v>0</v>
      </c>
      <c r="AL207" s="74">
        <f t="shared" si="138"/>
        <v>0</v>
      </c>
      <c r="AM207" s="74">
        <f t="shared" si="139"/>
        <v>0</v>
      </c>
      <c r="AN207" s="74">
        <f t="shared" si="140"/>
        <v>0</v>
      </c>
      <c r="AO207" s="74">
        <f t="shared" si="141"/>
        <v>0</v>
      </c>
      <c r="AP207" s="74">
        <f t="shared" si="145"/>
        <v>0</v>
      </c>
      <c r="AQ207" s="74">
        <f t="shared" si="142"/>
        <v>0</v>
      </c>
      <c r="AR207" s="76">
        <v>113.9</v>
      </c>
      <c r="AS207" s="74">
        <f t="shared" si="146"/>
        <v>0</v>
      </c>
      <c r="AT207" s="76">
        <v>105</v>
      </c>
      <c r="AU207" s="74">
        <f t="shared" si="143"/>
        <v>0</v>
      </c>
      <c r="AV207" s="76">
        <v>124</v>
      </c>
      <c r="AW207" s="74">
        <f t="shared" si="144"/>
        <v>0</v>
      </c>
      <c r="AX207" s="76">
        <v>122</v>
      </c>
      <c r="AY207" s="77">
        <f t="shared" si="133"/>
        <v>0</v>
      </c>
      <c r="AZ207" s="78">
        <v>125.2</v>
      </c>
      <c r="BA207" s="77">
        <f t="shared" si="134"/>
        <v>0</v>
      </c>
      <c r="BB207" s="78">
        <v>123.3</v>
      </c>
      <c r="BC207" s="79">
        <v>38527</v>
      </c>
      <c r="BD207" s="59"/>
      <c r="BE207" s="80">
        <v>86.06</v>
      </c>
      <c r="BF207" s="80">
        <v>86.06</v>
      </c>
      <c r="BG207" s="80">
        <v>85.3</v>
      </c>
      <c r="BH207" s="73"/>
      <c r="BI207" s="73"/>
      <c r="BJ207" s="73"/>
      <c r="BK207" s="73"/>
      <c r="BL207" s="79">
        <v>42997</v>
      </c>
      <c r="BM207" s="79">
        <v>38545</v>
      </c>
      <c r="BN207" s="58" t="s">
        <v>44</v>
      </c>
      <c r="BO207" s="58" t="s">
        <v>198</v>
      </c>
      <c r="BP207" s="58" t="s">
        <v>699</v>
      </c>
      <c r="BQ207">
        <v>2016</v>
      </c>
      <c r="BR207" s="59"/>
      <c r="BV207" s="18"/>
      <c r="BW207" s="18"/>
    </row>
    <row r="208" spans="1:75" x14ac:dyDescent="0.3">
      <c r="B208" s="20" t="s">
        <v>700</v>
      </c>
      <c r="C208" s="20" t="s">
        <v>700</v>
      </c>
      <c r="D208" s="57" t="s">
        <v>1213</v>
      </c>
      <c r="E208" s="58" t="s">
        <v>986</v>
      </c>
      <c r="F208" s="96"/>
      <c r="G208" s="96"/>
      <c r="H208" s="58" t="s">
        <v>110</v>
      </c>
      <c r="I208" s="58" t="s">
        <v>110</v>
      </c>
      <c r="J208" s="59">
        <v>772723</v>
      </c>
      <c r="K208" s="95" t="s">
        <v>1466</v>
      </c>
      <c r="L208" s="95"/>
      <c r="M208" s="58" t="s">
        <v>72</v>
      </c>
      <c r="N208" s="59">
        <v>11</v>
      </c>
      <c r="O208" s="58" t="s">
        <v>40</v>
      </c>
      <c r="P208" s="58" t="s">
        <v>701</v>
      </c>
      <c r="Q208" s="58" t="s">
        <v>92</v>
      </c>
      <c r="R208" s="58" t="s">
        <v>702</v>
      </c>
      <c r="S208" s="58" t="s">
        <v>692</v>
      </c>
      <c r="T208" s="73"/>
      <c r="U208" s="74">
        <f t="shared" si="135"/>
        <v>0</v>
      </c>
      <c r="V208" s="74">
        <v>480000</v>
      </c>
      <c r="W208" s="74"/>
      <c r="X208" s="74">
        <v>421210</v>
      </c>
      <c r="Y208" s="74"/>
      <c r="Z208" s="74">
        <v>283.3</v>
      </c>
      <c r="AA208" s="75" t="s">
        <v>43</v>
      </c>
      <c r="AB208" s="74"/>
      <c r="AC208" s="74"/>
      <c r="AD208" s="75" t="s">
        <v>43</v>
      </c>
      <c r="AE208" s="74"/>
      <c r="AF208" s="74"/>
      <c r="AG208" s="74">
        <v>0</v>
      </c>
      <c r="AH208" s="75" t="s">
        <v>42</v>
      </c>
      <c r="AI208" s="74"/>
      <c r="AJ208" s="74">
        <f t="shared" si="136"/>
        <v>486695.72798605054</v>
      </c>
      <c r="AK208" s="74">
        <f t="shared" si="137"/>
        <v>0</v>
      </c>
      <c r="AL208" s="74">
        <f t="shared" si="138"/>
        <v>508875.32693984301</v>
      </c>
      <c r="AM208" s="74">
        <f t="shared" si="139"/>
        <v>0</v>
      </c>
      <c r="AN208" s="74">
        <f t="shared" si="140"/>
        <v>534319.09328683524</v>
      </c>
      <c r="AO208" s="74">
        <f t="shared" si="141"/>
        <v>0</v>
      </c>
      <c r="AP208" s="74">
        <f t="shared" si="145"/>
        <v>534319.09328683524</v>
      </c>
      <c r="AQ208" s="74">
        <f t="shared" si="142"/>
        <v>0</v>
      </c>
      <c r="AR208" s="76">
        <v>113.9</v>
      </c>
      <c r="AS208" s="74">
        <f t="shared" si="146"/>
        <v>534319.09328683524</v>
      </c>
      <c r="AT208" s="76">
        <v>105</v>
      </c>
      <c r="AU208" s="74">
        <f t="shared" si="143"/>
        <v>0</v>
      </c>
      <c r="AV208" s="76">
        <v>124</v>
      </c>
      <c r="AW208" s="74">
        <f t="shared" si="144"/>
        <v>620827.89886660862</v>
      </c>
      <c r="AX208" s="76">
        <v>122</v>
      </c>
      <c r="AY208" s="77">
        <f t="shared" si="133"/>
        <v>0</v>
      </c>
      <c r="AZ208" s="78">
        <v>125.2</v>
      </c>
      <c r="BA208" s="77">
        <f t="shared" si="134"/>
        <v>627444</v>
      </c>
      <c r="BB208" s="78">
        <v>123.3</v>
      </c>
      <c r="BC208" s="79">
        <v>38527</v>
      </c>
      <c r="BD208" s="59"/>
      <c r="BE208" s="80">
        <v>248.6</v>
      </c>
      <c r="BF208" s="80">
        <v>248.6</v>
      </c>
      <c r="BG208" s="80">
        <v>246.41</v>
      </c>
      <c r="BH208" s="73"/>
      <c r="BI208" s="73"/>
      <c r="BJ208" s="73"/>
      <c r="BK208" s="73"/>
      <c r="BL208" s="79">
        <v>42997</v>
      </c>
      <c r="BM208" s="79">
        <v>38545</v>
      </c>
      <c r="BN208" s="58" t="s">
        <v>44</v>
      </c>
      <c r="BO208" s="58" t="s">
        <v>198</v>
      </c>
      <c r="BP208" s="58" t="s">
        <v>266</v>
      </c>
      <c r="BQ208">
        <v>2016</v>
      </c>
      <c r="BR208" s="59"/>
      <c r="BV208" s="18"/>
      <c r="BW208" s="18"/>
    </row>
    <row r="209" spans="2:75" x14ac:dyDescent="0.3">
      <c r="B209" s="20" t="s">
        <v>703</v>
      </c>
      <c r="C209" s="20" t="s">
        <v>703</v>
      </c>
      <c r="D209" s="57" t="s">
        <v>1213</v>
      </c>
      <c r="E209" s="58" t="s">
        <v>986</v>
      </c>
      <c r="F209" s="96"/>
      <c r="G209" s="96"/>
      <c r="H209" s="58" t="s">
        <v>110</v>
      </c>
      <c r="I209" s="58" t="s">
        <v>110</v>
      </c>
      <c r="J209" s="59">
        <v>772723</v>
      </c>
      <c r="K209" s="95" t="s">
        <v>1466</v>
      </c>
      <c r="L209" s="95"/>
      <c r="M209" s="58" t="s">
        <v>72</v>
      </c>
      <c r="N209" s="59">
        <v>11</v>
      </c>
      <c r="O209" s="58" t="s">
        <v>40</v>
      </c>
      <c r="P209" s="58" t="s">
        <v>704</v>
      </c>
      <c r="Q209" s="58" t="s">
        <v>92</v>
      </c>
      <c r="R209" s="58" t="s">
        <v>705</v>
      </c>
      <c r="S209" s="58" t="s">
        <v>692</v>
      </c>
      <c r="T209" s="73"/>
      <c r="U209" s="74">
        <f t="shared" si="135"/>
        <v>0</v>
      </c>
      <c r="V209" s="74">
        <v>560000</v>
      </c>
      <c r="W209" s="74"/>
      <c r="X209" s="74">
        <v>421210</v>
      </c>
      <c r="Y209" s="74"/>
      <c r="Z209" s="74">
        <v>330.51</v>
      </c>
      <c r="AA209" s="75" t="s">
        <v>43</v>
      </c>
      <c r="AB209" s="74"/>
      <c r="AC209" s="74"/>
      <c r="AD209" s="75" t="s">
        <v>43</v>
      </c>
      <c r="AE209" s="74"/>
      <c r="AF209" s="74"/>
      <c r="AG209" s="74">
        <v>0</v>
      </c>
      <c r="AH209" s="75" t="s">
        <v>42</v>
      </c>
      <c r="AI209" s="74"/>
      <c r="AJ209" s="74">
        <f t="shared" si="136"/>
        <v>567811.68265039229</v>
      </c>
      <c r="AK209" s="74">
        <f t="shared" si="137"/>
        <v>0</v>
      </c>
      <c r="AL209" s="74">
        <f t="shared" si="138"/>
        <v>593687.88142981683</v>
      </c>
      <c r="AM209" s="74">
        <f t="shared" si="139"/>
        <v>0</v>
      </c>
      <c r="AN209" s="74">
        <f t="shared" si="140"/>
        <v>623372.27550130768</v>
      </c>
      <c r="AO209" s="74">
        <f t="shared" si="141"/>
        <v>0</v>
      </c>
      <c r="AP209" s="74">
        <f t="shared" si="145"/>
        <v>623372.27550130768</v>
      </c>
      <c r="AQ209" s="74">
        <f t="shared" si="142"/>
        <v>0</v>
      </c>
      <c r="AR209" s="76">
        <v>113.9</v>
      </c>
      <c r="AS209" s="74">
        <f t="shared" si="146"/>
        <v>623372.27550130768</v>
      </c>
      <c r="AT209" s="76">
        <v>105</v>
      </c>
      <c r="AU209" s="74">
        <f t="shared" si="143"/>
        <v>0</v>
      </c>
      <c r="AV209" s="76">
        <v>124</v>
      </c>
      <c r="AW209" s="74">
        <f t="shared" si="144"/>
        <v>724299.21534437651</v>
      </c>
      <c r="AX209" s="76">
        <v>122</v>
      </c>
      <c r="AY209" s="77">
        <f t="shared" si="133"/>
        <v>0</v>
      </c>
      <c r="AZ209" s="78">
        <v>125.2</v>
      </c>
      <c r="BA209" s="77">
        <f t="shared" si="134"/>
        <v>732018</v>
      </c>
      <c r="BB209" s="78">
        <v>123.3</v>
      </c>
      <c r="BC209" s="79">
        <v>38527</v>
      </c>
      <c r="BD209" s="59"/>
      <c r="BE209" s="80">
        <v>248.6</v>
      </c>
      <c r="BF209" s="80">
        <v>248.6</v>
      </c>
      <c r="BG209" s="80">
        <v>246.41</v>
      </c>
      <c r="BH209" s="73"/>
      <c r="BI209" s="73"/>
      <c r="BJ209" s="73"/>
      <c r="BK209" s="73"/>
      <c r="BL209" s="79">
        <v>42997</v>
      </c>
      <c r="BM209" s="79">
        <v>38545</v>
      </c>
      <c r="BN209" s="58" t="s">
        <v>44</v>
      </c>
      <c r="BO209" s="58" t="s">
        <v>198</v>
      </c>
      <c r="BP209" s="58" t="s">
        <v>184</v>
      </c>
      <c r="BQ209">
        <v>2016</v>
      </c>
      <c r="BR209" s="59"/>
      <c r="BV209" s="18"/>
      <c r="BW209" s="18"/>
    </row>
    <row r="210" spans="2:75" x14ac:dyDescent="0.3">
      <c r="B210" s="20" t="s">
        <v>706</v>
      </c>
      <c r="C210" s="20" t="s">
        <v>706</v>
      </c>
      <c r="D210" s="57" t="s">
        <v>1213</v>
      </c>
      <c r="E210" s="58" t="s">
        <v>986</v>
      </c>
      <c r="F210" s="96"/>
      <c r="G210" s="96"/>
      <c r="H210" s="58" t="s">
        <v>110</v>
      </c>
      <c r="I210" s="58" t="s">
        <v>110</v>
      </c>
      <c r="J210" s="59">
        <v>772723</v>
      </c>
      <c r="K210" s="95" t="s">
        <v>1466</v>
      </c>
      <c r="L210" s="95"/>
      <c r="M210" s="58" t="s">
        <v>72</v>
      </c>
      <c r="N210" s="59">
        <v>11</v>
      </c>
      <c r="O210" s="58" t="s">
        <v>40</v>
      </c>
      <c r="P210" s="58" t="s">
        <v>707</v>
      </c>
      <c r="Q210" s="58" t="s">
        <v>217</v>
      </c>
      <c r="R210" s="58" t="s">
        <v>708</v>
      </c>
      <c r="S210" s="58" t="s">
        <v>692</v>
      </c>
      <c r="T210" s="73"/>
      <c r="U210" s="74">
        <f t="shared" si="135"/>
        <v>0</v>
      </c>
      <c r="V210" s="74">
        <v>400000</v>
      </c>
      <c r="W210" s="74"/>
      <c r="X210" s="74">
        <v>742731</v>
      </c>
      <c r="Y210" s="74"/>
      <c r="Z210" s="74">
        <v>236.08</v>
      </c>
      <c r="AA210" s="75" t="s">
        <v>43</v>
      </c>
      <c r="AB210" s="74"/>
      <c r="AC210" s="74"/>
      <c r="AD210" s="75" t="s">
        <v>43</v>
      </c>
      <c r="AE210" s="74"/>
      <c r="AF210" s="74"/>
      <c r="AG210" s="74">
        <v>0</v>
      </c>
      <c r="AH210" s="75" t="s">
        <v>42</v>
      </c>
      <c r="AI210" s="74"/>
      <c r="AJ210" s="74">
        <f t="shared" si="136"/>
        <v>405579.77332170878</v>
      </c>
      <c r="AK210" s="74">
        <f t="shared" si="137"/>
        <v>0</v>
      </c>
      <c r="AL210" s="74">
        <f t="shared" si="138"/>
        <v>424062.77244986914</v>
      </c>
      <c r="AM210" s="74">
        <f t="shared" si="139"/>
        <v>0</v>
      </c>
      <c r="AN210" s="74">
        <f t="shared" si="140"/>
        <v>445265.91107236262</v>
      </c>
      <c r="AO210" s="74">
        <f t="shared" si="141"/>
        <v>0</v>
      </c>
      <c r="AP210" s="74">
        <f t="shared" si="145"/>
        <v>445265.91107236262</v>
      </c>
      <c r="AQ210" s="74">
        <f t="shared" si="142"/>
        <v>0</v>
      </c>
      <c r="AR210" s="76">
        <v>113.9</v>
      </c>
      <c r="AS210" s="74">
        <f t="shared" si="146"/>
        <v>445265.91107236262</v>
      </c>
      <c r="AT210" s="76">
        <v>105</v>
      </c>
      <c r="AU210" s="74">
        <f t="shared" si="143"/>
        <v>0</v>
      </c>
      <c r="AV210" s="76">
        <v>124</v>
      </c>
      <c r="AW210" s="74">
        <f t="shared" si="144"/>
        <v>517356.58238884032</v>
      </c>
      <c r="AX210" s="76">
        <v>122</v>
      </c>
      <c r="AY210" s="77">
        <f t="shared" si="133"/>
        <v>0</v>
      </c>
      <c r="AZ210" s="78">
        <v>125.2</v>
      </c>
      <c r="BA210" s="77">
        <f t="shared" si="134"/>
        <v>522870</v>
      </c>
      <c r="BB210" s="78">
        <v>123.3</v>
      </c>
      <c r="BC210" s="79">
        <v>38527</v>
      </c>
      <c r="BD210" s="59"/>
      <c r="BE210" s="80">
        <v>438.36</v>
      </c>
      <c r="BF210" s="80">
        <v>438.36</v>
      </c>
      <c r="BG210" s="80">
        <v>434.51</v>
      </c>
      <c r="BH210" s="73"/>
      <c r="BI210" s="73"/>
      <c r="BJ210" s="73"/>
      <c r="BK210" s="73"/>
      <c r="BL210" s="79">
        <v>42997</v>
      </c>
      <c r="BM210" s="79">
        <v>38545</v>
      </c>
      <c r="BN210" s="58" t="s">
        <v>44</v>
      </c>
      <c r="BO210" s="58" t="s">
        <v>198</v>
      </c>
      <c r="BP210" s="58" t="s">
        <v>184</v>
      </c>
      <c r="BQ210">
        <v>2016</v>
      </c>
      <c r="BR210" s="59"/>
      <c r="BV210" s="18"/>
      <c r="BW210" s="18"/>
    </row>
    <row r="211" spans="2:75" x14ac:dyDescent="0.3">
      <c r="B211" s="20" t="s">
        <v>709</v>
      </c>
      <c r="C211" s="20" t="s">
        <v>709</v>
      </c>
      <c r="D211" s="57" t="s">
        <v>1213</v>
      </c>
      <c r="E211" s="58" t="s">
        <v>986</v>
      </c>
      <c r="F211" s="96"/>
      <c r="G211" s="96"/>
      <c r="H211" s="58" t="s">
        <v>110</v>
      </c>
      <c r="I211" s="58" t="s">
        <v>110</v>
      </c>
      <c r="J211" s="59">
        <v>772723</v>
      </c>
      <c r="K211" s="95" t="s">
        <v>43</v>
      </c>
      <c r="L211" s="95"/>
      <c r="M211" s="58" t="s">
        <v>72</v>
      </c>
      <c r="N211" s="59">
        <v>12</v>
      </c>
      <c r="O211" s="58" t="s">
        <v>49</v>
      </c>
      <c r="P211" s="58" t="s">
        <v>710</v>
      </c>
      <c r="Q211" s="58" t="s">
        <v>42</v>
      </c>
      <c r="R211" s="58" t="s">
        <v>711</v>
      </c>
      <c r="S211" s="58" t="s">
        <v>42</v>
      </c>
      <c r="T211" s="73">
        <v>1100000</v>
      </c>
      <c r="U211" s="74">
        <f t="shared" si="135"/>
        <v>1116350.1238645748</v>
      </c>
      <c r="V211" s="74">
        <v>145000</v>
      </c>
      <c r="W211" s="74">
        <v>1200000</v>
      </c>
      <c r="X211" s="74">
        <v>320500</v>
      </c>
      <c r="Y211" s="74">
        <v>649.22</v>
      </c>
      <c r="Z211" s="74">
        <v>85.58</v>
      </c>
      <c r="AA211" s="75" t="s">
        <v>43</v>
      </c>
      <c r="AB211" s="74"/>
      <c r="AC211" s="74"/>
      <c r="AD211" s="75" t="s">
        <v>43</v>
      </c>
      <c r="AE211" s="74"/>
      <c r="AF211" s="74"/>
      <c r="AG211" s="74">
        <v>0</v>
      </c>
      <c r="AH211" s="75" t="s">
        <v>42</v>
      </c>
      <c r="AI211" s="74"/>
      <c r="AJ211" s="74">
        <f t="shared" si="136"/>
        <v>147022.66782911943</v>
      </c>
      <c r="AK211" s="74">
        <f t="shared" si="137"/>
        <v>1263501.2386457473</v>
      </c>
      <c r="AL211" s="74">
        <f t="shared" si="138"/>
        <v>153722.75501307758</v>
      </c>
      <c r="AM211" s="74">
        <f t="shared" si="139"/>
        <v>1326676.3005780347</v>
      </c>
      <c r="AN211" s="74">
        <f t="shared" si="140"/>
        <v>161408.89276373148</v>
      </c>
      <c r="AO211" s="74">
        <f t="shared" si="141"/>
        <v>1364581.3377374073</v>
      </c>
      <c r="AP211" s="74">
        <f t="shared" si="145"/>
        <v>161408.89276373148</v>
      </c>
      <c r="AQ211" s="74">
        <f t="shared" si="142"/>
        <v>1439127.9108175065</v>
      </c>
      <c r="AR211" s="76">
        <v>113.9</v>
      </c>
      <c r="AS211" s="74">
        <v>0</v>
      </c>
      <c r="AT211" s="76">
        <v>105</v>
      </c>
      <c r="AU211" s="74">
        <f t="shared" si="143"/>
        <v>1566741.5359207268</v>
      </c>
      <c r="AV211" s="76">
        <v>124</v>
      </c>
      <c r="AW211" s="74">
        <f t="shared" si="144"/>
        <v>0</v>
      </c>
      <c r="AX211" s="76">
        <v>122</v>
      </c>
      <c r="AY211" s="77">
        <f t="shared" si="133"/>
        <v>1581904</v>
      </c>
      <c r="AZ211" s="78">
        <v>125.2</v>
      </c>
      <c r="BA211" s="77">
        <f t="shared" si="134"/>
        <v>0</v>
      </c>
      <c r="BB211" s="78">
        <v>123.3</v>
      </c>
      <c r="BC211" s="79">
        <v>42555</v>
      </c>
      <c r="BD211" s="59"/>
      <c r="BE211" s="80">
        <v>897.4</v>
      </c>
      <c r="BF211" s="80"/>
      <c r="BG211" s="80"/>
      <c r="BH211" s="73"/>
      <c r="BI211" s="73"/>
      <c r="BJ211" s="73"/>
      <c r="BK211" s="73"/>
      <c r="BL211" s="79">
        <v>42997</v>
      </c>
      <c r="BM211" s="79">
        <v>42808</v>
      </c>
      <c r="BN211" s="58" t="s">
        <v>44</v>
      </c>
      <c r="BO211" s="58" t="s">
        <v>44</v>
      </c>
      <c r="BP211" s="58" t="s">
        <v>221</v>
      </c>
      <c r="BQ211">
        <v>2016</v>
      </c>
      <c r="BR211" s="59"/>
      <c r="BV211" s="18"/>
      <c r="BW211" s="18"/>
    </row>
    <row r="212" spans="2:75" x14ac:dyDescent="0.3">
      <c r="B212" s="20" t="s">
        <v>599</v>
      </c>
      <c r="C212" s="20" t="s">
        <v>599</v>
      </c>
      <c r="D212" s="57" t="s">
        <v>1400</v>
      </c>
      <c r="E212" s="58" t="s">
        <v>1101</v>
      </c>
      <c r="F212" s="97" t="s">
        <v>1473</v>
      </c>
      <c r="G212" s="97" t="s">
        <v>1473</v>
      </c>
      <c r="H212" s="58" t="s">
        <v>137</v>
      </c>
      <c r="I212" s="58" t="s">
        <v>137</v>
      </c>
      <c r="J212" s="59">
        <v>8026</v>
      </c>
      <c r="K212" s="95" t="s">
        <v>1440</v>
      </c>
      <c r="L212" s="104" t="s">
        <v>1471</v>
      </c>
      <c r="M212" s="58" t="s">
        <v>600</v>
      </c>
      <c r="N212" s="59">
        <v>16</v>
      </c>
      <c r="O212" s="58" t="s">
        <v>262</v>
      </c>
      <c r="P212" s="58" t="s">
        <v>601</v>
      </c>
      <c r="Q212" s="58" t="s">
        <v>42</v>
      </c>
      <c r="R212" s="58" t="s">
        <v>602</v>
      </c>
      <c r="S212" s="58" t="s">
        <v>42</v>
      </c>
      <c r="T212" s="73">
        <v>46490000</v>
      </c>
      <c r="U212" s="74">
        <f t="shared" si="135"/>
        <v>47181015.689512804</v>
      </c>
      <c r="V212" s="74">
        <v>6145000</v>
      </c>
      <c r="W212" s="74">
        <v>47885274</v>
      </c>
      <c r="X212" s="74">
        <v>6797734</v>
      </c>
      <c r="Y212" s="74">
        <v>27438.400000000001</v>
      </c>
      <c r="Z212" s="74">
        <v>3626.78</v>
      </c>
      <c r="AA212" s="75" t="s">
        <v>43</v>
      </c>
      <c r="AB212" s="74"/>
      <c r="AC212" s="74"/>
      <c r="AD212" s="75" t="s">
        <v>43</v>
      </c>
      <c r="AE212" s="74"/>
      <c r="AF212" s="74"/>
      <c r="AG212" s="74">
        <v>0</v>
      </c>
      <c r="AH212" s="75" t="s">
        <v>42</v>
      </c>
      <c r="AI212" s="74"/>
      <c r="AJ212" s="74">
        <f t="shared" si="136"/>
        <v>6230719.2676547514</v>
      </c>
      <c r="AK212" s="74">
        <f t="shared" si="137"/>
        <v>53400156.895127997</v>
      </c>
      <c r="AL212" s="74">
        <f t="shared" si="138"/>
        <v>6514664.341761115</v>
      </c>
      <c r="AM212" s="74">
        <f t="shared" si="139"/>
        <v>56070164.739884399</v>
      </c>
      <c r="AN212" s="74">
        <f t="shared" si="140"/>
        <v>6840397.5588491708</v>
      </c>
      <c r="AO212" s="74">
        <f>AM212/105*108+438199</f>
        <v>58110368.446738236</v>
      </c>
      <c r="AP212" s="74">
        <f t="shared" si="145"/>
        <v>6840397.5588491708</v>
      </c>
      <c r="AQ212" s="74">
        <f t="shared" si="142"/>
        <v>61284916.352624856</v>
      </c>
      <c r="AR212" s="76">
        <v>113.9</v>
      </c>
      <c r="AS212" s="74">
        <f t="shared" ref="AS212:AS231" si="147">AP212</f>
        <v>6840397.5588491708</v>
      </c>
      <c r="AT212" s="76">
        <v>105</v>
      </c>
      <c r="AU212" s="74">
        <f t="shared" si="143"/>
        <v>66719311.920329079</v>
      </c>
      <c r="AV212" s="76">
        <v>124</v>
      </c>
      <c r="AW212" s="74">
        <f t="shared" si="144"/>
        <v>7947890.4969485607</v>
      </c>
      <c r="AX212" s="76">
        <v>122</v>
      </c>
      <c r="AY212" s="77">
        <f t="shared" si="133"/>
        <v>67364983</v>
      </c>
      <c r="AZ212" s="78">
        <v>125.2</v>
      </c>
      <c r="BA212" s="77">
        <f t="shared" si="134"/>
        <v>8032582</v>
      </c>
      <c r="BB212" s="78">
        <v>123.3</v>
      </c>
      <c r="BC212" s="79">
        <v>41693</v>
      </c>
      <c r="BD212" s="59"/>
      <c r="BE212" s="80">
        <v>32273.91</v>
      </c>
      <c r="BF212" s="80">
        <v>32083.91</v>
      </c>
      <c r="BG212" s="80">
        <v>31716.17</v>
      </c>
      <c r="BH212" s="73"/>
      <c r="BI212" s="73"/>
      <c r="BJ212" s="73"/>
      <c r="BK212" s="73"/>
      <c r="BL212" s="79">
        <v>42997</v>
      </c>
      <c r="BM212" s="79">
        <v>42142</v>
      </c>
      <c r="BN212" s="58" t="s">
        <v>44</v>
      </c>
      <c r="BO212" s="58" t="s">
        <v>44</v>
      </c>
      <c r="BP212" s="58" t="s">
        <v>221</v>
      </c>
      <c r="BQ212">
        <v>2016</v>
      </c>
      <c r="BR212" s="59" t="s">
        <v>1021</v>
      </c>
      <c r="BV212" s="18"/>
      <c r="BW212" s="18"/>
    </row>
    <row r="213" spans="2:75" x14ac:dyDescent="0.3">
      <c r="B213" s="20" t="s">
        <v>712</v>
      </c>
      <c r="C213" s="20" t="s">
        <v>1340</v>
      </c>
      <c r="D213" s="57" t="s">
        <v>1214</v>
      </c>
      <c r="E213" s="58" t="s">
        <v>713</v>
      </c>
      <c r="F213" s="96"/>
      <c r="G213" s="96"/>
      <c r="H213" s="58" t="s">
        <v>713</v>
      </c>
      <c r="I213" s="58" t="s">
        <v>713</v>
      </c>
      <c r="J213" s="59">
        <v>777772</v>
      </c>
      <c r="K213" s="95" t="s">
        <v>43</v>
      </c>
      <c r="L213" s="95"/>
      <c r="M213" s="58" t="s">
        <v>39</v>
      </c>
      <c r="N213" s="59">
        <v>12</v>
      </c>
      <c r="O213" s="58" t="s">
        <v>49</v>
      </c>
      <c r="P213" s="58" t="s">
        <v>714</v>
      </c>
      <c r="Q213" s="58" t="s">
        <v>42</v>
      </c>
      <c r="R213" s="58" t="s">
        <v>715</v>
      </c>
      <c r="S213" s="58" t="s">
        <v>42</v>
      </c>
      <c r="T213" s="73">
        <v>530000</v>
      </c>
      <c r="U213" s="74">
        <f t="shared" si="135"/>
        <v>537877.78695293143</v>
      </c>
      <c r="V213" s="74"/>
      <c r="W213" s="74">
        <v>256687</v>
      </c>
      <c r="X213" s="74"/>
      <c r="Y213" s="74">
        <v>312.81</v>
      </c>
      <c r="Z213" s="74"/>
      <c r="AA213" s="75" t="s">
        <v>43</v>
      </c>
      <c r="AB213" s="74"/>
      <c r="AC213" s="74"/>
      <c r="AD213" s="75" t="s">
        <v>43</v>
      </c>
      <c r="AE213" s="74"/>
      <c r="AF213" s="74"/>
      <c r="AG213" s="74">
        <v>0</v>
      </c>
      <c r="AH213" s="75" t="s">
        <v>42</v>
      </c>
      <c r="AI213" s="74"/>
      <c r="AJ213" s="74">
        <f t="shared" si="136"/>
        <v>0</v>
      </c>
      <c r="AK213" s="74">
        <f t="shared" si="137"/>
        <v>608777.86952931457</v>
      </c>
      <c r="AL213" s="74">
        <f t="shared" si="138"/>
        <v>0</v>
      </c>
      <c r="AM213" s="74">
        <f t="shared" si="139"/>
        <v>639216.76300578029</v>
      </c>
      <c r="AN213" s="74">
        <f t="shared" si="140"/>
        <v>0</v>
      </c>
      <c r="AO213" s="74">
        <f>AM213/105*108</f>
        <v>657480.09909165977</v>
      </c>
      <c r="AP213" s="74">
        <f t="shared" si="145"/>
        <v>0</v>
      </c>
      <c r="AQ213" s="74">
        <f t="shared" si="142"/>
        <v>693397.99339388928</v>
      </c>
      <c r="AR213" s="76">
        <v>113.9</v>
      </c>
      <c r="AS213" s="74">
        <f t="shared" si="147"/>
        <v>0</v>
      </c>
      <c r="AT213" s="76">
        <v>105</v>
      </c>
      <c r="AU213" s="74">
        <f t="shared" si="143"/>
        <v>754884.55821635004</v>
      </c>
      <c r="AV213" s="76">
        <v>124</v>
      </c>
      <c r="AW213" s="74">
        <f t="shared" si="144"/>
        <v>0</v>
      </c>
      <c r="AX213" s="76">
        <v>122</v>
      </c>
      <c r="AY213" s="77">
        <f t="shared" si="133"/>
        <v>762190</v>
      </c>
      <c r="AZ213" s="78">
        <v>125.2</v>
      </c>
      <c r="BA213" s="77">
        <f t="shared" si="134"/>
        <v>0</v>
      </c>
      <c r="BB213" s="78">
        <v>123.3</v>
      </c>
      <c r="BC213" s="79">
        <v>41275</v>
      </c>
      <c r="BD213" s="59"/>
      <c r="BE213" s="80">
        <v>151.5</v>
      </c>
      <c r="BF213" s="80">
        <v>150.47999999999999</v>
      </c>
      <c r="BG213" s="80">
        <v>148.69999999999999</v>
      </c>
      <c r="BH213" s="73"/>
      <c r="BI213" s="73"/>
      <c r="BJ213" s="73"/>
      <c r="BK213" s="73"/>
      <c r="BL213" s="79">
        <v>42997</v>
      </c>
      <c r="BM213" s="79">
        <v>41663</v>
      </c>
      <c r="BN213" s="58" t="s">
        <v>44</v>
      </c>
      <c r="BO213" s="58" t="s">
        <v>44</v>
      </c>
      <c r="BP213" s="58" t="s">
        <v>221</v>
      </c>
      <c r="BQ213">
        <v>2016</v>
      </c>
      <c r="BR213" s="59"/>
      <c r="BV213" s="18"/>
      <c r="BW213" s="18"/>
    </row>
    <row r="214" spans="2:75" x14ac:dyDescent="0.3">
      <c r="B214" s="20" t="s">
        <v>716</v>
      </c>
      <c r="C214" s="20" t="s">
        <v>1341</v>
      </c>
      <c r="D214" s="57" t="e">
        <v>#N/A</v>
      </c>
      <c r="E214" s="58" t="s">
        <v>713</v>
      </c>
      <c r="F214" s="96"/>
      <c r="G214" s="96"/>
      <c r="H214" s="58" t="s">
        <v>713</v>
      </c>
      <c r="I214" s="58" t="s">
        <v>713</v>
      </c>
      <c r="J214" s="59">
        <v>772724</v>
      </c>
      <c r="K214" s="95" t="s">
        <v>43</v>
      </c>
      <c r="L214" s="95"/>
      <c r="M214" s="58" t="s">
        <v>66</v>
      </c>
      <c r="N214" s="59">
        <v>21</v>
      </c>
      <c r="O214" s="58" t="s">
        <v>143</v>
      </c>
      <c r="P214" s="58" t="s">
        <v>717</v>
      </c>
      <c r="Q214" s="58" t="s">
        <v>245</v>
      </c>
      <c r="R214" s="58" t="s">
        <v>718</v>
      </c>
      <c r="S214" s="58" t="s">
        <v>42</v>
      </c>
      <c r="T214" s="73">
        <v>270000</v>
      </c>
      <c r="U214" s="74">
        <f t="shared" si="135"/>
        <v>274013.21222130471</v>
      </c>
      <c r="V214" s="74"/>
      <c r="W214" s="74">
        <v>246620</v>
      </c>
      <c r="X214" s="74"/>
      <c r="Y214" s="74">
        <v>159.35</v>
      </c>
      <c r="Z214" s="74"/>
      <c r="AA214" s="75" t="s">
        <v>43</v>
      </c>
      <c r="AB214" s="74"/>
      <c r="AC214" s="74"/>
      <c r="AD214" s="75" t="s">
        <v>43</v>
      </c>
      <c r="AE214" s="74"/>
      <c r="AF214" s="74"/>
      <c r="AG214" s="74">
        <v>0</v>
      </c>
      <c r="AH214" s="75" t="s">
        <v>42</v>
      </c>
      <c r="AI214" s="74"/>
      <c r="AJ214" s="74">
        <f t="shared" si="136"/>
        <v>0</v>
      </c>
      <c r="AK214" s="74">
        <f t="shared" si="137"/>
        <v>310132.12221304706</v>
      </c>
      <c r="AL214" s="74">
        <f t="shared" si="138"/>
        <v>0</v>
      </c>
      <c r="AM214" s="74">
        <f t="shared" si="139"/>
        <v>325638.72832369944</v>
      </c>
      <c r="AN214" s="74">
        <f t="shared" si="140"/>
        <v>0</v>
      </c>
      <c r="AO214" s="74">
        <f>AM214/105*108</f>
        <v>334942.69199009083</v>
      </c>
      <c r="AP214" s="74">
        <f t="shared" si="145"/>
        <v>0</v>
      </c>
      <c r="AQ214" s="74">
        <f t="shared" si="142"/>
        <v>353240.48720066063</v>
      </c>
      <c r="AR214" s="76">
        <v>113.9</v>
      </c>
      <c r="AS214" s="74">
        <f t="shared" si="147"/>
        <v>0</v>
      </c>
      <c r="AT214" s="76">
        <v>105</v>
      </c>
      <c r="AU214" s="74">
        <f t="shared" si="143"/>
        <v>384563.83154417836</v>
      </c>
      <c r="AV214" s="76">
        <v>124</v>
      </c>
      <c r="AW214" s="74">
        <f t="shared" si="144"/>
        <v>0</v>
      </c>
      <c r="AX214" s="76">
        <v>122</v>
      </c>
      <c r="AY214" s="77">
        <f t="shared" si="133"/>
        <v>388286</v>
      </c>
      <c r="AZ214" s="78">
        <v>125.2</v>
      </c>
      <c r="BA214" s="77">
        <f t="shared" si="134"/>
        <v>0</v>
      </c>
      <c r="BB214" s="78">
        <v>123.3</v>
      </c>
      <c r="BC214" s="59"/>
      <c r="BD214" s="59"/>
      <c r="BE214" s="80">
        <v>145.56</v>
      </c>
      <c r="BF214" s="80">
        <v>144.58000000000001</v>
      </c>
      <c r="BG214" s="80">
        <v>142.86000000000001</v>
      </c>
      <c r="BH214" s="73"/>
      <c r="BI214" s="73"/>
      <c r="BJ214" s="73"/>
      <c r="BK214" s="73"/>
      <c r="BL214" s="79">
        <v>42997</v>
      </c>
      <c r="BM214" s="79">
        <v>36434</v>
      </c>
      <c r="BN214" s="58" t="s">
        <v>44</v>
      </c>
      <c r="BO214" s="58" t="s">
        <v>70</v>
      </c>
      <c r="BP214" s="58" t="s">
        <v>184</v>
      </c>
      <c r="BQ214">
        <v>2016</v>
      </c>
      <c r="BR214" s="59"/>
      <c r="BV214" s="18"/>
      <c r="BW214" s="18"/>
    </row>
    <row r="215" spans="2:75" x14ac:dyDescent="0.3">
      <c r="B215" s="20" t="s">
        <v>719</v>
      </c>
      <c r="C215" s="20" t="s">
        <v>719</v>
      </c>
      <c r="D215" s="57" t="e">
        <v>#N/A</v>
      </c>
      <c r="E215" s="58" t="s">
        <v>986</v>
      </c>
      <c r="F215" s="96"/>
      <c r="G215" s="96"/>
      <c r="H215" s="58" t="s">
        <v>270</v>
      </c>
      <c r="I215" s="58" t="s">
        <v>270</v>
      </c>
      <c r="J215" s="59">
        <v>772724</v>
      </c>
      <c r="K215" s="95" t="s">
        <v>43</v>
      </c>
      <c r="L215" s="95"/>
      <c r="M215" s="58" t="s">
        <v>66</v>
      </c>
      <c r="N215" s="59">
        <v>11</v>
      </c>
      <c r="O215" s="58" t="s">
        <v>40</v>
      </c>
      <c r="P215" s="58" t="s">
        <v>720</v>
      </c>
      <c r="Q215" s="58" t="s">
        <v>95</v>
      </c>
      <c r="R215" s="58" t="s">
        <v>721</v>
      </c>
      <c r="S215" s="58" t="s">
        <v>42</v>
      </c>
      <c r="T215" s="73"/>
      <c r="U215" s="74">
        <f t="shared" si="135"/>
        <v>0</v>
      </c>
      <c r="V215" s="74">
        <v>776590</v>
      </c>
      <c r="W215" s="74">
        <v>763116</v>
      </c>
      <c r="X215" s="74"/>
      <c r="Y215" s="74"/>
      <c r="Z215" s="74">
        <v>458.34</v>
      </c>
      <c r="AA215" s="75" t="s">
        <v>43</v>
      </c>
      <c r="AB215" s="74"/>
      <c r="AC215" s="74"/>
      <c r="AD215" s="75" t="s">
        <v>43</v>
      </c>
      <c r="AE215" s="74"/>
      <c r="AF215" s="74"/>
      <c r="AG215" s="74">
        <v>0</v>
      </c>
      <c r="AH215" s="75" t="s">
        <v>42</v>
      </c>
      <c r="AI215" s="74"/>
      <c r="AJ215" s="74">
        <f t="shared" si="136"/>
        <v>787422.99040976458</v>
      </c>
      <c r="AK215" s="74">
        <f t="shared" si="137"/>
        <v>0</v>
      </c>
      <c r="AL215" s="74">
        <f t="shared" si="138"/>
        <v>823307.27114210976</v>
      </c>
      <c r="AM215" s="74">
        <f t="shared" si="139"/>
        <v>0</v>
      </c>
      <c r="AN215" s="74">
        <f t="shared" si="140"/>
        <v>864472.6346992153</v>
      </c>
      <c r="AO215" s="74">
        <f>AM215/105*108</f>
        <v>0</v>
      </c>
      <c r="AP215" s="74">
        <f t="shared" si="145"/>
        <v>864472.6346992153</v>
      </c>
      <c r="AQ215" s="74">
        <f t="shared" si="142"/>
        <v>0</v>
      </c>
      <c r="AR215" s="76">
        <v>113.9</v>
      </c>
      <c r="AS215" s="74">
        <f t="shared" si="147"/>
        <v>864472.6346992153</v>
      </c>
      <c r="AT215" s="76">
        <v>105</v>
      </c>
      <c r="AU215" s="74">
        <f t="shared" si="143"/>
        <v>0</v>
      </c>
      <c r="AV215" s="76">
        <v>124</v>
      </c>
      <c r="AW215" s="74">
        <f t="shared" si="144"/>
        <v>1004434.870793374</v>
      </c>
      <c r="AX215" s="76">
        <v>122</v>
      </c>
      <c r="AY215" s="77">
        <f t="shared" si="133"/>
        <v>0</v>
      </c>
      <c r="AZ215" s="78">
        <v>125.2</v>
      </c>
      <c r="BA215" s="77">
        <f t="shared" si="134"/>
        <v>1015138</v>
      </c>
      <c r="BB215" s="78">
        <v>123.3</v>
      </c>
      <c r="BC215" s="79">
        <v>37917</v>
      </c>
      <c r="BD215" s="59"/>
      <c r="BE215" s="80">
        <v>450.39</v>
      </c>
      <c r="BF215" s="80">
        <v>447.36</v>
      </c>
      <c r="BG215" s="80">
        <v>442.06</v>
      </c>
      <c r="BH215" s="73"/>
      <c r="BI215" s="73"/>
      <c r="BJ215" s="73"/>
      <c r="BK215" s="73"/>
      <c r="BL215" s="79">
        <v>42999</v>
      </c>
      <c r="BM215" s="79">
        <v>37978</v>
      </c>
      <c r="BN215" s="58" t="s">
        <v>44</v>
      </c>
      <c r="BO215" s="58" t="s">
        <v>44</v>
      </c>
      <c r="BP215" s="58" t="s">
        <v>722</v>
      </c>
      <c r="BQ215">
        <v>2016</v>
      </c>
      <c r="BR215" s="59"/>
      <c r="BV215" s="18"/>
      <c r="BW215" s="18"/>
    </row>
    <row r="216" spans="2:75" x14ac:dyDescent="0.3">
      <c r="B216" s="20" t="s">
        <v>723</v>
      </c>
      <c r="C216" s="20" t="s">
        <v>1342</v>
      </c>
      <c r="D216" s="57" t="e">
        <v>#N/A</v>
      </c>
      <c r="E216" s="58" t="s">
        <v>1385</v>
      </c>
      <c r="F216" s="96"/>
      <c r="G216" s="96"/>
      <c r="H216" s="58" t="s">
        <v>632</v>
      </c>
      <c r="I216" s="58" t="s">
        <v>632</v>
      </c>
      <c r="J216" s="59">
        <v>779790</v>
      </c>
      <c r="K216" s="95" t="s">
        <v>43</v>
      </c>
      <c r="L216" s="95"/>
      <c r="M216" s="58" t="s">
        <v>48</v>
      </c>
      <c r="N216" s="59">
        <v>99</v>
      </c>
      <c r="O216" s="58" t="s">
        <v>128</v>
      </c>
      <c r="P216" s="58" t="s">
        <v>724</v>
      </c>
      <c r="Q216" s="58" t="s">
        <v>51</v>
      </c>
      <c r="R216" s="58" t="s">
        <v>725</v>
      </c>
      <c r="S216" s="58" t="s">
        <v>42</v>
      </c>
      <c r="T216" s="73">
        <v>480000</v>
      </c>
      <c r="U216" s="74">
        <f t="shared" si="135"/>
        <v>487134.59950454172</v>
      </c>
      <c r="V216" s="74">
        <v>210000</v>
      </c>
      <c r="W216" s="74">
        <v>443917</v>
      </c>
      <c r="X216" s="74">
        <v>119634</v>
      </c>
      <c r="Y216" s="74">
        <v>283.3</v>
      </c>
      <c r="Z216" s="74">
        <v>123.94</v>
      </c>
      <c r="AA216" s="75" t="s">
        <v>43</v>
      </c>
      <c r="AB216" s="74"/>
      <c r="AC216" s="74"/>
      <c r="AD216" s="75" t="s">
        <v>43</v>
      </c>
      <c r="AE216" s="74"/>
      <c r="AF216" s="74"/>
      <c r="AG216" s="74">
        <v>0</v>
      </c>
      <c r="AH216" s="75" t="s">
        <v>42</v>
      </c>
      <c r="AI216" s="74"/>
      <c r="AJ216" s="74">
        <f t="shared" si="136"/>
        <v>212929.38099389712</v>
      </c>
      <c r="AK216" s="74">
        <f t="shared" si="137"/>
        <v>551345.99504541699</v>
      </c>
      <c r="AL216" s="74">
        <f t="shared" si="138"/>
        <v>222632.95553618134</v>
      </c>
      <c r="AM216" s="74">
        <f t="shared" si="139"/>
        <v>578913.29479768791</v>
      </c>
      <c r="AN216" s="74">
        <f t="shared" si="140"/>
        <v>233764.60331299042</v>
      </c>
      <c r="AO216" s="74"/>
      <c r="AP216" s="74"/>
      <c r="AQ216" s="74">
        <f t="shared" si="142"/>
        <v>0</v>
      </c>
      <c r="AR216" s="76">
        <v>113.9</v>
      </c>
      <c r="AS216" s="74">
        <f t="shared" si="147"/>
        <v>0</v>
      </c>
      <c r="AT216" s="76">
        <v>105</v>
      </c>
      <c r="AU216" s="74">
        <f t="shared" si="143"/>
        <v>0</v>
      </c>
      <c r="AV216" s="76">
        <v>124</v>
      </c>
      <c r="AW216" s="74">
        <f t="shared" si="144"/>
        <v>0</v>
      </c>
      <c r="AX216" s="76">
        <v>122</v>
      </c>
      <c r="AY216" s="77">
        <f t="shared" si="133"/>
        <v>0</v>
      </c>
      <c r="AZ216" s="78">
        <v>125.2</v>
      </c>
      <c r="BA216" s="77">
        <f t="shared" si="134"/>
        <v>0</v>
      </c>
      <c r="BB216" s="78">
        <v>123.3</v>
      </c>
      <c r="BC216" s="79">
        <v>36500</v>
      </c>
      <c r="BD216" s="59"/>
      <c r="BE216" s="80">
        <v>332.61</v>
      </c>
      <c r="BF216" s="80">
        <v>330.85</v>
      </c>
      <c r="BG216" s="80">
        <v>327.14999999999998</v>
      </c>
      <c r="BH216" s="73"/>
      <c r="BI216" s="73"/>
      <c r="BJ216" s="73"/>
      <c r="BK216" s="73"/>
      <c r="BL216" s="79">
        <v>43045</v>
      </c>
      <c r="BM216" s="79">
        <v>36434</v>
      </c>
      <c r="BN216" s="58" t="s">
        <v>44</v>
      </c>
      <c r="BO216" s="58" t="s">
        <v>70</v>
      </c>
      <c r="BP216" s="58" t="s">
        <v>184</v>
      </c>
      <c r="BQ216">
        <v>2016</v>
      </c>
      <c r="BR216" s="59"/>
      <c r="BV216" s="18"/>
      <c r="BW216" s="18"/>
    </row>
    <row r="217" spans="2:75" x14ac:dyDescent="0.3">
      <c r="B217" s="20" t="s">
        <v>726</v>
      </c>
      <c r="C217" s="20" t="s">
        <v>726</v>
      </c>
      <c r="D217" s="57" t="s">
        <v>1405</v>
      </c>
      <c r="E217" s="58" t="s">
        <v>1385</v>
      </c>
      <c r="F217" s="96"/>
      <c r="G217" s="96"/>
      <c r="H217" s="58" t="s">
        <v>632</v>
      </c>
      <c r="I217" s="58" t="s">
        <v>632</v>
      </c>
      <c r="J217" s="59">
        <v>777772</v>
      </c>
      <c r="K217" s="95" t="s">
        <v>43</v>
      </c>
      <c r="L217" s="95"/>
      <c r="M217" s="58" t="s">
        <v>39</v>
      </c>
      <c r="N217" s="59">
        <v>12</v>
      </c>
      <c r="O217" s="58" t="s">
        <v>49</v>
      </c>
      <c r="P217" s="58" t="s">
        <v>727</v>
      </c>
      <c r="Q217" s="58" t="s">
        <v>42</v>
      </c>
      <c r="R217" s="58" t="s">
        <v>728</v>
      </c>
      <c r="S217" s="58" t="s">
        <v>42</v>
      </c>
      <c r="T217" s="73">
        <v>1490000</v>
      </c>
      <c r="U217" s="74">
        <f t="shared" si="135"/>
        <v>1512146.9859620149</v>
      </c>
      <c r="V217" s="74"/>
      <c r="W217" s="74">
        <v>225884</v>
      </c>
      <c r="X217" s="74"/>
      <c r="Y217" s="74">
        <v>879.4</v>
      </c>
      <c r="Z217" s="74"/>
      <c r="AA217" s="75" t="s">
        <v>43</v>
      </c>
      <c r="AB217" s="74"/>
      <c r="AC217" s="74"/>
      <c r="AD217" s="75" t="s">
        <v>43</v>
      </c>
      <c r="AE217" s="74"/>
      <c r="AF217" s="74"/>
      <c r="AG217" s="74">
        <v>0</v>
      </c>
      <c r="AH217" s="75" t="s">
        <v>42</v>
      </c>
      <c r="AI217" s="74"/>
      <c r="AJ217" s="74">
        <f t="shared" si="136"/>
        <v>0</v>
      </c>
      <c r="AK217" s="74">
        <f t="shared" si="137"/>
        <v>1711469.8596201485</v>
      </c>
      <c r="AL217" s="74">
        <f t="shared" si="138"/>
        <v>0</v>
      </c>
      <c r="AM217" s="74">
        <f t="shared" si="139"/>
        <v>1797043.3526011561</v>
      </c>
      <c r="AN217" s="74">
        <f t="shared" si="140"/>
        <v>0</v>
      </c>
      <c r="AO217" s="74">
        <f>AM217/105*108</f>
        <v>1848387.4483897607</v>
      </c>
      <c r="AP217" s="74">
        <f t="shared" ref="AP217:AP232" si="148">AN217</f>
        <v>0</v>
      </c>
      <c r="AQ217" s="74">
        <f t="shared" si="142"/>
        <v>1949364.1701073495</v>
      </c>
      <c r="AR217" s="76">
        <v>113.9</v>
      </c>
      <c r="AS217" s="74">
        <f t="shared" si="147"/>
        <v>0</v>
      </c>
      <c r="AT217" s="76">
        <v>105</v>
      </c>
      <c r="AU217" s="74">
        <f t="shared" si="143"/>
        <v>2122222.6259289845</v>
      </c>
      <c r="AV217" s="76">
        <v>124</v>
      </c>
      <c r="AW217" s="74">
        <f t="shared" si="144"/>
        <v>0</v>
      </c>
      <c r="AX217" s="76">
        <v>122</v>
      </c>
      <c r="AY217" s="77">
        <f t="shared" si="133"/>
        <v>2142761</v>
      </c>
      <c r="AZ217" s="78">
        <v>125.2</v>
      </c>
      <c r="BA217" s="77">
        <f t="shared" si="134"/>
        <v>0</v>
      </c>
      <c r="BB217" s="78">
        <v>123.3</v>
      </c>
      <c r="BC217" s="79">
        <v>41275</v>
      </c>
      <c r="BD217" s="59"/>
      <c r="BE217" s="80">
        <v>133.32</v>
      </c>
      <c r="BF217" s="80">
        <v>132.41999999999999</v>
      </c>
      <c r="BG217" s="80">
        <v>130.85</v>
      </c>
      <c r="BH217" s="73"/>
      <c r="BI217" s="73"/>
      <c r="BJ217" s="73"/>
      <c r="BK217" s="73"/>
      <c r="BL217" s="79">
        <v>43000</v>
      </c>
      <c r="BM217" s="79">
        <v>41652</v>
      </c>
      <c r="BN217" s="58" t="s">
        <v>44</v>
      </c>
      <c r="BO217" s="58" t="s">
        <v>44</v>
      </c>
      <c r="BP217" s="58" t="s">
        <v>221</v>
      </c>
      <c r="BQ217">
        <v>2016</v>
      </c>
      <c r="BR217" s="59"/>
      <c r="BV217" s="18"/>
      <c r="BW217" s="18"/>
    </row>
    <row r="218" spans="2:75" x14ac:dyDescent="0.3">
      <c r="B218" s="20" t="s">
        <v>729</v>
      </c>
      <c r="C218" s="20" t="s">
        <v>1343</v>
      </c>
      <c r="D218" s="57" t="s">
        <v>1215</v>
      </c>
      <c r="E218" s="58" t="s">
        <v>1385</v>
      </c>
      <c r="F218" s="96"/>
      <c r="G218" s="96"/>
      <c r="H218" s="58" t="s">
        <v>632</v>
      </c>
      <c r="I218" s="58" t="s">
        <v>632</v>
      </c>
      <c r="J218" s="59">
        <v>772723</v>
      </c>
      <c r="K218" s="95" t="s">
        <v>43</v>
      </c>
      <c r="L218" s="95"/>
      <c r="M218" s="58" t="s">
        <v>72</v>
      </c>
      <c r="N218" s="59">
        <v>99</v>
      </c>
      <c r="O218" s="58" t="s">
        <v>128</v>
      </c>
      <c r="P218" s="58" t="s">
        <v>730</v>
      </c>
      <c r="Q218" s="58" t="s">
        <v>92</v>
      </c>
      <c r="R218" s="58" t="s">
        <v>731</v>
      </c>
      <c r="S218" s="58" t="s">
        <v>42</v>
      </c>
      <c r="T218" s="73">
        <v>2610000</v>
      </c>
      <c r="U218" s="74">
        <f t="shared" si="135"/>
        <v>2648794.3848059457</v>
      </c>
      <c r="V218" s="74">
        <v>475000</v>
      </c>
      <c r="W218" s="74">
        <v>2426748</v>
      </c>
      <c r="X218" s="74">
        <v>338967</v>
      </c>
      <c r="Y218" s="74">
        <v>1540.42</v>
      </c>
      <c r="Z218" s="74">
        <v>280.35000000000002</v>
      </c>
      <c r="AA218" s="75" t="s">
        <v>43</v>
      </c>
      <c r="AB218" s="74"/>
      <c r="AC218" s="74"/>
      <c r="AD218" s="75" t="s">
        <v>43</v>
      </c>
      <c r="AE218" s="74"/>
      <c r="AF218" s="74"/>
      <c r="AG218" s="74">
        <v>0</v>
      </c>
      <c r="AH218" s="75" t="s">
        <v>42</v>
      </c>
      <c r="AI218" s="74"/>
      <c r="AJ218" s="74">
        <f t="shared" si="136"/>
        <v>481625.98081952921</v>
      </c>
      <c r="AK218" s="74">
        <f t="shared" si="137"/>
        <v>2997943.8480594549</v>
      </c>
      <c r="AL218" s="74">
        <f t="shared" si="138"/>
        <v>503574.5422842197</v>
      </c>
      <c r="AM218" s="74">
        <f t="shared" si="139"/>
        <v>3147841.0404624278</v>
      </c>
      <c r="AN218" s="74">
        <f t="shared" si="140"/>
        <v>528753.26939843071</v>
      </c>
      <c r="AO218" s="74">
        <f>AM218/105*108</f>
        <v>3237779.3559042118</v>
      </c>
      <c r="AP218" s="74">
        <f t="shared" si="148"/>
        <v>528753.26939843071</v>
      </c>
      <c r="AQ218" s="74">
        <f t="shared" si="142"/>
        <v>3414658.0429397197</v>
      </c>
      <c r="AR218" s="76">
        <v>113.9</v>
      </c>
      <c r="AS218" s="74">
        <f t="shared" si="147"/>
        <v>528753.26939843071</v>
      </c>
      <c r="AT218" s="76">
        <v>105</v>
      </c>
      <c r="AU218" s="74">
        <f t="shared" si="143"/>
        <v>3717450.3715937245</v>
      </c>
      <c r="AV218" s="76">
        <v>124</v>
      </c>
      <c r="AW218" s="74">
        <f t="shared" si="144"/>
        <v>614360.94158674811</v>
      </c>
      <c r="AX218" s="76">
        <v>122</v>
      </c>
      <c r="AY218" s="77">
        <f t="shared" si="133"/>
        <v>3753426</v>
      </c>
      <c r="AZ218" s="78">
        <v>125.2</v>
      </c>
      <c r="BA218" s="77">
        <f t="shared" si="134"/>
        <v>620908</v>
      </c>
      <c r="BB218" s="78">
        <v>123.3</v>
      </c>
      <c r="BC218" s="79">
        <v>36526</v>
      </c>
      <c r="BD218" s="59"/>
      <c r="BE218" s="80">
        <v>1632.33</v>
      </c>
      <c r="BF218" s="80">
        <v>1622.7</v>
      </c>
      <c r="BG218" s="80">
        <v>1604.09</v>
      </c>
      <c r="BH218" s="73"/>
      <c r="BI218" s="73"/>
      <c r="BJ218" s="73"/>
      <c r="BK218" s="73"/>
      <c r="BL218" s="79">
        <v>42999</v>
      </c>
      <c r="BM218" s="79">
        <v>36434</v>
      </c>
      <c r="BN218" s="58" t="s">
        <v>44</v>
      </c>
      <c r="BO218" s="58" t="s">
        <v>70</v>
      </c>
      <c r="BP218" s="58" t="s">
        <v>184</v>
      </c>
      <c r="BQ218">
        <v>2016</v>
      </c>
      <c r="BR218" s="59"/>
      <c r="BV218" s="18"/>
      <c r="BW218" s="18"/>
    </row>
    <row r="219" spans="2:75" x14ac:dyDescent="0.3">
      <c r="B219" s="20" t="s">
        <v>732</v>
      </c>
      <c r="C219" s="20" t="s">
        <v>1344</v>
      </c>
      <c r="D219" s="57" t="s">
        <v>1216</v>
      </c>
      <c r="E219" s="58" t="s">
        <v>1101</v>
      </c>
      <c r="F219" s="96"/>
      <c r="G219" s="96"/>
      <c r="H219" s="58" t="s">
        <v>103</v>
      </c>
      <c r="I219" s="58" t="s">
        <v>103</v>
      </c>
      <c r="J219" s="59">
        <v>772723</v>
      </c>
      <c r="K219" s="95" t="s">
        <v>43</v>
      </c>
      <c r="L219" s="95"/>
      <c r="M219" s="58" t="s">
        <v>72</v>
      </c>
      <c r="N219" s="59">
        <v>11</v>
      </c>
      <c r="O219" s="58" t="s">
        <v>40</v>
      </c>
      <c r="P219" s="58" t="s">
        <v>733</v>
      </c>
      <c r="Q219" s="58" t="s">
        <v>514</v>
      </c>
      <c r="R219" s="58" t="s">
        <v>734</v>
      </c>
      <c r="S219" s="58" t="s">
        <v>42</v>
      </c>
      <c r="T219" s="73">
        <v>510000</v>
      </c>
      <c r="U219" s="74">
        <f t="shared" si="135"/>
        <v>517580.51197357557</v>
      </c>
      <c r="V219" s="74"/>
      <c r="W219" s="74">
        <v>473512</v>
      </c>
      <c r="X219" s="74"/>
      <c r="Y219" s="74">
        <v>301</v>
      </c>
      <c r="Z219" s="74"/>
      <c r="AA219" s="75" t="s">
        <v>43</v>
      </c>
      <c r="AB219" s="74"/>
      <c r="AC219" s="74"/>
      <c r="AD219" s="75" t="s">
        <v>43</v>
      </c>
      <c r="AE219" s="74"/>
      <c r="AF219" s="74"/>
      <c r="AG219" s="74">
        <v>0</v>
      </c>
      <c r="AH219" s="75" t="s">
        <v>42</v>
      </c>
      <c r="AI219" s="74"/>
      <c r="AJ219" s="74">
        <f t="shared" si="136"/>
        <v>0</v>
      </c>
      <c r="AK219" s="74">
        <f t="shared" si="137"/>
        <v>585805.11973575549</v>
      </c>
      <c r="AL219" s="74">
        <f t="shared" si="138"/>
        <v>0</v>
      </c>
      <c r="AM219" s="74">
        <f t="shared" si="139"/>
        <v>615095.37572254334</v>
      </c>
      <c r="AN219" s="74">
        <f t="shared" si="140"/>
        <v>0</v>
      </c>
      <c r="AO219" s="74">
        <f>AM219/105*108</f>
        <v>632669.529314616</v>
      </c>
      <c r="AP219" s="74">
        <f t="shared" si="148"/>
        <v>0</v>
      </c>
      <c r="AQ219" s="74">
        <f t="shared" si="142"/>
        <v>667232.03137902566</v>
      </c>
      <c r="AR219" s="76">
        <v>113.9</v>
      </c>
      <c r="AS219" s="74">
        <f t="shared" si="147"/>
        <v>0</v>
      </c>
      <c r="AT219" s="76">
        <v>105</v>
      </c>
      <c r="AU219" s="74">
        <f t="shared" si="143"/>
        <v>726398.34847233689</v>
      </c>
      <c r="AV219" s="76">
        <v>124</v>
      </c>
      <c r="AW219" s="74">
        <f t="shared" si="144"/>
        <v>0</v>
      </c>
      <c r="AX219" s="76">
        <v>122</v>
      </c>
      <c r="AY219" s="77">
        <f t="shared" si="133"/>
        <v>733429</v>
      </c>
      <c r="AZ219" s="78">
        <v>125.2</v>
      </c>
      <c r="BA219" s="77">
        <f t="shared" si="134"/>
        <v>0</v>
      </c>
      <c r="BB219" s="78">
        <v>123.3</v>
      </c>
      <c r="BC219" s="79">
        <v>37987</v>
      </c>
      <c r="BD219" s="59"/>
      <c r="BE219" s="80">
        <v>279.47000000000003</v>
      </c>
      <c r="BF219" s="80">
        <v>277.58999999999997</v>
      </c>
      <c r="BG219" s="80">
        <v>274.3</v>
      </c>
      <c r="BH219" s="73"/>
      <c r="BI219" s="73"/>
      <c r="BJ219" s="73"/>
      <c r="BK219" s="73"/>
      <c r="BL219" s="79">
        <v>42999</v>
      </c>
      <c r="BM219" s="79">
        <v>36434</v>
      </c>
      <c r="BN219" s="58" t="s">
        <v>44</v>
      </c>
      <c r="BO219" s="58" t="s">
        <v>70</v>
      </c>
      <c r="BP219" s="58" t="s">
        <v>184</v>
      </c>
      <c r="BQ219">
        <v>2016</v>
      </c>
      <c r="BR219" s="59"/>
      <c r="BV219" s="18"/>
      <c r="BW219" s="18"/>
    </row>
    <row r="220" spans="2:75" x14ac:dyDescent="0.3">
      <c r="B220" s="20" t="s">
        <v>735</v>
      </c>
      <c r="C220" s="20" t="s">
        <v>1345</v>
      </c>
      <c r="D220" s="57" t="s">
        <v>1216</v>
      </c>
      <c r="E220" s="58" t="s">
        <v>1101</v>
      </c>
      <c r="F220" s="96"/>
      <c r="G220" s="96"/>
      <c r="H220" s="58" t="s">
        <v>103</v>
      </c>
      <c r="I220" s="58" t="s">
        <v>103</v>
      </c>
      <c r="J220" s="59">
        <v>772724</v>
      </c>
      <c r="K220" s="95" t="s">
        <v>43</v>
      </c>
      <c r="L220" s="95"/>
      <c r="M220" s="58" t="s">
        <v>66</v>
      </c>
      <c r="N220" s="59">
        <v>11</v>
      </c>
      <c r="O220" s="58" t="s">
        <v>40</v>
      </c>
      <c r="P220" s="58" t="s">
        <v>736</v>
      </c>
      <c r="Q220" s="58" t="s">
        <v>245</v>
      </c>
      <c r="R220" s="58" t="s">
        <v>737</v>
      </c>
      <c r="S220" s="58" t="s">
        <v>42</v>
      </c>
      <c r="T220" s="73">
        <v>740000</v>
      </c>
      <c r="U220" s="74">
        <f t="shared" si="135"/>
        <v>750999.1742361685</v>
      </c>
      <c r="V220" s="74"/>
      <c r="W220" s="74">
        <v>710268</v>
      </c>
      <c r="X220" s="74">
        <v>149544</v>
      </c>
      <c r="Y220" s="74">
        <v>436.75</v>
      </c>
      <c r="Z220" s="74"/>
      <c r="AA220" s="75" t="s">
        <v>43</v>
      </c>
      <c r="AB220" s="74"/>
      <c r="AC220" s="74"/>
      <c r="AD220" s="75" t="s">
        <v>43</v>
      </c>
      <c r="AE220" s="74"/>
      <c r="AF220" s="74"/>
      <c r="AG220" s="74">
        <v>0</v>
      </c>
      <c r="AH220" s="75" t="s">
        <v>42</v>
      </c>
      <c r="AI220" s="74"/>
      <c r="AJ220" s="74">
        <f t="shared" si="136"/>
        <v>0</v>
      </c>
      <c r="AK220" s="74">
        <f t="shared" si="137"/>
        <v>849991.74236168456</v>
      </c>
      <c r="AL220" s="74">
        <f t="shared" si="138"/>
        <v>0</v>
      </c>
      <c r="AM220" s="74">
        <f t="shared" si="139"/>
        <v>892491.32947976887</v>
      </c>
      <c r="AN220" s="74">
        <f t="shared" si="140"/>
        <v>0</v>
      </c>
      <c r="AO220" s="74">
        <f>AM220/105*108</f>
        <v>917991.08175061934</v>
      </c>
      <c r="AP220" s="74">
        <f t="shared" si="148"/>
        <v>0</v>
      </c>
      <c r="AQ220" s="74">
        <f t="shared" si="142"/>
        <v>968140.59454995871</v>
      </c>
      <c r="AR220" s="76">
        <v>113.9</v>
      </c>
      <c r="AS220" s="74">
        <f t="shared" si="147"/>
        <v>0</v>
      </c>
      <c r="AT220" s="76">
        <v>105</v>
      </c>
      <c r="AU220" s="74">
        <f t="shared" si="143"/>
        <v>1053989.7605284888</v>
      </c>
      <c r="AV220" s="76">
        <v>124</v>
      </c>
      <c r="AW220" s="74">
        <f t="shared" si="144"/>
        <v>0</v>
      </c>
      <c r="AX220" s="76">
        <v>122</v>
      </c>
      <c r="AY220" s="77">
        <f t="shared" si="133"/>
        <v>1064190</v>
      </c>
      <c r="AZ220" s="78">
        <v>125.2</v>
      </c>
      <c r="BA220" s="77">
        <f t="shared" si="134"/>
        <v>0</v>
      </c>
      <c r="BB220" s="78">
        <v>123.3</v>
      </c>
      <c r="BC220" s="59"/>
      <c r="BD220" s="59"/>
      <c r="BE220" s="80">
        <v>507.46</v>
      </c>
      <c r="BF220" s="80">
        <v>504.64</v>
      </c>
      <c r="BG220" s="80">
        <v>498.94</v>
      </c>
      <c r="BH220" s="73"/>
      <c r="BI220" s="73"/>
      <c r="BJ220" s="73"/>
      <c r="BK220" s="73"/>
      <c r="BL220" s="79">
        <v>42999</v>
      </c>
      <c r="BM220" s="79">
        <v>36434</v>
      </c>
      <c r="BN220" s="58" t="s">
        <v>44</v>
      </c>
      <c r="BO220" s="58" t="s">
        <v>70</v>
      </c>
      <c r="BP220" s="58" t="s">
        <v>738</v>
      </c>
      <c r="BQ220">
        <v>2016</v>
      </c>
      <c r="BR220" s="59"/>
      <c r="BV220" s="18"/>
      <c r="BW220" s="18"/>
    </row>
    <row r="221" spans="2:75" x14ac:dyDescent="0.3">
      <c r="B221" s="20" t="s">
        <v>739</v>
      </c>
      <c r="C221" s="20" t="s">
        <v>1346</v>
      </c>
      <c r="D221" s="57" t="s">
        <v>1216</v>
      </c>
      <c r="E221" s="58" t="s">
        <v>1101</v>
      </c>
      <c r="F221" s="96"/>
      <c r="G221" s="96"/>
      <c r="H221" s="58" t="s">
        <v>103</v>
      </c>
      <c r="I221" s="58" t="s">
        <v>103</v>
      </c>
      <c r="J221" s="59">
        <v>772724</v>
      </c>
      <c r="K221" s="95" t="s">
        <v>43</v>
      </c>
      <c r="L221" s="95"/>
      <c r="M221" s="58" t="s">
        <v>66</v>
      </c>
      <c r="N221" s="59">
        <v>11</v>
      </c>
      <c r="O221" s="58" t="s">
        <v>40</v>
      </c>
      <c r="P221" s="58" t="s">
        <v>740</v>
      </c>
      <c r="Q221" s="58" t="s">
        <v>741</v>
      </c>
      <c r="R221" s="58" t="s">
        <v>742</v>
      </c>
      <c r="S221" s="58" t="s">
        <v>42</v>
      </c>
      <c r="T221" s="73">
        <v>1910000</v>
      </c>
      <c r="U221" s="74">
        <f t="shared" si="135"/>
        <v>1938389.760528489</v>
      </c>
      <c r="V221" s="74">
        <v>165000</v>
      </c>
      <c r="W221" s="74">
        <v>1775668</v>
      </c>
      <c r="X221" s="74">
        <v>154529</v>
      </c>
      <c r="Y221" s="74">
        <v>1127.28</v>
      </c>
      <c r="Z221" s="74">
        <v>97.38</v>
      </c>
      <c r="AA221" s="75" t="s">
        <v>43</v>
      </c>
      <c r="AB221" s="74"/>
      <c r="AC221" s="74"/>
      <c r="AD221" s="75" t="s">
        <v>43</v>
      </c>
      <c r="AE221" s="74"/>
      <c r="AF221" s="74"/>
      <c r="AG221" s="74">
        <v>0</v>
      </c>
      <c r="AH221" s="75" t="s">
        <v>42</v>
      </c>
      <c r="AI221" s="74"/>
      <c r="AJ221" s="74">
        <f t="shared" si="136"/>
        <v>167301.65649520486</v>
      </c>
      <c r="AK221" s="74">
        <f t="shared" si="137"/>
        <v>2193897.6052848883</v>
      </c>
      <c r="AL221" s="74">
        <f t="shared" si="138"/>
        <v>174925.89363557103</v>
      </c>
      <c r="AM221" s="74">
        <f t="shared" si="139"/>
        <v>2303592.4855491328</v>
      </c>
      <c r="AN221" s="74">
        <f t="shared" si="140"/>
        <v>183672.18831734959</v>
      </c>
      <c r="AO221" s="74">
        <f>AM221/105*108</f>
        <v>2369409.4137076796</v>
      </c>
      <c r="AP221" s="74">
        <f t="shared" si="148"/>
        <v>183672.18831734959</v>
      </c>
      <c r="AQ221" s="74">
        <f t="shared" si="142"/>
        <v>2498849.3724194882</v>
      </c>
      <c r="AR221" s="76">
        <v>113.9</v>
      </c>
      <c r="AS221" s="74">
        <f t="shared" si="147"/>
        <v>183672.18831734959</v>
      </c>
      <c r="AT221" s="76">
        <v>105</v>
      </c>
      <c r="AU221" s="74">
        <f t="shared" si="143"/>
        <v>2720433.0305532617</v>
      </c>
      <c r="AV221" s="76">
        <v>124</v>
      </c>
      <c r="AW221" s="74">
        <f t="shared" si="144"/>
        <v>213409.59023539667</v>
      </c>
      <c r="AX221" s="76">
        <v>122</v>
      </c>
      <c r="AY221" s="77">
        <f t="shared" si="133"/>
        <v>2746760</v>
      </c>
      <c r="AZ221" s="78">
        <v>125.2</v>
      </c>
      <c r="BA221" s="77">
        <f t="shared" si="134"/>
        <v>215684</v>
      </c>
      <c r="BB221" s="78">
        <v>123.3</v>
      </c>
      <c r="BC221" s="79">
        <v>36482</v>
      </c>
      <c r="BD221" s="59"/>
      <c r="BE221" s="80">
        <v>1139.2</v>
      </c>
      <c r="BF221" s="80">
        <v>1132.1500000000001</v>
      </c>
      <c r="BG221" s="80">
        <v>1119.02</v>
      </c>
      <c r="BH221" s="73"/>
      <c r="BI221" s="73"/>
      <c r="BJ221" s="73"/>
      <c r="BK221" s="73"/>
      <c r="BL221" s="79">
        <v>42999</v>
      </c>
      <c r="BM221" s="79">
        <v>36434</v>
      </c>
      <c r="BN221" s="58" t="s">
        <v>44</v>
      </c>
      <c r="BO221" s="58" t="s">
        <v>70</v>
      </c>
      <c r="BP221" s="58" t="s">
        <v>743</v>
      </c>
      <c r="BQ221">
        <v>2016</v>
      </c>
      <c r="BR221" s="59"/>
      <c r="BV221" s="18"/>
      <c r="BW221" s="18"/>
    </row>
    <row r="222" spans="2:75" x14ac:dyDescent="0.3">
      <c r="B222" s="20" t="s">
        <v>744</v>
      </c>
      <c r="C222" s="20" t="s">
        <v>748</v>
      </c>
      <c r="D222" s="57" t="s">
        <v>1216</v>
      </c>
      <c r="E222" s="58" t="s">
        <v>1101</v>
      </c>
      <c r="F222" s="96"/>
      <c r="G222" s="96"/>
      <c r="H222" s="58" t="s">
        <v>103</v>
      </c>
      <c r="I222" s="58" t="s">
        <v>103</v>
      </c>
      <c r="J222" s="59">
        <v>772723</v>
      </c>
      <c r="K222" s="95" t="s">
        <v>1440</v>
      </c>
      <c r="L222" s="95"/>
      <c r="M222" s="58" t="s">
        <v>72</v>
      </c>
      <c r="N222" s="59">
        <v>11</v>
      </c>
      <c r="O222" s="58" t="s">
        <v>40</v>
      </c>
      <c r="P222" s="58" t="s">
        <v>745</v>
      </c>
      <c r="Q222" s="58" t="s">
        <v>217</v>
      </c>
      <c r="R222" s="58" t="s">
        <v>746</v>
      </c>
      <c r="S222" s="58" t="s">
        <v>747</v>
      </c>
      <c r="T222" s="73">
        <v>2150000</v>
      </c>
      <c r="U222" s="74">
        <f t="shared" si="135"/>
        <v>2181957.0602807598</v>
      </c>
      <c r="V222" s="74">
        <v>390000</v>
      </c>
      <c r="W222" s="74">
        <v>2012425</v>
      </c>
      <c r="X222" s="74">
        <v>471062</v>
      </c>
      <c r="Y222" s="74">
        <v>1268.93</v>
      </c>
      <c r="Z222" s="74">
        <v>230.18</v>
      </c>
      <c r="AA222" s="75" t="s">
        <v>43</v>
      </c>
      <c r="AB222" s="74"/>
      <c r="AC222" s="74"/>
      <c r="AD222" s="75" t="s">
        <v>43</v>
      </c>
      <c r="AE222" s="74"/>
      <c r="AF222" s="74"/>
      <c r="AG222" s="74">
        <v>0</v>
      </c>
      <c r="AH222" s="75" t="s">
        <v>42</v>
      </c>
      <c r="AI222" s="74"/>
      <c r="AJ222" s="74">
        <f t="shared" si="136"/>
        <v>395440.27898866608</v>
      </c>
      <c r="AK222" s="74">
        <f t="shared" si="137"/>
        <v>2469570.6028075968</v>
      </c>
      <c r="AL222" s="74">
        <f t="shared" si="138"/>
        <v>413461.20313862246</v>
      </c>
      <c r="AM222" s="74">
        <f t="shared" si="139"/>
        <v>2593049.1329479767</v>
      </c>
      <c r="AN222" s="74">
        <f t="shared" si="140"/>
        <v>434134.26329555362</v>
      </c>
      <c r="AO222" s="74">
        <f>AM222/105*108+4487</f>
        <v>2671623.2510322048</v>
      </c>
      <c r="AP222" s="74">
        <f t="shared" si="148"/>
        <v>434134.26329555362</v>
      </c>
      <c r="AQ222" s="74">
        <f t="shared" si="142"/>
        <v>2817573.0397460014</v>
      </c>
      <c r="AR222" s="76">
        <v>113.9</v>
      </c>
      <c r="AS222" s="74">
        <f t="shared" si="147"/>
        <v>434134.26329555362</v>
      </c>
      <c r="AT222" s="76">
        <v>105</v>
      </c>
      <c r="AU222" s="74">
        <f t="shared" si="143"/>
        <v>3067419.2882221611</v>
      </c>
      <c r="AV222" s="76">
        <v>124</v>
      </c>
      <c r="AW222" s="74">
        <f t="shared" si="144"/>
        <v>504422.66782911943</v>
      </c>
      <c r="AX222" s="76">
        <v>122</v>
      </c>
      <c r="AY222" s="77">
        <f t="shared" si="133"/>
        <v>3097104</v>
      </c>
      <c r="AZ222" s="78">
        <v>125.2</v>
      </c>
      <c r="BA222" s="77">
        <f t="shared" si="134"/>
        <v>509798</v>
      </c>
      <c r="BB222" s="78">
        <v>123.3</v>
      </c>
      <c r="BC222" s="79">
        <v>36526</v>
      </c>
      <c r="BD222" s="59"/>
      <c r="BE222" s="80">
        <v>1465.75</v>
      </c>
      <c r="BF222" s="80">
        <v>1457.77</v>
      </c>
      <c r="BG222" s="80">
        <v>1441.35</v>
      </c>
      <c r="BH222" s="73"/>
      <c r="BI222" s="73"/>
      <c r="BJ222" s="73"/>
      <c r="BK222" s="73"/>
      <c r="BL222" s="79">
        <v>42999</v>
      </c>
      <c r="BM222" s="79">
        <v>36434</v>
      </c>
      <c r="BN222" s="58" t="s">
        <v>44</v>
      </c>
      <c r="BO222" s="58" t="s">
        <v>70</v>
      </c>
      <c r="BP222" s="58" t="s">
        <v>184</v>
      </c>
      <c r="BQ222">
        <v>2016</v>
      </c>
      <c r="BR222" s="59" t="s">
        <v>1005</v>
      </c>
      <c r="BV222" s="18"/>
      <c r="BW222" s="18"/>
    </row>
    <row r="223" spans="2:75" x14ac:dyDescent="0.3">
      <c r="B223" s="20" t="s">
        <v>748</v>
      </c>
      <c r="C223" s="20" t="s">
        <v>748</v>
      </c>
      <c r="D223" s="57" t="s">
        <v>1216</v>
      </c>
      <c r="E223" s="58" t="s">
        <v>1101</v>
      </c>
      <c r="F223" s="96"/>
      <c r="G223" s="96"/>
      <c r="H223" s="58" t="s">
        <v>103</v>
      </c>
      <c r="I223" s="58" t="s">
        <v>103</v>
      </c>
      <c r="J223" s="59">
        <v>772723</v>
      </c>
      <c r="K223" s="95" t="s">
        <v>1440</v>
      </c>
      <c r="L223" s="95"/>
      <c r="M223" s="58" t="s">
        <v>72</v>
      </c>
      <c r="N223" s="59">
        <v>14</v>
      </c>
      <c r="O223" s="58" t="s">
        <v>132</v>
      </c>
      <c r="P223" s="58" t="s">
        <v>749</v>
      </c>
      <c r="Q223" s="58" t="s">
        <v>750</v>
      </c>
      <c r="R223" s="58" t="s">
        <v>751</v>
      </c>
      <c r="S223" s="58" t="s">
        <v>42</v>
      </c>
      <c r="T223" s="73">
        <v>2490000</v>
      </c>
      <c r="U223" s="74">
        <f t="shared" si="135"/>
        <v>2527010.7349298103</v>
      </c>
      <c r="V223" s="74">
        <v>430000</v>
      </c>
      <c r="W223" s="74">
        <v>2368405</v>
      </c>
      <c r="X223" s="74">
        <v>451124</v>
      </c>
      <c r="Y223" s="74">
        <v>1469.6</v>
      </c>
      <c r="Z223" s="74">
        <v>253.79</v>
      </c>
      <c r="AA223" s="75" t="s">
        <v>43</v>
      </c>
      <c r="AB223" s="74"/>
      <c r="AC223" s="74"/>
      <c r="AD223" s="75" t="s">
        <v>43</v>
      </c>
      <c r="AE223" s="74"/>
      <c r="AF223" s="74"/>
      <c r="AG223" s="74">
        <v>0</v>
      </c>
      <c r="AH223" s="75" t="s">
        <v>42</v>
      </c>
      <c r="AI223" s="74"/>
      <c r="AJ223" s="74">
        <f t="shared" si="136"/>
        <v>435998.25632083695</v>
      </c>
      <c r="AK223" s="74">
        <f t="shared" si="137"/>
        <v>2860107.3492981009</v>
      </c>
      <c r="AL223" s="74">
        <f t="shared" si="138"/>
        <v>455867.48038360936</v>
      </c>
      <c r="AM223" s="74">
        <f t="shared" si="139"/>
        <v>3003112.7167630061</v>
      </c>
      <c r="AN223" s="74">
        <f t="shared" si="140"/>
        <v>478660.85440278985</v>
      </c>
      <c r="AO223" s="74">
        <f>AM223/105*108</f>
        <v>3088915.9372419491</v>
      </c>
      <c r="AP223" s="74">
        <f t="shared" si="148"/>
        <v>478660.85440278985</v>
      </c>
      <c r="AQ223" s="74">
        <f t="shared" si="142"/>
        <v>3257662.2708505373</v>
      </c>
      <c r="AR223" s="76">
        <v>113.9</v>
      </c>
      <c r="AS223" s="74">
        <f t="shared" si="147"/>
        <v>478660.85440278985</v>
      </c>
      <c r="AT223" s="76">
        <v>105</v>
      </c>
      <c r="AU223" s="74">
        <f t="shared" si="143"/>
        <v>3546533.1131296451</v>
      </c>
      <c r="AV223" s="76">
        <v>124</v>
      </c>
      <c r="AW223" s="74">
        <f t="shared" si="144"/>
        <v>556158.32606800343</v>
      </c>
      <c r="AX223" s="76">
        <v>122</v>
      </c>
      <c r="AY223" s="77">
        <f t="shared" si="133"/>
        <v>3580855</v>
      </c>
      <c r="AZ223" s="78">
        <v>125.2</v>
      </c>
      <c r="BA223" s="77">
        <f t="shared" si="134"/>
        <v>562085</v>
      </c>
      <c r="BB223" s="78">
        <v>123.3</v>
      </c>
      <c r="BC223" s="79">
        <v>40360</v>
      </c>
      <c r="BD223" s="59"/>
      <c r="BE223" s="80">
        <v>1664.08</v>
      </c>
      <c r="BF223" s="80">
        <v>1654.69</v>
      </c>
      <c r="BG223" s="80">
        <v>1635.9</v>
      </c>
      <c r="BH223" s="73"/>
      <c r="BI223" s="73"/>
      <c r="BJ223" s="73"/>
      <c r="BK223" s="73"/>
      <c r="BL223" s="79">
        <v>42999</v>
      </c>
      <c r="BM223" s="79">
        <v>40610</v>
      </c>
      <c r="BN223" s="58" t="s">
        <v>44</v>
      </c>
      <c r="BO223" s="58" t="s">
        <v>44</v>
      </c>
      <c r="BP223" s="58" t="s">
        <v>376</v>
      </c>
      <c r="BQ223">
        <v>2016</v>
      </c>
      <c r="BR223" s="59"/>
      <c r="BV223" s="18"/>
      <c r="BW223" s="18"/>
    </row>
    <row r="224" spans="2:75" x14ac:dyDescent="0.3">
      <c r="B224" s="20" t="s">
        <v>752</v>
      </c>
      <c r="C224" s="20" t="s">
        <v>1347</v>
      </c>
      <c r="D224" s="57" t="s">
        <v>1217</v>
      </c>
      <c r="E224" s="58" t="s">
        <v>1101</v>
      </c>
      <c r="F224" s="96"/>
      <c r="G224" s="96"/>
      <c r="H224" s="58" t="s">
        <v>103</v>
      </c>
      <c r="I224" s="58" t="s">
        <v>103</v>
      </c>
      <c r="J224" s="59">
        <v>772723</v>
      </c>
      <c r="K224" s="95" t="s">
        <v>1440</v>
      </c>
      <c r="L224" s="95"/>
      <c r="M224" s="58" t="s">
        <v>72</v>
      </c>
      <c r="N224" s="59">
        <v>99</v>
      </c>
      <c r="O224" s="58" t="s">
        <v>128</v>
      </c>
      <c r="P224" s="58" t="s">
        <v>753</v>
      </c>
      <c r="Q224" s="58" t="s">
        <v>92</v>
      </c>
      <c r="R224" s="58" t="s">
        <v>754</v>
      </c>
      <c r="S224" s="58" t="s">
        <v>42</v>
      </c>
      <c r="T224" s="73">
        <v>2150000</v>
      </c>
      <c r="U224" s="74">
        <f t="shared" si="135"/>
        <v>2181957.0602807598</v>
      </c>
      <c r="V224" s="74">
        <v>530000</v>
      </c>
      <c r="W224" s="74">
        <v>2012425</v>
      </c>
      <c r="X224" s="74">
        <v>386322</v>
      </c>
      <c r="Y224" s="74">
        <v>1268.93</v>
      </c>
      <c r="Z224" s="74">
        <v>312.81</v>
      </c>
      <c r="AA224" s="75" t="s">
        <v>43</v>
      </c>
      <c r="AB224" s="74"/>
      <c r="AC224" s="74"/>
      <c r="AD224" s="75" t="s">
        <v>43</v>
      </c>
      <c r="AE224" s="74"/>
      <c r="AF224" s="74"/>
      <c r="AG224" s="74">
        <v>0</v>
      </c>
      <c r="AH224" s="75" t="s">
        <v>42</v>
      </c>
      <c r="AI224" s="74"/>
      <c r="AJ224" s="74">
        <f t="shared" si="136"/>
        <v>537393.19965126412</v>
      </c>
      <c r="AK224" s="74">
        <f t="shared" si="137"/>
        <v>2469570.6028075968</v>
      </c>
      <c r="AL224" s="74">
        <f t="shared" si="138"/>
        <v>561883.1734960766</v>
      </c>
      <c r="AM224" s="74">
        <f>AK224*1.05+(40522.25*1.21)</f>
        <v>2642081.0554479766</v>
      </c>
      <c r="AN224" s="74">
        <f t="shared" ref="AN224:AN232" si="149">AL224*1.05</f>
        <v>589977.33217088052</v>
      </c>
      <c r="AO224" s="74">
        <f>AM224/105*108</f>
        <v>2717569.085603633</v>
      </c>
      <c r="AP224" s="74">
        <f t="shared" si="148"/>
        <v>589977.33217088052</v>
      </c>
      <c r="AQ224" s="74">
        <f t="shared" si="142"/>
        <v>2866028.8782430906</v>
      </c>
      <c r="AR224" s="76">
        <v>113.9</v>
      </c>
      <c r="AS224" s="74">
        <f t="shared" si="147"/>
        <v>589977.33217088052</v>
      </c>
      <c r="AT224" s="76">
        <v>105</v>
      </c>
      <c r="AU224" s="74">
        <f t="shared" si="143"/>
        <v>3120171.9131004675</v>
      </c>
      <c r="AV224" s="76">
        <v>124</v>
      </c>
      <c r="AW224" s="74">
        <f t="shared" si="144"/>
        <v>685497.47166521358</v>
      </c>
      <c r="AX224" s="76">
        <v>122</v>
      </c>
      <c r="AY224" s="77">
        <f t="shared" si="133"/>
        <v>3150368</v>
      </c>
      <c r="AZ224" s="78">
        <v>125.2</v>
      </c>
      <c r="BA224" s="77">
        <f t="shared" si="134"/>
        <v>692802</v>
      </c>
      <c r="BB224" s="78">
        <v>123.3</v>
      </c>
      <c r="BC224" s="79">
        <v>36526</v>
      </c>
      <c r="BD224" s="59"/>
      <c r="BE224" s="80">
        <v>1415.74</v>
      </c>
      <c r="BF224" s="80">
        <v>1407.76</v>
      </c>
      <c r="BG224" s="80">
        <v>1391.77</v>
      </c>
      <c r="BH224" s="73"/>
      <c r="BI224" s="73"/>
      <c r="BJ224" s="73"/>
      <c r="BK224" s="73"/>
      <c r="BL224" s="79">
        <v>42999</v>
      </c>
      <c r="BM224" s="79">
        <v>36434</v>
      </c>
      <c r="BN224" s="58" t="s">
        <v>44</v>
      </c>
      <c r="BO224" s="58" t="s">
        <v>70</v>
      </c>
      <c r="BP224" s="58" t="s">
        <v>184</v>
      </c>
      <c r="BQ224">
        <v>2016</v>
      </c>
      <c r="BR224" s="59" t="s">
        <v>1005</v>
      </c>
      <c r="BV224" s="18"/>
      <c r="BW224" s="18"/>
    </row>
    <row r="225" spans="2:75" x14ac:dyDescent="0.3">
      <c r="B225" s="20" t="s">
        <v>755</v>
      </c>
      <c r="C225" s="20" t="s">
        <v>755</v>
      </c>
      <c r="D225" s="57" t="s">
        <v>1218</v>
      </c>
      <c r="E225" s="58" t="s">
        <v>1101</v>
      </c>
      <c r="F225" s="96"/>
      <c r="G225" s="96"/>
      <c r="H225" s="58" t="s">
        <v>675</v>
      </c>
      <c r="I225" s="58" t="s">
        <v>675</v>
      </c>
      <c r="J225" s="59">
        <v>773731</v>
      </c>
      <c r="K225" s="95" t="s">
        <v>43</v>
      </c>
      <c r="L225" s="95"/>
      <c r="M225" s="58" t="s">
        <v>756</v>
      </c>
      <c r="N225" s="59">
        <v>11</v>
      </c>
      <c r="O225" s="58" t="s">
        <v>40</v>
      </c>
      <c r="P225" s="58" t="s">
        <v>757</v>
      </c>
      <c r="Q225" s="58" t="s">
        <v>42</v>
      </c>
      <c r="R225" s="58" t="s">
        <v>758</v>
      </c>
      <c r="S225" s="58" t="s">
        <v>759</v>
      </c>
      <c r="T225" s="73">
        <v>5660000</v>
      </c>
      <c r="U225" s="74">
        <f t="shared" si="135"/>
        <v>5744128.8191577215</v>
      </c>
      <c r="V225" s="74"/>
      <c r="W225" s="74">
        <v>5339086</v>
      </c>
      <c r="X225" s="74"/>
      <c r="Y225" s="74">
        <v>3340.53</v>
      </c>
      <c r="Z225" s="74"/>
      <c r="AA225" s="75" t="s">
        <v>43</v>
      </c>
      <c r="AB225" s="74"/>
      <c r="AC225" s="74"/>
      <c r="AD225" s="75" t="s">
        <v>43</v>
      </c>
      <c r="AE225" s="74"/>
      <c r="AF225" s="74"/>
      <c r="AG225" s="74">
        <v>0</v>
      </c>
      <c r="AH225" s="75" t="s">
        <v>42</v>
      </c>
      <c r="AI225" s="74"/>
      <c r="AJ225" s="74">
        <f t="shared" si="136"/>
        <v>0</v>
      </c>
      <c r="AK225" s="74">
        <f t="shared" si="137"/>
        <v>6501288.1915772092</v>
      </c>
      <c r="AL225" s="74">
        <f t="shared" si="138"/>
        <v>0</v>
      </c>
      <c r="AM225" s="74">
        <f>AK225*1.05</f>
        <v>6826352.6011560699</v>
      </c>
      <c r="AN225" s="74">
        <f t="shared" si="149"/>
        <v>0</v>
      </c>
      <c r="AO225" s="74">
        <f>AM225/105*108</f>
        <v>7021391.246903386</v>
      </c>
      <c r="AP225" s="74">
        <f t="shared" si="148"/>
        <v>0</v>
      </c>
      <c r="AQ225" s="74">
        <f t="shared" si="142"/>
        <v>7404967.2502064416</v>
      </c>
      <c r="AR225" s="76">
        <v>113.9</v>
      </c>
      <c r="AS225" s="74">
        <f t="shared" si="147"/>
        <v>0</v>
      </c>
      <c r="AT225" s="76">
        <v>105</v>
      </c>
      <c r="AU225" s="74">
        <f t="shared" si="143"/>
        <v>8061597.3575557396</v>
      </c>
      <c r="AV225" s="76">
        <v>124</v>
      </c>
      <c r="AW225" s="74">
        <f t="shared" si="144"/>
        <v>0</v>
      </c>
      <c r="AX225" s="76">
        <v>122</v>
      </c>
      <c r="AY225" s="77">
        <f t="shared" ref="AY225:AY232" si="150">CEILING(((AU225/AV225)*AZ225),1)</f>
        <v>8139613</v>
      </c>
      <c r="AZ225" s="78">
        <v>125.2</v>
      </c>
      <c r="BA225" s="77">
        <f t="shared" ref="BA225:BA232" si="151">CEILING(((AW225/AX225)*BB225),1)</f>
        <v>0</v>
      </c>
      <c r="BB225" s="78">
        <v>123.3</v>
      </c>
      <c r="BC225" s="79">
        <v>41418</v>
      </c>
      <c r="BD225" s="59"/>
      <c r="BE225" s="80">
        <v>3151.13</v>
      </c>
      <c r="BF225" s="80">
        <v>3129.94</v>
      </c>
      <c r="BG225" s="80">
        <v>3092.87</v>
      </c>
      <c r="BH225" s="73"/>
      <c r="BI225" s="73"/>
      <c r="BJ225" s="73"/>
      <c r="BK225" s="73"/>
      <c r="BL225" s="79">
        <v>42999</v>
      </c>
      <c r="BM225" s="79">
        <v>41439</v>
      </c>
      <c r="BN225" s="58" t="s">
        <v>44</v>
      </c>
      <c r="BO225" s="58" t="s">
        <v>44</v>
      </c>
      <c r="BP225" s="58" t="s">
        <v>221</v>
      </c>
      <c r="BQ225">
        <v>2016</v>
      </c>
      <c r="BR225" s="59"/>
      <c r="BV225" s="18"/>
      <c r="BW225" s="18"/>
    </row>
    <row r="226" spans="2:75" x14ac:dyDescent="0.3">
      <c r="B226" s="20" t="s">
        <v>760</v>
      </c>
      <c r="C226" s="20" t="s">
        <v>1348</v>
      </c>
      <c r="D226" s="57" t="s">
        <v>1219</v>
      </c>
      <c r="E226" s="58" t="s">
        <v>1101</v>
      </c>
      <c r="F226" s="96"/>
      <c r="G226" s="96"/>
      <c r="H226" s="58" t="s">
        <v>761</v>
      </c>
      <c r="I226" s="58" t="s">
        <v>761</v>
      </c>
      <c r="J226" s="59">
        <v>772723</v>
      </c>
      <c r="K226" s="95" t="s">
        <v>1440</v>
      </c>
      <c r="L226" s="95"/>
      <c r="M226" s="58" t="s">
        <v>72</v>
      </c>
      <c r="N226" s="59">
        <v>99</v>
      </c>
      <c r="O226" s="58" t="s">
        <v>128</v>
      </c>
      <c r="P226" s="58" t="s">
        <v>762</v>
      </c>
      <c r="Q226" s="58" t="s">
        <v>92</v>
      </c>
      <c r="R226" s="58" t="s">
        <v>763</v>
      </c>
      <c r="S226" s="58" t="s">
        <v>42</v>
      </c>
      <c r="T226" s="73">
        <v>2790000</v>
      </c>
      <c r="U226" s="74">
        <f t="shared" si="135"/>
        <v>2831469.8596201488</v>
      </c>
      <c r="V226" s="74">
        <v>570000</v>
      </c>
      <c r="W226" s="74">
        <v>2604314</v>
      </c>
      <c r="X226" s="74">
        <v>523404</v>
      </c>
      <c r="Y226" s="74">
        <v>1646.66</v>
      </c>
      <c r="Z226" s="74">
        <v>336.41</v>
      </c>
      <c r="AA226" s="75" t="s">
        <v>43</v>
      </c>
      <c r="AB226" s="74"/>
      <c r="AC226" s="74"/>
      <c r="AD226" s="75" t="s">
        <v>43</v>
      </c>
      <c r="AE226" s="74"/>
      <c r="AF226" s="74"/>
      <c r="AG226" s="74">
        <v>0</v>
      </c>
      <c r="AH226" s="75" t="s">
        <v>42</v>
      </c>
      <c r="AI226" s="74"/>
      <c r="AJ226" s="74">
        <f t="shared" si="136"/>
        <v>577951.17698343506</v>
      </c>
      <c r="AK226" s="74">
        <f t="shared" si="137"/>
        <v>3204698.5962014864</v>
      </c>
      <c r="AL226" s="74">
        <f t="shared" si="138"/>
        <v>604289.45074106357</v>
      </c>
      <c r="AM226" s="74">
        <f>AK226*1.05</f>
        <v>3364933.526011561</v>
      </c>
      <c r="AN226" s="74">
        <f t="shared" si="149"/>
        <v>634503.92327811674</v>
      </c>
      <c r="AO226" s="74">
        <f>AM226/105*108+(40952)</f>
        <v>3502026.4838976054</v>
      </c>
      <c r="AP226" s="74">
        <f t="shared" si="148"/>
        <v>634503.92327811674</v>
      </c>
      <c r="AQ226" s="74">
        <f t="shared" si="142"/>
        <v>3693340.8936660858</v>
      </c>
      <c r="AR226" s="76">
        <v>113.9</v>
      </c>
      <c r="AS226" s="74">
        <f t="shared" si="147"/>
        <v>634503.92327811674</v>
      </c>
      <c r="AT226" s="76">
        <v>105</v>
      </c>
      <c r="AU226" s="74">
        <f t="shared" si="143"/>
        <v>4020845.2222528062</v>
      </c>
      <c r="AV226" s="76">
        <v>124</v>
      </c>
      <c r="AW226" s="74">
        <f t="shared" si="144"/>
        <v>737233.12990409753</v>
      </c>
      <c r="AX226" s="76">
        <v>122</v>
      </c>
      <c r="AY226" s="77">
        <f t="shared" si="150"/>
        <v>4059757</v>
      </c>
      <c r="AZ226" s="78">
        <v>125.2</v>
      </c>
      <c r="BA226" s="77">
        <f t="shared" si="151"/>
        <v>745089</v>
      </c>
      <c r="BB226" s="78">
        <v>123.3</v>
      </c>
      <c r="BC226" s="79">
        <v>36526</v>
      </c>
      <c r="BD226" s="59"/>
      <c r="BE226" s="80">
        <v>1845.98</v>
      </c>
      <c r="BF226" s="80">
        <v>1835.64</v>
      </c>
      <c r="BG226" s="80">
        <v>1814.85</v>
      </c>
      <c r="BH226" s="73"/>
      <c r="BI226" s="73"/>
      <c r="BJ226" s="73"/>
      <c r="BK226" s="73"/>
      <c r="BL226" s="79">
        <v>42999</v>
      </c>
      <c r="BM226" s="79">
        <v>36434</v>
      </c>
      <c r="BN226" s="58" t="s">
        <v>44</v>
      </c>
      <c r="BO226" s="58" t="s">
        <v>70</v>
      </c>
      <c r="BP226" s="58" t="s">
        <v>184</v>
      </c>
      <c r="BQ226">
        <v>2016</v>
      </c>
      <c r="BR226" s="59" t="s">
        <v>1005</v>
      </c>
      <c r="BV226" s="18"/>
      <c r="BW226" s="18"/>
    </row>
    <row r="227" spans="2:75" x14ac:dyDescent="0.3">
      <c r="B227" s="20" t="s">
        <v>1010</v>
      </c>
      <c r="C227" s="20" t="s">
        <v>1349</v>
      </c>
      <c r="D227" s="57" t="s">
        <v>1219</v>
      </c>
      <c r="E227" s="58" t="s">
        <v>1101</v>
      </c>
      <c r="F227" s="96"/>
      <c r="G227" s="96"/>
      <c r="H227" s="58" t="s">
        <v>761</v>
      </c>
      <c r="I227" s="58" t="s">
        <v>761</v>
      </c>
      <c r="J227" s="59">
        <v>772723</v>
      </c>
      <c r="K227" s="95" t="s">
        <v>1440</v>
      </c>
      <c r="L227" s="95"/>
      <c r="M227" s="58" t="s">
        <v>72</v>
      </c>
      <c r="N227" s="59">
        <v>99</v>
      </c>
      <c r="O227" s="58" t="s">
        <v>128</v>
      </c>
      <c r="P227" s="58" t="s">
        <v>764</v>
      </c>
      <c r="Q227" s="58" t="s">
        <v>92</v>
      </c>
      <c r="R227" s="58" t="s">
        <v>765</v>
      </c>
      <c r="S227" s="58" t="s">
        <v>42</v>
      </c>
      <c r="T227" s="73">
        <v>3090000</v>
      </c>
      <c r="U227" s="74">
        <f t="shared" si="135"/>
        <v>3135928.9843104873</v>
      </c>
      <c r="V227" s="74">
        <v>710000</v>
      </c>
      <c r="W227" s="74">
        <v>2900260</v>
      </c>
      <c r="X227" s="74">
        <v>605653</v>
      </c>
      <c r="Y227" s="74">
        <v>1823.72</v>
      </c>
      <c r="Z227" s="74">
        <v>419.04</v>
      </c>
      <c r="AA227" s="75" t="s">
        <v>43</v>
      </c>
      <c r="AB227" s="74"/>
      <c r="AC227" s="74"/>
      <c r="AD227" s="75" t="s">
        <v>43</v>
      </c>
      <c r="AE227" s="74"/>
      <c r="AF227" s="74"/>
      <c r="AG227" s="74">
        <v>0</v>
      </c>
      <c r="AH227" s="75" t="s">
        <v>42</v>
      </c>
      <c r="AI227" s="74"/>
      <c r="AJ227" s="74">
        <f t="shared" si="136"/>
        <v>719904.09764603316</v>
      </c>
      <c r="AK227" s="74">
        <f t="shared" si="137"/>
        <v>3549289.8431048719</v>
      </c>
      <c r="AL227" s="74">
        <f t="shared" si="138"/>
        <v>752711.42109851784</v>
      </c>
      <c r="AM227" s="74">
        <f>AK227*1.05+(56152.44*1.21)</f>
        <v>3794698.7876601154</v>
      </c>
      <c r="AN227" s="74">
        <f t="shared" si="149"/>
        <v>790346.99215344375</v>
      </c>
      <c r="AO227" s="74">
        <f t="shared" ref="AO227:AO232" si="152">AM227/105*108</f>
        <v>3903118.753021833</v>
      </c>
      <c r="AP227" s="74">
        <f t="shared" si="148"/>
        <v>790346.99215344375</v>
      </c>
      <c r="AQ227" s="74">
        <f t="shared" si="142"/>
        <v>4116344.6848998778</v>
      </c>
      <c r="AR227" s="76">
        <v>113.9</v>
      </c>
      <c r="AS227" s="74">
        <f t="shared" si="147"/>
        <v>790346.99215344375</v>
      </c>
      <c r="AT227" s="76">
        <v>105</v>
      </c>
      <c r="AU227" s="74">
        <f t="shared" si="143"/>
        <v>4481358.5682843272</v>
      </c>
      <c r="AV227" s="76">
        <v>124</v>
      </c>
      <c r="AW227" s="74">
        <f t="shared" si="144"/>
        <v>918307.93374019186</v>
      </c>
      <c r="AX227" s="76">
        <v>122</v>
      </c>
      <c r="AY227" s="77">
        <f t="shared" si="150"/>
        <v>4524727</v>
      </c>
      <c r="AZ227" s="78">
        <v>125.2</v>
      </c>
      <c r="BA227" s="77">
        <f t="shared" si="151"/>
        <v>928094</v>
      </c>
      <c r="BB227" s="78">
        <v>123.3</v>
      </c>
      <c r="BC227" s="79">
        <v>36526</v>
      </c>
      <c r="BD227" s="59"/>
      <c r="BE227" s="80">
        <v>2069.19</v>
      </c>
      <c r="BF227" s="80">
        <v>2057.69</v>
      </c>
      <c r="BG227" s="80">
        <v>2034.41</v>
      </c>
      <c r="BH227" s="73"/>
      <c r="BI227" s="73"/>
      <c r="BJ227" s="73"/>
      <c r="BK227" s="73"/>
      <c r="BL227" s="79">
        <v>42999</v>
      </c>
      <c r="BM227" s="79">
        <v>36434</v>
      </c>
      <c r="BN227" s="58" t="s">
        <v>44</v>
      </c>
      <c r="BO227" s="58" t="s">
        <v>70</v>
      </c>
      <c r="BP227" s="58" t="s">
        <v>184</v>
      </c>
      <c r="BQ227">
        <v>2016</v>
      </c>
      <c r="BR227" s="59" t="s">
        <v>1005</v>
      </c>
      <c r="BV227" s="18"/>
      <c r="BW227" s="18"/>
    </row>
    <row r="228" spans="2:75" x14ac:dyDescent="0.3">
      <c r="B228" s="20" t="s">
        <v>766</v>
      </c>
      <c r="C228" s="20" t="s">
        <v>1350</v>
      </c>
      <c r="D228" s="57" t="s">
        <v>1219</v>
      </c>
      <c r="E228" s="58" t="s">
        <v>1101</v>
      </c>
      <c r="F228" s="96"/>
      <c r="G228" s="96"/>
      <c r="H228" s="58" t="s">
        <v>761</v>
      </c>
      <c r="I228" s="58" t="s">
        <v>761</v>
      </c>
      <c r="J228" s="59">
        <v>772724</v>
      </c>
      <c r="K228" s="95" t="s">
        <v>43</v>
      </c>
      <c r="L228" s="95"/>
      <c r="M228" s="58" t="s">
        <v>66</v>
      </c>
      <c r="N228" s="59">
        <v>99</v>
      </c>
      <c r="O228" s="58" t="s">
        <v>128</v>
      </c>
      <c r="P228" s="58" t="s">
        <v>767</v>
      </c>
      <c r="Q228" s="58" t="s">
        <v>124</v>
      </c>
      <c r="R228" s="58" t="s">
        <v>768</v>
      </c>
      <c r="S228" s="58" t="s">
        <v>42</v>
      </c>
      <c r="T228" s="73">
        <v>1390000</v>
      </c>
      <c r="U228" s="74">
        <f t="shared" si="135"/>
        <v>1410660.6110652355</v>
      </c>
      <c r="V228" s="74">
        <v>190000</v>
      </c>
      <c r="W228" s="74">
        <v>1321887</v>
      </c>
      <c r="X228" s="74">
        <v>166991</v>
      </c>
      <c r="Y228" s="74">
        <v>820.38</v>
      </c>
      <c r="Z228" s="74">
        <v>112.14</v>
      </c>
      <c r="AA228" s="75" t="s">
        <v>43</v>
      </c>
      <c r="AB228" s="74"/>
      <c r="AC228" s="74"/>
      <c r="AD228" s="75" t="s">
        <v>43</v>
      </c>
      <c r="AE228" s="74"/>
      <c r="AF228" s="74"/>
      <c r="AG228" s="74">
        <v>0</v>
      </c>
      <c r="AH228" s="75" t="s">
        <v>42</v>
      </c>
      <c r="AI228" s="74"/>
      <c r="AJ228" s="74">
        <f t="shared" si="136"/>
        <v>192650.39232781169</v>
      </c>
      <c r="AK228" s="74">
        <f t="shared" si="137"/>
        <v>1596606.1106523534</v>
      </c>
      <c r="AL228" s="74">
        <f t="shared" si="138"/>
        <v>201429.81691368786</v>
      </c>
      <c r="AM228" s="74">
        <f>AK228*1.05</f>
        <v>1676436.4161849711</v>
      </c>
      <c r="AN228" s="74">
        <f t="shared" si="149"/>
        <v>211501.30775937226</v>
      </c>
      <c r="AO228" s="74">
        <f t="shared" si="152"/>
        <v>1724334.5995045418</v>
      </c>
      <c r="AP228" s="74">
        <f t="shared" si="148"/>
        <v>211501.30775937226</v>
      </c>
      <c r="AQ228" s="74">
        <f t="shared" si="142"/>
        <v>1818534.3600330309</v>
      </c>
      <c r="AR228" s="76">
        <v>113.9</v>
      </c>
      <c r="AS228" s="74">
        <f t="shared" si="147"/>
        <v>211501.30775937226</v>
      </c>
      <c r="AT228" s="76">
        <v>105</v>
      </c>
      <c r="AU228" s="74">
        <f t="shared" si="143"/>
        <v>1979791.5772089183</v>
      </c>
      <c r="AV228" s="76">
        <v>124</v>
      </c>
      <c r="AW228" s="74">
        <f t="shared" si="144"/>
        <v>245744.37663469921</v>
      </c>
      <c r="AX228" s="76">
        <v>122</v>
      </c>
      <c r="AY228" s="77">
        <f t="shared" si="150"/>
        <v>1998951</v>
      </c>
      <c r="AZ228" s="78">
        <v>125.2</v>
      </c>
      <c r="BA228" s="77">
        <f t="shared" si="151"/>
        <v>248363</v>
      </c>
      <c r="BB228" s="78">
        <v>123.3</v>
      </c>
      <c r="BC228" s="79">
        <v>36482</v>
      </c>
      <c r="BD228" s="59"/>
      <c r="BE228" s="80">
        <v>878.74</v>
      </c>
      <c r="BF228" s="80">
        <v>873.49</v>
      </c>
      <c r="BG228" s="80">
        <v>863.44</v>
      </c>
      <c r="BH228" s="73"/>
      <c r="BI228" s="73"/>
      <c r="BJ228" s="73"/>
      <c r="BK228" s="73"/>
      <c r="BL228" s="79">
        <v>42999</v>
      </c>
      <c r="BM228" s="79">
        <v>36434</v>
      </c>
      <c r="BN228" s="58" t="s">
        <v>44</v>
      </c>
      <c r="BO228" s="58" t="s">
        <v>70</v>
      </c>
      <c r="BP228" s="58" t="s">
        <v>184</v>
      </c>
      <c r="BQ228">
        <v>2016</v>
      </c>
      <c r="BR228" s="59"/>
      <c r="BV228" s="18"/>
      <c r="BW228" s="18"/>
    </row>
    <row r="229" spans="2:75" x14ac:dyDescent="0.3">
      <c r="B229" s="20" t="s">
        <v>769</v>
      </c>
      <c r="C229" s="20" t="s">
        <v>1351</v>
      </c>
      <c r="D229" s="57" t="s">
        <v>1219</v>
      </c>
      <c r="E229" s="58" t="s">
        <v>1101</v>
      </c>
      <c r="F229" s="96"/>
      <c r="G229" s="96"/>
      <c r="H229" s="58" t="s">
        <v>761</v>
      </c>
      <c r="I229" s="58" t="s">
        <v>761</v>
      </c>
      <c r="J229" s="59">
        <v>772723</v>
      </c>
      <c r="K229" s="95" t="s">
        <v>43</v>
      </c>
      <c r="L229" s="95"/>
      <c r="M229" s="58" t="s">
        <v>72</v>
      </c>
      <c r="N229" s="59">
        <v>99</v>
      </c>
      <c r="O229" s="58" t="s">
        <v>128</v>
      </c>
      <c r="P229" s="58" t="s">
        <v>770</v>
      </c>
      <c r="Q229" s="58" t="s">
        <v>217</v>
      </c>
      <c r="R229" s="58" t="s">
        <v>771</v>
      </c>
      <c r="S229" s="58" t="s">
        <v>42</v>
      </c>
      <c r="T229" s="73">
        <v>2680000</v>
      </c>
      <c r="U229" s="74">
        <f t="shared" si="135"/>
        <v>2719834.8472336913</v>
      </c>
      <c r="V229" s="74">
        <v>515000</v>
      </c>
      <c r="W229" s="74">
        <v>2505666</v>
      </c>
      <c r="X229" s="74">
        <v>433678</v>
      </c>
      <c r="Y229" s="74">
        <v>1581.74</v>
      </c>
      <c r="Z229" s="74">
        <v>303.95</v>
      </c>
      <c r="AA229" s="75" t="s">
        <v>43</v>
      </c>
      <c r="AB229" s="74"/>
      <c r="AC229" s="74"/>
      <c r="AD229" s="75" t="s">
        <v>43</v>
      </c>
      <c r="AE229" s="74"/>
      <c r="AF229" s="74"/>
      <c r="AG229" s="74">
        <v>0</v>
      </c>
      <c r="AH229" s="75" t="s">
        <v>42</v>
      </c>
      <c r="AI229" s="74"/>
      <c r="AJ229" s="74">
        <f t="shared" si="136"/>
        <v>522183.95815170009</v>
      </c>
      <c r="AK229" s="74">
        <f t="shared" si="137"/>
        <v>3078348.4723369116</v>
      </c>
      <c r="AL229" s="74">
        <f t="shared" si="138"/>
        <v>545980.81952920661</v>
      </c>
      <c r="AM229" s="74">
        <f>AK229*1.05</f>
        <v>3232265.8959537572</v>
      </c>
      <c r="AN229" s="74">
        <f t="shared" si="149"/>
        <v>573279.86050566693</v>
      </c>
      <c r="AO229" s="74">
        <f t="shared" si="152"/>
        <v>3324616.3501238646</v>
      </c>
      <c r="AP229" s="74">
        <f t="shared" si="148"/>
        <v>573279.86050566693</v>
      </c>
      <c r="AQ229" s="74">
        <f t="shared" si="142"/>
        <v>3506238.9099917426</v>
      </c>
      <c r="AR229" s="76">
        <v>113.9</v>
      </c>
      <c r="AS229" s="74">
        <f t="shared" si="147"/>
        <v>573279.86050566693</v>
      </c>
      <c r="AT229" s="76">
        <v>105</v>
      </c>
      <c r="AU229" s="74">
        <f t="shared" si="143"/>
        <v>3817152.1056977706</v>
      </c>
      <c r="AV229" s="76">
        <v>124</v>
      </c>
      <c r="AW229" s="74">
        <f t="shared" si="144"/>
        <v>666096.59982563206</v>
      </c>
      <c r="AX229" s="76">
        <v>122</v>
      </c>
      <c r="AY229" s="77">
        <f t="shared" si="150"/>
        <v>3854093</v>
      </c>
      <c r="AZ229" s="78">
        <v>125.2</v>
      </c>
      <c r="BA229" s="77">
        <f t="shared" si="151"/>
        <v>673195</v>
      </c>
      <c r="BB229" s="78">
        <v>123.3</v>
      </c>
      <c r="BC229" s="79">
        <v>36526</v>
      </c>
      <c r="BD229" s="59"/>
      <c r="BE229" s="80">
        <v>1734.8</v>
      </c>
      <c r="BF229" s="80">
        <v>1724.86</v>
      </c>
      <c r="BG229" s="80">
        <v>1705.21</v>
      </c>
      <c r="BH229" s="73"/>
      <c r="BI229" s="73"/>
      <c r="BJ229" s="73"/>
      <c r="BK229" s="73"/>
      <c r="BL229" s="79">
        <v>42999</v>
      </c>
      <c r="BM229" s="79">
        <v>36434</v>
      </c>
      <c r="BN229" s="58" t="s">
        <v>44</v>
      </c>
      <c r="BO229" s="58" t="s">
        <v>70</v>
      </c>
      <c r="BP229" s="58" t="s">
        <v>184</v>
      </c>
      <c r="BQ229">
        <v>2016</v>
      </c>
      <c r="BR229" s="59"/>
      <c r="BV229" s="18"/>
      <c r="BW229" s="18"/>
    </row>
    <row r="230" spans="2:75" x14ac:dyDescent="0.3">
      <c r="B230" s="20" t="s">
        <v>772</v>
      </c>
      <c r="C230" s="20" t="s">
        <v>1352</v>
      </c>
      <c r="D230" s="57" t="s">
        <v>1406</v>
      </c>
      <c r="E230" s="58" t="s">
        <v>1101</v>
      </c>
      <c r="F230" s="96"/>
      <c r="G230" s="96"/>
      <c r="H230" s="58" t="s">
        <v>761</v>
      </c>
      <c r="I230" s="58" t="s">
        <v>761</v>
      </c>
      <c r="J230" s="59">
        <v>772724</v>
      </c>
      <c r="K230" s="95" t="s">
        <v>43</v>
      </c>
      <c r="L230" s="95"/>
      <c r="M230" s="58" t="s">
        <v>66</v>
      </c>
      <c r="N230" s="59">
        <v>99</v>
      </c>
      <c r="O230" s="58" t="s">
        <v>128</v>
      </c>
      <c r="P230" s="58" t="s">
        <v>773</v>
      </c>
      <c r="Q230" s="58" t="s">
        <v>245</v>
      </c>
      <c r="R230" s="58" t="s">
        <v>774</v>
      </c>
      <c r="S230" s="58" t="s">
        <v>42</v>
      </c>
      <c r="T230" s="73">
        <v>1700000</v>
      </c>
      <c r="U230" s="74">
        <f t="shared" si="135"/>
        <v>1725268.3732452518</v>
      </c>
      <c r="V230" s="74"/>
      <c r="W230" s="74">
        <v>1578372</v>
      </c>
      <c r="X230" s="74"/>
      <c r="Y230" s="74">
        <v>1003.34</v>
      </c>
      <c r="Z230" s="74"/>
      <c r="AA230" s="75" t="s">
        <v>43</v>
      </c>
      <c r="AB230" s="74"/>
      <c r="AC230" s="74"/>
      <c r="AD230" s="75" t="s">
        <v>43</v>
      </c>
      <c r="AE230" s="74"/>
      <c r="AF230" s="74"/>
      <c r="AG230" s="74">
        <v>0</v>
      </c>
      <c r="AH230" s="75" t="s">
        <v>42</v>
      </c>
      <c r="AI230" s="74"/>
      <c r="AJ230" s="74">
        <f t="shared" si="136"/>
        <v>0</v>
      </c>
      <c r="AK230" s="74">
        <f t="shared" si="137"/>
        <v>1952683.7324525183</v>
      </c>
      <c r="AL230" s="74">
        <f t="shared" si="138"/>
        <v>0</v>
      </c>
      <c r="AM230" s="74">
        <f>AK230*1.05</f>
        <v>2050317.9190751442</v>
      </c>
      <c r="AN230" s="74">
        <f t="shared" si="149"/>
        <v>0</v>
      </c>
      <c r="AO230" s="74">
        <f t="shared" si="152"/>
        <v>2108898.4310487197</v>
      </c>
      <c r="AP230" s="74">
        <f t="shared" si="148"/>
        <v>0</v>
      </c>
      <c r="AQ230" s="74">
        <f t="shared" si="142"/>
        <v>2224106.7712634183</v>
      </c>
      <c r="AR230" s="76">
        <v>113.9</v>
      </c>
      <c r="AS230" s="74">
        <f t="shared" si="147"/>
        <v>0</v>
      </c>
      <c r="AT230" s="76">
        <v>105</v>
      </c>
      <c r="AU230" s="74">
        <f t="shared" si="143"/>
        <v>2421327.8282411224</v>
      </c>
      <c r="AV230" s="76">
        <v>124</v>
      </c>
      <c r="AW230" s="74">
        <f t="shared" si="144"/>
        <v>0</v>
      </c>
      <c r="AX230" s="76">
        <v>122</v>
      </c>
      <c r="AY230" s="77">
        <f t="shared" si="150"/>
        <v>2444761</v>
      </c>
      <c r="AZ230" s="78">
        <v>125.2</v>
      </c>
      <c r="BA230" s="77">
        <f t="shared" si="151"/>
        <v>0</v>
      </c>
      <c r="BB230" s="78">
        <v>123.3</v>
      </c>
      <c r="BC230" s="79">
        <v>42005</v>
      </c>
      <c r="BD230" s="59"/>
      <c r="BE230" s="80">
        <v>931.56</v>
      </c>
      <c r="BF230" s="80">
        <v>925.29</v>
      </c>
      <c r="BG230" s="80">
        <v>914.33</v>
      </c>
      <c r="BH230" s="73"/>
      <c r="BI230" s="73"/>
      <c r="BJ230" s="73"/>
      <c r="BK230" s="73"/>
      <c r="BL230" s="79">
        <v>42999</v>
      </c>
      <c r="BM230" s="79">
        <v>36434</v>
      </c>
      <c r="BN230" s="58" t="s">
        <v>44</v>
      </c>
      <c r="BO230" s="58" t="s">
        <v>70</v>
      </c>
      <c r="BP230" s="58" t="s">
        <v>184</v>
      </c>
      <c r="BQ230">
        <v>2016</v>
      </c>
      <c r="BR230" s="59"/>
      <c r="BV230" s="18"/>
      <c r="BW230" s="18"/>
    </row>
    <row r="231" spans="2:75" x14ac:dyDescent="0.3">
      <c r="B231" s="20" t="s">
        <v>776</v>
      </c>
      <c r="C231" s="20" t="s">
        <v>1353</v>
      </c>
      <c r="D231" s="57" t="e">
        <v>#N/A</v>
      </c>
      <c r="E231" s="58" t="s">
        <v>1111</v>
      </c>
      <c r="F231" s="96"/>
      <c r="G231" s="96"/>
      <c r="H231" s="58" t="s">
        <v>775</v>
      </c>
      <c r="I231" s="58" t="s">
        <v>775</v>
      </c>
      <c r="J231" s="59">
        <v>777772</v>
      </c>
      <c r="K231" s="103" t="s">
        <v>43</v>
      </c>
      <c r="L231" s="103"/>
      <c r="M231" s="58" t="s">
        <v>39</v>
      </c>
      <c r="N231" s="59">
        <v>99</v>
      </c>
      <c r="O231" s="58" t="s">
        <v>128</v>
      </c>
      <c r="P231" s="58" t="s">
        <v>777</v>
      </c>
      <c r="Q231" s="58" t="s">
        <v>41</v>
      </c>
      <c r="R231" s="58" t="s">
        <v>778</v>
      </c>
      <c r="S231" s="58" t="s">
        <v>42</v>
      </c>
      <c r="T231" s="73">
        <v>1050000</v>
      </c>
      <c r="U231" s="74">
        <f t="shared" si="135"/>
        <v>1065606.936416185</v>
      </c>
      <c r="V231" s="74"/>
      <c r="W231" s="74">
        <v>966497</v>
      </c>
      <c r="X231" s="74"/>
      <c r="Y231" s="74">
        <v>619.71</v>
      </c>
      <c r="Z231" s="74"/>
      <c r="AA231" s="75" t="s">
        <v>43</v>
      </c>
      <c r="AB231" s="74"/>
      <c r="AC231" s="74"/>
      <c r="AD231" s="75" t="s">
        <v>43</v>
      </c>
      <c r="AE231" s="74"/>
      <c r="AF231" s="74"/>
      <c r="AG231" s="74">
        <v>0</v>
      </c>
      <c r="AH231" s="75" t="s">
        <v>42</v>
      </c>
      <c r="AI231" s="74"/>
      <c r="AJ231" s="74">
        <f t="shared" si="136"/>
        <v>0</v>
      </c>
      <c r="AK231" s="74">
        <f t="shared" si="137"/>
        <v>1206069.3641618497</v>
      </c>
      <c r="AL231" s="74">
        <f t="shared" si="138"/>
        <v>0</v>
      </c>
      <c r="AM231" s="74">
        <f>AK231*1.05</f>
        <v>1266372.8323699422</v>
      </c>
      <c r="AN231" s="74">
        <f t="shared" si="149"/>
        <v>0</v>
      </c>
      <c r="AO231" s="74">
        <f t="shared" si="152"/>
        <v>1302554.9132947978</v>
      </c>
      <c r="AP231" s="74">
        <f t="shared" si="148"/>
        <v>0</v>
      </c>
      <c r="AQ231" s="74">
        <f t="shared" si="142"/>
        <v>1373713.0057803469</v>
      </c>
      <c r="AR231" s="76">
        <v>113.9</v>
      </c>
      <c r="AS231" s="74">
        <f t="shared" si="147"/>
        <v>0</v>
      </c>
      <c r="AT231" s="76">
        <v>105</v>
      </c>
      <c r="AU231" s="74">
        <f t="shared" si="143"/>
        <v>1495526.0115606938</v>
      </c>
      <c r="AV231" s="76">
        <v>124</v>
      </c>
      <c r="AW231" s="74">
        <f t="shared" si="144"/>
        <v>0</v>
      </c>
      <c r="AX231" s="76">
        <v>122</v>
      </c>
      <c r="AY231" s="77">
        <f t="shared" si="150"/>
        <v>1509999</v>
      </c>
      <c r="AZ231" s="78">
        <v>125.2</v>
      </c>
      <c r="BA231" s="77">
        <f t="shared" si="151"/>
        <v>0</v>
      </c>
      <c r="BB231" s="78">
        <v>123.3</v>
      </c>
      <c r="BC231" s="79">
        <v>42005</v>
      </c>
      <c r="BD231" s="59"/>
      <c r="BE231" s="80">
        <v>570.42999999999995</v>
      </c>
      <c r="BF231" s="80">
        <v>566.59</v>
      </c>
      <c r="BG231" s="80">
        <v>914.33</v>
      </c>
      <c r="BH231" s="73"/>
      <c r="BI231" s="73"/>
      <c r="BJ231" s="73"/>
      <c r="BK231" s="73"/>
      <c r="BL231" s="79">
        <v>42999</v>
      </c>
      <c r="BM231" s="79">
        <v>36434</v>
      </c>
      <c r="BN231" s="58" t="s">
        <v>44</v>
      </c>
      <c r="BO231" s="58" t="s">
        <v>70</v>
      </c>
      <c r="BP231" s="58" t="s">
        <v>779</v>
      </c>
      <c r="BQ231">
        <v>2016</v>
      </c>
      <c r="BR231" s="91"/>
      <c r="BV231" s="18"/>
      <c r="BW231" s="18"/>
    </row>
    <row r="232" spans="2:75" x14ac:dyDescent="0.3">
      <c r="B232" s="20" t="s">
        <v>780</v>
      </c>
      <c r="C232" s="20" t="s">
        <v>1354</v>
      </c>
      <c r="D232" s="57" t="s">
        <v>1220</v>
      </c>
      <c r="E232" s="58" t="s">
        <v>1111</v>
      </c>
      <c r="F232" s="97" t="s">
        <v>1473</v>
      </c>
      <c r="G232" s="97" t="s">
        <v>1473</v>
      </c>
      <c r="H232" s="58" t="s">
        <v>261</v>
      </c>
      <c r="I232" s="58" t="s">
        <v>261</v>
      </c>
      <c r="J232" s="59">
        <v>772724</v>
      </c>
      <c r="K232" s="103" t="s">
        <v>43</v>
      </c>
      <c r="L232" s="104" t="s">
        <v>1471</v>
      </c>
      <c r="M232" s="58" t="s">
        <v>66</v>
      </c>
      <c r="N232" s="59">
        <v>99</v>
      </c>
      <c r="O232" s="58" t="s">
        <v>128</v>
      </c>
      <c r="P232" s="58" t="s">
        <v>781</v>
      </c>
      <c r="Q232" s="58" t="s">
        <v>99</v>
      </c>
      <c r="R232" s="58" t="s">
        <v>782</v>
      </c>
      <c r="S232" s="58" t="s">
        <v>42</v>
      </c>
      <c r="T232" s="73">
        <v>7350000</v>
      </c>
      <c r="U232" s="74">
        <f t="shared" si="135"/>
        <v>7459248.5549132954</v>
      </c>
      <c r="V232" s="74">
        <v>560000</v>
      </c>
      <c r="W232" s="74">
        <v>6708082</v>
      </c>
      <c r="X232" s="74">
        <v>507307</v>
      </c>
      <c r="Y232" s="74">
        <v>4337.97</v>
      </c>
      <c r="Z232" s="74">
        <v>330.51</v>
      </c>
      <c r="AA232" s="75" t="s">
        <v>43</v>
      </c>
      <c r="AB232" s="74"/>
      <c r="AC232" s="74"/>
      <c r="AD232" s="75" t="s">
        <v>43</v>
      </c>
      <c r="AE232" s="74"/>
      <c r="AF232" s="74"/>
      <c r="AG232" s="74">
        <v>0</v>
      </c>
      <c r="AH232" s="75" t="s">
        <v>42</v>
      </c>
      <c r="AI232" s="74"/>
      <c r="AJ232" s="74">
        <f t="shared" si="136"/>
        <v>567811.68265039229</v>
      </c>
      <c r="AK232" s="74">
        <f t="shared" si="137"/>
        <v>8442485.5491329487</v>
      </c>
      <c r="AL232" s="74">
        <f t="shared" si="138"/>
        <v>593687.88142981683</v>
      </c>
      <c r="AM232" s="74">
        <f>AK232*1.05</f>
        <v>8864609.8265895974</v>
      </c>
      <c r="AN232" s="74">
        <f t="shared" si="149"/>
        <v>623372.27550130768</v>
      </c>
      <c r="AO232" s="74">
        <f t="shared" si="152"/>
        <v>9117884.3930635862</v>
      </c>
      <c r="AP232" s="74">
        <f t="shared" si="148"/>
        <v>623372.27550130768</v>
      </c>
      <c r="AQ232" s="74">
        <f t="shared" si="142"/>
        <v>9615991.0404624306</v>
      </c>
      <c r="AR232" s="76">
        <v>113.9</v>
      </c>
      <c r="AS232" s="74">
        <v>747092</v>
      </c>
      <c r="AT232" s="76">
        <v>105</v>
      </c>
      <c r="AU232" s="74">
        <f t="shared" si="143"/>
        <v>10468682.080924857</v>
      </c>
      <c r="AV232" s="76">
        <v>124</v>
      </c>
      <c r="AW232" s="74">
        <f t="shared" si="144"/>
        <v>868049.75238095247</v>
      </c>
      <c r="AX232" s="76">
        <v>122</v>
      </c>
      <c r="AY232" s="77">
        <f t="shared" si="150"/>
        <v>10569992</v>
      </c>
      <c r="AZ232" s="78">
        <v>125.2</v>
      </c>
      <c r="BA232" s="77">
        <f t="shared" si="151"/>
        <v>877300</v>
      </c>
      <c r="BB232" s="78">
        <v>123.3</v>
      </c>
      <c r="BC232" s="79">
        <v>36482</v>
      </c>
      <c r="BD232" s="59"/>
      <c r="BE232" s="80">
        <v>4258.5200000000004</v>
      </c>
      <c r="BF232" s="80">
        <v>4231.8999999999996</v>
      </c>
      <c r="BG232" s="80">
        <v>4182.7</v>
      </c>
      <c r="BH232" s="73"/>
      <c r="BI232" s="73"/>
      <c r="BJ232" s="73"/>
      <c r="BK232" s="73"/>
      <c r="BL232" s="79">
        <v>42999</v>
      </c>
      <c r="BM232" s="79">
        <v>36434</v>
      </c>
      <c r="BN232" s="58" t="s">
        <v>44</v>
      </c>
      <c r="BO232" s="58" t="s">
        <v>70</v>
      </c>
      <c r="BP232" s="58" t="s">
        <v>184</v>
      </c>
      <c r="BQ232">
        <v>2016</v>
      </c>
      <c r="BR232" s="91"/>
      <c r="BV232" s="18"/>
      <c r="BW232" s="18"/>
    </row>
    <row r="233" spans="2:75" x14ac:dyDescent="0.3">
      <c r="B233" s="20" t="s">
        <v>783</v>
      </c>
      <c r="C233" s="20" t="s">
        <v>783</v>
      </c>
      <c r="D233" s="57" t="s">
        <v>1220</v>
      </c>
      <c r="E233" s="58" t="s">
        <v>1111</v>
      </c>
      <c r="F233" s="96"/>
      <c r="G233" s="96"/>
      <c r="H233" s="58" t="s">
        <v>261</v>
      </c>
      <c r="I233" s="58" t="s">
        <v>261</v>
      </c>
      <c r="J233" s="59">
        <v>777772</v>
      </c>
      <c r="K233" s="95" t="s">
        <v>1440</v>
      </c>
      <c r="L233" s="95"/>
      <c r="M233" s="58" t="s">
        <v>39</v>
      </c>
      <c r="N233" s="59">
        <v>11</v>
      </c>
      <c r="O233" s="58" t="s">
        <v>40</v>
      </c>
      <c r="P233" s="58" t="s">
        <v>784</v>
      </c>
      <c r="Q233" s="58" t="s">
        <v>42</v>
      </c>
      <c r="R233" s="58" t="s">
        <v>785</v>
      </c>
      <c r="S233" s="58" t="s">
        <v>42</v>
      </c>
      <c r="T233" s="73">
        <v>4500000</v>
      </c>
      <c r="U233" s="74">
        <f t="shared" ref="U233:U267" si="153">122.9*T233/121.1</f>
        <v>4566886.870355079</v>
      </c>
      <c r="V233" s="74"/>
      <c r="W233" s="74">
        <v>5682000</v>
      </c>
      <c r="X233" s="74"/>
      <c r="Y233" s="74">
        <v>2655.9</v>
      </c>
      <c r="Z233" s="74"/>
      <c r="AA233" s="75" t="s">
        <v>43</v>
      </c>
      <c r="AB233" s="74"/>
      <c r="AC233" s="74"/>
      <c r="AD233" s="75" t="s">
        <v>43</v>
      </c>
      <c r="AE233" s="74"/>
      <c r="AF233" s="74"/>
      <c r="AG233" s="74">
        <v>0</v>
      </c>
      <c r="AH233" s="75" t="s">
        <v>42</v>
      </c>
      <c r="AI233" s="74"/>
      <c r="AJ233" s="74">
        <f t="shared" ref="AJ233:AJ244" si="154">116.3*V233/114.7</f>
        <v>0</v>
      </c>
      <c r="AK233" s="74">
        <f t="shared" ref="AK233:AK261" si="155">139.1/122.9*U233</f>
        <v>5168868.7035507848</v>
      </c>
      <c r="AL233" s="74">
        <f t="shared" ref="AL233:AL261" si="156">121.6/116.3*AJ233</f>
        <v>0</v>
      </c>
      <c r="AM233" s="74">
        <f t="shared" ref="AM233:AN261" si="157">AK233*1.05</f>
        <v>5427312.1387283243</v>
      </c>
      <c r="AN233" s="74">
        <f t="shared" si="157"/>
        <v>0</v>
      </c>
      <c r="AO233" s="74">
        <f>AM233/105*108+34772</f>
        <v>5617150.1998348478</v>
      </c>
      <c r="AP233" s="74">
        <f t="shared" ref="AP233:AP255" si="158">AN233</f>
        <v>0</v>
      </c>
      <c r="AQ233" s="74">
        <f t="shared" ref="AQ233:AQ249" si="159">AO233/108*113.9</f>
        <v>5924013.0348258261</v>
      </c>
      <c r="AR233" s="76">
        <v>113.9</v>
      </c>
      <c r="AS233" s="74">
        <f t="shared" ref="AS233:AS249" si="160">AP233</f>
        <v>0</v>
      </c>
      <c r="AT233" s="76">
        <v>105</v>
      </c>
      <c r="AU233" s="74">
        <f t="shared" ref="AU233:AU264" si="161">AQ233/AR233*AV233</f>
        <v>6449320.5998103805</v>
      </c>
      <c r="AV233" s="76">
        <v>124</v>
      </c>
      <c r="AW233" s="74">
        <f t="shared" ref="AW233:AW264" si="162">AS233/AT233*AX233</f>
        <v>0</v>
      </c>
      <c r="AX233" s="76">
        <v>122</v>
      </c>
      <c r="AY233" s="77">
        <f t="shared" ref="AY233:AY241" si="163">CEILING(((AU233/AV233)*AZ233),1)</f>
        <v>6511734</v>
      </c>
      <c r="AZ233" s="78">
        <v>125.2</v>
      </c>
      <c r="BA233" s="77">
        <f t="shared" ref="BA233:BA242" si="164">CEILING(((AW233/AX233)*BB233),1)</f>
        <v>0</v>
      </c>
      <c r="BB233" s="78">
        <v>123.3</v>
      </c>
      <c r="BC233" s="79">
        <v>42395</v>
      </c>
      <c r="BD233" s="59"/>
      <c r="BE233" s="80">
        <v>3353.52</v>
      </c>
      <c r="BF233" s="80"/>
      <c r="BG233" s="80"/>
      <c r="BH233" s="73"/>
      <c r="BI233" s="73"/>
      <c r="BJ233" s="73"/>
      <c r="BK233" s="73"/>
      <c r="BL233" s="79">
        <v>43049</v>
      </c>
      <c r="BM233" s="79">
        <v>42808</v>
      </c>
      <c r="BN233" s="58" t="s">
        <v>44</v>
      </c>
      <c r="BO233" s="58" t="s">
        <v>44</v>
      </c>
      <c r="BP233" s="58" t="s">
        <v>221</v>
      </c>
      <c r="BQ233">
        <v>2016</v>
      </c>
      <c r="BR233" s="91" t="s">
        <v>1005</v>
      </c>
      <c r="BV233" s="18"/>
      <c r="BW233" s="18"/>
    </row>
    <row r="234" spans="2:75" x14ac:dyDescent="0.3">
      <c r="B234" s="20" t="s">
        <v>786</v>
      </c>
      <c r="C234" s="20" t="s">
        <v>1355</v>
      </c>
      <c r="D234" s="57" t="s">
        <v>1221</v>
      </c>
      <c r="E234" s="58" t="s">
        <v>1101</v>
      </c>
      <c r="F234" s="96"/>
      <c r="G234" s="96"/>
      <c r="H234" s="58" t="s">
        <v>103</v>
      </c>
      <c r="I234" s="58" t="s">
        <v>103</v>
      </c>
      <c r="J234" s="59">
        <v>772723</v>
      </c>
      <c r="K234" s="95" t="s">
        <v>1440</v>
      </c>
      <c r="L234" s="95"/>
      <c r="M234" s="58" t="s">
        <v>72</v>
      </c>
      <c r="N234" s="59">
        <v>11</v>
      </c>
      <c r="O234" s="58" t="s">
        <v>40</v>
      </c>
      <c r="P234" s="58" t="s">
        <v>787</v>
      </c>
      <c r="Q234" s="58" t="s">
        <v>92</v>
      </c>
      <c r="R234" s="58" t="s">
        <v>788</v>
      </c>
      <c r="S234" s="58" t="s">
        <v>42</v>
      </c>
      <c r="T234" s="73">
        <v>2200000</v>
      </c>
      <c r="U234" s="74">
        <f t="shared" si="153"/>
        <v>2232700.2477291496</v>
      </c>
      <c r="V234" s="74">
        <v>395000</v>
      </c>
      <c r="W234" s="74">
        <v>2071614</v>
      </c>
      <c r="X234" s="74">
        <v>381337</v>
      </c>
      <c r="Y234" s="74">
        <v>1298.44</v>
      </c>
      <c r="Z234" s="74">
        <v>233.13</v>
      </c>
      <c r="AA234" s="75" t="s">
        <v>43</v>
      </c>
      <c r="AB234" s="74"/>
      <c r="AC234" s="74"/>
      <c r="AD234" s="75" t="s">
        <v>43</v>
      </c>
      <c r="AE234" s="74"/>
      <c r="AF234" s="74"/>
      <c r="AG234" s="74">
        <v>0</v>
      </c>
      <c r="AH234" s="75" t="s">
        <v>42</v>
      </c>
      <c r="AI234" s="74"/>
      <c r="AJ234" s="74">
        <f t="shared" si="154"/>
        <v>400510.02615518746</v>
      </c>
      <c r="AK234" s="74">
        <f t="shared" si="155"/>
        <v>2527002.4772914946</v>
      </c>
      <c r="AL234" s="74">
        <f t="shared" si="156"/>
        <v>418761.98779424583</v>
      </c>
      <c r="AM234" s="74">
        <f>AK234*1.05+(41689.9*1.21)</f>
        <v>2703797.3801560695</v>
      </c>
      <c r="AN234" s="74">
        <f t="shared" si="157"/>
        <v>439700.08718395815</v>
      </c>
      <c r="AO234" s="74">
        <f>AM234/105*108</f>
        <v>2781048.7338748141</v>
      </c>
      <c r="AP234" s="74">
        <f t="shared" si="158"/>
        <v>439700.08718395815</v>
      </c>
      <c r="AQ234" s="74">
        <f t="shared" si="159"/>
        <v>2932976.3961883457</v>
      </c>
      <c r="AR234" s="76">
        <v>113.9</v>
      </c>
      <c r="AS234" s="74">
        <f t="shared" si="160"/>
        <v>439700.08718395815</v>
      </c>
      <c r="AT234" s="76">
        <v>105</v>
      </c>
      <c r="AU234" s="74">
        <f t="shared" si="161"/>
        <v>3193055.9537081202</v>
      </c>
      <c r="AV234" s="76">
        <v>124</v>
      </c>
      <c r="AW234" s="74">
        <f t="shared" si="162"/>
        <v>510889.62510897993</v>
      </c>
      <c r="AX234" s="76">
        <v>122</v>
      </c>
      <c r="AY234" s="77">
        <f t="shared" si="163"/>
        <v>3223957</v>
      </c>
      <c r="AZ234" s="78">
        <v>125.2</v>
      </c>
      <c r="BA234" s="77">
        <f t="shared" si="164"/>
        <v>516334</v>
      </c>
      <c r="BB234" s="78">
        <v>123.3</v>
      </c>
      <c r="BC234" s="79">
        <v>36526</v>
      </c>
      <c r="BD234" s="59"/>
      <c r="BE234" s="80">
        <v>1447.74</v>
      </c>
      <c r="BF234" s="80">
        <v>1439.52</v>
      </c>
      <c r="BG234" s="80">
        <v>1423.15</v>
      </c>
      <c r="BH234" s="73"/>
      <c r="BI234" s="73"/>
      <c r="BJ234" s="73"/>
      <c r="BK234" s="73"/>
      <c r="BL234" s="79">
        <v>42999</v>
      </c>
      <c r="BM234" s="79">
        <v>36434</v>
      </c>
      <c r="BN234" s="58" t="s">
        <v>44</v>
      </c>
      <c r="BO234" s="58" t="s">
        <v>70</v>
      </c>
      <c r="BP234" s="58" t="s">
        <v>184</v>
      </c>
      <c r="BQ234">
        <v>2016</v>
      </c>
      <c r="BR234" s="59" t="s">
        <v>1005</v>
      </c>
      <c r="BV234" s="18"/>
      <c r="BW234" s="18"/>
    </row>
    <row r="235" spans="2:75" x14ac:dyDescent="0.3">
      <c r="B235" s="20" t="s">
        <v>789</v>
      </c>
      <c r="C235" s="20" t="s">
        <v>1356</v>
      </c>
      <c r="D235" s="57" t="s">
        <v>1222</v>
      </c>
      <c r="E235" s="58" t="s">
        <v>1101</v>
      </c>
      <c r="F235" s="96"/>
      <c r="G235" s="96"/>
      <c r="H235" s="58" t="s">
        <v>437</v>
      </c>
      <c r="I235" s="58" t="s">
        <v>437</v>
      </c>
      <c r="J235" s="59">
        <v>772724</v>
      </c>
      <c r="K235" s="95" t="s">
        <v>43</v>
      </c>
      <c r="L235" s="95"/>
      <c r="M235" s="58" t="s">
        <v>66</v>
      </c>
      <c r="N235" s="59">
        <v>11</v>
      </c>
      <c r="O235" s="58" t="s">
        <v>40</v>
      </c>
      <c r="P235" s="58" t="s">
        <v>123</v>
      </c>
      <c r="Q235" s="58" t="s">
        <v>124</v>
      </c>
      <c r="R235" s="58" t="s">
        <v>790</v>
      </c>
      <c r="S235" s="58" t="s">
        <v>42</v>
      </c>
      <c r="T235" s="73">
        <v>560000</v>
      </c>
      <c r="U235" s="74">
        <f t="shared" si="153"/>
        <v>568323.6994219654</v>
      </c>
      <c r="V235" s="74">
        <v>90000</v>
      </c>
      <c r="W235" s="74">
        <v>572159</v>
      </c>
      <c r="X235" s="74">
        <v>72280</v>
      </c>
      <c r="Y235" s="74">
        <v>330.51</v>
      </c>
      <c r="Z235" s="74">
        <v>53.12</v>
      </c>
      <c r="AA235" s="75" t="s">
        <v>43</v>
      </c>
      <c r="AB235" s="74"/>
      <c r="AC235" s="74"/>
      <c r="AD235" s="75" t="s">
        <v>43</v>
      </c>
      <c r="AE235" s="74"/>
      <c r="AF235" s="74"/>
      <c r="AG235" s="74">
        <v>0</v>
      </c>
      <c r="AH235" s="75" t="s">
        <v>42</v>
      </c>
      <c r="AI235" s="74"/>
      <c r="AJ235" s="74">
        <f t="shared" si="154"/>
        <v>91255.448997384476</v>
      </c>
      <c r="AK235" s="74">
        <f t="shared" si="155"/>
        <v>643236.99421965319</v>
      </c>
      <c r="AL235" s="74">
        <f t="shared" si="156"/>
        <v>95414.123801220558</v>
      </c>
      <c r="AM235" s="74">
        <f t="shared" si="157"/>
        <v>675398.84393063583</v>
      </c>
      <c r="AN235" s="74">
        <f t="shared" si="157"/>
        <v>100184.82999128159</v>
      </c>
      <c r="AO235" s="74">
        <f t="shared" ref="AO235:AO255" si="165">AM235/105*108</f>
        <v>694695.95375722542</v>
      </c>
      <c r="AP235" s="74">
        <f t="shared" si="158"/>
        <v>100184.82999128159</v>
      </c>
      <c r="AQ235" s="74">
        <f t="shared" si="159"/>
        <v>732646.936416185</v>
      </c>
      <c r="AR235" s="76">
        <v>113.9</v>
      </c>
      <c r="AS235" s="74">
        <f t="shared" si="160"/>
        <v>100184.82999128159</v>
      </c>
      <c r="AT235" s="76">
        <v>105</v>
      </c>
      <c r="AU235" s="74">
        <f t="shared" si="161"/>
        <v>797613.87283236999</v>
      </c>
      <c r="AV235" s="76">
        <v>124</v>
      </c>
      <c r="AW235" s="74">
        <f t="shared" si="162"/>
        <v>116405.23103748908</v>
      </c>
      <c r="AX235" s="76">
        <v>122</v>
      </c>
      <c r="AY235" s="77">
        <f t="shared" si="163"/>
        <v>805333</v>
      </c>
      <c r="AZ235" s="78">
        <v>125.2</v>
      </c>
      <c r="BA235" s="77">
        <f t="shared" si="164"/>
        <v>117646</v>
      </c>
      <c r="BB235" s="78">
        <v>123.3</v>
      </c>
      <c r="BC235" s="79">
        <v>36482</v>
      </c>
      <c r="BD235" s="59"/>
      <c r="BE235" s="80">
        <v>380.35</v>
      </c>
      <c r="BF235" s="80">
        <v>378.08</v>
      </c>
      <c r="BG235" s="80">
        <v>373.73</v>
      </c>
      <c r="BH235" s="73"/>
      <c r="BI235" s="73"/>
      <c r="BJ235" s="73"/>
      <c r="BK235" s="73"/>
      <c r="BL235" s="79">
        <v>42999</v>
      </c>
      <c r="BM235" s="79">
        <v>36434</v>
      </c>
      <c r="BN235" s="58" t="s">
        <v>44</v>
      </c>
      <c r="BO235" s="58" t="s">
        <v>70</v>
      </c>
      <c r="BP235" s="58" t="s">
        <v>184</v>
      </c>
      <c r="BQ235">
        <v>2016</v>
      </c>
      <c r="BR235" s="59"/>
      <c r="BV235" s="18"/>
      <c r="BW235" s="18"/>
    </row>
    <row r="236" spans="2:75" x14ac:dyDescent="0.3">
      <c r="B236" s="20" t="s">
        <v>791</v>
      </c>
      <c r="C236" s="20" t="s">
        <v>1357</v>
      </c>
      <c r="D236" s="57" t="s">
        <v>1222</v>
      </c>
      <c r="E236" s="58" t="s">
        <v>1101</v>
      </c>
      <c r="F236" s="96"/>
      <c r="G236" s="96"/>
      <c r="H236" s="58" t="s">
        <v>437</v>
      </c>
      <c r="I236" s="58" t="s">
        <v>437</v>
      </c>
      <c r="J236" s="59">
        <v>772723</v>
      </c>
      <c r="K236" s="95" t="s">
        <v>43</v>
      </c>
      <c r="L236" s="95"/>
      <c r="M236" s="58" t="s">
        <v>72</v>
      </c>
      <c r="N236" s="59">
        <v>11</v>
      </c>
      <c r="O236" s="58" t="s">
        <v>40</v>
      </c>
      <c r="P236" s="58" t="s">
        <v>792</v>
      </c>
      <c r="Q236" s="58" t="s">
        <v>217</v>
      </c>
      <c r="R236" s="58" t="s">
        <v>793</v>
      </c>
      <c r="S236" s="58" t="s">
        <v>42</v>
      </c>
      <c r="T236" s="73">
        <v>2400000</v>
      </c>
      <c r="U236" s="74">
        <f t="shared" si="153"/>
        <v>2435672.9975227085</v>
      </c>
      <c r="V236" s="74">
        <v>415000</v>
      </c>
      <c r="W236" s="74">
        <v>2308368</v>
      </c>
      <c r="X236" s="74">
        <v>416232</v>
      </c>
      <c r="Y236" s="74">
        <v>1416.48</v>
      </c>
      <c r="Z236" s="74">
        <v>244.93</v>
      </c>
      <c r="AA236" s="75" t="s">
        <v>43</v>
      </c>
      <c r="AB236" s="74"/>
      <c r="AC236" s="74"/>
      <c r="AD236" s="75" t="s">
        <v>43</v>
      </c>
      <c r="AE236" s="74"/>
      <c r="AF236" s="74"/>
      <c r="AG236" s="74">
        <v>0</v>
      </c>
      <c r="AH236" s="75" t="s">
        <v>42</v>
      </c>
      <c r="AI236" s="74"/>
      <c r="AJ236" s="74">
        <f t="shared" si="154"/>
        <v>420789.01482127287</v>
      </c>
      <c r="AK236" s="74">
        <f t="shared" si="155"/>
        <v>2756729.9752270849</v>
      </c>
      <c r="AL236" s="74">
        <f t="shared" si="156"/>
        <v>439965.12641673925</v>
      </c>
      <c r="AM236" s="74">
        <f t="shared" si="157"/>
        <v>2894566.4739884394</v>
      </c>
      <c r="AN236" s="74">
        <f t="shared" si="157"/>
        <v>461963.3827375762</v>
      </c>
      <c r="AO236" s="74">
        <f t="shared" si="165"/>
        <v>2977268.3732452518</v>
      </c>
      <c r="AP236" s="74">
        <f t="shared" si="158"/>
        <v>461963.3827375762</v>
      </c>
      <c r="AQ236" s="74">
        <f t="shared" si="159"/>
        <v>3139915.4417836498</v>
      </c>
      <c r="AR236" s="76">
        <v>113.9</v>
      </c>
      <c r="AS236" s="74">
        <f t="shared" si="160"/>
        <v>461963.3827375762</v>
      </c>
      <c r="AT236" s="76">
        <v>105</v>
      </c>
      <c r="AU236" s="74">
        <f t="shared" si="161"/>
        <v>3418345.1692815856</v>
      </c>
      <c r="AV236" s="76">
        <v>124</v>
      </c>
      <c r="AW236" s="74">
        <f t="shared" si="162"/>
        <v>536757.45422842191</v>
      </c>
      <c r="AX236" s="76">
        <v>122</v>
      </c>
      <c r="AY236" s="77">
        <f t="shared" si="163"/>
        <v>3451426</v>
      </c>
      <c r="AZ236" s="78">
        <v>125.2</v>
      </c>
      <c r="BA236" s="77">
        <f t="shared" si="164"/>
        <v>542478</v>
      </c>
      <c r="BB236" s="78">
        <v>123.3</v>
      </c>
      <c r="BC236" s="79">
        <v>36526</v>
      </c>
      <c r="BD236" s="59"/>
      <c r="BE236" s="80">
        <v>1608.06</v>
      </c>
      <c r="BF236" s="80">
        <v>1598.9</v>
      </c>
      <c r="BG236" s="80">
        <v>1580.71</v>
      </c>
      <c r="BH236" s="73"/>
      <c r="BI236" s="73"/>
      <c r="BJ236" s="73"/>
      <c r="BK236" s="73"/>
      <c r="BL236" s="79">
        <v>42999</v>
      </c>
      <c r="BM236" s="79">
        <v>36434</v>
      </c>
      <c r="BN236" s="58" t="s">
        <v>44</v>
      </c>
      <c r="BO236" s="58" t="s">
        <v>70</v>
      </c>
      <c r="BP236" s="58" t="s">
        <v>184</v>
      </c>
      <c r="BQ236">
        <v>2016</v>
      </c>
      <c r="BR236" s="59"/>
      <c r="BV236" s="18"/>
      <c r="BW236" s="18"/>
    </row>
    <row r="237" spans="2:75" x14ac:dyDescent="0.3">
      <c r="B237" s="20" t="s">
        <v>1054</v>
      </c>
      <c r="C237" s="20" t="s">
        <v>1054</v>
      </c>
      <c r="D237" s="57" t="e">
        <v>#N/A</v>
      </c>
      <c r="E237" s="58" t="s">
        <v>1383</v>
      </c>
      <c r="F237" s="96"/>
      <c r="G237" s="96"/>
      <c r="H237" s="58"/>
      <c r="I237" s="58"/>
      <c r="J237" s="59"/>
      <c r="K237" s="95" t="s">
        <v>43</v>
      </c>
      <c r="L237" s="95"/>
      <c r="M237" s="58"/>
      <c r="N237" s="59"/>
      <c r="O237" s="58"/>
      <c r="P237" s="58" t="s">
        <v>1056</v>
      </c>
      <c r="Q237" s="58"/>
      <c r="R237" s="58"/>
      <c r="S237" s="58"/>
      <c r="T237" s="73"/>
      <c r="U237" s="74"/>
      <c r="V237" s="74"/>
      <c r="W237" s="74"/>
      <c r="X237" s="74"/>
      <c r="Y237" s="74"/>
      <c r="Z237" s="74"/>
      <c r="AA237" s="75"/>
      <c r="AB237" s="74"/>
      <c r="AC237" s="74"/>
      <c r="AD237" s="75"/>
      <c r="AE237" s="74"/>
      <c r="AF237" s="74"/>
      <c r="AG237" s="74"/>
      <c r="AH237" s="75"/>
      <c r="AI237" s="74"/>
      <c r="AJ237" s="74"/>
      <c r="AK237" s="74"/>
      <c r="AL237" s="74"/>
      <c r="AM237" s="74"/>
      <c r="AN237" s="74"/>
      <c r="AO237" s="74"/>
      <c r="AP237" s="74"/>
      <c r="AQ237" s="27">
        <v>9350</v>
      </c>
      <c r="AR237" s="76">
        <v>113.9</v>
      </c>
      <c r="AS237" s="27">
        <v>7000</v>
      </c>
      <c r="AT237" s="76">
        <v>105</v>
      </c>
      <c r="AU237" s="74">
        <f t="shared" si="161"/>
        <v>10179.10447761194</v>
      </c>
      <c r="AV237" s="76">
        <v>124</v>
      </c>
      <c r="AW237" s="74">
        <f t="shared" si="162"/>
        <v>8133.3333333333339</v>
      </c>
      <c r="AX237" s="76">
        <v>122</v>
      </c>
      <c r="AY237" s="77">
        <f t="shared" si="163"/>
        <v>10278</v>
      </c>
      <c r="AZ237" s="78">
        <v>125.2</v>
      </c>
      <c r="BA237" s="77">
        <f t="shared" si="164"/>
        <v>8220</v>
      </c>
      <c r="BB237" s="78">
        <v>123.3</v>
      </c>
      <c r="BC237" s="79"/>
      <c r="BD237" s="59"/>
      <c r="BE237" s="80"/>
      <c r="BF237" s="80"/>
      <c r="BG237" s="80"/>
      <c r="BH237" s="73"/>
      <c r="BI237" s="73"/>
      <c r="BJ237" s="73"/>
      <c r="BK237" s="73"/>
      <c r="BL237" s="79"/>
      <c r="BM237" s="79"/>
      <c r="BN237" s="58"/>
      <c r="BO237" s="58"/>
      <c r="BP237" s="58"/>
      <c r="BR237" s="59" t="s">
        <v>1057</v>
      </c>
      <c r="BV237" s="18"/>
      <c r="BW237" s="18"/>
    </row>
    <row r="238" spans="2:75" x14ac:dyDescent="0.3">
      <c r="B238" s="20" t="s">
        <v>794</v>
      </c>
      <c r="C238" s="20" t="s">
        <v>1358</v>
      </c>
      <c r="D238" s="57" t="s">
        <v>1223</v>
      </c>
      <c r="E238" s="58" t="s">
        <v>1384</v>
      </c>
      <c r="F238" s="96"/>
      <c r="G238" s="96"/>
      <c r="H238" s="58" t="s">
        <v>155</v>
      </c>
      <c r="I238" s="58" t="s">
        <v>155</v>
      </c>
      <c r="J238" s="59">
        <v>777773</v>
      </c>
      <c r="K238" s="95" t="s">
        <v>43</v>
      </c>
      <c r="L238" s="95"/>
      <c r="M238" s="58" t="s">
        <v>290</v>
      </c>
      <c r="N238" s="59">
        <v>11</v>
      </c>
      <c r="O238" s="58" t="s">
        <v>40</v>
      </c>
      <c r="P238" s="58" t="s">
        <v>795</v>
      </c>
      <c r="Q238" s="58" t="s">
        <v>361</v>
      </c>
      <c r="R238" s="58" t="s">
        <v>796</v>
      </c>
      <c r="S238" s="58" t="s">
        <v>797</v>
      </c>
      <c r="T238" s="73">
        <v>1760000</v>
      </c>
      <c r="U238" s="74">
        <v>1786160</v>
      </c>
      <c r="V238" s="74">
        <v>170000</v>
      </c>
      <c r="W238" s="74">
        <v>1627695</v>
      </c>
      <c r="X238" s="74">
        <v>164499</v>
      </c>
      <c r="Y238" s="74">
        <v>1038.75</v>
      </c>
      <c r="Z238" s="74">
        <v>100.33</v>
      </c>
      <c r="AA238" s="75" t="s">
        <v>43</v>
      </c>
      <c r="AB238" s="74"/>
      <c r="AC238" s="74"/>
      <c r="AD238" s="75" t="s">
        <v>43</v>
      </c>
      <c r="AE238" s="74"/>
      <c r="AF238" s="74"/>
      <c r="AG238" s="74">
        <v>0</v>
      </c>
      <c r="AH238" s="75" t="s">
        <v>42</v>
      </c>
      <c r="AI238" s="74"/>
      <c r="AJ238" s="74">
        <v>172371</v>
      </c>
      <c r="AK238" s="74">
        <f t="shared" si="155"/>
        <v>2021601.757526444</v>
      </c>
      <c r="AL238" s="74">
        <f t="shared" si="156"/>
        <v>180226.25623387788</v>
      </c>
      <c r="AM238" s="74">
        <f t="shared" si="157"/>
        <v>2122681.8454027665</v>
      </c>
      <c r="AN238" s="74">
        <f t="shared" si="157"/>
        <v>189237.56904557178</v>
      </c>
      <c r="AO238" s="74">
        <f t="shared" si="165"/>
        <v>2183329.8981285598</v>
      </c>
      <c r="AP238" s="74">
        <f t="shared" si="158"/>
        <v>189237.56904557178</v>
      </c>
      <c r="AQ238" s="74">
        <f t="shared" si="159"/>
        <v>2302604.4018226201</v>
      </c>
      <c r="AR238" s="76">
        <v>113.9</v>
      </c>
      <c r="AS238" s="74">
        <f t="shared" si="160"/>
        <v>189237.56904557178</v>
      </c>
      <c r="AT238" s="76">
        <v>105</v>
      </c>
      <c r="AU238" s="74">
        <f t="shared" si="161"/>
        <v>2506786.1793327909</v>
      </c>
      <c r="AV238" s="76">
        <v>124</v>
      </c>
      <c r="AW238" s="74">
        <f t="shared" si="162"/>
        <v>219876.03260533104</v>
      </c>
      <c r="AX238" s="76">
        <v>122</v>
      </c>
      <c r="AY238" s="77">
        <f t="shared" si="163"/>
        <v>2531046</v>
      </c>
      <c r="AZ238" s="78">
        <v>125.2</v>
      </c>
      <c r="BA238" s="77">
        <f t="shared" si="164"/>
        <v>222219</v>
      </c>
      <c r="BB238" s="78">
        <v>123.3</v>
      </c>
      <c r="BC238" s="79">
        <v>37727</v>
      </c>
      <c r="BD238" s="59"/>
      <c r="BE238" s="80">
        <v>1057.76</v>
      </c>
      <c r="BF238" s="80">
        <v>1051.3</v>
      </c>
      <c r="BG238" s="80">
        <v>1039.1400000000001</v>
      </c>
      <c r="BH238" s="73"/>
      <c r="BI238" s="73"/>
      <c r="BJ238" s="73"/>
      <c r="BK238" s="73"/>
      <c r="BL238" s="79">
        <v>42999</v>
      </c>
      <c r="BM238" s="79">
        <v>37845</v>
      </c>
      <c r="BN238" s="58" t="s">
        <v>44</v>
      </c>
      <c r="BO238" s="58" t="s">
        <v>44</v>
      </c>
      <c r="BP238" s="58" t="s">
        <v>798</v>
      </c>
      <c r="BQ238">
        <v>2016</v>
      </c>
      <c r="BR238" s="59"/>
      <c r="BV238" s="18"/>
      <c r="BW238" s="18"/>
    </row>
    <row r="239" spans="2:75" x14ac:dyDescent="0.3">
      <c r="B239" s="20" t="s">
        <v>799</v>
      </c>
      <c r="C239" s="20" t="s">
        <v>1358</v>
      </c>
      <c r="D239" s="57" t="s">
        <v>1223</v>
      </c>
      <c r="E239" s="58" t="s">
        <v>1384</v>
      </c>
      <c r="F239" s="96"/>
      <c r="G239" s="96"/>
      <c r="H239" s="58" t="s">
        <v>800</v>
      </c>
      <c r="I239" s="58" t="s">
        <v>800</v>
      </c>
      <c r="J239" s="59">
        <v>777773</v>
      </c>
      <c r="K239" s="95" t="s">
        <v>43</v>
      </c>
      <c r="L239" s="95"/>
      <c r="M239" s="58" t="s">
        <v>290</v>
      </c>
      <c r="N239" s="59">
        <v>11</v>
      </c>
      <c r="O239" s="58" t="s">
        <v>40</v>
      </c>
      <c r="P239" s="58" t="s">
        <v>801</v>
      </c>
      <c r="Q239" s="58" t="s">
        <v>361</v>
      </c>
      <c r="R239" s="58" t="s">
        <v>802</v>
      </c>
      <c r="S239" s="58" t="s">
        <v>42</v>
      </c>
      <c r="T239" s="73">
        <v>240000</v>
      </c>
      <c r="U239" s="74">
        <v>243567</v>
      </c>
      <c r="V239" s="74">
        <v>40000</v>
      </c>
      <c r="W239" s="74">
        <v>236756</v>
      </c>
      <c r="X239" s="74">
        <v>37387</v>
      </c>
      <c r="Y239" s="74">
        <v>141.65</v>
      </c>
      <c r="Z239" s="74">
        <v>23.61</v>
      </c>
      <c r="AA239" s="75" t="s">
        <v>43</v>
      </c>
      <c r="AB239" s="74"/>
      <c r="AC239" s="74"/>
      <c r="AD239" s="75" t="s">
        <v>43</v>
      </c>
      <c r="AE239" s="74"/>
      <c r="AF239" s="74"/>
      <c r="AG239" s="74">
        <v>0</v>
      </c>
      <c r="AH239" s="75" t="s">
        <v>42</v>
      </c>
      <c r="AI239" s="74"/>
      <c r="AJ239" s="74">
        <f t="shared" si="154"/>
        <v>40557.977332170878</v>
      </c>
      <c r="AK239" s="74">
        <f t="shared" si="155"/>
        <v>275672.6582587469</v>
      </c>
      <c r="AL239" s="74">
        <f t="shared" si="156"/>
        <v>42406.277244986915</v>
      </c>
      <c r="AM239" s="74">
        <f t="shared" si="157"/>
        <v>289456.29117168428</v>
      </c>
      <c r="AN239" s="74">
        <f t="shared" si="157"/>
        <v>44526.591107236265</v>
      </c>
      <c r="AO239" s="74">
        <f t="shared" si="165"/>
        <v>297726.47091944667</v>
      </c>
      <c r="AP239" s="74">
        <f t="shared" si="158"/>
        <v>44526.591107236265</v>
      </c>
      <c r="AQ239" s="74">
        <f t="shared" si="159"/>
        <v>313991.15775671275</v>
      </c>
      <c r="AR239" s="76">
        <v>113.9</v>
      </c>
      <c r="AS239" s="74">
        <f t="shared" si="160"/>
        <v>44526.591107236265</v>
      </c>
      <c r="AT239" s="76">
        <v>105</v>
      </c>
      <c r="AU239" s="74">
        <f t="shared" si="161"/>
        <v>341834.09624084621</v>
      </c>
      <c r="AV239" s="76">
        <v>124</v>
      </c>
      <c r="AW239" s="74">
        <f t="shared" si="162"/>
        <v>51735.658238884047</v>
      </c>
      <c r="AX239" s="76">
        <v>122</v>
      </c>
      <c r="AY239" s="77">
        <f t="shared" si="163"/>
        <v>345143</v>
      </c>
      <c r="AZ239" s="78">
        <v>125.2</v>
      </c>
      <c r="BA239" s="77">
        <f t="shared" si="164"/>
        <v>52287</v>
      </c>
      <c r="BB239" s="78">
        <v>123.3</v>
      </c>
      <c r="BC239" s="79">
        <v>37671</v>
      </c>
      <c r="BD239" s="59"/>
      <c r="BE239" s="80">
        <v>161.80000000000001</v>
      </c>
      <c r="BF239" s="80">
        <v>160.86000000000001</v>
      </c>
      <c r="BG239" s="80">
        <v>159.02000000000001</v>
      </c>
      <c r="BH239" s="73"/>
      <c r="BI239" s="73"/>
      <c r="BJ239" s="73"/>
      <c r="BK239" s="73"/>
      <c r="BL239" s="79">
        <v>42999</v>
      </c>
      <c r="BM239" s="79">
        <v>37977</v>
      </c>
      <c r="BN239" s="58" t="s">
        <v>44</v>
      </c>
      <c r="BO239" s="58" t="s">
        <v>44</v>
      </c>
      <c r="BP239" s="58" t="s">
        <v>184</v>
      </c>
      <c r="BQ239">
        <v>2016</v>
      </c>
      <c r="BR239" s="59"/>
      <c r="BV239" s="18"/>
      <c r="BW239" s="18"/>
    </row>
    <row r="240" spans="2:75" x14ac:dyDescent="0.3">
      <c r="B240" s="20" t="s">
        <v>803</v>
      </c>
      <c r="C240" s="20" t="s">
        <v>1359</v>
      </c>
      <c r="D240" s="57" t="e">
        <v>#N/A</v>
      </c>
      <c r="E240" s="58" t="s">
        <v>1123</v>
      </c>
      <c r="F240" s="96"/>
      <c r="G240" s="96"/>
      <c r="H240" s="58" t="s">
        <v>127</v>
      </c>
      <c r="I240" s="58" t="s">
        <v>127</v>
      </c>
      <c r="J240" s="59">
        <v>777772</v>
      </c>
      <c r="K240" s="95" t="s">
        <v>43</v>
      </c>
      <c r="L240" s="95"/>
      <c r="M240" s="58" t="s">
        <v>39</v>
      </c>
      <c r="N240" s="59">
        <v>22</v>
      </c>
      <c r="O240" s="58" t="s">
        <v>454</v>
      </c>
      <c r="P240" s="58" t="s">
        <v>804</v>
      </c>
      <c r="Q240" s="58" t="s">
        <v>41</v>
      </c>
      <c r="R240" s="58" t="s">
        <v>805</v>
      </c>
      <c r="S240" s="58" t="s">
        <v>42</v>
      </c>
      <c r="T240" s="73">
        <v>160000</v>
      </c>
      <c r="U240" s="74">
        <f t="shared" si="153"/>
        <v>162378.19983484724</v>
      </c>
      <c r="V240" s="74"/>
      <c r="W240" s="74">
        <v>147973</v>
      </c>
      <c r="X240" s="74"/>
      <c r="Y240" s="74">
        <v>94.43</v>
      </c>
      <c r="Z240" s="74"/>
      <c r="AA240" s="75" t="s">
        <v>43</v>
      </c>
      <c r="AB240" s="74"/>
      <c r="AC240" s="74"/>
      <c r="AD240" s="75" t="s">
        <v>43</v>
      </c>
      <c r="AE240" s="74"/>
      <c r="AF240" s="74"/>
      <c r="AG240" s="74">
        <v>0</v>
      </c>
      <c r="AH240" s="75" t="s">
        <v>42</v>
      </c>
      <c r="AI240" s="74"/>
      <c r="AJ240" s="74">
        <f t="shared" si="154"/>
        <v>0</v>
      </c>
      <c r="AK240" s="74">
        <f t="shared" si="155"/>
        <v>183781.99834847232</v>
      </c>
      <c r="AL240" s="74">
        <f t="shared" si="156"/>
        <v>0</v>
      </c>
      <c r="AM240" s="74">
        <f t="shared" si="157"/>
        <v>192971.09826589594</v>
      </c>
      <c r="AN240" s="74">
        <f t="shared" si="157"/>
        <v>0</v>
      </c>
      <c r="AO240" s="74">
        <f t="shared" si="165"/>
        <v>198484.55821635012</v>
      </c>
      <c r="AP240" s="74">
        <f t="shared" si="158"/>
        <v>0</v>
      </c>
      <c r="AQ240" s="74">
        <f t="shared" si="159"/>
        <v>209327.69611891001</v>
      </c>
      <c r="AR240" s="76">
        <v>113.9</v>
      </c>
      <c r="AS240" s="74">
        <f t="shared" si="160"/>
        <v>0</v>
      </c>
      <c r="AT240" s="76">
        <v>105</v>
      </c>
      <c r="AU240" s="74">
        <f t="shared" si="161"/>
        <v>227889.6779521057</v>
      </c>
      <c r="AV240" s="76">
        <v>124</v>
      </c>
      <c r="AW240" s="74">
        <f t="shared" si="162"/>
        <v>0</v>
      </c>
      <c r="AX240" s="76">
        <v>122</v>
      </c>
      <c r="AY240" s="77">
        <f t="shared" si="163"/>
        <v>230096</v>
      </c>
      <c r="AZ240" s="78">
        <v>125.2</v>
      </c>
      <c r="BA240" s="77">
        <f t="shared" si="164"/>
        <v>0</v>
      </c>
      <c r="BB240" s="78">
        <v>123.3</v>
      </c>
      <c r="BC240" s="79">
        <v>36526</v>
      </c>
      <c r="BD240" s="59"/>
      <c r="BE240" s="80">
        <v>87.33</v>
      </c>
      <c r="BF240" s="80">
        <v>86.75</v>
      </c>
      <c r="BG240" s="80">
        <v>85.72</v>
      </c>
      <c r="BH240" s="73"/>
      <c r="BI240" s="73"/>
      <c r="BJ240" s="73"/>
      <c r="BK240" s="73"/>
      <c r="BL240" s="79">
        <v>42999</v>
      </c>
      <c r="BM240" s="79">
        <v>36434</v>
      </c>
      <c r="BN240" s="58" t="s">
        <v>44</v>
      </c>
      <c r="BO240" s="58" t="s">
        <v>70</v>
      </c>
      <c r="BP240" s="58" t="s">
        <v>184</v>
      </c>
      <c r="BQ240">
        <v>2016</v>
      </c>
      <c r="BR240" s="59"/>
      <c r="BV240" s="18"/>
      <c r="BW240" s="18"/>
    </row>
    <row r="241" spans="1:75" x14ac:dyDescent="0.3">
      <c r="A241" t="s">
        <v>1474</v>
      </c>
      <c r="B241" s="20" t="s">
        <v>806</v>
      </c>
      <c r="C241" s="20" t="s">
        <v>1360</v>
      </c>
      <c r="D241" s="57" t="s">
        <v>1224</v>
      </c>
      <c r="E241" s="58" t="s">
        <v>1123</v>
      </c>
      <c r="F241" s="97" t="s">
        <v>1473</v>
      </c>
      <c r="G241" s="97" t="s">
        <v>1475</v>
      </c>
      <c r="H241" s="58" t="s">
        <v>127</v>
      </c>
      <c r="I241" s="58" t="s">
        <v>127</v>
      </c>
      <c r="J241" s="59">
        <v>772723</v>
      </c>
      <c r="K241" s="95" t="s">
        <v>1440</v>
      </c>
      <c r="L241" s="104" t="s">
        <v>1472</v>
      </c>
      <c r="M241" s="58" t="s">
        <v>72</v>
      </c>
      <c r="N241" s="59">
        <v>99</v>
      </c>
      <c r="O241" s="58" t="s">
        <v>128</v>
      </c>
      <c r="P241" s="58" t="s">
        <v>807</v>
      </c>
      <c r="Q241" s="58" t="s">
        <v>87</v>
      </c>
      <c r="R241" s="58" t="s">
        <v>808</v>
      </c>
      <c r="S241" s="58" t="s">
        <v>42</v>
      </c>
      <c r="T241" s="73">
        <v>9000000</v>
      </c>
      <c r="U241" s="74">
        <f t="shared" si="153"/>
        <v>9133773.7407101579</v>
      </c>
      <c r="V241" s="74">
        <v>1780000</v>
      </c>
      <c r="W241" s="74">
        <v>8385103</v>
      </c>
      <c r="X241" s="74">
        <v>1026868</v>
      </c>
      <c r="Y241" s="74">
        <v>5311.8</v>
      </c>
      <c r="Z241" s="74">
        <v>1050.56</v>
      </c>
      <c r="AA241" s="75" t="s">
        <v>43</v>
      </c>
      <c r="AB241" s="74"/>
      <c r="AC241" s="74"/>
      <c r="AD241" s="75" t="s">
        <v>43</v>
      </c>
      <c r="AE241" s="74"/>
      <c r="AF241" s="74"/>
      <c r="AG241" s="74">
        <v>0</v>
      </c>
      <c r="AH241" s="75" t="s">
        <v>42</v>
      </c>
      <c r="AI241" s="74"/>
      <c r="AJ241" s="74">
        <f t="shared" si="154"/>
        <v>1804829.9912816042</v>
      </c>
      <c r="AK241" s="74">
        <f t="shared" si="155"/>
        <v>10337737.40710157</v>
      </c>
      <c r="AL241" s="74">
        <f t="shared" si="156"/>
        <v>1887079.3374019179</v>
      </c>
      <c r="AM241" s="74">
        <f t="shared" si="157"/>
        <v>10854624.277456649</v>
      </c>
      <c r="AN241" s="74">
        <f t="shared" si="157"/>
        <v>1981433.3042720139</v>
      </c>
      <c r="AO241" s="74">
        <f t="shared" si="165"/>
        <v>11164756.399669696</v>
      </c>
      <c r="AP241" s="74">
        <f t="shared" si="158"/>
        <v>1981433.3042720139</v>
      </c>
      <c r="AQ241" s="74">
        <f t="shared" si="159"/>
        <v>11774682.906688688</v>
      </c>
      <c r="AR241" s="76">
        <v>113.9</v>
      </c>
      <c r="AS241" s="74">
        <f t="shared" si="160"/>
        <v>1981433.3042720139</v>
      </c>
      <c r="AT241" s="76">
        <v>105</v>
      </c>
      <c r="AU241" s="74">
        <f t="shared" si="161"/>
        <v>12818794.384805948</v>
      </c>
      <c r="AV241" s="76">
        <v>124</v>
      </c>
      <c r="AW241" s="74">
        <f t="shared" si="162"/>
        <v>2302236.7916303398</v>
      </c>
      <c r="AX241" s="76">
        <v>122</v>
      </c>
      <c r="AY241" s="77">
        <f t="shared" si="163"/>
        <v>12942848</v>
      </c>
      <c r="AZ241" s="78">
        <v>125.2</v>
      </c>
      <c r="BA241" s="77">
        <f t="shared" si="164"/>
        <v>2326769</v>
      </c>
      <c r="BB241" s="78">
        <v>123.3</v>
      </c>
      <c r="BC241" s="79">
        <v>36526</v>
      </c>
      <c r="BD241" s="59"/>
      <c r="BE241" s="80">
        <v>5554.95</v>
      </c>
      <c r="BF241" s="80">
        <v>5521.68</v>
      </c>
      <c r="BG241" s="80">
        <v>5458.13</v>
      </c>
      <c r="BH241" s="73"/>
      <c r="BI241" s="73"/>
      <c r="BJ241" s="73"/>
      <c r="BK241" s="73"/>
      <c r="BL241" s="79">
        <v>42999</v>
      </c>
      <c r="BM241" s="79">
        <v>36434</v>
      </c>
      <c r="BN241" s="58" t="s">
        <v>44</v>
      </c>
      <c r="BO241" s="58" t="s">
        <v>70</v>
      </c>
      <c r="BP241" s="58" t="s">
        <v>184</v>
      </c>
      <c r="BQ241">
        <v>2016</v>
      </c>
      <c r="BR241" s="59"/>
      <c r="BV241" s="18"/>
      <c r="BW241" s="18"/>
    </row>
    <row r="242" spans="1:75" x14ac:dyDescent="0.3">
      <c r="B242" s="20" t="s">
        <v>809</v>
      </c>
      <c r="C242" s="20" t="s">
        <v>809</v>
      </c>
      <c r="D242" s="57" t="e">
        <v>#N/A</v>
      </c>
      <c r="E242" s="58" t="s">
        <v>1101</v>
      </c>
      <c r="F242" s="96"/>
      <c r="G242" s="96"/>
      <c r="H242" s="58" t="s">
        <v>323</v>
      </c>
      <c r="I242" s="58" t="s">
        <v>323</v>
      </c>
      <c r="J242" s="59">
        <v>772723</v>
      </c>
      <c r="K242" s="95" t="s">
        <v>1440</v>
      </c>
      <c r="L242" s="95"/>
      <c r="M242" s="58" t="s">
        <v>72</v>
      </c>
      <c r="N242" s="59">
        <v>11</v>
      </c>
      <c r="O242" s="58" t="s">
        <v>40</v>
      </c>
      <c r="P242" s="58" t="s">
        <v>810</v>
      </c>
      <c r="Q242" s="58" t="s">
        <v>139</v>
      </c>
      <c r="R242" s="58" t="s">
        <v>811</v>
      </c>
      <c r="S242" s="58" t="s">
        <v>42</v>
      </c>
      <c r="T242" s="73"/>
      <c r="U242" s="74">
        <f t="shared" si="153"/>
        <v>0</v>
      </c>
      <c r="V242" s="74">
        <v>2884100</v>
      </c>
      <c r="W242" s="74"/>
      <c r="X242" s="74">
        <v>2866260</v>
      </c>
      <c r="Y242" s="74"/>
      <c r="Z242" s="74">
        <v>1702.2</v>
      </c>
      <c r="AA242" s="75" t="s">
        <v>43</v>
      </c>
      <c r="AB242" s="74"/>
      <c r="AC242" s="74"/>
      <c r="AD242" s="75" t="s">
        <v>43</v>
      </c>
      <c r="AE242" s="74"/>
      <c r="AF242" s="74"/>
      <c r="AG242" s="74">
        <v>0</v>
      </c>
      <c r="AH242" s="75" t="s">
        <v>42</v>
      </c>
      <c r="AI242" s="74"/>
      <c r="AJ242" s="74">
        <f t="shared" si="154"/>
        <v>2924331.5605928507</v>
      </c>
      <c r="AK242" s="74">
        <f t="shared" si="155"/>
        <v>0</v>
      </c>
      <c r="AL242" s="74">
        <f t="shared" si="156"/>
        <v>3057598.6050566691</v>
      </c>
      <c r="AM242" s="74">
        <f t="shared" si="157"/>
        <v>0</v>
      </c>
      <c r="AN242" s="74">
        <f t="shared" si="157"/>
        <v>3210478.5353095029</v>
      </c>
      <c r="AO242" s="74">
        <f t="shared" si="165"/>
        <v>0</v>
      </c>
      <c r="AP242" s="74">
        <f t="shared" si="158"/>
        <v>3210478.5353095029</v>
      </c>
      <c r="AQ242" s="74">
        <f t="shared" si="159"/>
        <v>0</v>
      </c>
      <c r="AR242" s="76">
        <v>113.9</v>
      </c>
      <c r="AS242" s="74">
        <f t="shared" si="160"/>
        <v>3210478.5353095029</v>
      </c>
      <c r="AT242" s="76">
        <v>105</v>
      </c>
      <c r="AU242" s="74">
        <f t="shared" si="161"/>
        <v>0</v>
      </c>
      <c r="AV242" s="76">
        <v>124</v>
      </c>
      <c r="AW242" s="74">
        <f t="shared" si="162"/>
        <v>3730270.298169137</v>
      </c>
      <c r="AX242" s="76">
        <v>122</v>
      </c>
      <c r="AY242" s="77">
        <f t="shared" ref="AY242:AY289" si="166">CEILING(((AU242/AV242)*AZ242),1)</f>
        <v>0</v>
      </c>
      <c r="AZ242" s="78">
        <v>125.2</v>
      </c>
      <c r="BA242" s="77">
        <f t="shared" si="164"/>
        <v>3770020</v>
      </c>
      <c r="BB242" s="78">
        <v>123.3</v>
      </c>
      <c r="BC242" s="79">
        <v>38687</v>
      </c>
      <c r="BD242" s="59"/>
      <c r="BE242" s="80">
        <v>1691.67</v>
      </c>
      <c r="BF242" s="80">
        <v>1691.67</v>
      </c>
      <c r="BG242" s="80">
        <v>1676.8</v>
      </c>
      <c r="BH242" s="73"/>
      <c r="BI242" s="73"/>
      <c r="BJ242" s="73"/>
      <c r="BK242" s="73"/>
      <c r="BL242" s="79">
        <v>43158</v>
      </c>
      <c r="BM242" s="79">
        <v>38797</v>
      </c>
      <c r="BN242" s="58" t="s">
        <v>44</v>
      </c>
      <c r="BO242" s="58" t="s">
        <v>44</v>
      </c>
      <c r="BP242" s="58" t="s">
        <v>184</v>
      </c>
      <c r="BQ242">
        <v>2016</v>
      </c>
      <c r="BR242" s="59"/>
      <c r="BV242" s="18"/>
      <c r="BW242" s="18"/>
    </row>
    <row r="243" spans="1:75" x14ac:dyDescent="0.3">
      <c r="B243" s="20" t="s">
        <v>812</v>
      </c>
      <c r="C243" s="20" t="s">
        <v>812</v>
      </c>
      <c r="D243" s="57" t="s">
        <v>1225</v>
      </c>
      <c r="E243" s="58" t="s">
        <v>1101</v>
      </c>
      <c r="F243" s="96"/>
      <c r="G243" s="96"/>
      <c r="H243" s="58" t="s">
        <v>323</v>
      </c>
      <c r="I243" s="58" t="s">
        <v>323</v>
      </c>
      <c r="J243" s="59">
        <v>772723</v>
      </c>
      <c r="K243" s="95" t="s">
        <v>43</v>
      </c>
      <c r="L243" s="95"/>
      <c r="M243" s="58" t="s">
        <v>72</v>
      </c>
      <c r="N243" s="59">
        <v>11</v>
      </c>
      <c r="O243" s="58" t="s">
        <v>40</v>
      </c>
      <c r="P243" s="58" t="s">
        <v>813</v>
      </c>
      <c r="Q243" s="58" t="s">
        <v>139</v>
      </c>
      <c r="R243" s="58" t="s">
        <v>814</v>
      </c>
      <c r="S243" s="58" t="s">
        <v>42</v>
      </c>
      <c r="T243" s="73">
        <v>3620000</v>
      </c>
      <c r="U243" s="74">
        <f t="shared" si="153"/>
        <v>3673806.7712634187</v>
      </c>
      <c r="V243" s="74">
        <v>262500</v>
      </c>
      <c r="W243" s="74">
        <v>3393501</v>
      </c>
      <c r="X243" s="74">
        <v>219331</v>
      </c>
      <c r="Y243" s="74">
        <v>2136.52</v>
      </c>
      <c r="Z243" s="74">
        <v>154.93</v>
      </c>
      <c r="AA243" s="75" t="s">
        <v>43</v>
      </c>
      <c r="AB243" s="74"/>
      <c r="AC243" s="74"/>
      <c r="AD243" s="75" t="s">
        <v>43</v>
      </c>
      <c r="AE243" s="74"/>
      <c r="AF243" s="74"/>
      <c r="AG243" s="74">
        <v>0</v>
      </c>
      <c r="AH243" s="75" t="s">
        <v>42</v>
      </c>
      <c r="AI243" s="74"/>
      <c r="AJ243" s="74">
        <f t="shared" si="154"/>
        <v>266161.72624237137</v>
      </c>
      <c r="AK243" s="74">
        <f t="shared" si="155"/>
        <v>4158067.7126341863</v>
      </c>
      <c r="AL243" s="74">
        <f t="shared" si="156"/>
        <v>278291.19442022662</v>
      </c>
      <c r="AM243" s="74">
        <f t="shared" si="157"/>
        <v>4365971.0982658956</v>
      </c>
      <c r="AN243" s="74">
        <f t="shared" si="157"/>
        <v>292205.75414123794</v>
      </c>
      <c r="AO243" s="74">
        <f t="shared" si="165"/>
        <v>4490713.129644921</v>
      </c>
      <c r="AP243" s="74">
        <f t="shared" si="158"/>
        <v>292205.75414123794</v>
      </c>
      <c r="AQ243" s="74">
        <f t="shared" si="159"/>
        <v>4736039.124690338</v>
      </c>
      <c r="AR243" s="76">
        <v>113.9</v>
      </c>
      <c r="AS243" s="74">
        <f t="shared" si="160"/>
        <v>292205.75414123794</v>
      </c>
      <c r="AT243" s="76">
        <v>105</v>
      </c>
      <c r="AU243" s="74">
        <f t="shared" si="161"/>
        <v>5156003.9636663897</v>
      </c>
      <c r="AV243" s="76">
        <v>124</v>
      </c>
      <c r="AW243" s="74">
        <f t="shared" si="162"/>
        <v>339515.25719267648</v>
      </c>
      <c r="AX243" s="76">
        <v>122</v>
      </c>
      <c r="AY243" s="77">
        <f t="shared" si="166"/>
        <v>5205901</v>
      </c>
      <c r="AZ243" s="78">
        <v>125.2</v>
      </c>
      <c r="BA243" s="77">
        <f t="shared" ref="BA243:BA289" si="167">CEILING(((AW243/AX243)*BB243),1)</f>
        <v>343134</v>
      </c>
      <c r="BB243" s="78">
        <v>123.3</v>
      </c>
      <c r="BC243" s="79">
        <v>38353</v>
      </c>
      <c r="BD243" s="59"/>
      <c r="BE243" s="80">
        <v>2132.29</v>
      </c>
      <c r="BF243" s="80">
        <v>2118.83</v>
      </c>
      <c r="BG243" s="80">
        <v>2094.13</v>
      </c>
      <c r="BH243" s="73"/>
      <c r="BI243" s="73"/>
      <c r="BJ243" s="73"/>
      <c r="BK243" s="73"/>
      <c r="BL243" s="79">
        <v>43049</v>
      </c>
      <c r="BM243" s="79">
        <v>38373</v>
      </c>
      <c r="BN243" s="58" t="s">
        <v>44</v>
      </c>
      <c r="BO243" s="58" t="s">
        <v>44</v>
      </c>
      <c r="BP243" s="58" t="s">
        <v>184</v>
      </c>
      <c r="BQ243">
        <v>2016</v>
      </c>
      <c r="BR243" s="59"/>
      <c r="BV243" s="18"/>
      <c r="BW243" s="18"/>
    </row>
    <row r="244" spans="1:75" x14ac:dyDescent="0.3">
      <c r="B244" s="20" t="s">
        <v>815</v>
      </c>
      <c r="C244" s="20" t="s">
        <v>815</v>
      </c>
      <c r="D244" s="57" t="e">
        <v>#N/A</v>
      </c>
      <c r="E244" s="58" t="s">
        <v>1101</v>
      </c>
      <c r="F244" s="96"/>
      <c r="G244" s="96"/>
      <c r="H244" s="58" t="s">
        <v>323</v>
      </c>
      <c r="I244" s="58" t="s">
        <v>323</v>
      </c>
      <c r="J244" s="59">
        <v>772723</v>
      </c>
      <c r="K244" s="95" t="s">
        <v>43</v>
      </c>
      <c r="L244" s="95"/>
      <c r="M244" s="58" t="s">
        <v>72</v>
      </c>
      <c r="N244" s="59">
        <v>12</v>
      </c>
      <c r="O244" s="58" t="s">
        <v>49</v>
      </c>
      <c r="P244" s="58" t="s">
        <v>816</v>
      </c>
      <c r="Q244" s="58" t="s">
        <v>42</v>
      </c>
      <c r="R244" s="58" t="s">
        <v>817</v>
      </c>
      <c r="S244" s="58" t="s">
        <v>42</v>
      </c>
      <c r="T244" s="73"/>
      <c r="U244" s="74">
        <f t="shared" si="153"/>
        <v>0</v>
      </c>
      <c r="V244" s="74">
        <v>752500</v>
      </c>
      <c r="W244" s="74"/>
      <c r="X244" s="74"/>
      <c r="Y244" s="74"/>
      <c r="Z244" s="74">
        <v>444.13</v>
      </c>
      <c r="AA244" s="75" t="s">
        <v>43</v>
      </c>
      <c r="AB244" s="74"/>
      <c r="AC244" s="74"/>
      <c r="AD244" s="75" t="s">
        <v>43</v>
      </c>
      <c r="AE244" s="74"/>
      <c r="AF244" s="74"/>
      <c r="AG244" s="74">
        <v>0</v>
      </c>
      <c r="AH244" s="75" t="s">
        <v>42</v>
      </c>
      <c r="AI244" s="74"/>
      <c r="AJ244" s="74">
        <f t="shared" si="154"/>
        <v>762996.94856146467</v>
      </c>
      <c r="AK244" s="74">
        <f t="shared" si="155"/>
        <v>0</v>
      </c>
      <c r="AL244" s="74">
        <f t="shared" si="156"/>
        <v>797768.09067131637</v>
      </c>
      <c r="AM244" s="74">
        <f t="shared" si="157"/>
        <v>0</v>
      </c>
      <c r="AN244" s="74">
        <f t="shared" si="157"/>
        <v>837656.49520488223</v>
      </c>
      <c r="AO244" s="74">
        <f t="shared" si="165"/>
        <v>0</v>
      </c>
      <c r="AP244" s="74">
        <f t="shared" si="158"/>
        <v>837656.49520488223</v>
      </c>
      <c r="AQ244" s="74">
        <f t="shared" si="159"/>
        <v>0</v>
      </c>
      <c r="AR244" s="76">
        <v>113.9</v>
      </c>
      <c r="AS244" s="74">
        <f t="shared" si="160"/>
        <v>837656.49520488223</v>
      </c>
      <c r="AT244" s="76">
        <v>105</v>
      </c>
      <c r="AU244" s="74">
        <f t="shared" si="161"/>
        <v>0</v>
      </c>
      <c r="AV244" s="76">
        <v>124</v>
      </c>
      <c r="AW244" s="74">
        <f t="shared" si="162"/>
        <v>973277.07061900606</v>
      </c>
      <c r="AX244" s="76">
        <v>122</v>
      </c>
      <c r="AY244" s="77">
        <f t="shared" si="166"/>
        <v>0</v>
      </c>
      <c r="AZ244" s="78">
        <v>125.2</v>
      </c>
      <c r="BA244" s="77">
        <f t="shared" si="167"/>
        <v>983649</v>
      </c>
      <c r="BB244" s="78">
        <v>123.3</v>
      </c>
      <c r="BC244" s="79">
        <v>42736</v>
      </c>
      <c r="BD244" s="59"/>
      <c r="BE244" s="80"/>
      <c r="BF244" s="80"/>
      <c r="BG244" s="80"/>
      <c r="BH244" s="73"/>
      <c r="BI244" s="73"/>
      <c r="BJ244" s="73"/>
      <c r="BK244" s="73"/>
      <c r="BL244" s="79">
        <v>42999</v>
      </c>
      <c r="BM244" s="79">
        <v>42999</v>
      </c>
      <c r="BN244" s="58" t="s">
        <v>44</v>
      </c>
      <c r="BO244" s="58" t="s">
        <v>44</v>
      </c>
      <c r="BP244" s="58" t="s">
        <v>221</v>
      </c>
      <c r="BQ244">
        <v>0</v>
      </c>
      <c r="BR244" s="59"/>
      <c r="BV244" s="18"/>
      <c r="BW244" s="18"/>
    </row>
    <row r="245" spans="1:75" x14ac:dyDescent="0.3">
      <c r="B245" s="22" t="s">
        <v>1035</v>
      </c>
      <c r="C245" s="22" t="s">
        <v>1103</v>
      </c>
      <c r="D245" s="55" t="e">
        <v>#N/A</v>
      </c>
      <c r="E245" s="59" t="s">
        <v>1101</v>
      </c>
      <c r="F245" s="95"/>
      <c r="G245" s="95"/>
      <c r="H245" s="58"/>
      <c r="I245" s="58"/>
      <c r="J245" s="59"/>
      <c r="K245" s="95" t="s">
        <v>43</v>
      </c>
      <c r="L245" s="95"/>
      <c r="M245" s="58"/>
      <c r="N245" s="59"/>
      <c r="O245" s="58"/>
      <c r="P245" s="58" t="s">
        <v>1036</v>
      </c>
      <c r="Q245" s="58"/>
      <c r="R245" s="58"/>
      <c r="S245" s="58"/>
      <c r="T245" s="73"/>
      <c r="U245" s="74"/>
      <c r="V245" s="74"/>
      <c r="W245" s="74"/>
      <c r="X245" s="74"/>
      <c r="Y245" s="74"/>
      <c r="Z245" s="74"/>
      <c r="AA245" s="75"/>
      <c r="AB245" s="74"/>
      <c r="AC245" s="74"/>
      <c r="AD245" s="75"/>
      <c r="AE245" s="74"/>
      <c r="AF245" s="74"/>
      <c r="AG245" s="74"/>
      <c r="AH245" s="75"/>
      <c r="AI245" s="74"/>
      <c r="AJ245" s="74"/>
      <c r="AK245" s="74"/>
      <c r="AL245" s="74"/>
      <c r="AM245" s="74"/>
      <c r="AN245" s="74"/>
      <c r="AO245" s="74"/>
      <c r="AP245" s="74"/>
      <c r="AQ245" s="74"/>
      <c r="AR245" s="76">
        <v>113.9</v>
      </c>
      <c r="AS245" s="74">
        <v>1305560</v>
      </c>
      <c r="AT245" s="76">
        <v>105</v>
      </c>
      <c r="AU245" s="74">
        <f t="shared" si="161"/>
        <v>0</v>
      </c>
      <c r="AV245" s="76">
        <v>124</v>
      </c>
      <c r="AW245" s="74">
        <f t="shared" si="162"/>
        <v>1516936.3809523808</v>
      </c>
      <c r="AX245" s="76">
        <v>122</v>
      </c>
      <c r="AY245" s="77">
        <f t="shared" si="166"/>
        <v>0</v>
      </c>
      <c r="AZ245" s="78">
        <v>125.2</v>
      </c>
      <c r="BA245" s="77">
        <f t="shared" si="167"/>
        <v>1533101</v>
      </c>
      <c r="BB245" s="78">
        <v>123.3</v>
      </c>
      <c r="BC245" s="79">
        <v>44606</v>
      </c>
      <c r="BD245" s="59"/>
      <c r="BE245" s="80"/>
      <c r="BF245" s="80"/>
      <c r="BG245" s="80"/>
      <c r="BH245" s="73"/>
      <c r="BI245" s="73"/>
      <c r="BJ245" s="73"/>
      <c r="BK245" s="73"/>
      <c r="BL245" s="79"/>
      <c r="BM245" s="79"/>
      <c r="BN245" s="58"/>
      <c r="BO245" s="58"/>
      <c r="BP245" s="58"/>
      <c r="BR245" s="59"/>
      <c r="BV245" s="18"/>
      <c r="BW245" s="18"/>
    </row>
    <row r="246" spans="1:75" x14ac:dyDescent="0.3">
      <c r="A246" t="s">
        <v>1083</v>
      </c>
      <c r="B246" s="22" t="s">
        <v>1035</v>
      </c>
      <c r="C246" s="22" t="s">
        <v>1103</v>
      </c>
      <c r="D246" s="55" t="e">
        <v>#N/A</v>
      </c>
      <c r="E246" s="59" t="s">
        <v>1101</v>
      </c>
      <c r="F246" s="95"/>
      <c r="G246" s="95"/>
      <c r="H246" s="58"/>
      <c r="I246" s="58"/>
      <c r="J246" s="59"/>
      <c r="K246" s="95" t="s">
        <v>43</v>
      </c>
      <c r="L246" s="95"/>
      <c r="M246" s="58"/>
      <c r="N246" s="59"/>
      <c r="O246" s="58"/>
      <c r="P246" s="58"/>
      <c r="Q246" s="58"/>
      <c r="R246" s="58"/>
      <c r="S246" s="58"/>
      <c r="T246" s="73"/>
      <c r="U246" s="74"/>
      <c r="V246" s="74"/>
      <c r="W246" s="74"/>
      <c r="X246" s="74"/>
      <c r="Y246" s="74"/>
      <c r="Z246" s="74"/>
      <c r="AA246" s="75"/>
      <c r="AB246" s="74"/>
      <c r="AC246" s="74"/>
      <c r="AD246" s="75"/>
      <c r="AE246" s="74"/>
      <c r="AF246" s="74"/>
      <c r="AG246" s="74"/>
      <c r="AH246" s="75"/>
      <c r="AI246" s="74"/>
      <c r="AJ246" s="74"/>
      <c r="AK246" s="74"/>
      <c r="AL246" s="74"/>
      <c r="AM246" s="74"/>
      <c r="AN246" s="74"/>
      <c r="AO246" s="74"/>
      <c r="AP246" s="74"/>
      <c r="AQ246" s="74"/>
      <c r="AR246" s="76"/>
      <c r="AS246" s="74"/>
      <c r="AT246" s="76"/>
      <c r="AU246" s="74"/>
      <c r="AV246" s="76">
        <v>124</v>
      </c>
      <c r="AW246" s="27">
        <v>269055</v>
      </c>
      <c r="AX246" s="76">
        <v>122</v>
      </c>
      <c r="AY246" s="77">
        <f t="shared" si="166"/>
        <v>0</v>
      </c>
      <c r="AZ246" s="78">
        <v>125.2</v>
      </c>
      <c r="BA246" s="77">
        <f t="shared" si="167"/>
        <v>271922</v>
      </c>
      <c r="BB246" s="78">
        <v>123.3</v>
      </c>
      <c r="BC246" s="79"/>
      <c r="BD246" s="59"/>
      <c r="BE246" s="80"/>
      <c r="BF246" s="80"/>
      <c r="BG246" s="80"/>
      <c r="BH246" s="73"/>
      <c r="BI246" s="73"/>
      <c r="BJ246" s="73"/>
      <c r="BK246" s="73"/>
      <c r="BL246" s="79"/>
      <c r="BM246" s="79"/>
      <c r="BN246" s="58"/>
      <c r="BO246" s="58"/>
      <c r="BP246" s="58"/>
      <c r="BR246" s="59"/>
      <c r="BV246" s="18"/>
      <c r="BW246" s="18"/>
    </row>
    <row r="247" spans="1:75" x14ac:dyDescent="0.3">
      <c r="B247" s="20" t="s">
        <v>821</v>
      </c>
      <c r="C247" s="20" t="s">
        <v>1361</v>
      </c>
      <c r="D247" s="57" t="s">
        <v>1226</v>
      </c>
      <c r="E247" s="58" t="s">
        <v>1101</v>
      </c>
      <c r="F247" s="96"/>
      <c r="G247" s="96"/>
      <c r="H247" s="58" t="s">
        <v>97</v>
      </c>
      <c r="I247" s="58" t="s">
        <v>97</v>
      </c>
      <c r="J247" s="59">
        <v>772723</v>
      </c>
      <c r="K247" s="95" t="s">
        <v>43</v>
      </c>
      <c r="L247" s="95"/>
      <c r="M247" s="58" t="s">
        <v>72</v>
      </c>
      <c r="N247" s="59">
        <v>11</v>
      </c>
      <c r="O247" s="58" t="s">
        <v>40</v>
      </c>
      <c r="P247" s="58" t="s">
        <v>822</v>
      </c>
      <c r="Q247" s="58" t="s">
        <v>134</v>
      </c>
      <c r="R247" s="58" t="s">
        <v>823</v>
      </c>
      <c r="S247" s="58" t="s">
        <v>42</v>
      </c>
      <c r="T247" s="73">
        <v>4050000</v>
      </c>
      <c r="U247" s="74">
        <f t="shared" si="153"/>
        <v>4110198.183319571</v>
      </c>
      <c r="V247" s="74">
        <v>540000</v>
      </c>
      <c r="W247" s="74">
        <v>3797959</v>
      </c>
      <c r="X247" s="74">
        <v>348936</v>
      </c>
      <c r="Y247" s="74">
        <v>2390.31</v>
      </c>
      <c r="Z247" s="74">
        <v>318.70999999999998</v>
      </c>
      <c r="AA247" s="75" t="s">
        <v>43</v>
      </c>
      <c r="AB247" s="74"/>
      <c r="AC247" s="74"/>
      <c r="AD247" s="75" t="s">
        <v>43</v>
      </c>
      <c r="AE247" s="74"/>
      <c r="AF247" s="74"/>
      <c r="AG247" s="74">
        <v>0</v>
      </c>
      <c r="AH247" s="75" t="s">
        <v>42</v>
      </c>
      <c r="AI247" s="74"/>
      <c r="AJ247" s="74">
        <f>116.3*V247/114.7</f>
        <v>547532.69398430688</v>
      </c>
      <c r="AK247" s="74">
        <f t="shared" si="155"/>
        <v>4651981.8331957059</v>
      </c>
      <c r="AL247" s="74">
        <f t="shared" si="156"/>
        <v>572484.74280732335</v>
      </c>
      <c r="AM247" s="74">
        <f t="shared" si="157"/>
        <v>4884580.9248554911</v>
      </c>
      <c r="AN247" s="74">
        <f t="shared" si="157"/>
        <v>601108.97994768957</v>
      </c>
      <c r="AO247" s="74">
        <f t="shared" si="165"/>
        <v>5024140.3798513627</v>
      </c>
      <c r="AP247" s="74">
        <f t="shared" si="158"/>
        <v>601108.97994768957</v>
      </c>
      <c r="AQ247" s="74">
        <f t="shared" si="159"/>
        <v>5298607.3080099095</v>
      </c>
      <c r="AR247" s="76">
        <v>113.9</v>
      </c>
      <c r="AS247" s="74">
        <f t="shared" si="160"/>
        <v>601108.97994768957</v>
      </c>
      <c r="AT247" s="76">
        <v>105</v>
      </c>
      <c r="AU247" s="74">
        <f t="shared" si="161"/>
        <v>5768457.4731626753</v>
      </c>
      <c r="AV247" s="76">
        <v>124</v>
      </c>
      <c r="AW247" s="74">
        <f t="shared" si="162"/>
        <v>698431.3862249346</v>
      </c>
      <c r="AX247" s="76">
        <v>122</v>
      </c>
      <c r="AY247" s="77">
        <f t="shared" si="166"/>
        <v>5824282</v>
      </c>
      <c r="AZ247" s="78">
        <v>125.2</v>
      </c>
      <c r="BA247" s="77">
        <f t="shared" si="167"/>
        <v>705874</v>
      </c>
      <c r="BB247" s="78">
        <v>123.3</v>
      </c>
      <c r="BC247" s="79">
        <v>36526</v>
      </c>
      <c r="BD247" s="59"/>
      <c r="BE247" s="80">
        <v>2447.5</v>
      </c>
      <c r="BF247" s="80">
        <v>2432.4299999999998</v>
      </c>
      <c r="BG247" s="80">
        <v>2404.2399999999998</v>
      </c>
      <c r="BH247" s="73"/>
      <c r="BI247" s="73"/>
      <c r="BJ247" s="73"/>
      <c r="BK247" s="73"/>
      <c r="BL247" s="79">
        <v>42999</v>
      </c>
      <c r="BM247" s="79">
        <v>36434</v>
      </c>
      <c r="BN247" s="58" t="s">
        <v>44</v>
      </c>
      <c r="BO247" s="58" t="s">
        <v>70</v>
      </c>
      <c r="BP247" s="58" t="s">
        <v>184</v>
      </c>
      <c r="BQ247">
        <v>2016</v>
      </c>
      <c r="BR247" s="59"/>
      <c r="BV247" s="18"/>
      <c r="BW247" s="18"/>
    </row>
    <row r="248" spans="1:75" x14ac:dyDescent="0.3">
      <c r="B248" s="20" t="s">
        <v>824</v>
      </c>
      <c r="C248" s="20" t="s">
        <v>1362</v>
      </c>
      <c r="D248" s="57" t="s">
        <v>1227</v>
      </c>
      <c r="E248" s="58" t="s">
        <v>1101</v>
      </c>
      <c r="F248" s="96"/>
      <c r="G248" s="96"/>
      <c r="H248" s="58" t="s">
        <v>97</v>
      </c>
      <c r="I248" s="58" t="s">
        <v>97</v>
      </c>
      <c r="J248" s="59">
        <v>772723</v>
      </c>
      <c r="K248" s="95" t="s">
        <v>43</v>
      </c>
      <c r="L248" s="95"/>
      <c r="M248" s="58" t="s">
        <v>72</v>
      </c>
      <c r="N248" s="59">
        <v>11</v>
      </c>
      <c r="O248" s="58" t="s">
        <v>40</v>
      </c>
      <c r="P248" s="58" t="s">
        <v>825</v>
      </c>
      <c r="Q248" s="58" t="s">
        <v>92</v>
      </c>
      <c r="R248" s="58" t="s">
        <v>826</v>
      </c>
      <c r="S248" s="58" t="s">
        <v>42</v>
      </c>
      <c r="T248" s="73">
        <v>2340000</v>
      </c>
      <c r="U248" s="74">
        <f t="shared" si="153"/>
        <v>2374781.1725846408</v>
      </c>
      <c r="V248" s="74">
        <v>390000</v>
      </c>
      <c r="W248" s="74">
        <v>2180126</v>
      </c>
      <c r="X248" s="74">
        <v>368875</v>
      </c>
      <c r="Y248" s="74">
        <v>1381.07</v>
      </c>
      <c r="Z248" s="74">
        <v>230.18</v>
      </c>
      <c r="AA248" s="75" t="s">
        <v>43</v>
      </c>
      <c r="AB248" s="74"/>
      <c r="AC248" s="74"/>
      <c r="AD248" s="75" t="s">
        <v>43</v>
      </c>
      <c r="AE248" s="74"/>
      <c r="AF248" s="74"/>
      <c r="AG248" s="74">
        <v>0</v>
      </c>
      <c r="AH248" s="75" t="s">
        <v>42</v>
      </c>
      <c r="AI248" s="74"/>
      <c r="AJ248" s="74">
        <f>116.3*V248/114.7</f>
        <v>395440.27898866608</v>
      </c>
      <c r="AK248" s="74">
        <f t="shared" si="155"/>
        <v>2687811.7258464079</v>
      </c>
      <c r="AL248" s="74">
        <f t="shared" si="156"/>
        <v>413461.20313862246</v>
      </c>
      <c r="AM248" s="74">
        <f t="shared" si="157"/>
        <v>2822202.3121387283</v>
      </c>
      <c r="AN248" s="74">
        <f t="shared" si="157"/>
        <v>434134.26329555362</v>
      </c>
      <c r="AO248" s="74">
        <f t="shared" si="165"/>
        <v>2902836.6639141208</v>
      </c>
      <c r="AP248" s="74">
        <f t="shared" si="158"/>
        <v>434134.26329555362</v>
      </c>
      <c r="AQ248" s="74">
        <f t="shared" si="159"/>
        <v>3061417.5557390591</v>
      </c>
      <c r="AR248" s="76">
        <v>113.9</v>
      </c>
      <c r="AS248" s="74">
        <v>0</v>
      </c>
      <c r="AT248" s="76">
        <v>105</v>
      </c>
      <c r="AU248" s="74">
        <f t="shared" si="161"/>
        <v>3332886.5400495459</v>
      </c>
      <c r="AV248" s="76">
        <v>124</v>
      </c>
      <c r="AW248" s="74">
        <f t="shared" si="162"/>
        <v>0</v>
      </c>
      <c r="AX248" s="76">
        <v>122</v>
      </c>
      <c r="AY248" s="77">
        <f t="shared" si="166"/>
        <v>3365141</v>
      </c>
      <c r="AZ248" s="78">
        <v>125.2</v>
      </c>
      <c r="BA248" s="77">
        <f t="shared" si="167"/>
        <v>0</v>
      </c>
      <c r="BB248" s="78">
        <v>123.3</v>
      </c>
      <c r="BC248" s="79">
        <v>36526</v>
      </c>
      <c r="BD248" s="59"/>
      <c r="BE248" s="80">
        <v>1504.42</v>
      </c>
      <c r="BF248" s="80">
        <v>1495.77</v>
      </c>
      <c r="BG248" s="80">
        <v>1478.72</v>
      </c>
      <c r="BH248" s="73"/>
      <c r="BI248" s="73"/>
      <c r="BJ248" s="73"/>
      <c r="BK248" s="73"/>
      <c r="BL248" s="79">
        <v>42999</v>
      </c>
      <c r="BM248" s="79">
        <v>36434</v>
      </c>
      <c r="BN248" s="58" t="s">
        <v>44</v>
      </c>
      <c r="BO248" s="58" t="s">
        <v>70</v>
      </c>
      <c r="BP248" s="58" t="s">
        <v>1045</v>
      </c>
      <c r="BQ248">
        <v>2016</v>
      </c>
      <c r="BR248" s="59"/>
      <c r="BV248" s="18"/>
      <c r="BW248" s="18"/>
    </row>
    <row r="249" spans="1:75" x14ac:dyDescent="0.3">
      <c r="B249" s="20" t="s">
        <v>827</v>
      </c>
      <c r="C249" s="20" t="s">
        <v>827</v>
      </c>
      <c r="D249" s="57" t="s">
        <v>1227</v>
      </c>
      <c r="E249" s="58" t="s">
        <v>1101</v>
      </c>
      <c r="F249" s="96"/>
      <c r="G249" s="96"/>
      <c r="H249" s="58" t="s">
        <v>97</v>
      </c>
      <c r="I249" s="58" t="s">
        <v>97</v>
      </c>
      <c r="J249" s="59">
        <v>777772</v>
      </c>
      <c r="K249" s="95" t="s">
        <v>43</v>
      </c>
      <c r="L249" s="95"/>
      <c r="M249" s="58" t="s">
        <v>39</v>
      </c>
      <c r="N249" s="59">
        <v>11</v>
      </c>
      <c r="O249" s="58" t="s">
        <v>40</v>
      </c>
      <c r="P249" s="58" t="s">
        <v>828</v>
      </c>
      <c r="Q249" s="58" t="s">
        <v>42</v>
      </c>
      <c r="R249" s="58" t="s">
        <v>829</v>
      </c>
      <c r="S249" s="58" t="s">
        <v>42</v>
      </c>
      <c r="T249" s="73"/>
      <c r="U249" s="74">
        <f t="shared" si="153"/>
        <v>0</v>
      </c>
      <c r="V249" s="74"/>
      <c r="W249" s="74"/>
      <c r="X249" s="74"/>
      <c r="Y249" s="74"/>
      <c r="Z249" s="74"/>
      <c r="AA249" s="75" t="s">
        <v>43</v>
      </c>
      <c r="AB249" s="74"/>
      <c r="AC249" s="74"/>
      <c r="AD249" s="75" t="s">
        <v>43</v>
      </c>
      <c r="AE249" s="74"/>
      <c r="AF249" s="74"/>
      <c r="AG249" s="74">
        <v>0</v>
      </c>
      <c r="AH249" s="75" t="s">
        <v>42</v>
      </c>
      <c r="AI249" s="74"/>
      <c r="AJ249" s="74">
        <f>116.3*V249/114.7</f>
        <v>0</v>
      </c>
      <c r="AK249" s="74">
        <f t="shared" si="155"/>
        <v>0</v>
      </c>
      <c r="AL249" s="74">
        <f t="shared" si="156"/>
        <v>0</v>
      </c>
      <c r="AM249" s="74">
        <f t="shared" si="157"/>
        <v>0</v>
      </c>
      <c r="AN249" s="74">
        <f t="shared" si="157"/>
        <v>0</v>
      </c>
      <c r="AO249" s="74">
        <f t="shared" si="165"/>
        <v>0</v>
      </c>
      <c r="AP249" s="74">
        <f t="shared" si="158"/>
        <v>0</v>
      </c>
      <c r="AQ249" s="74">
        <f t="shared" si="159"/>
        <v>0</v>
      </c>
      <c r="AR249" s="76">
        <v>113.9</v>
      </c>
      <c r="AS249" s="74">
        <f t="shared" si="160"/>
        <v>0</v>
      </c>
      <c r="AT249" s="76">
        <v>105</v>
      </c>
      <c r="AU249" s="74">
        <f t="shared" si="161"/>
        <v>0</v>
      </c>
      <c r="AV249" s="76">
        <v>124</v>
      </c>
      <c r="AW249" s="74">
        <f t="shared" si="162"/>
        <v>0</v>
      </c>
      <c r="AX249" s="76">
        <v>122</v>
      </c>
      <c r="AY249" s="77">
        <f t="shared" si="166"/>
        <v>0</v>
      </c>
      <c r="AZ249" s="78">
        <v>125.2</v>
      </c>
      <c r="BA249" s="77">
        <f t="shared" si="167"/>
        <v>0</v>
      </c>
      <c r="BB249" s="78">
        <v>123.3</v>
      </c>
      <c r="BC249" s="79">
        <v>42552</v>
      </c>
      <c r="BD249" s="59"/>
      <c r="BE249" s="80"/>
      <c r="BF249" s="80"/>
      <c r="BG249" s="80"/>
      <c r="BH249" s="73"/>
      <c r="BI249" s="73"/>
      <c r="BJ249" s="73"/>
      <c r="BK249" s="73"/>
      <c r="BL249" s="79">
        <v>42999</v>
      </c>
      <c r="BM249" s="79">
        <v>42629</v>
      </c>
      <c r="BN249" s="58" t="s">
        <v>44</v>
      </c>
      <c r="BO249" s="58" t="s">
        <v>44</v>
      </c>
      <c r="BP249" s="58" t="s">
        <v>830</v>
      </c>
      <c r="BQ249">
        <v>2016</v>
      </c>
      <c r="BR249" s="59"/>
      <c r="BV249" s="18"/>
      <c r="BW249" s="18"/>
    </row>
    <row r="250" spans="1:75" x14ac:dyDescent="0.3">
      <c r="B250" s="20" t="s">
        <v>831</v>
      </c>
      <c r="C250" s="20" t="s">
        <v>1363</v>
      </c>
      <c r="D250" s="57" t="s">
        <v>1227</v>
      </c>
      <c r="E250" s="58" t="s">
        <v>1101</v>
      </c>
      <c r="F250" s="96"/>
      <c r="G250" s="96"/>
      <c r="H250" s="58" t="s">
        <v>97</v>
      </c>
      <c r="I250" s="58" t="s">
        <v>97</v>
      </c>
      <c r="J250" s="59">
        <v>772723</v>
      </c>
      <c r="K250" s="95" t="s">
        <v>43</v>
      </c>
      <c r="L250" s="95"/>
      <c r="M250" s="58" t="s">
        <v>72</v>
      </c>
      <c r="N250" s="59">
        <v>11</v>
      </c>
      <c r="O250" s="58" t="s">
        <v>40</v>
      </c>
      <c r="P250" s="58" t="s">
        <v>832</v>
      </c>
      <c r="Q250" s="58" t="s">
        <v>217</v>
      </c>
      <c r="R250" s="58" t="s">
        <v>833</v>
      </c>
      <c r="S250" s="58" t="s">
        <v>42</v>
      </c>
      <c r="T250" s="73">
        <v>2340000</v>
      </c>
      <c r="U250" s="74">
        <f t="shared" si="153"/>
        <v>2374781.1725846408</v>
      </c>
      <c r="V250" s="74">
        <v>280000</v>
      </c>
      <c r="W250" s="74">
        <v>2180126</v>
      </c>
      <c r="X250" s="74">
        <v>346444</v>
      </c>
      <c r="Y250" s="74">
        <v>1381.07</v>
      </c>
      <c r="Z250" s="74">
        <v>165.26</v>
      </c>
      <c r="AA250" s="75" t="s">
        <v>43</v>
      </c>
      <c r="AB250" s="74"/>
      <c r="AC250" s="74"/>
      <c r="AD250" s="75" t="s">
        <v>43</v>
      </c>
      <c r="AE250" s="74"/>
      <c r="AF250" s="74"/>
      <c r="AG250" s="74">
        <v>0</v>
      </c>
      <c r="AH250" s="75" t="s">
        <v>42</v>
      </c>
      <c r="AI250" s="74"/>
      <c r="AJ250" s="74">
        <f>116.3*V250/114.7</f>
        <v>283905.84132519615</v>
      </c>
      <c r="AK250" s="74">
        <f t="shared" si="155"/>
        <v>2687811.7258464079</v>
      </c>
      <c r="AL250" s="74">
        <f t="shared" si="156"/>
        <v>296843.94071490841</v>
      </c>
      <c r="AM250" s="74">
        <f t="shared" si="157"/>
        <v>2822202.3121387283</v>
      </c>
      <c r="AN250" s="74">
        <f t="shared" si="157"/>
        <v>311686.13775065384</v>
      </c>
      <c r="AO250" s="74">
        <f t="shared" si="165"/>
        <v>2902836.6639141208</v>
      </c>
      <c r="AP250" s="74">
        <f t="shared" si="158"/>
        <v>311686.13775065384</v>
      </c>
      <c r="AQ250" s="74">
        <f t="shared" ref="AQ250:AQ309" si="168">AO250/108*113.9</f>
        <v>3061417.5557390591</v>
      </c>
      <c r="AR250" s="76">
        <v>113.9</v>
      </c>
      <c r="AS250" s="74">
        <f t="shared" ref="AS250:AS309" si="169">AP250</f>
        <v>311686.13775065384</v>
      </c>
      <c r="AT250" s="76">
        <v>105</v>
      </c>
      <c r="AU250" s="74">
        <f t="shared" si="161"/>
        <v>3332886.5400495459</v>
      </c>
      <c r="AV250" s="76">
        <v>124</v>
      </c>
      <c r="AW250" s="74">
        <f t="shared" si="162"/>
        <v>362149.60767218826</v>
      </c>
      <c r="AX250" s="76">
        <v>122</v>
      </c>
      <c r="AY250" s="77">
        <f t="shared" si="166"/>
        <v>3365141</v>
      </c>
      <c r="AZ250" s="78">
        <v>125.2</v>
      </c>
      <c r="BA250" s="77">
        <f t="shared" si="167"/>
        <v>366009</v>
      </c>
      <c r="BB250" s="78">
        <v>123.3</v>
      </c>
      <c r="BC250" s="79">
        <v>36526</v>
      </c>
      <c r="BD250" s="59"/>
      <c r="BE250" s="80">
        <v>1491.18</v>
      </c>
      <c r="BF250" s="80">
        <v>1482.53</v>
      </c>
      <c r="BG250" s="80">
        <v>1465.59</v>
      </c>
      <c r="BH250" s="73"/>
      <c r="BI250" s="73"/>
      <c r="BJ250" s="73"/>
      <c r="BK250" s="73"/>
      <c r="BL250" s="79">
        <v>43004</v>
      </c>
      <c r="BM250" s="79">
        <v>36434</v>
      </c>
      <c r="BN250" s="58" t="s">
        <v>44</v>
      </c>
      <c r="BO250" s="58" t="s">
        <v>70</v>
      </c>
      <c r="BP250" s="58" t="s">
        <v>184</v>
      </c>
      <c r="BQ250">
        <v>2016</v>
      </c>
      <c r="BR250" s="59"/>
      <c r="BV250" s="18"/>
      <c r="BW250" s="18"/>
    </row>
    <row r="251" spans="1:75" x14ac:dyDescent="0.3">
      <c r="B251" s="20" t="s">
        <v>1041</v>
      </c>
      <c r="C251" s="20" t="s">
        <v>1364</v>
      </c>
      <c r="D251" s="57" t="s">
        <v>1226</v>
      </c>
      <c r="E251" s="58" t="s">
        <v>1101</v>
      </c>
      <c r="F251" s="96"/>
      <c r="G251" s="96"/>
      <c r="H251" s="58" t="s">
        <v>97</v>
      </c>
      <c r="I251" s="58" t="s">
        <v>97</v>
      </c>
      <c r="J251" s="59">
        <v>772723</v>
      </c>
      <c r="K251" s="95" t="s">
        <v>43</v>
      </c>
      <c r="L251" s="95"/>
      <c r="M251" s="58" t="s">
        <v>72</v>
      </c>
      <c r="N251" s="59">
        <v>11</v>
      </c>
      <c r="O251" s="58" t="s">
        <v>1042</v>
      </c>
      <c r="P251" s="58" t="s">
        <v>1043</v>
      </c>
      <c r="Q251" s="58"/>
      <c r="R251" s="58"/>
      <c r="S251" s="58"/>
      <c r="T251" s="73"/>
      <c r="U251" s="74"/>
      <c r="V251" s="74"/>
      <c r="W251" s="74"/>
      <c r="X251" s="74"/>
      <c r="Y251" s="74"/>
      <c r="Z251" s="74"/>
      <c r="AA251" s="75"/>
      <c r="AB251" s="74"/>
      <c r="AC251" s="74"/>
      <c r="AD251" s="75"/>
      <c r="AE251" s="74"/>
      <c r="AF251" s="74"/>
      <c r="AG251" s="74"/>
      <c r="AH251" s="75"/>
      <c r="AI251" s="74"/>
      <c r="AJ251" s="74"/>
      <c r="AK251" s="74"/>
      <c r="AL251" s="74"/>
      <c r="AM251" s="74"/>
      <c r="AN251" s="74"/>
      <c r="AO251" s="74"/>
      <c r="AP251" s="74"/>
      <c r="AQ251" s="74">
        <v>2932930</v>
      </c>
      <c r="AR251" s="76">
        <v>113.9</v>
      </c>
      <c r="AS251" s="74">
        <v>434134</v>
      </c>
      <c r="AT251" s="76">
        <v>105</v>
      </c>
      <c r="AU251" s="74">
        <f t="shared" si="161"/>
        <v>3193005.4433713784</v>
      </c>
      <c r="AV251" s="76">
        <v>124</v>
      </c>
      <c r="AW251" s="74">
        <f t="shared" si="162"/>
        <v>504422.36190476193</v>
      </c>
      <c r="AX251" s="76">
        <v>122</v>
      </c>
      <c r="AY251" s="77">
        <f t="shared" si="166"/>
        <v>3223906</v>
      </c>
      <c r="AZ251" s="78">
        <v>125.2</v>
      </c>
      <c r="BA251" s="77">
        <f t="shared" si="167"/>
        <v>509798</v>
      </c>
      <c r="BB251" s="78">
        <v>123.3</v>
      </c>
      <c r="BC251" s="79"/>
      <c r="BD251" s="59"/>
      <c r="BE251" s="80"/>
      <c r="BF251" s="80"/>
      <c r="BG251" s="80"/>
      <c r="BH251" s="73"/>
      <c r="BI251" s="73"/>
      <c r="BJ251" s="73"/>
      <c r="BK251" s="73"/>
      <c r="BL251" s="79"/>
      <c r="BM251" s="79"/>
      <c r="BN251" s="58"/>
      <c r="BO251" s="58"/>
      <c r="BP251" s="58" t="s">
        <v>1044</v>
      </c>
      <c r="BR251" s="59"/>
      <c r="BV251" s="18"/>
      <c r="BW251" s="18"/>
    </row>
    <row r="252" spans="1:75" x14ac:dyDescent="0.3">
      <c r="B252" s="20" t="s">
        <v>834</v>
      </c>
      <c r="C252" s="20" t="s">
        <v>1365</v>
      </c>
      <c r="D252" s="57" t="e">
        <v>#N/A</v>
      </c>
      <c r="E252" s="58" t="s">
        <v>115</v>
      </c>
      <c r="F252" s="96"/>
      <c r="G252" s="96"/>
      <c r="H252" s="58" t="s">
        <v>115</v>
      </c>
      <c r="I252" s="58" t="s">
        <v>115</v>
      </c>
      <c r="J252" s="59">
        <v>779790</v>
      </c>
      <c r="K252" s="95" t="s">
        <v>43</v>
      </c>
      <c r="L252" s="95"/>
      <c r="M252" s="58" t="s">
        <v>48</v>
      </c>
      <c r="N252" s="59">
        <v>11</v>
      </c>
      <c r="O252" s="58" t="s">
        <v>40</v>
      </c>
      <c r="P252" s="58" t="s">
        <v>835</v>
      </c>
      <c r="Q252" s="58" t="s">
        <v>51</v>
      </c>
      <c r="R252" s="58" t="s">
        <v>836</v>
      </c>
      <c r="S252" s="58" t="s">
        <v>42</v>
      </c>
      <c r="T252" s="73">
        <v>435000</v>
      </c>
      <c r="U252" s="74">
        <f t="shared" si="153"/>
        <v>441465.73080099095</v>
      </c>
      <c r="V252" s="74"/>
      <c r="W252" s="74">
        <v>404458</v>
      </c>
      <c r="X252" s="74"/>
      <c r="Y252" s="74">
        <v>256.74</v>
      </c>
      <c r="Z252" s="74"/>
      <c r="AA252" s="75" t="s">
        <v>43</v>
      </c>
      <c r="AB252" s="74"/>
      <c r="AC252" s="74"/>
      <c r="AD252" s="75" t="s">
        <v>43</v>
      </c>
      <c r="AE252" s="74"/>
      <c r="AF252" s="74"/>
      <c r="AG252" s="74">
        <v>0</v>
      </c>
      <c r="AH252" s="75" t="s">
        <v>42</v>
      </c>
      <c r="AI252" s="74"/>
      <c r="AJ252" s="74">
        <f>116.3*V252/114.7</f>
        <v>0</v>
      </c>
      <c r="AK252" s="74">
        <f t="shared" si="155"/>
        <v>499657.30800990917</v>
      </c>
      <c r="AL252" s="74">
        <f t="shared" si="156"/>
        <v>0</v>
      </c>
      <c r="AM252" s="74">
        <f t="shared" si="157"/>
        <v>524640.17341040471</v>
      </c>
      <c r="AN252" s="74">
        <f t="shared" si="157"/>
        <v>0</v>
      </c>
      <c r="AO252" s="74"/>
      <c r="AP252" s="74">
        <f t="shared" si="158"/>
        <v>0</v>
      </c>
      <c r="AQ252" s="74">
        <f t="shared" si="168"/>
        <v>0</v>
      </c>
      <c r="AR252" s="76">
        <v>113.9</v>
      </c>
      <c r="AS252" s="74">
        <f t="shared" si="169"/>
        <v>0</v>
      </c>
      <c r="AT252" s="76">
        <v>105</v>
      </c>
      <c r="AU252" s="74">
        <f t="shared" si="161"/>
        <v>0</v>
      </c>
      <c r="AV252" s="76">
        <v>124</v>
      </c>
      <c r="AW252" s="74">
        <f t="shared" si="162"/>
        <v>0</v>
      </c>
      <c r="AX252" s="76">
        <v>122</v>
      </c>
      <c r="AY252" s="77">
        <f t="shared" si="166"/>
        <v>0</v>
      </c>
      <c r="AZ252" s="78">
        <v>125.2</v>
      </c>
      <c r="BA252" s="77">
        <f t="shared" si="167"/>
        <v>0</v>
      </c>
      <c r="BB252" s="78">
        <v>123.3</v>
      </c>
      <c r="BC252" s="79">
        <v>36500</v>
      </c>
      <c r="BD252" s="59"/>
      <c r="BE252" s="80">
        <v>238.71</v>
      </c>
      <c r="BF252" s="80">
        <v>237.11</v>
      </c>
      <c r="BG252" s="80">
        <v>311.58</v>
      </c>
      <c r="BH252" s="73"/>
      <c r="BI252" s="73"/>
      <c r="BJ252" s="73"/>
      <c r="BK252" s="73"/>
      <c r="BL252" s="79">
        <v>42999</v>
      </c>
      <c r="BM252" s="79">
        <v>36434</v>
      </c>
      <c r="BN252" s="58" t="s">
        <v>44</v>
      </c>
      <c r="BO252" s="58" t="s">
        <v>70</v>
      </c>
      <c r="BP252" s="58" t="s">
        <v>837</v>
      </c>
      <c r="BQ252">
        <v>2016</v>
      </c>
      <c r="BR252" s="59"/>
      <c r="BV252" s="18"/>
      <c r="BW252" s="18"/>
    </row>
    <row r="253" spans="1:75" x14ac:dyDescent="0.3">
      <c r="B253" s="20" t="s">
        <v>1016</v>
      </c>
      <c r="C253" s="20" t="s">
        <v>1016</v>
      </c>
      <c r="D253" s="57" t="e">
        <v>#N/A</v>
      </c>
      <c r="E253" s="58" t="s">
        <v>986</v>
      </c>
      <c r="F253" s="96"/>
      <c r="G253" s="96"/>
      <c r="H253" s="58"/>
      <c r="I253" s="58"/>
      <c r="J253" s="59"/>
      <c r="K253" s="95" t="s">
        <v>43</v>
      </c>
      <c r="L253" s="95"/>
      <c r="M253" s="58"/>
      <c r="N253" s="59"/>
      <c r="O253" s="58"/>
      <c r="P253" s="58" t="s">
        <v>1017</v>
      </c>
      <c r="Q253" s="58"/>
      <c r="R253" s="58"/>
      <c r="S253" s="58"/>
      <c r="T253" s="73"/>
      <c r="U253" s="74"/>
      <c r="V253" s="74"/>
      <c r="W253" s="74"/>
      <c r="X253" s="74"/>
      <c r="Y253" s="74"/>
      <c r="Z253" s="74"/>
      <c r="AA253" s="75"/>
      <c r="AB253" s="74"/>
      <c r="AC253" s="74"/>
      <c r="AD253" s="75"/>
      <c r="AE253" s="74"/>
      <c r="AF253" s="74"/>
      <c r="AG253" s="74"/>
      <c r="AH253" s="75"/>
      <c r="AI253" s="74"/>
      <c r="AJ253" s="74"/>
      <c r="AK253" s="74"/>
      <c r="AL253" s="74"/>
      <c r="AM253" s="74"/>
      <c r="AN253" s="74"/>
      <c r="AO253" s="74"/>
      <c r="AP253" s="74">
        <f>12000+106935</f>
        <v>118935</v>
      </c>
      <c r="AQ253" s="74">
        <f t="shared" si="168"/>
        <v>0</v>
      </c>
      <c r="AR253" s="76">
        <v>113.9</v>
      </c>
      <c r="AS253" s="74">
        <f t="shared" si="169"/>
        <v>118935</v>
      </c>
      <c r="AT253" s="76">
        <v>105</v>
      </c>
      <c r="AU253" s="74">
        <f t="shared" si="161"/>
        <v>0</v>
      </c>
      <c r="AV253" s="76">
        <v>124</v>
      </c>
      <c r="AW253" s="74">
        <f t="shared" si="162"/>
        <v>138191.14285714287</v>
      </c>
      <c r="AX253" s="76">
        <v>122</v>
      </c>
      <c r="AY253" s="77">
        <f t="shared" si="166"/>
        <v>0</v>
      </c>
      <c r="AZ253" s="78">
        <v>125.2</v>
      </c>
      <c r="BA253" s="77">
        <f t="shared" si="167"/>
        <v>139664</v>
      </c>
      <c r="BB253" s="78">
        <v>123.3</v>
      </c>
      <c r="BC253" s="79">
        <v>44317</v>
      </c>
      <c r="BD253" s="59"/>
      <c r="BE253" s="80"/>
      <c r="BF253" s="80"/>
      <c r="BG253" s="80"/>
      <c r="BH253" s="73"/>
      <c r="BI253" s="73"/>
      <c r="BJ253" s="73"/>
      <c r="BK253" s="73"/>
      <c r="BL253" s="79"/>
      <c r="BM253" s="79"/>
      <c r="BN253" s="58"/>
      <c r="BO253" s="58"/>
      <c r="BP253" s="21"/>
      <c r="BR253" s="59"/>
      <c r="BV253" s="18"/>
      <c r="BW253" s="18"/>
    </row>
    <row r="254" spans="1:75" x14ac:dyDescent="0.3">
      <c r="B254" s="20" t="s">
        <v>838</v>
      </c>
      <c r="C254" s="20" t="s">
        <v>1366</v>
      </c>
      <c r="D254" s="57" t="s">
        <v>1228</v>
      </c>
      <c r="E254" s="58" t="s">
        <v>986</v>
      </c>
      <c r="F254" s="96"/>
      <c r="G254" s="96"/>
      <c r="H254" s="58" t="s">
        <v>289</v>
      </c>
      <c r="I254" s="58" t="s">
        <v>289</v>
      </c>
      <c r="J254" s="59">
        <v>777772</v>
      </c>
      <c r="K254" s="95" t="s">
        <v>43</v>
      </c>
      <c r="L254" s="95"/>
      <c r="M254" s="58" t="s">
        <v>39</v>
      </c>
      <c r="N254" s="59">
        <v>12</v>
      </c>
      <c r="O254" s="58" t="s">
        <v>49</v>
      </c>
      <c r="P254" s="58" t="s">
        <v>839</v>
      </c>
      <c r="Q254" s="58" t="s">
        <v>42</v>
      </c>
      <c r="R254" s="58" t="s">
        <v>840</v>
      </c>
      <c r="S254" s="58" t="s">
        <v>42</v>
      </c>
      <c r="T254" s="73">
        <v>15000</v>
      </c>
      <c r="U254" s="74">
        <f t="shared" si="153"/>
        <v>15222.956234516929</v>
      </c>
      <c r="V254" s="74"/>
      <c r="W254" s="74">
        <v>51337</v>
      </c>
      <c r="X254" s="74"/>
      <c r="Y254" s="74">
        <v>8.85</v>
      </c>
      <c r="Z254" s="74"/>
      <c r="AA254" s="75" t="s">
        <v>43</v>
      </c>
      <c r="AB254" s="74"/>
      <c r="AC254" s="74"/>
      <c r="AD254" s="75" t="s">
        <v>43</v>
      </c>
      <c r="AE254" s="74"/>
      <c r="AF254" s="74"/>
      <c r="AG254" s="74">
        <v>0</v>
      </c>
      <c r="AH254" s="75" t="s">
        <v>42</v>
      </c>
      <c r="AI254" s="74"/>
      <c r="AJ254" s="74">
        <f t="shared" ref="AJ254:AJ309" si="170">116.3*V254/114.7</f>
        <v>0</v>
      </c>
      <c r="AK254" s="74">
        <f t="shared" si="155"/>
        <v>17229.562345169281</v>
      </c>
      <c r="AL254" s="74">
        <f t="shared" si="156"/>
        <v>0</v>
      </c>
      <c r="AM254" s="74">
        <f t="shared" si="157"/>
        <v>18091.040462427747</v>
      </c>
      <c r="AN254" s="74">
        <f t="shared" si="157"/>
        <v>0</v>
      </c>
      <c r="AO254" s="74">
        <f t="shared" si="165"/>
        <v>18607.927332782823</v>
      </c>
      <c r="AP254" s="74">
        <f t="shared" si="158"/>
        <v>0</v>
      </c>
      <c r="AQ254" s="74">
        <f t="shared" si="168"/>
        <v>19624.471511147814</v>
      </c>
      <c r="AR254" s="76">
        <v>113.9</v>
      </c>
      <c r="AS254" s="74">
        <f t="shared" si="169"/>
        <v>0</v>
      </c>
      <c r="AT254" s="76">
        <v>105</v>
      </c>
      <c r="AU254" s="74">
        <f t="shared" si="161"/>
        <v>21364.657308009908</v>
      </c>
      <c r="AV254" s="76">
        <v>124</v>
      </c>
      <c r="AW254" s="74">
        <f t="shared" si="162"/>
        <v>0</v>
      </c>
      <c r="AX254" s="76">
        <v>122</v>
      </c>
      <c r="AY254" s="77">
        <f t="shared" si="166"/>
        <v>21572</v>
      </c>
      <c r="AZ254" s="78">
        <v>125.2</v>
      </c>
      <c r="BA254" s="77">
        <f t="shared" si="167"/>
        <v>0</v>
      </c>
      <c r="BB254" s="78">
        <v>123.3</v>
      </c>
      <c r="BC254" s="79">
        <v>41275</v>
      </c>
      <c r="BD254" s="59"/>
      <c r="BE254" s="80">
        <v>30.3</v>
      </c>
      <c r="BF254" s="80">
        <v>30.1</v>
      </c>
      <c r="BG254" s="80">
        <v>29.74</v>
      </c>
      <c r="BH254" s="73"/>
      <c r="BI254" s="73"/>
      <c r="BJ254" s="73"/>
      <c r="BK254" s="73"/>
      <c r="BL254" s="79">
        <v>43045</v>
      </c>
      <c r="BM254" s="79">
        <v>41652</v>
      </c>
      <c r="BN254" s="58" t="s">
        <v>44</v>
      </c>
      <c r="BO254" s="58" t="s">
        <v>44</v>
      </c>
      <c r="BP254" s="58" t="s">
        <v>841</v>
      </c>
      <c r="BQ254">
        <v>2016</v>
      </c>
      <c r="BR254" s="59"/>
      <c r="BV254" s="18"/>
      <c r="BW254" s="18"/>
    </row>
    <row r="255" spans="1:75" x14ac:dyDescent="0.3">
      <c r="B255" s="20" t="s">
        <v>842</v>
      </c>
      <c r="C255" s="20" t="s">
        <v>842</v>
      </c>
      <c r="D255" s="57" t="e">
        <v>#N/A</v>
      </c>
      <c r="E255" s="58" t="s">
        <v>1387</v>
      </c>
      <c r="F255" s="96"/>
      <c r="G255" s="96"/>
      <c r="H255" s="58" t="s">
        <v>843</v>
      </c>
      <c r="I255" s="58" t="s">
        <v>843</v>
      </c>
      <c r="J255" s="59">
        <v>888884</v>
      </c>
      <c r="K255" s="95" t="s">
        <v>43</v>
      </c>
      <c r="L255" s="95"/>
      <c r="M255" s="58" t="s">
        <v>844</v>
      </c>
      <c r="N255" s="59">
        <v>99</v>
      </c>
      <c r="O255" s="58" t="s">
        <v>128</v>
      </c>
      <c r="P255" s="58" t="s">
        <v>845</v>
      </c>
      <c r="Q255" s="58" t="s">
        <v>42</v>
      </c>
      <c r="R255" s="58" t="s">
        <v>846</v>
      </c>
      <c r="S255" s="58" t="s">
        <v>42</v>
      </c>
      <c r="T255" s="73"/>
      <c r="U255" s="74">
        <f t="shared" si="153"/>
        <v>0</v>
      </c>
      <c r="V255" s="74">
        <v>160000</v>
      </c>
      <c r="W255" s="74">
        <v>57758</v>
      </c>
      <c r="X255" s="74">
        <v>14125</v>
      </c>
      <c r="Y255" s="74"/>
      <c r="Z255" s="74">
        <v>94.43</v>
      </c>
      <c r="AA255" s="75" t="s">
        <v>43</v>
      </c>
      <c r="AB255" s="74"/>
      <c r="AC255" s="74"/>
      <c r="AD255" s="75" t="s">
        <v>43</v>
      </c>
      <c r="AE255" s="74"/>
      <c r="AF255" s="74"/>
      <c r="AG255" s="74">
        <v>0</v>
      </c>
      <c r="AH255" s="75" t="s">
        <v>42</v>
      </c>
      <c r="AI255" s="74"/>
      <c r="AJ255" s="74">
        <f t="shared" si="170"/>
        <v>162231.90932868351</v>
      </c>
      <c r="AK255" s="74">
        <f t="shared" si="155"/>
        <v>0</v>
      </c>
      <c r="AL255" s="74">
        <f t="shared" si="156"/>
        <v>169625.10897994766</v>
      </c>
      <c r="AM255" s="74">
        <f t="shared" si="157"/>
        <v>0</v>
      </c>
      <c r="AN255" s="74">
        <f t="shared" si="157"/>
        <v>178106.36442894506</v>
      </c>
      <c r="AO255" s="74">
        <f t="shared" si="165"/>
        <v>0</v>
      </c>
      <c r="AP255" s="74">
        <f t="shared" si="158"/>
        <v>178106.36442894506</v>
      </c>
      <c r="AQ255" s="74">
        <f t="shared" si="168"/>
        <v>0</v>
      </c>
      <c r="AR255" s="76">
        <v>113.9</v>
      </c>
      <c r="AS255" s="74">
        <f t="shared" si="169"/>
        <v>178106.36442894506</v>
      </c>
      <c r="AT255" s="76">
        <v>105</v>
      </c>
      <c r="AU255" s="74">
        <f t="shared" si="161"/>
        <v>0</v>
      </c>
      <c r="AV255" s="76">
        <v>124</v>
      </c>
      <c r="AW255" s="74">
        <f t="shared" si="162"/>
        <v>206942.63295553619</v>
      </c>
      <c r="AX255" s="76">
        <v>122</v>
      </c>
      <c r="AY255" s="77">
        <f t="shared" si="166"/>
        <v>0</v>
      </c>
      <c r="AZ255" s="78">
        <v>125.2</v>
      </c>
      <c r="BA255" s="77">
        <f t="shared" si="167"/>
        <v>209148</v>
      </c>
      <c r="BB255" s="78">
        <v>123.3</v>
      </c>
      <c r="BC255" s="79">
        <v>42186</v>
      </c>
      <c r="BD255" s="59"/>
      <c r="BE255" s="80">
        <v>42.43</v>
      </c>
      <c r="BF255" s="80">
        <v>42.2</v>
      </c>
      <c r="BG255" s="80"/>
      <c r="BH255" s="73"/>
      <c r="BI255" s="73"/>
      <c r="BJ255" s="73"/>
      <c r="BK255" s="73"/>
      <c r="BL255" s="79">
        <v>42999</v>
      </c>
      <c r="BM255" s="79">
        <v>42444</v>
      </c>
      <c r="BN255" s="58" t="s">
        <v>44</v>
      </c>
      <c r="BO255" s="58" t="s">
        <v>44</v>
      </c>
      <c r="BP255" s="58" t="s">
        <v>847</v>
      </c>
      <c r="BQ255">
        <v>2016</v>
      </c>
      <c r="BR255" s="59"/>
      <c r="BV255" s="18"/>
      <c r="BW255" s="18"/>
    </row>
    <row r="256" spans="1:75" x14ac:dyDescent="0.3">
      <c r="B256" s="20" t="s">
        <v>848</v>
      </c>
      <c r="C256" s="20" t="s">
        <v>1367</v>
      </c>
      <c r="D256" s="57" t="e">
        <v>#N/A</v>
      </c>
      <c r="E256" s="58" t="s">
        <v>1123</v>
      </c>
      <c r="F256" s="96"/>
      <c r="G256" s="96"/>
      <c r="H256" s="58" t="s">
        <v>849</v>
      </c>
      <c r="I256" s="58" t="s">
        <v>849</v>
      </c>
      <c r="J256" s="59">
        <v>777772</v>
      </c>
      <c r="K256" s="95" t="s">
        <v>43</v>
      </c>
      <c r="L256" s="95"/>
      <c r="M256" s="58" t="s">
        <v>39</v>
      </c>
      <c r="N256" s="59">
        <v>11</v>
      </c>
      <c r="O256" s="58" t="s">
        <v>40</v>
      </c>
      <c r="P256" s="58" t="s">
        <v>850</v>
      </c>
      <c r="Q256" s="58" t="s">
        <v>42</v>
      </c>
      <c r="R256" s="58" t="s">
        <v>851</v>
      </c>
      <c r="S256" s="58" t="s">
        <v>42</v>
      </c>
      <c r="T256" s="73">
        <v>70000</v>
      </c>
      <c r="U256" s="74">
        <f t="shared" si="153"/>
        <v>71040.462427745675</v>
      </c>
      <c r="V256" s="74"/>
      <c r="W256" s="74">
        <v>60406</v>
      </c>
      <c r="X256" s="74"/>
      <c r="Y256" s="74">
        <v>41.31</v>
      </c>
      <c r="Z256" s="74"/>
      <c r="AA256" s="75" t="s">
        <v>43</v>
      </c>
      <c r="AB256" s="74"/>
      <c r="AC256" s="74"/>
      <c r="AD256" s="75" t="s">
        <v>43</v>
      </c>
      <c r="AE256" s="74"/>
      <c r="AF256" s="74"/>
      <c r="AG256" s="74">
        <v>0</v>
      </c>
      <c r="AH256" s="75" t="s">
        <v>42</v>
      </c>
      <c r="AI256" s="74"/>
      <c r="AJ256" s="74">
        <f t="shared" si="170"/>
        <v>0</v>
      </c>
      <c r="AK256" s="74">
        <f t="shared" si="155"/>
        <v>80404.624277456649</v>
      </c>
      <c r="AL256" s="74">
        <f t="shared" si="156"/>
        <v>0</v>
      </c>
      <c r="AM256" s="74"/>
      <c r="AN256" s="74">
        <f t="shared" si="157"/>
        <v>0</v>
      </c>
      <c r="AO256" s="74">
        <f t="shared" ref="AO256:AO309" si="171">AM256/105*108</f>
        <v>0</v>
      </c>
      <c r="AP256" s="74">
        <f t="shared" ref="AP256:AP309" si="172">AN256</f>
        <v>0</v>
      </c>
      <c r="AQ256" s="74">
        <f t="shared" si="168"/>
        <v>0</v>
      </c>
      <c r="AR256" s="76">
        <v>113.9</v>
      </c>
      <c r="AS256" s="74">
        <f t="shared" si="169"/>
        <v>0</v>
      </c>
      <c r="AT256" s="76">
        <v>105</v>
      </c>
      <c r="AU256" s="74">
        <f t="shared" si="161"/>
        <v>0</v>
      </c>
      <c r="AV256" s="76">
        <v>124</v>
      </c>
      <c r="AW256" s="74">
        <f t="shared" si="162"/>
        <v>0</v>
      </c>
      <c r="AX256" s="76">
        <v>122</v>
      </c>
      <c r="AY256" s="77">
        <f t="shared" si="166"/>
        <v>0</v>
      </c>
      <c r="AZ256" s="78">
        <v>125.2</v>
      </c>
      <c r="BA256" s="77">
        <f t="shared" si="167"/>
        <v>0</v>
      </c>
      <c r="BB256" s="78">
        <v>123.3</v>
      </c>
      <c r="BC256" s="79">
        <v>42005</v>
      </c>
      <c r="BD256" s="59"/>
      <c r="BE256" s="80">
        <v>35.65</v>
      </c>
      <c r="BF256" s="80">
        <v>35.409999999999997</v>
      </c>
      <c r="BG256" s="80"/>
      <c r="BH256" s="73"/>
      <c r="BI256" s="73"/>
      <c r="BJ256" s="73"/>
      <c r="BK256" s="73"/>
      <c r="BL256" s="79">
        <v>42999</v>
      </c>
      <c r="BM256" s="79">
        <v>42401</v>
      </c>
      <c r="BN256" s="58" t="s">
        <v>44</v>
      </c>
      <c r="BO256" s="58" t="s">
        <v>44</v>
      </c>
      <c r="BP256" s="58" t="s">
        <v>221</v>
      </c>
      <c r="BQ256">
        <v>2016</v>
      </c>
      <c r="BR256" s="59"/>
      <c r="BV256" s="18"/>
      <c r="BW256" s="18"/>
    </row>
    <row r="257" spans="2:75" x14ac:dyDescent="0.3">
      <c r="B257" s="20" t="s">
        <v>852</v>
      </c>
      <c r="C257" s="20" t="s">
        <v>1368</v>
      </c>
      <c r="D257" s="57" t="e">
        <v>#N/A</v>
      </c>
      <c r="E257" s="58" t="s">
        <v>1123</v>
      </c>
      <c r="F257" s="96"/>
      <c r="G257" s="96"/>
      <c r="H257" s="58" t="s">
        <v>849</v>
      </c>
      <c r="I257" s="58" t="s">
        <v>849</v>
      </c>
      <c r="J257" s="59">
        <v>9999</v>
      </c>
      <c r="K257" s="95" t="s">
        <v>43</v>
      </c>
      <c r="L257" s="95"/>
      <c r="M257" s="58" t="s">
        <v>441</v>
      </c>
      <c r="N257" s="59">
        <v>11</v>
      </c>
      <c r="O257" s="58" t="s">
        <v>40</v>
      </c>
      <c r="P257" s="58" t="s">
        <v>853</v>
      </c>
      <c r="Q257" s="58" t="s">
        <v>42</v>
      </c>
      <c r="R257" s="58" t="s">
        <v>854</v>
      </c>
      <c r="S257" s="58" t="s">
        <v>42</v>
      </c>
      <c r="T257" s="73">
        <v>185000</v>
      </c>
      <c r="U257" s="74">
        <f t="shared" si="153"/>
        <v>187749.79355904213</v>
      </c>
      <c r="V257" s="74"/>
      <c r="W257" s="74">
        <v>167701</v>
      </c>
      <c r="X257" s="74"/>
      <c r="Y257" s="74">
        <v>109.19</v>
      </c>
      <c r="Z257" s="74"/>
      <c r="AA257" s="75" t="s">
        <v>43</v>
      </c>
      <c r="AB257" s="74"/>
      <c r="AC257" s="74"/>
      <c r="AD257" s="75" t="s">
        <v>43</v>
      </c>
      <c r="AE257" s="74"/>
      <c r="AF257" s="74"/>
      <c r="AG257" s="74">
        <v>0</v>
      </c>
      <c r="AH257" s="75" t="s">
        <v>42</v>
      </c>
      <c r="AI257" s="74"/>
      <c r="AJ257" s="74">
        <f t="shared" si="170"/>
        <v>0</v>
      </c>
      <c r="AK257" s="74">
        <f t="shared" si="155"/>
        <v>212497.93559042114</v>
      </c>
      <c r="AL257" s="74">
        <f t="shared" si="156"/>
        <v>0</v>
      </c>
      <c r="AM257" s="74">
        <f t="shared" si="157"/>
        <v>223122.83236994222</v>
      </c>
      <c r="AN257" s="74">
        <f t="shared" si="157"/>
        <v>0</v>
      </c>
      <c r="AO257" s="74">
        <f t="shared" si="171"/>
        <v>229497.77043765484</v>
      </c>
      <c r="AP257" s="74">
        <f t="shared" si="172"/>
        <v>0</v>
      </c>
      <c r="AQ257" s="74">
        <f t="shared" si="168"/>
        <v>242035.14863748968</v>
      </c>
      <c r="AR257" s="76">
        <v>113.9</v>
      </c>
      <c r="AS257" s="74">
        <f t="shared" si="169"/>
        <v>0</v>
      </c>
      <c r="AT257" s="76">
        <v>105</v>
      </c>
      <c r="AU257" s="74">
        <f t="shared" si="161"/>
        <v>263497.4401321222</v>
      </c>
      <c r="AV257" s="76">
        <v>124</v>
      </c>
      <c r="AW257" s="74">
        <f t="shared" si="162"/>
        <v>0</v>
      </c>
      <c r="AX257" s="76">
        <v>122</v>
      </c>
      <c r="AY257" s="77">
        <f t="shared" si="166"/>
        <v>266048</v>
      </c>
      <c r="AZ257" s="78">
        <v>125.2</v>
      </c>
      <c r="BA257" s="77">
        <f t="shared" si="167"/>
        <v>0</v>
      </c>
      <c r="BB257" s="78">
        <v>123.3</v>
      </c>
      <c r="BC257" s="79">
        <v>39448</v>
      </c>
      <c r="BD257" s="59"/>
      <c r="BE257" s="80">
        <v>98.98</v>
      </c>
      <c r="BF257" s="80">
        <v>98.31</v>
      </c>
      <c r="BG257" s="80">
        <v>97.15</v>
      </c>
      <c r="BH257" s="73"/>
      <c r="BI257" s="73"/>
      <c r="BJ257" s="73"/>
      <c r="BK257" s="73"/>
      <c r="BL257" s="79">
        <v>42999</v>
      </c>
      <c r="BM257" s="79">
        <v>39896</v>
      </c>
      <c r="BN257" s="58" t="s">
        <v>44</v>
      </c>
      <c r="BO257" s="58" t="s">
        <v>44</v>
      </c>
      <c r="BP257" s="58" t="s">
        <v>855</v>
      </c>
      <c r="BQ257">
        <v>2016</v>
      </c>
      <c r="BR257" s="59"/>
      <c r="BV257" s="18"/>
      <c r="BW257" s="18"/>
    </row>
    <row r="258" spans="2:75" x14ac:dyDescent="0.3">
      <c r="B258" s="20" t="s">
        <v>856</v>
      </c>
      <c r="C258" s="20" t="s">
        <v>856</v>
      </c>
      <c r="D258" s="57" t="s">
        <v>1229</v>
      </c>
      <c r="E258" s="58" t="s">
        <v>986</v>
      </c>
      <c r="F258" s="96"/>
      <c r="G258" s="96"/>
      <c r="H258" s="58" t="s">
        <v>110</v>
      </c>
      <c r="I258" s="58" t="s">
        <v>110</v>
      </c>
      <c r="J258" s="59">
        <v>772723</v>
      </c>
      <c r="K258" s="95" t="s">
        <v>43</v>
      </c>
      <c r="L258" s="95"/>
      <c r="M258" s="58" t="s">
        <v>72</v>
      </c>
      <c r="N258" s="59">
        <v>11</v>
      </c>
      <c r="O258" s="58" t="s">
        <v>40</v>
      </c>
      <c r="P258" s="58" t="s">
        <v>1079</v>
      </c>
      <c r="Q258" s="58" t="s">
        <v>134</v>
      </c>
      <c r="R258" s="58" t="s">
        <v>857</v>
      </c>
      <c r="S258" s="58" t="s">
        <v>42</v>
      </c>
      <c r="T258" s="73"/>
      <c r="U258" s="74">
        <f t="shared" si="153"/>
        <v>0</v>
      </c>
      <c r="V258" s="74">
        <v>275000</v>
      </c>
      <c r="W258" s="74"/>
      <c r="X258" s="74">
        <v>1301033</v>
      </c>
      <c r="Y258" s="74"/>
      <c r="Z258" s="74">
        <v>162.31</v>
      </c>
      <c r="AA258" s="75" t="s">
        <v>43</v>
      </c>
      <c r="AB258" s="74"/>
      <c r="AC258" s="74"/>
      <c r="AD258" s="75" t="s">
        <v>43</v>
      </c>
      <c r="AE258" s="74"/>
      <c r="AF258" s="74"/>
      <c r="AG258" s="74">
        <v>0</v>
      </c>
      <c r="AH258" s="75" t="s">
        <v>858</v>
      </c>
      <c r="AI258" s="74"/>
      <c r="AJ258" s="74">
        <f t="shared" si="170"/>
        <v>278836.09415867482</v>
      </c>
      <c r="AK258" s="74">
        <f t="shared" si="155"/>
        <v>0</v>
      </c>
      <c r="AL258" s="74">
        <f t="shared" si="156"/>
        <v>291543.1560592851</v>
      </c>
      <c r="AM258" s="74">
        <f t="shared" si="157"/>
        <v>0</v>
      </c>
      <c r="AN258" s="74">
        <f t="shared" si="157"/>
        <v>306120.31386224937</v>
      </c>
      <c r="AO258" s="74">
        <f t="shared" si="171"/>
        <v>0</v>
      </c>
      <c r="AP258" s="74">
        <f t="shared" si="172"/>
        <v>306120.31386224937</v>
      </c>
      <c r="AQ258" s="74">
        <f t="shared" si="168"/>
        <v>0</v>
      </c>
      <c r="AR258" s="76">
        <v>113.9</v>
      </c>
      <c r="AS258" s="74">
        <f t="shared" si="169"/>
        <v>306120.31386224937</v>
      </c>
      <c r="AT258" s="76">
        <v>105</v>
      </c>
      <c r="AU258" s="74">
        <f t="shared" si="161"/>
        <v>0</v>
      </c>
      <c r="AV258" s="76">
        <v>124</v>
      </c>
      <c r="AW258" s="74">
        <f t="shared" si="162"/>
        <v>355682.65039232787</v>
      </c>
      <c r="AX258" s="76">
        <v>122</v>
      </c>
      <c r="AY258" s="77">
        <f t="shared" si="166"/>
        <v>0</v>
      </c>
      <c r="AZ258" s="78">
        <v>125.2</v>
      </c>
      <c r="BA258" s="77">
        <f t="shared" si="167"/>
        <v>359473</v>
      </c>
      <c r="BB258" s="78">
        <v>123.3</v>
      </c>
      <c r="BC258" s="79">
        <v>37441</v>
      </c>
      <c r="BD258" s="59"/>
      <c r="BE258" s="80">
        <v>767.87</v>
      </c>
      <c r="BF258" s="80">
        <v>767.87</v>
      </c>
      <c r="BG258" s="80">
        <v>761.12</v>
      </c>
      <c r="BH258" s="73"/>
      <c r="BI258" s="73"/>
      <c r="BJ258" s="73"/>
      <c r="BK258" s="73"/>
      <c r="BL258" s="79">
        <v>43000</v>
      </c>
      <c r="BM258" s="79">
        <v>37502</v>
      </c>
      <c r="BN258" s="58" t="s">
        <v>44</v>
      </c>
      <c r="BO258" s="58" t="s">
        <v>44</v>
      </c>
      <c r="BP258" s="58" t="s">
        <v>184</v>
      </c>
      <c r="BQ258">
        <v>2016</v>
      </c>
      <c r="BR258" s="59"/>
      <c r="BV258" s="18"/>
      <c r="BW258" s="18"/>
    </row>
    <row r="259" spans="2:75" x14ac:dyDescent="0.3">
      <c r="B259" s="20" t="s">
        <v>859</v>
      </c>
      <c r="C259" s="20" t="s">
        <v>859</v>
      </c>
      <c r="D259" s="57" t="s">
        <v>1229</v>
      </c>
      <c r="E259" s="58" t="s">
        <v>986</v>
      </c>
      <c r="F259" s="96"/>
      <c r="G259" s="96"/>
      <c r="H259" s="58" t="s">
        <v>110</v>
      </c>
      <c r="I259" s="58" t="s">
        <v>110</v>
      </c>
      <c r="J259" s="59">
        <v>772723</v>
      </c>
      <c r="K259" s="95" t="s">
        <v>43</v>
      </c>
      <c r="L259" s="95"/>
      <c r="M259" s="58" t="s">
        <v>72</v>
      </c>
      <c r="N259" s="59">
        <v>12</v>
      </c>
      <c r="O259" s="58" t="s">
        <v>49</v>
      </c>
      <c r="P259" s="58" t="s">
        <v>1048</v>
      </c>
      <c r="Q259" s="58"/>
      <c r="R259" s="58"/>
      <c r="S259" s="58"/>
      <c r="T259" s="73"/>
      <c r="U259" s="74"/>
      <c r="V259" s="74"/>
      <c r="W259" s="74"/>
      <c r="X259" s="74"/>
      <c r="Y259" s="74"/>
      <c r="Z259" s="74"/>
      <c r="AA259" s="75"/>
      <c r="AB259" s="74"/>
      <c r="AC259" s="74"/>
      <c r="AD259" s="75"/>
      <c r="AE259" s="74"/>
      <c r="AF259" s="74"/>
      <c r="AG259" s="74"/>
      <c r="AH259" s="75"/>
      <c r="AI259" s="74"/>
      <c r="AJ259" s="74"/>
      <c r="AK259" s="74"/>
      <c r="AL259" s="74"/>
      <c r="AM259" s="74"/>
      <c r="AN259" s="74"/>
      <c r="AO259" s="74"/>
      <c r="AP259" s="74"/>
      <c r="AQ259" s="74">
        <v>200000</v>
      </c>
      <c r="AR259" s="76">
        <v>113.9</v>
      </c>
      <c r="AS259" s="74">
        <v>20000</v>
      </c>
      <c r="AT259" s="76">
        <v>105</v>
      </c>
      <c r="AU259" s="74">
        <f t="shared" si="161"/>
        <v>217734.85513608428</v>
      </c>
      <c r="AV259" s="76">
        <v>124</v>
      </c>
      <c r="AW259" s="74">
        <f t="shared" si="162"/>
        <v>23238.09523809524</v>
      </c>
      <c r="AX259" s="76">
        <v>122</v>
      </c>
      <c r="AY259" s="77">
        <f t="shared" si="166"/>
        <v>219842</v>
      </c>
      <c r="AZ259" s="78">
        <v>125.2</v>
      </c>
      <c r="BA259" s="77">
        <f t="shared" si="167"/>
        <v>23486</v>
      </c>
      <c r="BB259" s="78">
        <v>123.3</v>
      </c>
      <c r="BC259" s="79"/>
      <c r="BD259" s="59"/>
      <c r="BE259" s="80"/>
      <c r="BF259" s="80"/>
      <c r="BG259" s="80"/>
      <c r="BH259" s="73"/>
      <c r="BI259" s="73"/>
      <c r="BJ259" s="73"/>
      <c r="BK259" s="73"/>
      <c r="BL259" s="79"/>
      <c r="BM259" s="79"/>
      <c r="BN259" s="58"/>
      <c r="BO259" s="58"/>
      <c r="BP259" s="58" t="s">
        <v>1051</v>
      </c>
      <c r="BR259" s="59"/>
      <c r="BV259" s="18"/>
      <c r="BW259" s="18"/>
    </row>
    <row r="260" spans="2:75" x14ac:dyDescent="0.3">
      <c r="B260" s="20" t="s">
        <v>860</v>
      </c>
      <c r="C260" s="20" t="s">
        <v>860</v>
      </c>
      <c r="D260" s="57" t="s">
        <v>1230</v>
      </c>
      <c r="E260" s="58" t="s">
        <v>986</v>
      </c>
      <c r="F260" s="96"/>
      <c r="G260" s="96"/>
      <c r="H260" s="58" t="s">
        <v>110</v>
      </c>
      <c r="I260" s="58" t="s">
        <v>110</v>
      </c>
      <c r="J260" s="59">
        <v>772723</v>
      </c>
      <c r="K260" s="95" t="s">
        <v>43</v>
      </c>
      <c r="L260" s="95"/>
      <c r="M260" s="58" t="s">
        <v>72</v>
      </c>
      <c r="N260" s="59">
        <v>11</v>
      </c>
      <c r="O260" s="58" t="s">
        <v>40</v>
      </c>
      <c r="P260" s="58" t="s">
        <v>861</v>
      </c>
      <c r="Q260" s="58" t="s">
        <v>217</v>
      </c>
      <c r="R260" s="58" t="s">
        <v>862</v>
      </c>
      <c r="S260" s="58" t="s">
        <v>42</v>
      </c>
      <c r="T260" s="73"/>
      <c r="U260" s="74">
        <f t="shared" si="153"/>
        <v>0</v>
      </c>
      <c r="V260" s="74">
        <v>850000</v>
      </c>
      <c r="W260" s="74">
        <v>3518455</v>
      </c>
      <c r="X260" s="74">
        <v>854893</v>
      </c>
      <c r="Y260" s="74"/>
      <c r="Z260" s="74">
        <v>501.67</v>
      </c>
      <c r="AA260" s="75" t="s">
        <v>43</v>
      </c>
      <c r="AB260" s="74"/>
      <c r="AC260" s="74"/>
      <c r="AD260" s="75" t="s">
        <v>43</v>
      </c>
      <c r="AE260" s="74"/>
      <c r="AF260" s="74"/>
      <c r="AG260" s="74">
        <v>0</v>
      </c>
      <c r="AH260" s="75" t="s">
        <v>42</v>
      </c>
      <c r="AI260" s="74"/>
      <c r="AJ260" s="74">
        <f t="shared" si="170"/>
        <v>861857.01830863114</v>
      </c>
      <c r="AK260" s="74">
        <f t="shared" si="155"/>
        <v>0</v>
      </c>
      <c r="AL260" s="74">
        <f t="shared" si="156"/>
        <v>901133.39145597199</v>
      </c>
      <c r="AM260" s="74">
        <f t="shared" si="157"/>
        <v>0</v>
      </c>
      <c r="AN260" s="74">
        <f t="shared" si="157"/>
        <v>946190.06102877064</v>
      </c>
      <c r="AO260" s="74">
        <f t="shared" si="171"/>
        <v>0</v>
      </c>
      <c r="AP260" s="74">
        <f t="shared" si="172"/>
        <v>946190.06102877064</v>
      </c>
      <c r="AQ260" s="74">
        <f t="shared" si="168"/>
        <v>0</v>
      </c>
      <c r="AR260" s="76">
        <v>113.9</v>
      </c>
      <c r="AS260" s="74">
        <f t="shared" si="169"/>
        <v>946190.06102877064</v>
      </c>
      <c r="AT260" s="76">
        <v>105</v>
      </c>
      <c r="AU260" s="74">
        <f t="shared" si="161"/>
        <v>0</v>
      </c>
      <c r="AV260" s="76">
        <v>124</v>
      </c>
      <c r="AW260" s="74">
        <f t="shared" si="162"/>
        <v>1099382.7375762858</v>
      </c>
      <c r="AX260" s="76">
        <v>122</v>
      </c>
      <c r="AY260" s="77">
        <f t="shared" si="166"/>
        <v>0</v>
      </c>
      <c r="AZ260" s="78">
        <v>125.2</v>
      </c>
      <c r="BA260" s="77">
        <f t="shared" si="167"/>
        <v>1111098</v>
      </c>
      <c r="BB260" s="78">
        <v>123.3</v>
      </c>
      <c r="BC260" s="79">
        <v>36675</v>
      </c>
      <c r="BD260" s="59"/>
      <c r="BE260" s="80">
        <v>2581.15</v>
      </c>
      <c r="BF260" s="80">
        <v>2567.19</v>
      </c>
      <c r="BG260" s="80">
        <v>2538.3200000000002</v>
      </c>
      <c r="BH260" s="73"/>
      <c r="BI260" s="73"/>
      <c r="BJ260" s="73"/>
      <c r="BK260" s="73"/>
      <c r="BL260" s="79">
        <v>43045</v>
      </c>
      <c r="BM260" s="79">
        <v>36833</v>
      </c>
      <c r="BN260" s="58" t="s">
        <v>44</v>
      </c>
      <c r="BO260" s="58" t="s">
        <v>44</v>
      </c>
      <c r="BP260" s="58" t="s">
        <v>863</v>
      </c>
      <c r="BQ260">
        <v>2016</v>
      </c>
      <c r="BR260" s="59"/>
      <c r="BV260" s="18"/>
      <c r="BW260" s="18"/>
    </row>
    <row r="261" spans="2:75" x14ac:dyDescent="0.3">
      <c r="B261" s="20" t="s">
        <v>864</v>
      </c>
      <c r="C261" s="20" t="s">
        <v>864</v>
      </c>
      <c r="D261" s="57" t="s">
        <v>1231</v>
      </c>
      <c r="E261" s="58" t="s">
        <v>1101</v>
      </c>
      <c r="F261" s="96"/>
      <c r="G261" s="96"/>
      <c r="H261" s="58" t="s">
        <v>137</v>
      </c>
      <c r="I261" s="58" t="s">
        <v>137</v>
      </c>
      <c r="J261" s="59">
        <v>772723</v>
      </c>
      <c r="K261" s="95" t="s">
        <v>43</v>
      </c>
      <c r="L261" s="95"/>
      <c r="M261" s="58" t="s">
        <v>72</v>
      </c>
      <c r="N261" s="59">
        <v>11</v>
      </c>
      <c r="O261" s="58" t="s">
        <v>40</v>
      </c>
      <c r="P261" s="58" t="s">
        <v>865</v>
      </c>
      <c r="Q261" s="58" t="s">
        <v>42</v>
      </c>
      <c r="R261" s="58" t="s">
        <v>866</v>
      </c>
      <c r="S261" s="58" t="s">
        <v>867</v>
      </c>
      <c r="T261" s="73">
        <v>390000</v>
      </c>
      <c r="U261" s="74">
        <f t="shared" si="153"/>
        <v>395796.86209744017</v>
      </c>
      <c r="V261" s="74"/>
      <c r="W261" s="74">
        <v>376483</v>
      </c>
      <c r="X261" s="74"/>
      <c r="Y261" s="74">
        <v>230.18</v>
      </c>
      <c r="Z261" s="74"/>
      <c r="AA261" s="75" t="s">
        <v>43</v>
      </c>
      <c r="AB261" s="74"/>
      <c r="AC261" s="74"/>
      <c r="AD261" s="75" t="s">
        <v>43</v>
      </c>
      <c r="AE261" s="74"/>
      <c r="AF261" s="74"/>
      <c r="AG261" s="74">
        <v>0</v>
      </c>
      <c r="AH261" s="75" t="s">
        <v>42</v>
      </c>
      <c r="AI261" s="74"/>
      <c r="AJ261" s="74">
        <f t="shared" si="170"/>
        <v>0</v>
      </c>
      <c r="AK261" s="74">
        <f t="shared" si="155"/>
        <v>447968.6209744013</v>
      </c>
      <c r="AL261" s="74">
        <f t="shared" si="156"/>
        <v>0</v>
      </c>
      <c r="AM261" s="74">
        <f t="shared" si="157"/>
        <v>470367.05202312139</v>
      </c>
      <c r="AN261" s="74">
        <f t="shared" si="157"/>
        <v>0</v>
      </c>
      <c r="AO261" s="74">
        <f t="shared" si="171"/>
        <v>483806.11065235344</v>
      </c>
      <c r="AP261" s="74">
        <f t="shared" si="172"/>
        <v>0</v>
      </c>
      <c r="AQ261" s="74">
        <f t="shared" si="168"/>
        <v>510236.25928984315</v>
      </c>
      <c r="AR261" s="76">
        <v>113.9</v>
      </c>
      <c r="AS261" s="74">
        <f t="shared" si="169"/>
        <v>0</v>
      </c>
      <c r="AT261" s="76">
        <v>105</v>
      </c>
      <c r="AU261" s="74">
        <f t="shared" si="161"/>
        <v>555481.09000825766</v>
      </c>
      <c r="AV261" s="76">
        <v>124</v>
      </c>
      <c r="AW261" s="74">
        <f t="shared" si="162"/>
        <v>0</v>
      </c>
      <c r="AX261" s="76">
        <v>122</v>
      </c>
      <c r="AY261" s="77">
        <f t="shared" si="166"/>
        <v>560857</v>
      </c>
      <c r="AZ261" s="78">
        <v>125.2</v>
      </c>
      <c r="BA261" s="77">
        <f t="shared" si="167"/>
        <v>0</v>
      </c>
      <c r="BB261" s="78">
        <v>123.3</v>
      </c>
      <c r="BC261" s="79">
        <v>41091</v>
      </c>
      <c r="BD261" s="59"/>
      <c r="BE261" s="80">
        <v>222.2</v>
      </c>
      <c r="BF261" s="80">
        <v>220.71</v>
      </c>
      <c r="BG261" s="80">
        <v>218.09</v>
      </c>
      <c r="BH261" s="73"/>
      <c r="BI261" s="73"/>
      <c r="BJ261" s="73"/>
      <c r="BK261" s="73"/>
      <c r="BL261" s="79">
        <v>43000</v>
      </c>
      <c r="BM261" s="79">
        <v>41263</v>
      </c>
      <c r="BN261" s="58" t="s">
        <v>44</v>
      </c>
      <c r="BO261" s="58" t="s">
        <v>44</v>
      </c>
      <c r="BP261" s="58" t="s">
        <v>221</v>
      </c>
      <c r="BQ261">
        <v>2016</v>
      </c>
      <c r="BR261" s="59"/>
      <c r="BV261" s="18"/>
      <c r="BW261" s="18"/>
    </row>
    <row r="262" spans="2:75" x14ac:dyDescent="0.3">
      <c r="B262" s="20" t="s">
        <v>868</v>
      </c>
      <c r="C262" s="20" t="s">
        <v>868</v>
      </c>
      <c r="D262" s="57" t="s">
        <v>1231</v>
      </c>
      <c r="E262" s="58" t="s">
        <v>1101</v>
      </c>
      <c r="F262" s="96"/>
      <c r="G262" s="96"/>
      <c r="H262" s="58" t="s">
        <v>137</v>
      </c>
      <c r="I262" s="58" t="s">
        <v>137</v>
      </c>
      <c r="J262" s="59">
        <v>772723</v>
      </c>
      <c r="K262" s="95" t="s">
        <v>1440</v>
      </c>
      <c r="L262" s="95"/>
      <c r="M262" s="58" t="s">
        <v>72</v>
      </c>
      <c r="N262" s="59">
        <v>11</v>
      </c>
      <c r="O262" s="58" t="s">
        <v>40</v>
      </c>
      <c r="P262" s="58" t="s">
        <v>869</v>
      </c>
      <c r="Q262" s="58" t="s">
        <v>92</v>
      </c>
      <c r="R262" s="58" t="s">
        <v>870</v>
      </c>
      <c r="S262" s="58" t="s">
        <v>42</v>
      </c>
      <c r="T262" s="73">
        <v>4870000</v>
      </c>
      <c r="U262" s="74">
        <f t="shared" si="153"/>
        <v>4942386.4574731626</v>
      </c>
      <c r="V262" s="74">
        <v>670000</v>
      </c>
      <c r="W262" s="74">
        <v>4510173</v>
      </c>
      <c r="X262" s="74">
        <v>558297</v>
      </c>
      <c r="Y262" s="74">
        <v>2874.27</v>
      </c>
      <c r="Z262" s="74">
        <v>395.43</v>
      </c>
      <c r="AA262" s="75" t="s">
        <v>43</v>
      </c>
      <c r="AB262" s="74"/>
      <c r="AC262" s="74"/>
      <c r="AD262" s="75" t="s">
        <v>43</v>
      </c>
      <c r="AE262" s="74"/>
      <c r="AF262" s="74"/>
      <c r="AG262" s="74">
        <v>0</v>
      </c>
      <c r="AH262" s="75" t="s">
        <v>42</v>
      </c>
      <c r="AI262" s="74"/>
      <c r="AJ262" s="74">
        <f t="shared" si="170"/>
        <v>679346.12031386222</v>
      </c>
      <c r="AK262" s="74">
        <f t="shared" ref="AK262:AK289" si="173">139.1/122.9*U262</f>
        <v>5593864.5747316265</v>
      </c>
      <c r="AL262" s="74">
        <f t="shared" ref="AL262:AL289" si="174">121.6/116.3*AJ262</f>
        <v>710305.14385353087</v>
      </c>
      <c r="AM262" s="74">
        <f t="shared" ref="AM262:AN289" si="175">AK262*1.05</f>
        <v>5873557.8034682078</v>
      </c>
      <c r="AN262" s="74">
        <f t="shared" si="175"/>
        <v>745820.40104620741</v>
      </c>
      <c r="AO262" s="74">
        <f>AM262/105*108</f>
        <v>6041373.740710157</v>
      </c>
      <c r="AP262" s="74">
        <f t="shared" si="172"/>
        <v>745820.40104620741</v>
      </c>
      <c r="AQ262" s="74">
        <f t="shared" si="168"/>
        <v>6371411.750619323</v>
      </c>
      <c r="AR262" s="76">
        <v>113.9</v>
      </c>
      <c r="AS262" s="74">
        <f t="shared" si="169"/>
        <v>745820.40104620741</v>
      </c>
      <c r="AT262" s="76">
        <v>105</v>
      </c>
      <c r="AU262" s="74">
        <f t="shared" si="161"/>
        <v>6936392.0726672169</v>
      </c>
      <c r="AV262" s="76">
        <v>124</v>
      </c>
      <c r="AW262" s="74">
        <f t="shared" si="162"/>
        <v>866572.27550130768</v>
      </c>
      <c r="AX262" s="76">
        <v>122</v>
      </c>
      <c r="AY262" s="77">
        <f t="shared" si="166"/>
        <v>7003519</v>
      </c>
      <c r="AZ262" s="78">
        <v>125.2</v>
      </c>
      <c r="BA262" s="77">
        <f t="shared" si="167"/>
        <v>875807</v>
      </c>
      <c r="BB262" s="78">
        <v>123.3</v>
      </c>
      <c r="BC262" s="79">
        <v>37845</v>
      </c>
      <c r="BD262" s="59"/>
      <c r="BE262" s="80">
        <v>2991.41</v>
      </c>
      <c r="BF262" s="80">
        <v>2931.9</v>
      </c>
      <c r="BG262" s="80">
        <v>2898.17</v>
      </c>
      <c r="BH262" s="73"/>
      <c r="BI262" s="73"/>
      <c r="BJ262" s="73"/>
      <c r="BK262" s="73"/>
      <c r="BL262" s="79">
        <v>43000</v>
      </c>
      <c r="BM262" s="79">
        <v>37977</v>
      </c>
      <c r="BN262" s="58" t="s">
        <v>44</v>
      </c>
      <c r="BO262" s="58" t="s">
        <v>44</v>
      </c>
      <c r="BP262" s="58" t="s">
        <v>221</v>
      </c>
      <c r="BQ262">
        <v>2016</v>
      </c>
      <c r="BR262" s="59" t="s">
        <v>1021</v>
      </c>
      <c r="BV262" s="18"/>
      <c r="BW262" s="18"/>
    </row>
    <row r="263" spans="2:75" x14ac:dyDescent="0.3">
      <c r="B263" s="20" t="s">
        <v>871</v>
      </c>
      <c r="C263" s="20" t="s">
        <v>871</v>
      </c>
      <c r="D263" s="57" t="s">
        <v>1231</v>
      </c>
      <c r="E263" s="58" t="s">
        <v>1101</v>
      </c>
      <c r="F263" s="96"/>
      <c r="G263" s="96"/>
      <c r="H263" s="58" t="s">
        <v>137</v>
      </c>
      <c r="I263" s="58" t="s">
        <v>137</v>
      </c>
      <c r="J263" s="59">
        <v>772723</v>
      </c>
      <c r="K263" s="95" t="s">
        <v>43</v>
      </c>
      <c r="L263" s="95"/>
      <c r="M263" s="58" t="s">
        <v>72</v>
      </c>
      <c r="N263" s="59">
        <v>11</v>
      </c>
      <c r="O263" s="58" t="s">
        <v>40</v>
      </c>
      <c r="P263" s="58" t="s">
        <v>872</v>
      </c>
      <c r="Q263" s="58" t="s">
        <v>92</v>
      </c>
      <c r="R263" s="58" t="s">
        <v>873</v>
      </c>
      <c r="S263" s="58" t="s">
        <v>42</v>
      </c>
      <c r="T263" s="73"/>
      <c r="U263" s="74">
        <f t="shared" si="153"/>
        <v>0</v>
      </c>
      <c r="V263" s="74">
        <v>75000</v>
      </c>
      <c r="W263" s="74"/>
      <c r="X263" s="74">
        <v>49847</v>
      </c>
      <c r="Y263" s="74"/>
      <c r="Z263" s="74">
        <v>44.27</v>
      </c>
      <c r="AA263" s="75" t="s">
        <v>43</v>
      </c>
      <c r="AB263" s="74"/>
      <c r="AC263" s="74"/>
      <c r="AD263" s="75" t="s">
        <v>43</v>
      </c>
      <c r="AE263" s="74"/>
      <c r="AF263" s="74"/>
      <c r="AG263" s="74">
        <v>0</v>
      </c>
      <c r="AH263" s="75" t="s">
        <v>42</v>
      </c>
      <c r="AI263" s="74"/>
      <c r="AJ263" s="74">
        <f t="shared" si="170"/>
        <v>76046.207497820404</v>
      </c>
      <c r="AK263" s="74">
        <f t="shared" si="173"/>
        <v>0</v>
      </c>
      <c r="AL263" s="74">
        <f t="shared" si="174"/>
        <v>79511.769834350474</v>
      </c>
      <c r="AM263" s="74">
        <f t="shared" si="175"/>
        <v>0</v>
      </c>
      <c r="AN263" s="74">
        <f t="shared" si="175"/>
        <v>83487.358326068002</v>
      </c>
      <c r="AO263" s="74">
        <f t="shared" si="171"/>
        <v>0</v>
      </c>
      <c r="AP263" s="74">
        <f t="shared" si="172"/>
        <v>83487.358326068002</v>
      </c>
      <c r="AQ263" s="74">
        <f t="shared" si="168"/>
        <v>0</v>
      </c>
      <c r="AR263" s="76">
        <v>113.9</v>
      </c>
      <c r="AS263" s="74">
        <f t="shared" si="169"/>
        <v>83487.358326068002</v>
      </c>
      <c r="AT263" s="76">
        <v>105</v>
      </c>
      <c r="AU263" s="74">
        <f t="shared" si="161"/>
        <v>0</v>
      </c>
      <c r="AV263" s="76">
        <v>124</v>
      </c>
      <c r="AW263" s="74">
        <f t="shared" si="162"/>
        <v>97004.359197907586</v>
      </c>
      <c r="AX263" s="76">
        <v>122</v>
      </c>
      <c r="AY263" s="77">
        <f t="shared" si="166"/>
        <v>0</v>
      </c>
      <c r="AZ263" s="78">
        <v>125.2</v>
      </c>
      <c r="BA263" s="77">
        <f t="shared" si="167"/>
        <v>98039</v>
      </c>
      <c r="BB263" s="78">
        <v>123.3</v>
      </c>
      <c r="BC263" s="79">
        <v>37914</v>
      </c>
      <c r="BD263" s="59"/>
      <c r="BE263" s="80">
        <v>29.42</v>
      </c>
      <c r="BF263" s="80">
        <v>29.42</v>
      </c>
      <c r="BG263" s="80">
        <v>29.16</v>
      </c>
      <c r="BH263" s="73"/>
      <c r="BI263" s="73"/>
      <c r="BJ263" s="73"/>
      <c r="BK263" s="73"/>
      <c r="BL263" s="79">
        <v>43000</v>
      </c>
      <c r="BM263" s="79">
        <v>37977</v>
      </c>
      <c r="BN263" s="58" t="s">
        <v>44</v>
      </c>
      <c r="BO263" s="58" t="s">
        <v>44</v>
      </c>
      <c r="BP263" s="58" t="s">
        <v>184</v>
      </c>
      <c r="BQ263">
        <v>2016</v>
      </c>
      <c r="BR263" s="59"/>
      <c r="BV263" s="18"/>
      <c r="BW263" s="18"/>
    </row>
    <row r="264" spans="2:75" x14ac:dyDescent="0.3">
      <c r="B264" s="20" t="s">
        <v>874</v>
      </c>
      <c r="C264" s="20" t="s">
        <v>874</v>
      </c>
      <c r="D264" s="57" t="s">
        <v>1231</v>
      </c>
      <c r="E264" s="58" t="s">
        <v>1101</v>
      </c>
      <c r="F264" s="96"/>
      <c r="G264" s="96"/>
      <c r="H264" s="58" t="s">
        <v>137</v>
      </c>
      <c r="I264" s="58" t="s">
        <v>137</v>
      </c>
      <c r="J264" s="59">
        <v>772723</v>
      </c>
      <c r="K264" s="95" t="s">
        <v>43</v>
      </c>
      <c r="L264" s="95"/>
      <c r="M264" s="58" t="s">
        <v>72</v>
      </c>
      <c r="N264" s="59">
        <v>11</v>
      </c>
      <c r="O264" s="58" t="s">
        <v>40</v>
      </c>
      <c r="P264" s="58" t="s">
        <v>875</v>
      </c>
      <c r="Q264" s="58" t="s">
        <v>92</v>
      </c>
      <c r="R264" s="58" t="s">
        <v>876</v>
      </c>
      <c r="S264" s="58" t="s">
        <v>42</v>
      </c>
      <c r="T264" s="73"/>
      <c r="U264" s="74">
        <f t="shared" si="153"/>
        <v>0</v>
      </c>
      <c r="V264" s="74">
        <v>370000</v>
      </c>
      <c r="W264" s="74"/>
      <c r="X264" s="74">
        <v>727781</v>
      </c>
      <c r="Y264" s="74"/>
      <c r="Z264" s="74">
        <v>218.37</v>
      </c>
      <c r="AA264" s="75" t="s">
        <v>43</v>
      </c>
      <c r="AB264" s="74"/>
      <c r="AC264" s="74"/>
      <c r="AD264" s="75" t="s">
        <v>43</v>
      </c>
      <c r="AE264" s="74"/>
      <c r="AF264" s="74"/>
      <c r="AG264" s="74">
        <v>0</v>
      </c>
      <c r="AH264" s="75" t="s">
        <v>42</v>
      </c>
      <c r="AI264" s="74"/>
      <c r="AJ264" s="74">
        <f t="shared" si="170"/>
        <v>375161.29032258061</v>
      </c>
      <c r="AK264" s="74">
        <f t="shared" si="173"/>
        <v>0</v>
      </c>
      <c r="AL264" s="74">
        <f t="shared" si="174"/>
        <v>392258.06451612897</v>
      </c>
      <c r="AM264" s="74">
        <f t="shared" si="175"/>
        <v>0</v>
      </c>
      <c r="AN264" s="74">
        <f t="shared" si="175"/>
        <v>411870.96774193546</v>
      </c>
      <c r="AO264" s="74">
        <f t="shared" si="171"/>
        <v>0</v>
      </c>
      <c r="AP264" s="74">
        <f t="shared" si="172"/>
        <v>411870.96774193546</v>
      </c>
      <c r="AQ264" s="74">
        <f t="shared" si="168"/>
        <v>0</v>
      </c>
      <c r="AR264" s="76">
        <v>113.9</v>
      </c>
      <c r="AS264" s="74">
        <f t="shared" si="169"/>
        <v>411870.96774193546</v>
      </c>
      <c r="AT264" s="76">
        <v>105</v>
      </c>
      <c r="AU264" s="74">
        <f t="shared" si="161"/>
        <v>0</v>
      </c>
      <c r="AV264" s="76">
        <v>124</v>
      </c>
      <c r="AW264" s="74">
        <f t="shared" si="162"/>
        <v>478554.83870967739</v>
      </c>
      <c r="AX264" s="76">
        <v>122</v>
      </c>
      <c r="AY264" s="77">
        <f t="shared" si="166"/>
        <v>0</v>
      </c>
      <c r="AZ264" s="78">
        <v>125.2</v>
      </c>
      <c r="BA264" s="77">
        <f t="shared" si="167"/>
        <v>483655</v>
      </c>
      <c r="BB264" s="78">
        <v>123.3</v>
      </c>
      <c r="BC264" s="79">
        <v>37865</v>
      </c>
      <c r="BD264" s="59"/>
      <c r="BE264" s="80">
        <v>429.54</v>
      </c>
      <c r="BF264" s="80">
        <v>429.54</v>
      </c>
      <c r="BG264" s="80">
        <v>425.76</v>
      </c>
      <c r="BH264" s="73"/>
      <c r="BI264" s="73"/>
      <c r="BJ264" s="73"/>
      <c r="BK264" s="73"/>
      <c r="BL264" s="79">
        <v>43000</v>
      </c>
      <c r="BM264" s="79">
        <v>37978</v>
      </c>
      <c r="BN264" s="58" t="s">
        <v>44</v>
      </c>
      <c r="BO264" s="58" t="s">
        <v>44</v>
      </c>
      <c r="BP264" s="58" t="s">
        <v>184</v>
      </c>
      <c r="BQ264">
        <v>2016</v>
      </c>
      <c r="BR264" s="59"/>
      <c r="BV264" s="18"/>
      <c r="BW264" s="18"/>
    </row>
    <row r="265" spans="2:75" x14ac:dyDescent="0.3">
      <c r="B265" s="20" t="s">
        <v>877</v>
      </c>
      <c r="C265" s="20" t="s">
        <v>877</v>
      </c>
      <c r="D265" s="57" t="s">
        <v>1231</v>
      </c>
      <c r="E265" s="58" t="s">
        <v>1101</v>
      </c>
      <c r="F265" s="96"/>
      <c r="G265" s="96"/>
      <c r="H265" s="58" t="s">
        <v>137</v>
      </c>
      <c r="I265" s="58" t="s">
        <v>137</v>
      </c>
      <c r="J265" s="59">
        <v>772723</v>
      </c>
      <c r="K265" s="95" t="s">
        <v>43</v>
      </c>
      <c r="L265" s="95"/>
      <c r="M265" s="58" t="s">
        <v>72</v>
      </c>
      <c r="N265" s="59">
        <v>12</v>
      </c>
      <c r="O265" s="58" t="s">
        <v>49</v>
      </c>
      <c r="P265" s="58" t="s">
        <v>878</v>
      </c>
      <c r="Q265" s="58" t="s">
        <v>92</v>
      </c>
      <c r="R265" s="58" t="s">
        <v>879</v>
      </c>
      <c r="S265" s="58" t="s">
        <v>42</v>
      </c>
      <c r="T265" s="73">
        <v>1070000</v>
      </c>
      <c r="U265" s="74">
        <f t="shared" si="153"/>
        <v>1085904.211395541</v>
      </c>
      <c r="V265" s="74">
        <v>200000</v>
      </c>
      <c r="W265" s="74">
        <v>789187</v>
      </c>
      <c r="X265" s="74">
        <v>174468</v>
      </c>
      <c r="Y265" s="74">
        <v>631.51</v>
      </c>
      <c r="Z265" s="74">
        <v>118.04</v>
      </c>
      <c r="AA265" s="75" t="s">
        <v>43</v>
      </c>
      <c r="AB265" s="74"/>
      <c r="AC265" s="74"/>
      <c r="AD265" s="75" t="s">
        <v>43</v>
      </c>
      <c r="AE265" s="74"/>
      <c r="AF265" s="74"/>
      <c r="AG265" s="74">
        <v>2010</v>
      </c>
      <c r="AH265" s="75" t="s">
        <v>42</v>
      </c>
      <c r="AI265" s="74"/>
      <c r="AJ265" s="74">
        <f t="shared" si="170"/>
        <v>202789.88666085439</v>
      </c>
      <c r="AK265" s="74">
        <f t="shared" si="173"/>
        <v>1229042.1139554088</v>
      </c>
      <c r="AL265" s="74">
        <f t="shared" si="174"/>
        <v>212031.38622493457</v>
      </c>
      <c r="AM265" s="74">
        <f t="shared" si="175"/>
        <v>1290494.2196531794</v>
      </c>
      <c r="AN265" s="74">
        <f t="shared" si="175"/>
        <v>222632.95553618131</v>
      </c>
      <c r="AO265" s="74">
        <f t="shared" si="171"/>
        <v>1327365.4830718418</v>
      </c>
      <c r="AP265" s="74">
        <f t="shared" si="172"/>
        <v>222632.95553618131</v>
      </c>
      <c r="AQ265" s="74">
        <f t="shared" si="168"/>
        <v>1399878.9677952109</v>
      </c>
      <c r="AR265" s="76">
        <v>113.9</v>
      </c>
      <c r="AS265" s="74">
        <f t="shared" si="169"/>
        <v>222632.95553618131</v>
      </c>
      <c r="AT265" s="76">
        <v>105</v>
      </c>
      <c r="AU265" s="74">
        <f t="shared" ref="AU265:AU273" si="176">AQ265/AR265*AV265</f>
        <v>1524012.2213047072</v>
      </c>
      <c r="AV265" s="76">
        <v>124</v>
      </c>
      <c r="AW265" s="74">
        <f t="shared" ref="AW265:AW273" si="177">AS265/AT265*AX265</f>
        <v>258678.29119442016</v>
      </c>
      <c r="AX265" s="76">
        <v>122</v>
      </c>
      <c r="AY265" s="77">
        <f t="shared" si="166"/>
        <v>1538761</v>
      </c>
      <c r="AZ265" s="78">
        <v>125.2</v>
      </c>
      <c r="BA265" s="77">
        <f t="shared" si="167"/>
        <v>261435</v>
      </c>
      <c r="BB265" s="78">
        <v>123.3</v>
      </c>
      <c r="BC265" s="79">
        <v>40360</v>
      </c>
      <c r="BD265" s="59"/>
      <c r="BE265" s="80">
        <v>568.75</v>
      </c>
      <c r="BF265" s="80">
        <v>565.62</v>
      </c>
      <c r="BG265" s="80">
        <v>559.24</v>
      </c>
      <c r="BH265" s="73"/>
      <c r="BI265" s="73"/>
      <c r="BJ265" s="73"/>
      <c r="BK265" s="73"/>
      <c r="BL265" s="79">
        <v>43046</v>
      </c>
      <c r="BM265" s="79">
        <v>40388</v>
      </c>
      <c r="BN265" s="58" t="s">
        <v>44</v>
      </c>
      <c r="BO265" s="58" t="s">
        <v>44</v>
      </c>
      <c r="BP265" s="58" t="s">
        <v>221</v>
      </c>
      <c r="BQ265">
        <v>2016</v>
      </c>
      <c r="BR265" s="59"/>
      <c r="BV265" s="18"/>
      <c r="BW265" s="18"/>
    </row>
    <row r="266" spans="2:75" x14ac:dyDescent="0.3">
      <c r="B266" s="20" t="s">
        <v>880</v>
      </c>
      <c r="C266" s="20" t="s">
        <v>1369</v>
      </c>
      <c r="D266" s="57" t="s">
        <v>1232</v>
      </c>
      <c r="E266" s="58" t="s">
        <v>1101</v>
      </c>
      <c r="F266" s="96"/>
      <c r="G266" s="96"/>
      <c r="H266" s="58" t="s">
        <v>97</v>
      </c>
      <c r="I266" s="58" t="s">
        <v>97</v>
      </c>
      <c r="J266" s="59">
        <v>777772</v>
      </c>
      <c r="K266" s="95" t="s">
        <v>43</v>
      </c>
      <c r="L266" s="95"/>
      <c r="M266" s="58" t="s">
        <v>39</v>
      </c>
      <c r="N266" s="59">
        <v>99</v>
      </c>
      <c r="O266" s="58" t="s">
        <v>128</v>
      </c>
      <c r="P266" s="58" t="s">
        <v>881</v>
      </c>
      <c r="Q266" s="58" t="s">
        <v>41</v>
      </c>
      <c r="R266" s="58" t="s">
        <v>882</v>
      </c>
      <c r="S266" s="58" t="s">
        <v>42</v>
      </c>
      <c r="T266" s="73">
        <v>150000</v>
      </c>
      <c r="U266" s="74">
        <f t="shared" si="153"/>
        <v>152229.56234516928</v>
      </c>
      <c r="V266" s="74"/>
      <c r="W266" s="74">
        <v>138108</v>
      </c>
      <c r="X266" s="74"/>
      <c r="Y266" s="74">
        <v>88.53</v>
      </c>
      <c r="Z266" s="74"/>
      <c r="AA266" s="75" t="s">
        <v>43</v>
      </c>
      <c r="AB266" s="74"/>
      <c r="AC266" s="74"/>
      <c r="AD266" s="75" t="s">
        <v>43</v>
      </c>
      <c r="AE266" s="74"/>
      <c r="AF266" s="74"/>
      <c r="AG266" s="74">
        <v>0</v>
      </c>
      <c r="AH266" s="75" t="s">
        <v>42</v>
      </c>
      <c r="AI266" s="74"/>
      <c r="AJ266" s="74">
        <f t="shared" si="170"/>
        <v>0</v>
      </c>
      <c r="AK266" s="74">
        <f t="shared" si="173"/>
        <v>172295.62345169281</v>
      </c>
      <c r="AL266" s="74">
        <f t="shared" si="174"/>
        <v>0</v>
      </c>
      <c r="AM266" s="74">
        <f t="shared" si="175"/>
        <v>180910.40462427746</v>
      </c>
      <c r="AN266" s="74">
        <f t="shared" si="175"/>
        <v>0</v>
      </c>
      <c r="AO266" s="74">
        <f t="shared" si="171"/>
        <v>186079.27332782824</v>
      </c>
      <c r="AP266" s="74">
        <f t="shared" si="172"/>
        <v>0</v>
      </c>
      <c r="AQ266" s="74">
        <f t="shared" si="168"/>
        <v>196244.71511147812</v>
      </c>
      <c r="AR266" s="76">
        <v>113.9</v>
      </c>
      <c r="AS266" s="74">
        <f t="shared" si="169"/>
        <v>0</v>
      </c>
      <c r="AT266" s="76">
        <v>105</v>
      </c>
      <c r="AU266" s="74">
        <f t="shared" si="176"/>
        <v>213646.5730800991</v>
      </c>
      <c r="AV266" s="76">
        <v>124</v>
      </c>
      <c r="AW266" s="74">
        <f t="shared" si="177"/>
        <v>0</v>
      </c>
      <c r="AX266" s="76">
        <v>122</v>
      </c>
      <c r="AY266" s="77">
        <f t="shared" si="166"/>
        <v>215715</v>
      </c>
      <c r="AZ266" s="78">
        <v>125.2</v>
      </c>
      <c r="BA266" s="77">
        <f t="shared" si="167"/>
        <v>0</v>
      </c>
      <c r="BB266" s="78">
        <v>123.3</v>
      </c>
      <c r="BC266" s="79">
        <v>36526</v>
      </c>
      <c r="BD266" s="59"/>
      <c r="BE266" s="80">
        <v>81.510000000000005</v>
      </c>
      <c r="BF266" s="80">
        <v>80.959999999999994</v>
      </c>
      <c r="BG266" s="80">
        <v>80</v>
      </c>
      <c r="BH266" s="73"/>
      <c r="BI266" s="73"/>
      <c r="BJ266" s="73"/>
      <c r="BK266" s="73"/>
      <c r="BL266" s="79">
        <v>43000</v>
      </c>
      <c r="BM266" s="79">
        <v>36434</v>
      </c>
      <c r="BN266" s="58" t="s">
        <v>44</v>
      </c>
      <c r="BO266" s="58" t="s">
        <v>70</v>
      </c>
      <c r="BP266" s="58" t="s">
        <v>184</v>
      </c>
      <c r="BQ266">
        <v>2016</v>
      </c>
      <c r="BR266" s="59"/>
      <c r="BV266" s="18"/>
      <c r="BW266" s="18"/>
    </row>
    <row r="267" spans="2:75" x14ac:dyDescent="0.3">
      <c r="B267" s="20" t="s">
        <v>883</v>
      </c>
      <c r="C267" s="20" t="s">
        <v>883</v>
      </c>
      <c r="D267" s="57" t="s">
        <v>1233</v>
      </c>
      <c r="E267" s="58" t="s">
        <v>1101</v>
      </c>
      <c r="F267" s="96"/>
      <c r="G267" s="96"/>
      <c r="H267" s="58" t="s">
        <v>97</v>
      </c>
      <c r="I267" s="58" t="s">
        <v>97</v>
      </c>
      <c r="J267" s="59">
        <v>777772</v>
      </c>
      <c r="K267" s="95" t="s">
        <v>1440</v>
      </c>
      <c r="L267" s="95"/>
      <c r="M267" s="58" t="s">
        <v>39</v>
      </c>
      <c r="N267" s="59">
        <v>12</v>
      </c>
      <c r="O267" s="58" t="s">
        <v>49</v>
      </c>
      <c r="P267" s="58" t="s">
        <v>884</v>
      </c>
      <c r="Q267" s="58" t="s">
        <v>41</v>
      </c>
      <c r="R267" s="58" t="s">
        <v>885</v>
      </c>
      <c r="S267" s="58" t="s">
        <v>42</v>
      </c>
      <c r="T267" s="73">
        <v>355000</v>
      </c>
      <c r="U267" s="74">
        <f t="shared" si="153"/>
        <v>360276.63088356733</v>
      </c>
      <c r="V267" s="74"/>
      <c r="W267" s="74">
        <v>424187</v>
      </c>
      <c r="X267" s="74"/>
      <c r="Y267" s="74">
        <v>209.52</v>
      </c>
      <c r="Z267" s="74"/>
      <c r="AA267" s="75" t="s">
        <v>43</v>
      </c>
      <c r="AB267" s="74"/>
      <c r="AC267" s="74"/>
      <c r="AD267" s="75" t="s">
        <v>43</v>
      </c>
      <c r="AE267" s="74"/>
      <c r="AF267" s="74"/>
      <c r="AG267" s="74">
        <v>0</v>
      </c>
      <c r="AH267" s="75" t="s">
        <v>42</v>
      </c>
      <c r="AI267" s="74"/>
      <c r="AJ267" s="74">
        <f t="shared" si="170"/>
        <v>0</v>
      </c>
      <c r="AK267" s="74">
        <f t="shared" si="173"/>
        <v>407766.30883567297</v>
      </c>
      <c r="AL267" s="74">
        <f t="shared" si="174"/>
        <v>0</v>
      </c>
      <c r="AM267" s="74">
        <f t="shared" si="175"/>
        <v>428154.62427745666</v>
      </c>
      <c r="AN267" s="74">
        <f t="shared" si="175"/>
        <v>0</v>
      </c>
      <c r="AO267" s="74">
        <f t="shared" si="171"/>
        <v>440387.61354252684</v>
      </c>
      <c r="AP267" s="74">
        <f t="shared" si="172"/>
        <v>0</v>
      </c>
      <c r="AQ267" s="74">
        <f t="shared" si="168"/>
        <v>464445.82576383156</v>
      </c>
      <c r="AR267" s="76">
        <v>113.9</v>
      </c>
      <c r="AS267" s="74">
        <f t="shared" si="169"/>
        <v>0</v>
      </c>
      <c r="AT267" s="76">
        <v>105</v>
      </c>
      <c r="AU267" s="74">
        <f t="shared" si="176"/>
        <v>505630.22295623453</v>
      </c>
      <c r="AV267" s="76">
        <v>124</v>
      </c>
      <c r="AW267" s="74">
        <f t="shared" si="177"/>
        <v>0</v>
      </c>
      <c r="AX267" s="76">
        <v>122</v>
      </c>
      <c r="AY267" s="77">
        <f t="shared" si="166"/>
        <v>510524</v>
      </c>
      <c r="AZ267" s="78">
        <v>125.2</v>
      </c>
      <c r="BA267" s="77">
        <f t="shared" si="167"/>
        <v>0</v>
      </c>
      <c r="BB267" s="78">
        <v>123.3</v>
      </c>
      <c r="BC267" s="79">
        <v>37197</v>
      </c>
      <c r="BD267" s="59"/>
      <c r="BE267" s="80">
        <v>250.36</v>
      </c>
      <c r="BF267" s="80">
        <v>248.67</v>
      </c>
      <c r="BG267" s="80">
        <v>245.73</v>
      </c>
      <c r="BH267" s="73"/>
      <c r="BI267" s="73"/>
      <c r="BJ267" s="73"/>
      <c r="BK267" s="73"/>
      <c r="BL267" s="79">
        <v>43007</v>
      </c>
      <c r="BM267" s="79">
        <v>37232</v>
      </c>
      <c r="BN267" s="58" t="s">
        <v>44</v>
      </c>
      <c r="BO267" s="58" t="s">
        <v>44</v>
      </c>
      <c r="BP267" s="58" t="s">
        <v>59</v>
      </c>
      <c r="BQ267">
        <v>2016</v>
      </c>
      <c r="BR267" s="59"/>
      <c r="BV267" s="18"/>
      <c r="BW267" s="18"/>
    </row>
    <row r="268" spans="2:75" x14ac:dyDescent="0.3">
      <c r="B268" s="20" t="s">
        <v>1049</v>
      </c>
      <c r="C268" s="20" t="s">
        <v>1049</v>
      </c>
      <c r="D268" s="57" t="s">
        <v>1234</v>
      </c>
      <c r="E268" s="58" t="s">
        <v>986</v>
      </c>
      <c r="F268" s="96"/>
      <c r="G268" s="96"/>
      <c r="H268" s="58"/>
      <c r="I268" s="58"/>
      <c r="J268" s="59"/>
      <c r="K268" s="95" t="s">
        <v>43</v>
      </c>
      <c r="L268" s="95"/>
      <c r="M268" s="58"/>
      <c r="N268" s="59">
        <v>12</v>
      </c>
      <c r="O268" s="58" t="s">
        <v>49</v>
      </c>
      <c r="P268" s="58" t="s">
        <v>1048</v>
      </c>
      <c r="Q268" s="58"/>
      <c r="R268" s="58"/>
      <c r="S268" s="58"/>
      <c r="T268" s="73"/>
      <c r="U268" s="74"/>
      <c r="V268" s="74"/>
      <c r="W268" s="74"/>
      <c r="X268" s="74"/>
      <c r="Y268" s="74"/>
      <c r="Z268" s="74"/>
      <c r="AA268" s="75"/>
      <c r="AB268" s="74"/>
      <c r="AC268" s="74"/>
      <c r="AD268" s="75"/>
      <c r="AE268" s="74"/>
      <c r="AF268" s="74"/>
      <c r="AG268" s="74"/>
      <c r="AH268" s="75"/>
      <c r="AI268" s="74"/>
      <c r="AJ268" s="74"/>
      <c r="AK268" s="74"/>
      <c r="AL268" s="74"/>
      <c r="AM268" s="74"/>
      <c r="AN268" s="74"/>
      <c r="AO268" s="74"/>
      <c r="AP268" s="74"/>
      <c r="AQ268" s="74">
        <v>200000</v>
      </c>
      <c r="AR268" s="76">
        <v>113.9</v>
      </c>
      <c r="AS268" s="74">
        <v>20000</v>
      </c>
      <c r="AT268" s="76">
        <v>105</v>
      </c>
      <c r="AU268" s="74">
        <f t="shared" si="176"/>
        <v>217734.85513608428</v>
      </c>
      <c r="AV268" s="76">
        <v>124</v>
      </c>
      <c r="AW268" s="74">
        <f t="shared" si="177"/>
        <v>23238.09523809524</v>
      </c>
      <c r="AX268" s="76">
        <v>122</v>
      </c>
      <c r="AY268" s="77">
        <f t="shared" si="166"/>
        <v>219842</v>
      </c>
      <c r="AZ268" s="78">
        <v>125.2</v>
      </c>
      <c r="BA268" s="77">
        <f t="shared" si="167"/>
        <v>23486</v>
      </c>
      <c r="BB268" s="78">
        <v>123.3</v>
      </c>
      <c r="BC268" s="79"/>
      <c r="BD268" s="59"/>
      <c r="BE268" s="80"/>
      <c r="BF268" s="80"/>
      <c r="BG268" s="80"/>
      <c r="BH268" s="73"/>
      <c r="BI268" s="73"/>
      <c r="BJ268" s="73"/>
      <c r="BK268" s="73"/>
      <c r="BL268" s="79"/>
      <c r="BM268" s="79"/>
      <c r="BN268" s="58"/>
      <c r="BO268" s="58"/>
      <c r="BP268" s="58" t="s">
        <v>1051</v>
      </c>
      <c r="BR268" s="59"/>
      <c r="BV268" s="18"/>
      <c r="BW268" s="18"/>
    </row>
    <row r="269" spans="2:75" x14ac:dyDescent="0.3">
      <c r="B269" s="20" t="s">
        <v>1050</v>
      </c>
      <c r="C269" s="20" t="s">
        <v>1050</v>
      </c>
      <c r="D269" s="57" t="s">
        <v>1234</v>
      </c>
      <c r="E269" s="58" t="s">
        <v>986</v>
      </c>
      <c r="F269" s="96"/>
      <c r="G269" s="96"/>
      <c r="H269" s="58"/>
      <c r="I269" s="58"/>
      <c r="J269" s="59"/>
      <c r="K269" s="95" t="s">
        <v>43</v>
      </c>
      <c r="L269" s="95"/>
      <c r="M269" s="58"/>
      <c r="N269" s="59">
        <v>12</v>
      </c>
      <c r="O269" s="58" t="s">
        <v>49</v>
      </c>
      <c r="P269" s="58" t="s">
        <v>1048</v>
      </c>
      <c r="Q269" s="58"/>
      <c r="R269" s="58"/>
      <c r="S269" s="58"/>
      <c r="T269" s="73"/>
      <c r="U269" s="74"/>
      <c r="V269" s="74"/>
      <c r="W269" s="74"/>
      <c r="X269" s="74"/>
      <c r="Y269" s="74"/>
      <c r="Z269" s="74"/>
      <c r="AA269" s="75"/>
      <c r="AB269" s="74"/>
      <c r="AC269" s="74"/>
      <c r="AD269" s="75"/>
      <c r="AE269" s="74"/>
      <c r="AF269" s="74"/>
      <c r="AG269" s="74"/>
      <c r="AH269" s="75"/>
      <c r="AI269" s="74"/>
      <c r="AJ269" s="74"/>
      <c r="AK269" s="74"/>
      <c r="AL269" s="74"/>
      <c r="AM269" s="74"/>
      <c r="AN269" s="74"/>
      <c r="AO269" s="74"/>
      <c r="AP269" s="74"/>
      <c r="AQ269" s="74">
        <v>200000</v>
      </c>
      <c r="AR269" s="76">
        <v>113.9</v>
      </c>
      <c r="AS269" s="74">
        <v>20000</v>
      </c>
      <c r="AT269" s="76">
        <v>105</v>
      </c>
      <c r="AU269" s="74">
        <f t="shared" si="176"/>
        <v>217734.85513608428</v>
      </c>
      <c r="AV269" s="76">
        <v>124</v>
      </c>
      <c r="AW269" s="74">
        <f t="shared" si="177"/>
        <v>23238.09523809524</v>
      </c>
      <c r="AX269" s="76">
        <v>122</v>
      </c>
      <c r="AY269" s="77">
        <f t="shared" si="166"/>
        <v>219842</v>
      </c>
      <c r="AZ269" s="78">
        <v>125.2</v>
      </c>
      <c r="BA269" s="77">
        <f t="shared" si="167"/>
        <v>23486</v>
      </c>
      <c r="BB269" s="78">
        <v>123.3</v>
      </c>
      <c r="BC269" s="79"/>
      <c r="BD269" s="59"/>
      <c r="BE269" s="80"/>
      <c r="BF269" s="80"/>
      <c r="BG269" s="80"/>
      <c r="BH269" s="73"/>
      <c r="BI269" s="73"/>
      <c r="BJ269" s="73"/>
      <c r="BK269" s="73"/>
      <c r="BL269" s="79"/>
      <c r="BM269" s="79"/>
      <c r="BN269" s="58"/>
      <c r="BO269" s="58"/>
      <c r="BP269" s="58" t="s">
        <v>1051</v>
      </c>
      <c r="BR269" s="59"/>
      <c r="BV269" s="18"/>
      <c r="BW269" s="18"/>
    </row>
    <row r="270" spans="2:75" x14ac:dyDescent="0.3">
      <c r="B270" s="20" t="s">
        <v>886</v>
      </c>
      <c r="C270" s="20" t="s">
        <v>1038</v>
      </c>
      <c r="D270" s="57" t="s">
        <v>1235</v>
      </c>
      <c r="E270" s="58" t="s">
        <v>1382</v>
      </c>
      <c r="F270" s="96"/>
      <c r="G270" s="96"/>
      <c r="H270" s="58" t="s">
        <v>887</v>
      </c>
      <c r="I270" s="58" t="s">
        <v>887</v>
      </c>
      <c r="J270" s="59">
        <v>772723</v>
      </c>
      <c r="K270" s="95" t="s">
        <v>43</v>
      </c>
      <c r="L270" s="95"/>
      <c r="M270" s="58" t="s">
        <v>72</v>
      </c>
      <c r="N270" s="59">
        <v>99</v>
      </c>
      <c r="O270" s="58" t="s">
        <v>128</v>
      </c>
      <c r="P270" s="58" t="s">
        <v>888</v>
      </c>
      <c r="Q270" s="58" t="s">
        <v>217</v>
      </c>
      <c r="R270" s="58" t="s">
        <v>889</v>
      </c>
      <c r="S270" s="58" t="s">
        <v>42</v>
      </c>
      <c r="T270" s="73">
        <v>1700000</v>
      </c>
      <c r="U270" s="74">
        <f t="shared" ref="U270:U285" si="178">122.9*T270/121.1</f>
        <v>1725268.3732452518</v>
      </c>
      <c r="V270" s="74">
        <v>405000</v>
      </c>
      <c r="W270" s="74">
        <v>1647426</v>
      </c>
      <c r="X270" s="74">
        <v>316535</v>
      </c>
      <c r="Y270" s="74">
        <v>1003.34</v>
      </c>
      <c r="Z270" s="74">
        <v>239.03</v>
      </c>
      <c r="AA270" s="75" t="s">
        <v>43</v>
      </c>
      <c r="AB270" s="74"/>
      <c r="AC270" s="74"/>
      <c r="AD270" s="75" t="s">
        <v>43</v>
      </c>
      <c r="AE270" s="74"/>
      <c r="AF270" s="74"/>
      <c r="AG270" s="74">
        <v>0</v>
      </c>
      <c r="AH270" s="75" t="s">
        <v>42</v>
      </c>
      <c r="AI270" s="74"/>
      <c r="AJ270" s="74">
        <f t="shared" si="170"/>
        <v>410649.52048823016</v>
      </c>
      <c r="AK270" s="74">
        <f t="shared" si="173"/>
        <v>1952683.7324525183</v>
      </c>
      <c r="AL270" s="74">
        <f t="shared" si="174"/>
        <v>429363.55710549257</v>
      </c>
      <c r="AM270" s="74">
        <f t="shared" si="175"/>
        <v>2050317.9190751442</v>
      </c>
      <c r="AN270" s="74">
        <f t="shared" si="175"/>
        <v>450831.73496076721</v>
      </c>
      <c r="AO270" s="74">
        <f t="shared" si="171"/>
        <v>2108898.4310487197</v>
      </c>
      <c r="AP270" s="74">
        <f t="shared" si="172"/>
        <v>450831.73496076721</v>
      </c>
      <c r="AQ270" s="74">
        <f t="shared" si="168"/>
        <v>2224106.7712634183</v>
      </c>
      <c r="AR270" s="76">
        <v>113.9</v>
      </c>
      <c r="AS270" s="74">
        <f t="shared" si="169"/>
        <v>450831.73496076721</v>
      </c>
      <c r="AT270" s="76">
        <v>105</v>
      </c>
      <c r="AU270" s="74">
        <f t="shared" si="176"/>
        <v>2421327.8282411224</v>
      </c>
      <c r="AV270" s="76">
        <v>124</v>
      </c>
      <c r="AW270" s="74">
        <f t="shared" si="177"/>
        <v>523823.53966870095</v>
      </c>
      <c r="AX270" s="76">
        <v>122</v>
      </c>
      <c r="AY270" s="77">
        <f t="shared" si="166"/>
        <v>2444761</v>
      </c>
      <c r="AZ270" s="78">
        <v>125.2</v>
      </c>
      <c r="BA270" s="77">
        <f t="shared" si="167"/>
        <v>529406</v>
      </c>
      <c r="BB270" s="78">
        <v>123.3</v>
      </c>
      <c r="BC270" s="79">
        <v>36526</v>
      </c>
      <c r="BD270" s="59"/>
      <c r="BE270" s="80">
        <v>1159.1300000000001</v>
      </c>
      <c r="BF270" s="80">
        <v>1152.5899999999999</v>
      </c>
      <c r="BG270" s="80">
        <v>1139.52</v>
      </c>
      <c r="BH270" s="73"/>
      <c r="BI270" s="73"/>
      <c r="BJ270" s="73"/>
      <c r="BK270" s="73"/>
      <c r="BL270" s="79">
        <v>43000</v>
      </c>
      <c r="BM270" s="79">
        <v>36434</v>
      </c>
      <c r="BN270" s="58" t="s">
        <v>44</v>
      </c>
      <c r="BO270" s="58" t="s">
        <v>70</v>
      </c>
      <c r="BP270" s="58" t="s">
        <v>184</v>
      </c>
      <c r="BQ270">
        <v>2016</v>
      </c>
      <c r="BR270" s="59"/>
      <c r="BV270" s="18"/>
      <c r="BW270" s="18"/>
    </row>
    <row r="271" spans="2:75" x14ac:dyDescent="0.3">
      <c r="B271" s="20" t="s">
        <v>890</v>
      </c>
      <c r="C271" s="20" t="s">
        <v>1038</v>
      </c>
      <c r="D271" s="57" t="s">
        <v>1235</v>
      </c>
      <c r="E271" s="58" t="s">
        <v>1382</v>
      </c>
      <c r="F271" s="96"/>
      <c r="G271" s="96"/>
      <c r="H271" s="58" t="s">
        <v>887</v>
      </c>
      <c r="I271" s="58" t="s">
        <v>887</v>
      </c>
      <c r="J271" s="59">
        <v>772723</v>
      </c>
      <c r="K271" s="95" t="s">
        <v>43</v>
      </c>
      <c r="L271" s="95"/>
      <c r="M271" s="58" t="s">
        <v>72</v>
      </c>
      <c r="N271" s="59">
        <v>13</v>
      </c>
      <c r="O271" s="58" t="s">
        <v>542</v>
      </c>
      <c r="P271" s="58" t="s">
        <v>891</v>
      </c>
      <c r="Q271" s="58" t="s">
        <v>42</v>
      </c>
      <c r="R271" s="58" t="s">
        <v>892</v>
      </c>
      <c r="S271" s="58" t="s">
        <v>42</v>
      </c>
      <c r="T271" s="73">
        <v>200000</v>
      </c>
      <c r="U271" s="74">
        <f t="shared" si="178"/>
        <v>202972.74979355905</v>
      </c>
      <c r="V271" s="74">
        <v>45000</v>
      </c>
      <c r="W271" s="74">
        <v>187432</v>
      </c>
      <c r="X271" s="74">
        <v>89726</v>
      </c>
      <c r="Y271" s="74">
        <v>118.04</v>
      </c>
      <c r="Z271" s="74">
        <v>26.56</v>
      </c>
      <c r="AA271" s="75" t="s">
        <v>43</v>
      </c>
      <c r="AB271" s="74"/>
      <c r="AC271" s="74"/>
      <c r="AD271" s="75" t="s">
        <v>43</v>
      </c>
      <c r="AE271" s="74"/>
      <c r="AF271" s="74"/>
      <c r="AG271" s="74">
        <v>0</v>
      </c>
      <c r="AH271" s="75" t="s">
        <v>42</v>
      </c>
      <c r="AI271" s="74"/>
      <c r="AJ271" s="74">
        <f t="shared" si="170"/>
        <v>45627.724498692238</v>
      </c>
      <c r="AK271" s="74">
        <f t="shared" si="173"/>
        <v>229727.49793559042</v>
      </c>
      <c r="AL271" s="74">
        <f t="shared" si="174"/>
        <v>47707.061900610279</v>
      </c>
      <c r="AM271" s="74">
        <f t="shared" si="175"/>
        <v>241213.87283236996</v>
      </c>
      <c r="AN271" s="74">
        <f t="shared" si="175"/>
        <v>50092.414995640793</v>
      </c>
      <c r="AO271" s="74">
        <f t="shared" si="171"/>
        <v>248105.69777043766</v>
      </c>
      <c r="AP271" s="74">
        <f t="shared" si="172"/>
        <v>50092.414995640793</v>
      </c>
      <c r="AQ271" s="74">
        <f t="shared" si="168"/>
        <v>261659.62014863751</v>
      </c>
      <c r="AR271" s="76">
        <v>113.9</v>
      </c>
      <c r="AS271" s="74">
        <f t="shared" si="169"/>
        <v>50092.414995640793</v>
      </c>
      <c r="AT271" s="76">
        <v>105</v>
      </c>
      <c r="AU271" s="74">
        <f t="shared" si="176"/>
        <v>284862.09744013211</v>
      </c>
      <c r="AV271" s="76">
        <v>124</v>
      </c>
      <c r="AW271" s="74">
        <f t="shared" si="177"/>
        <v>58202.61551874454</v>
      </c>
      <c r="AX271" s="76">
        <v>122</v>
      </c>
      <c r="AY271" s="77">
        <f t="shared" si="166"/>
        <v>287619</v>
      </c>
      <c r="AZ271" s="78">
        <v>125.2</v>
      </c>
      <c r="BA271" s="77">
        <f t="shared" si="167"/>
        <v>58823</v>
      </c>
      <c r="BB271" s="78">
        <v>123.3</v>
      </c>
      <c r="BC271" s="79">
        <v>40360</v>
      </c>
      <c r="BD271" s="59"/>
      <c r="BE271" s="80">
        <v>163.58000000000001</v>
      </c>
      <c r="BF271" s="80">
        <v>162.84</v>
      </c>
      <c r="BG271" s="80">
        <v>161.07</v>
      </c>
      <c r="BH271" s="73"/>
      <c r="BI271" s="73"/>
      <c r="BJ271" s="73"/>
      <c r="BK271" s="73"/>
      <c r="BL271" s="79">
        <v>43000</v>
      </c>
      <c r="BM271" s="79">
        <v>40624</v>
      </c>
      <c r="BN271" s="58" t="s">
        <v>44</v>
      </c>
      <c r="BO271" s="58" t="s">
        <v>44</v>
      </c>
      <c r="BP271" s="58" t="s">
        <v>221</v>
      </c>
      <c r="BQ271">
        <v>2016</v>
      </c>
      <c r="BR271" s="59"/>
      <c r="BV271" s="18"/>
      <c r="BW271" s="18"/>
    </row>
    <row r="272" spans="2:75" x14ac:dyDescent="0.3">
      <c r="B272" s="20" t="s">
        <v>1038</v>
      </c>
      <c r="C272" s="20" t="s">
        <v>1038</v>
      </c>
      <c r="D272" s="57" t="s">
        <v>1235</v>
      </c>
      <c r="E272" s="58" t="s">
        <v>1382</v>
      </c>
      <c r="F272" s="96"/>
      <c r="G272" s="96"/>
      <c r="H272" s="58"/>
      <c r="I272" s="58"/>
      <c r="J272" s="59"/>
      <c r="K272" s="95" t="s">
        <v>43</v>
      </c>
      <c r="L272" s="95"/>
      <c r="M272" s="58"/>
      <c r="N272" s="59"/>
      <c r="O272" t="s">
        <v>1039</v>
      </c>
      <c r="P272" s="58" t="s">
        <v>1040</v>
      </c>
      <c r="Q272" s="58"/>
      <c r="R272" s="58"/>
      <c r="S272" s="58"/>
      <c r="T272" s="73"/>
      <c r="U272" s="74"/>
      <c r="V272" s="74"/>
      <c r="W272" s="74"/>
      <c r="X272" s="74"/>
      <c r="Y272" s="74"/>
      <c r="Z272" s="74"/>
      <c r="AA272" s="75"/>
      <c r="AB272" s="74"/>
      <c r="AC272" s="74"/>
      <c r="AD272" s="75"/>
      <c r="AE272" s="74"/>
      <c r="AF272" s="74"/>
      <c r="AG272" s="74"/>
      <c r="AH272" s="75"/>
      <c r="AI272" s="74"/>
      <c r="AJ272" s="74"/>
      <c r="AK272" s="74"/>
      <c r="AL272" s="74"/>
      <c r="AM272" s="74"/>
      <c r="AN272" s="74"/>
      <c r="AO272" s="74"/>
      <c r="AP272" s="74"/>
      <c r="AQ272" s="74">
        <f>385000*1.21</f>
        <v>465850</v>
      </c>
      <c r="AR272" s="76">
        <v>113.9</v>
      </c>
      <c r="AS272" s="74">
        <f>135000*1.21</f>
        <v>163350</v>
      </c>
      <c r="AT272" s="76">
        <v>105</v>
      </c>
      <c r="AU272" s="74">
        <f t="shared" si="176"/>
        <v>507158.91132572433</v>
      </c>
      <c r="AV272" s="76">
        <v>124</v>
      </c>
      <c r="AW272" s="74">
        <f t="shared" si="177"/>
        <v>189797.14285714287</v>
      </c>
      <c r="AX272" s="76">
        <v>122</v>
      </c>
      <c r="AY272" s="77">
        <f t="shared" si="166"/>
        <v>512067</v>
      </c>
      <c r="AZ272" s="78">
        <v>125.2</v>
      </c>
      <c r="BA272" s="77">
        <f t="shared" si="167"/>
        <v>191820</v>
      </c>
      <c r="BB272" s="78">
        <v>123.3</v>
      </c>
      <c r="BC272" s="79">
        <v>44754</v>
      </c>
      <c r="BD272" s="59"/>
      <c r="BE272" s="80"/>
      <c r="BF272" s="80"/>
      <c r="BG272" s="80"/>
      <c r="BH272" s="73"/>
      <c r="BI272" s="73"/>
      <c r="BJ272" s="73"/>
      <c r="BK272" s="73"/>
      <c r="BL272" s="79"/>
      <c r="BM272" s="79"/>
      <c r="BN272" s="58"/>
      <c r="BO272" s="58"/>
      <c r="BP272" s="58"/>
      <c r="BR272" s="59"/>
      <c r="BV272" s="18"/>
      <c r="BW272" s="18"/>
    </row>
    <row r="273" spans="2:75" x14ac:dyDescent="0.3">
      <c r="B273" s="20" t="s">
        <v>893</v>
      </c>
      <c r="C273" s="20" t="s">
        <v>1370</v>
      </c>
      <c r="D273" s="57" t="s">
        <v>1407</v>
      </c>
      <c r="E273" s="58" t="s">
        <v>1101</v>
      </c>
      <c r="F273" s="96"/>
      <c r="G273" s="96"/>
      <c r="H273" s="58" t="s">
        <v>166</v>
      </c>
      <c r="I273" s="58" t="s">
        <v>166</v>
      </c>
      <c r="J273" s="59">
        <v>772723</v>
      </c>
      <c r="K273" s="95" t="s">
        <v>1440</v>
      </c>
      <c r="L273" s="95"/>
      <c r="M273" s="58" t="s">
        <v>72</v>
      </c>
      <c r="N273" s="59">
        <v>99</v>
      </c>
      <c r="O273" s="58" t="s">
        <v>128</v>
      </c>
      <c r="P273" s="58" t="s">
        <v>894</v>
      </c>
      <c r="Q273" s="58" t="s">
        <v>300</v>
      </c>
      <c r="R273" s="58" t="s">
        <v>895</v>
      </c>
      <c r="S273" s="58" t="s">
        <v>42</v>
      </c>
      <c r="T273" s="73">
        <v>5250000</v>
      </c>
      <c r="U273" s="74">
        <f t="shared" si="178"/>
        <v>5328034.6820809254</v>
      </c>
      <c r="V273" s="74">
        <v>467500</v>
      </c>
      <c r="W273" s="74">
        <v>4844477</v>
      </c>
      <c r="X273" s="74">
        <v>393799</v>
      </c>
      <c r="Y273" s="74">
        <v>3098.55</v>
      </c>
      <c r="Z273" s="74">
        <v>275.92</v>
      </c>
      <c r="AA273" s="75" t="s">
        <v>43</v>
      </c>
      <c r="AB273" s="74"/>
      <c r="AC273" s="74"/>
      <c r="AD273" s="75" t="s">
        <v>43</v>
      </c>
      <c r="AE273" s="74"/>
      <c r="AF273" s="74"/>
      <c r="AG273" s="74">
        <v>0</v>
      </c>
      <c r="AH273" s="75" t="s">
        <v>42</v>
      </c>
      <c r="AI273" s="74"/>
      <c r="AJ273" s="74">
        <f t="shared" si="170"/>
        <v>474021.36006974714</v>
      </c>
      <c r="AK273" s="74">
        <f t="shared" si="173"/>
        <v>6030346.8208092488</v>
      </c>
      <c r="AL273" s="74">
        <f t="shared" si="174"/>
        <v>495623.36530078459</v>
      </c>
      <c r="AM273" s="74">
        <f t="shared" si="175"/>
        <v>6331864.1618497111</v>
      </c>
      <c r="AN273" s="74">
        <f t="shared" si="175"/>
        <v>520404.53356582386</v>
      </c>
      <c r="AO273" s="74">
        <f>AM273/105*108+4487</f>
        <v>6517261.5664739879</v>
      </c>
      <c r="AP273" s="74">
        <f t="shared" si="172"/>
        <v>520404.53356582386</v>
      </c>
      <c r="AQ273" s="74">
        <f t="shared" si="168"/>
        <v>6873297.1520498814</v>
      </c>
      <c r="AR273" s="76">
        <v>113.9</v>
      </c>
      <c r="AS273" s="74">
        <f t="shared" si="169"/>
        <v>520404.53356582386</v>
      </c>
      <c r="AT273" s="76">
        <v>105</v>
      </c>
      <c r="AU273" s="74">
        <f t="shared" si="176"/>
        <v>7482781.7985442076</v>
      </c>
      <c r="AV273" s="76">
        <v>124</v>
      </c>
      <c r="AW273" s="74">
        <f t="shared" si="177"/>
        <v>604660.50566695724</v>
      </c>
      <c r="AX273" s="76">
        <v>122</v>
      </c>
      <c r="AY273" s="77">
        <f t="shared" si="166"/>
        <v>7555196</v>
      </c>
      <c r="AZ273" s="78">
        <v>125.2</v>
      </c>
      <c r="BA273" s="77">
        <f t="shared" si="167"/>
        <v>611104</v>
      </c>
      <c r="BB273" s="78">
        <v>123.3</v>
      </c>
      <c r="BC273" s="79">
        <v>36526</v>
      </c>
      <c r="BD273" s="59"/>
      <c r="BE273" s="80">
        <v>3091.63</v>
      </c>
      <c r="BF273" s="80">
        <v>3072.41</v>
      </c>
      <c r="BG273" s="80">
        <v>3036.73</v>
      </c>
      <c r="BH273" s="73"/>
      <c r="BI273" s="73"/>
      <c r="BJ273" s="73"/>
      <c r="BK273" s="73"/>
      <c r="BL273" s="79">
        <v>42997</v>
      </c>
      <c r="BM273" s="79">
        <v>36434</v>
      </c>
      <c r="BN273" s="58" t="s">
        <v>44</v>
      </c>
      <c r="BO273" s="58" t="s">
        <v>70</v>
      </c>
      <c r="BP273" s="58" t="s">
        <v>184</v>
      </c>
      <c r="BQ273">
        <v>2016</v>
      </c>
      <c r="BR273" s="59" t="s">
        <v>1021</v>
      </c>
      <c r="BV273" s="18"/>
      <c r="BW273" s="18"/>
    </row>
    <row r="274" spans="2:75" x14ac:dyDescent="0.3">
      <c r="B274" s="20" t="s">
        <v>893</v>
      </c>
      <c r="C274" s="20" t="s">
        <v>1370</v>
      </c>
      <c r="D274" s="57" t="s">
        <v>1407</v>
      </c>
      <c r="E274" s="58" t="s">
        <v>1101</v>
      </c>
      <c r="F274" s="96"/>
      <c r="G274" s="96"/>
      <c r="H274" s="58" t="s">
        <v>166</v>
      </c>
      <c r="I274" s="58" t="s">
        <v>166</v>
      </c>
      <c r="J274" s="59">
        <v>8040</v>
      </c>
      <c r="K274" s="95" t="s">
        <v>43</v>
      </c>
      <c r="L274" s="95"/>
      <c r="M274" s="58" t="s">
        <v>896</v>
      </c>
      <c r="N274" s="59">
        <v>99</v>
      </c>
      <c r="O274" s="58" t="s">
        <v>128</v>
      </c>
      <c r="P274" s="58" t="s">
        <v>897</v>
      </c>
      <c r="Q274" s="58" t="s">
        <v>300</v>
      </c>
      <c r="R274" s="58" t="s">
        <v>898</v>
      </c>
      <c r="S274" s="58" t="s">
        <v>899</v>
      </c>
      <c r="T274" s="73"/>
      <c r="U274" s="74">
        <f t="shared" si="178"/>
        <v>0</v>
      </c>
      <c r="V274" s="74">
        <v>322500</v>
      </c>
      <c r="W274" s="74"/>
      <c r="X274" s="74">
        <v>244255</v>
      </c>
      <c r="Y274" s="74"/>
      <c r="Z274" s="74">
        <v>190.34</v>
      </c>
      <c r="AA274" s="75" t="s">
        <v>43</v>
      </c>
      <c r="AB274" s="74"/>
      <c r="AC274" s="74"/>
      <c r="AD274" s="75" t="s">
        <v>43</v>
      </c>
      <c r="AE274" s="74"/>
      <c r="AF274" s="74"/>
      <c r="AG274" s="74">
        <v>0</v>
      </c>
      <c r="AH274" s="75" t="s">
        <v>42</v>
      </c>
      <c r="AI274" s="74"/>
      <c r="AJ274" s="74">
        <f t="shared" si="170"/>
        <v>326998.69224062772</v>
      </c>
      <c r="AK274" s="74">
        <f t="shared" si="173"/>
        <v>0</v>
      </c>
      <c r="AL274" s="74">
        <f t="shared" si="174"/>
        <v>341900.61028770701</v>
      </c>
      <c r="AM274" s="74">
        <f t="shared" si="175"/>
        <v>0</v>
      </c>
      <c r="AN274" s="74">
        <f t="shared" si="175"/>
        <v>358995.64080209238</v>
      </c>
      <c r="AO274" s="74">
        <f t="shared" si="171"/>
        <v>0</v>
      </c>
      <c r="AP274" s="74">
        <f t="shared" si="172"/>
        <v>358995.64080209238</v>
      </c>
      <c r="AQ274" s="74">
        <f t="shared" si="168"/>
        <v>0</v>
      </c>
      <c r="AR274" s="76">
        <v>113.9</v>
      </c>
      <c r="AS274" s="74">
        <f t="shared" si="169"/>
        <v>358995.64080209238</v>
      </c>
      <c r="AT274" s="76">
        <v>105</v>
      </c>
      <c r="AU274" s="74">
        <f t="shared" ref="AU274:AU289" si="179">AQ274/AR274*AV274</f>
        <v>0</v>
      </c>
      <c r="AV274" s="76">
        <v>124</v>
      </c>
      <c r="AW274" s="74">
        <f t="shared" ref="AW274:AW289" si="180">AS274/AT274*AX274</f>
        <v>417118.74455100257</v>
      </c>
      <c r="AX274" s="76">
        <v>122</v>
      </c>
      <c r="AY274" s="77">
        <f t="shared" si="166"/>
        <v>0</v>
      </c>
      <c r="AZ274" s="78">
        <v>125.2</v>
      </c>
      <c r="BA274" s="77">
        <f t="shared" si="167"/>
        <v>421564</v>
      </c>
      <c r="BB274" s="78">
        <v>123.3</v>
      </c>
      <c r="BC274" s="79">
        <v>36892</v>
      </c>
      <c r="BD274" s="59"/>
      <c r="BE274" s="80">
        <v>144.16</v>
      </c>
      <c r="BF274" s="80">
        <v>144.16</v>
      </c>
      <c r="BG274" s="80">
        <v>142.88999999999999</v>
      </c>
      <c r="BH274" s="73"/>
      <c r="BI274" s="73"/>
      <c r="BJ274" s="73"/>
      <c r="BK274" s="73"/>
      <c r="BL274" s="79">
        <v>43000</v>
      </c>
      <c r="BM274" s="79">
        <v>36434</v>
      </c>
      <c r="BN274" s="58" t="s">
        <v>44</v>
      </c>
      <c r="BO274" s="58" t="s">
        <v>70</v>
      </c>
      <c r="BP274" s="58" t="s">
        <v>184</v>
      </c>
      <c r="BQ274">
        <v>2016</v>
      </c>
      <c r="BR274" s="59"/>
      <c r="BV274" s="18"/>
      <c r="BW274" s="18"/>
    </row>
    <row r="275" spans="2:75" x14ac:dyDescent="0.3">
      <c r="B275" s="20" t="s">
        <v>900</v>
      </c>
      <c r="C275" s="20" t="s">
        <v>1371</v>
      </c>
      <c r="D275" s="57" t="s">
        <v>1236</v>
      </c>
      <c r="E275" s="58" t="s">
        <v>1101</v>
      </c>
      <c r="F275" s="96"/>
      <c r="G275" s="96"/>
      <c r="H275" s="58" t="s">
        <v>170</v>
      </c>
      <c r="I275" s="58" t="s">
        <v>170</v>
      </c>
      <c r="J275" s="59">
        <v>772724</v>
      </c>
      <c r="K275" s="95" t="s">
        <v>43</v>
      </c>
      <c r="L275" s="95"/>
      <c r="M275" s="58" t="s">
        <v>66</v>
      </c>
      <c r="N275" s="59">
        <v>99</v>
      </c>
      <c r="O275" s="58" t="s">
        <v>128</v>
      </c>
      <c r="P275" s="58" t="s">
        <v>123</v>
      </c>
      <c r="Q275" s="58" t="s">
        <v>124</v>
      </c>
      <c r="R275" s="58" t="s">
        <v>901</v>
      </c>
      <c r="S275" s="58" t="s">
        <v>42</v>
      </c>
      <c r="T275" s="73">
        <v>550000</v>
      </c>
      <c r="U275" s="74">
        <f t="shared" si="178"/>
        <v>558175.06193228741</v>
      </c>
      <c r="V275" s="74">
        <v>95000</v>
      </c>
      <c r="W275" s="74">
        <v>503106</v>
      </c>
      <c r="X275" s="74">
        <v>72280</v>
      </c>
      <c r="Y275" s="74">
        <v>324.61</v>
      </c>
      <c r="Z275" s="74">
        <v>56.07</v>
      </c>
      <c r="AA275" s="75" t="s">
        <v>43</v>
      </c>
      <c r="AB275" s="74"/>
      <c r="AC275" s="74"/>
      <c r="AD275" s="75" t="s">
        <v>43</v>
      </c>
      <c r="AE275" s="74"/>
      <c r="AF275" s="74"/>
      <c r="AG275" s="74">
        <v>0</v>
      </c>
      <c r="AH275" s="75" t="s">
        <v>42</v>
      </c>
      <c r="AI275" s="74"/>
      <c r="AJ275" s="74">
        <f t="shared" si="170"/>
        <v>96325.196163905843</v>
      </c>
      <c r="AK275" s="74">
        <f t="shared" si="173"/>
        <v>631750.61932287365</v>
      </c>
      <c r="AL275" s="74">
        <f t="shared" si="174"/>
        <v>100714.90845684393</v>
      </c>
      <c r="AM275" s="74">
        <f t="shared" si="175"/>
        <v>663338.15028901736</v>
      </c>
      <c r="AN275" s="74">
        <f t="shared" si="175"/>
        <v>105750.65387968613</v>
      </c>
      <c r="AO275" s="74">
        <f t="shared" si="171"/>
        <v>682290.66886870365</v>
      </c>
      <c r="AP275" s="74">
        <f t="shared" si="172"/>
        <v>105750.65387968613</v>
      </c>
      <c r="AQ275" s="74">
        <f t="shared" si="168"/>
        <v>719563.95540875325</v>
      </c>
      <c r="AR275" s="76">
        <v>113.9</v>
      </c>
      <c r="AS275" s="74">
        <f t="shared" si="169"/>
        <v>105750.65387968613</v>
      </c>
      <c r="AT275" s="76">
        <v>105</v>
      </c>
      <c r="AU275" s="74">
        <f t="shared" si="179"/>
        <v>783370.76796036342</v>
      </c>
      <c r="AV275" s="76">
        <v>124</v>
      </c>
      <c r="AW275" s="74">
        <f t="shared" si="180"/>
        <v>122872.1883173496</v>
      </c>
      <c r="AX275" s="76">
        <v>122</v>
      </c>
      <c r="AY275" s="77">
        <f t="shared" si="166"/>
        <v>790952</v>
      </c>
      <c r="AZ275" s="78">
        <v>125.2</v>
      </c>
      <c r="BA275" s="77">
        <f t="shared" si="167"/>
        <v>124182</v>
      </c>
      <c r="BB275" s="78">
        <v>123.3</v>
      </c>
      <c r="BC275" s="79">
        <v>36482</v>
      </c>
      <c r="BD275" s="59"/>
      <c r="BE275" s="80">
        <v>339.59</v>
      </c>
      <c r="BF275" s="80">
        <v>337.6</v>
      </c>
      <c r="BG275" s="80">
        <v>333.72</v>
      </c>
      <c r="BH275" s="73"/>
      <c r="BI275" s="73"/>
      <c r="BJ275" s="73"/>
      <c r="BK275" s="73"/>
      <c r="BL275" s="79">
        <v>43000</v>
      </c>
      <c r="BM275" s="79">
        <v>36434</v>
      </c>
      <c r="BN275" s="58" t="s">
        <v>44</v>
      </c>
      <c r="BO275" s="58" t="s">
        <v>70</v>
      </c>
      <c r="BP275" s="58" t="s">
        <v>184</v>
      </c>
      <c r="BQ275">
        <v>2016</v>
      </c>
      <c r="BR275" s="59"/>
      <c r="BV275" s="18"/>
      <c r="BW275" s="18"/>
    </row>
    <row r="276" spans="2:75" x14ac:dyDescent="0.3">
      <c r="B276" s="20" t="s">
        <v>902</v>
      </c>
      <c r="C276" s="20" t="s">
        <v>1372</v>
      </c>
      <c r="D276" s="57" t="s">
        <v>1236</v>
      </c>
      <c r="E276" s="58" t="s">
        <v>1101</v>
      </c>
      <c r="F276" s="96"/>
      <c r="G276" s="96"/>
      <c r="H276" s="58" t="s">
        <v>170</v>
      </c>
      <c r="I276" s="58" t="s">
        <v>170</v>
      </c>
      <c r="J276" s="59">
        <v>772723</v>
      </c>
      <c r="K276" s="95" t="s">
        <v>43</v>
      </c>
      <c r="L276" s="95"/>
      <c r="M276" s="58" t="s">
        <v>72</v>
      </c>
      <c r="N276" s="59">
        <v>99</v>
      </c>
      <c r="O276" s="58" t="s">
        <v>128</v>
      </c>
      <c r="P276" s="58" t="s">
        <v>903</v>
      </c>
      <c r="Q276" s="58" t="s">
        <v>217</v>
      </c>
      <c r="R276" s="58" t="s">
        <v>904</v>
      </c>
      <c r="S276" s="58" t="s">
        <v>42</v>
      </c>
      <c r="T276" s="73">
        <v>2050000</v>
      </c>
      <c r="U276" s="74">
        <f t="shared" si="178"/>
        <v>2080470.6853839804</v>
      </c>
      <c r="V276" s="74">
        <v>450000</v>
      </c>
      <c r="W276" s="74">
        <v>1844724</v>
      </c>
      <c r="X276" s="74">
        <v>338967</v>
      </c>
      <c r="Y276" s="74">
        <v>1209.9100000000001</v>
      </c>
      <c r="Z276" s="74">
        <v>265.58999999999997</v>
      </c>
      <c r="AA276" s="75" t="s">
        <v>43</v>
      </c>
      <c r="AB276" s="74"/>
      <c r="AC276" s="74"/>
      <c r="AD276" s="75" t="s">
        <v>43</v>
      </c>
      <c r="AE276" s="74"/>
      <c r="AF276" s="74"/>
      <c r="AG276" s="74">
        <v>0</v>
      </c>
      <c r="AH276" s="75" t="s">
        <v>42</v>
      </c>
      <c r="AI276" s="74"/>
      <c r="AJ276" s="74">
        <f t="shared" si="170"/>
        <v>456277.24498692242</v>
      </c>
      <c r="AK276" s="74">
        <f t="shared" si="173"/>
        <v>2354706.8538398021</v>
      </c>
      <c r="AL276" s="74">
        <f t="shared" si="174"/>
        <v>477070.61900610285</v>
      </c>
      <c r="AM276" s="74">
        <f t="shared" si="175"/>
        <v>2472442.1965317922</v>
      </c>
      <c r="AN276" s="74">
        <f t="shared" si="175"/>
        <v>500924.14995640801</v>
      </c>
      <c r="AO276" s="74">
        <f t="shared" si="171"/>
        <v>2543083.4021469862</v>
      </c>
      <c r="AP276" s="74">
        <f t="shared" si="172"/>
        <v>500924.14995640801</v>
      </c>
      <c r="AQ276" s="74">
        <f t="shared" si="168"/>
        <v>2682011.1065235347</v>
      </c>
      <c r="AR276" s="76">
        <v>113.9</v>
      </c>
      <c r="AS276" s="74">
        <f t="shared" si="169"/>
        <v>500924.14995640801</v>
      </c>
      <c r="AT276" s="76">
        <v>105</v>
      </c>
      <c r="AU276" s="74">
        <f t="shared" si="179"/>
        <v>2919836.4987613545</v>
      </c>
      <c r="AV276" s="76">
        <v>124</v>
      </c>
      <c r="AW276" s="74">
        <f t="shared" si="180"/>
        <v>582026.15518744546</v>
      </c>
      <c r="AX276" s="76">
        <v>122</v>
      </c>
      <c r="AY276" s="77">
        <f t="shared" si="166"/>
        <v>2948093</v>
      </c>
      <c r="AZ276" s="78">
        <v>125.2</v>
      </c>
      <c r="BA276" s="77">
        <f t="shared" si="167"/>
        <v>588229</v>
      </c>
      <c r="BB276" s="78">
        <v>123.3</v>
      </c>
      <c r="BC276" s="79">
        <v>36526</v>
      </c>
      <c r="BD276" s="59"/>
      <c r="BE276" s="80">
        <v>1288.82</v>
      </c>
      <c r="BF276" s="80">
        <v>1281.5</v>
      </c>
      <c r="BG276" s="80">
        <v>1266.93</v>
      </c>
      <c r="BH276" s="73"/>
      <c r="BI276" s="73"/>
      <c r="BJ276" s="73"/>
      <c r="BK276" s="73"/>
      <c r="BL276" s="79">
        <v>43000</v>
      </c>
      <c r="BM276" s="79">
        <v>36434</v>
      </c>
      <c r="BN276" s="58" t="s">
        <v>44</v>
      </c>
      <c r="BO276" s="58" t="s">
        <v>70</v>
      </c>
      <c r="BP276" s="58" t="s">
        <v>184</v>
      </c>
      <c r="BQ276">
        <v>2016</v>
      </c>
      <c r="BR276" s="59"/>
      <c r="BV276" s="18"/>
      <c r="BW276" s="18"/>
    </row>
    <row r="277" spans="2:75" x14ac:dyDescent="0.3">
      <c r="B277" s="20" t="s">
        <v>905</v>
      </c>
      <c r="C277" s="20" t="s">
        <v>1373</v>
      </c>
      <c r="D277" s="57" t="s">
        <v>1237</v>
      </c>
      <c r="E277" s="58" t="s">
        <v>1101</v>
      </c>
      <c r="F277" s="96"/>
      <c r="G277" s="96"/>
      <c r="H277" s="58" t="s">
        <v>906</v>
      </c>
      <c r="I277" s="58" t="s">
        <v>906</v>
      </c>
      <c r="J277" s="59">
        <v>772723</v>
      </c>
      <c r="K277" s="95" t="s">
        <v>43</v>
      </c>
      <c r="L277" s="95"/>
      <c r="M277" s="58" t="s">
        <v>72</v>
      </c>
      <c r="N277" s="59">
        <v>99</v>
      </c>
      <c r="O277" s="58" t="s">
        <v>128</v>
      </c>
      <c r="P277" s="58" t="s">
        <v>907</v>
      </c>
      <c r="Q277" s="58" t="s">
        <v>245</v>
      </c>
      <c r="R277" s="58" t="s">
        <v>908</v>
      </c>
      <c r="S277" s="58" t="s">
        <v>42</v>
      </c>
      <c r="T277" s="73">
        <v>1710000</v>
      </c>
      <c r="U277" s="74">
        <f t="shared" si="178"/>
        <v>1735417.0107349299</v>
      </c>
      <c r="V277" s="74">
        <v>110000</v>
      </c>
      <c r="W277" s="74">
        <v>1247900</v>
      </c>
      <c r="X277" s="74">
        <v>132098</v>
      </c>
      <c r="Y277" s="74">
        <v>1009.24</v>
      </c>
      <c r="Z277" s="74">
        <v>64.92</v>
      </c>
      <c r="AA277" s="75" t="s">
        <v>43</v>
      </c>
      <c r="AB277" s="74"/>
      <c r="AC277" s="74"/>
      <c r="AD277" s="75" t="s">
        <v>43</v>
      </c>
      <c r="AE277" s="74"/>
      <c r="AF277" s="74"/>
      <c r="AG277" s="74">
        <v>0</v>
      </c>
      <c r="AH277" s="75" t="s">
        <v>42</v>
      </c>
      <c r="AI277" s="74"/>
      <c r="AJ277" s="74">
        <f t="shared" si="170"/>
        <v>111534.43766346991</v>
      </c>
      <c r="AK277" s="74">
        <f t="shared" si="173"/>
        <v>1964170.1073492982</v>
      </c>
      <c r="AL277" s="74">
        <f t="shared" si="174"/>
        <v>116617.26242371403</v>
      </c>
      <c r="AM277" s="74">
        <f t="shared" si="175"/>
        <v>2062378.6127167633</v>
      </c>
      <c r="AN277" s="74">
        <f t="shared" si="175"/>
        <v>122448.12554489974</v>
      </c>
      <c r="AO277" s="74">
        <f t="shared" si="171"/>
        <v>2121303.7159372419</v>
      </c>
      <c r="AP277" s="74">
        <f t="shared" si="172"/>
        <v>122448.12554489974</v>
      </c>
      <c r="AQ277" s="74">
        <f t="shared" si="168"/>
        <v>2237189.7522708504</v>
      </c>
      <c r="AR277" s="76">
        <v>113.9</v>
      </c>
      <c r="AS277" s="74">
        <f t="shared" si="169"/>
        <v>122448.12554489974</v>
      </c>
      <c r="AT277" s="76">
        <v>105</v>
      </c>
      <c r="AU277" s="74">
        <f t="shared" si="179"/>
        <v>2435570.9331131293</v>
      </c>
      <c r="AV277" s="76">
        <v>124</v>
      </c>
      <c r="AW277" s="74">
        <f t="shared" si="180"/>
        <v>142273.06015693111</v>
      </c>
      <c r="AX277" s="76">
        <v>122</v>
      </c>
      <c r="AY277" s="77">
        <f t="shared" si="166"/>
        <v>2459141</v>
      </c>
      <c r="AZ277" s="78">
        <v>125.2</v>
      </c>
      <c r="BA277" s="77">
        <f t="shared" si="167"/>
        <v>143790</v>
      </c>
      <c r="BB277" s="78">
        <v>123.3</v>
      </c>
      <c r="BC277" s="79">
        <v>37987</v>
      </c>
      <c r="BD277" s="59"/>
      <c r="BE277" s="80">
        <v>814.47</v>
      </c>
      <c r="BF277" s="80">
        <v>809.52</v>
      </c>
      <c r="BG277" s="80">
        <v>800.17</v>
      </c>
      <c r="BH277" s="73"/>
      <c r="BI277" s="73"/>
      <c r="BJ277" s="73"/>
      <c r="BK277" s="73"/>
      <c r="BL277" s="79">
        <v>43000</v>
      </c>
      <c r="BM277" s="79">
        <v>36434</v>
      </c>
      <c r="BN277" s="58" t="s">
        <v>44</v>
      </c>
      <c r="BO277" s="58" t="s">
        <v>70</v>
      </c>
      <c r="BP277" s="58" t="s">
        <v>184</v>
      </c>
      <c r="BQ277">
        <v>2016</v>
      </c>
      <c r="BR277" s="59"/>
      <c r="BV277" s="18"/>
      <c r="BW277" s="18"/>
    </row>
    <row r="278" spans="2:75" x14ac:dyDescent="0.3">
      <c r="B278" s="20" t="s">
        <v>909</v>
      </c>
      <c r="C278" s="20" t="s">
        <v>1391</v>
      </c>
      <c r="D278" s="57" t="s">
        <v>1238</v>
      </c>
      <c r="E278" s="58" t="s">
        <v>1101</v>
      </c>
      <c r="F278" s="96"/>
      <c r="G278" s="96"/>
      <c r="H278" s="58" t="s">
        <v>906</v>
      </c>
      <c r="I278" s="58" t="s">
        <v>906</v>
      </c>
      <c r="J278" s="59">
        <v>772723</v>
      </c>
      <c r="K278" s="95" t="s">
        <v>43</v>
      </c>
      <c r="L278" s="95"/>
      <c r="M278" s="58" t="s">
        <v>72</v>
      </c>
      <c r="N278" s="59">
        <v>13</v>
      </c>
      <c r="O278" s="58" t="s">
        <v>542</v>
      </c>
      <c r="P278" s="58" t="s">
        <v>910</v>
      </c>
      <c r="Q278" s="58" t="s">
        <v>217</v>
      </c>
      <c r="R278" s="58" t="s">
        <v>911</v>
      </c>
      <c r="S278" s="58" t="s">
        <v>42</v>
      </c>
      <c r="T278" s="73">
        <v>2650000</v>
      </c>
      <c r="U278" s="74">
        <f t="shared" si="178"/>
        <v>2689388.9347646576</v>
      </c>
      <c r="V278" s="74">
        <v>440000</v>
      </c>
      <c r="W278" s="74">
        <v>2663503</v>
      </c>
      <c r="X278" s="74">
        <v>433678</v>
      </c>
      <c r="Y278" s="74">
        <v>1564.03</v>
      </c>
      <c r="Z278" s="74">
        <v>259.69</v>
      </c>
      <c r="AA278" s="75" t="s">
        <v>43</v>
      </c>
      <c r="AB278" s="74"/>
      <c r="AC278" s="74"/>
      <c r="AD278" s="75" t="s">
        <v>43</v>
      </c>
      <c r="AE278" s="74"/>
      <c r="AF278" s="74"/>
      <c r="AG278" s="74">
        <v>0</v>
      </c>
      <c r="AH278" s="75" t="s">
        <v>42</v>
      </c>
      <c r="AI278" s="74"/>
      <c r="AJ278" s="74">
        <f t="shared" si="170"/>
        <v>446137.75065387966</v>
      </c>
      <c r="AK278" s="74">
        <f t="shared" si="173"/>
        <v>3043889.3476465731</v>
      </c>
      <c r="AL278" s="74">
        <f t="shared" si="174"/>
        <v>466469.0496948561</v>
      </c>
      <c r="AM278" s="74">
        <f t="shared" si="175"/>
        <v>3196083.8150289017</v>
      </c>
      <c r="AN278" s="74">
        <f t="shared" si="175"/>
        <v>489792.50217959896</v>
      </c>
      <c r="AO278" s="74">
        <f t="shared" si="171"/>
        <v>3287400.4954582988</v>
      </c>
      <c r="AP278" s="74">
        <f t="shared" si="172"/>
        <v>489792.50217959896</v>
      </c>
      <c r="AQ278" s="74">
        <f t="shared" si="168"/>
        <v>3466989.9669694472</v>
      </c>
      <c r="AR278" s="76">
        <v>113.9</v>
      </c>
      <c r="AS278" s="74">
        <f t="shared" si="169"/>
        <v>489792.50217959896</v>
      </c>
      <c r="AT278" s="76">
        <v>105</v>
      </c>
      <c r="AU278" s="74">
        <f t="shared" si="179"/>
        <v>3774422.7910817512</v>
      </c>
      <c r="AV278" s="76">
        <v>124</v>
      </c>
      <c r="AW278" s="74">
        <f t="shared" si="180"/>
        <v>569092.24062772444</v>
      </c>
      <c r="AX278" s="76">
        <v>122</v>
      </c>
      <c r="AY278" s="77">
        <f t="shared" si="166"/>
        <v>3810950</v>
      </c>
      <c r="AZ278" s="78">
        <v>125.2</v>
      </c>
      <c r="BA278" s="77">
        <f t="shared" si="167"/>
        <v>575157</v>
      </c>
      <c r="BB278" s="78">
        <v>123.3</v>
      </c>
      <c r="BC278" s="79">
        <v>36526</v>
      </c>
      <c r="BD278" s="59"/>
      <c r="BE278" s="80">
        <v>1827.96</v>
      </c>
      <c r="BF278" s="80">
        <v>1817.39</v>
      </c>
      <c r="BG278" s="80">
        <v>1796.65</v>
      </c>
      <c r="BH278" s="73"/>
      <c r="BI278" s="73"/>
      <c r="BJ278" s="73"/>
      <c r="BK278" s="73"/>
      <c r="BL278" s="79">
        <v>43000</v>
      </c>
      <c r="BM278" s="79">
        <v>36434</v>
      </c>
      <c r="BN278" s="58" t="s">
        <v>44</v>
      </c>
      <c r="BO278" s="58" t="s">
        <v>70</v>
      </c>
      <c r="BP278" s="58" t="s">
        <v>184</v>
      </c>
      <c r="BQ278">
        <v>2016</v>
      </c>
      <c r="BR278" s="59"/>
      <c r="BV278" s="18"/>
      <c r="BW278" s="18"/>
    </row>
    <row r="279" spans="2:75" x14ac:dyDescent="0.3">
      <c r="B279" s="20" t="s">
        <v>912</v>
      </c>
      <c r="C279" s="20" t="s">
        <v>1374</v>
      </c>
      <c r="D279" s="57" t="s">
        <v>1238</v>
      </c>
      <c r="E279" s="58" t="s">
        <v>1101</v>
      </c>
      <c r="F279" s="96"/>
      <c r="G279" s="96"/>
      <c r="H279" s="58" t="s">
        <v>906</v>
      </c>
      <c r="I279" s="58" t="s">
        <v>906</v>
      </c>
      <c r="J279" s="59">
        <v>772723</v>
      </c>
      <c r="K279" s="95" t="s">
        <v>43</v>
      </c>
      <c r="L279" s="95"/>
      <c r="M279" s="58" t="s">
        <v>72</v>
      </c>
      <c r="N279" s="59">
        <v>99</v>
      </c>
      <c r="O279" s="58" t="s">
        <v>128</v>
      </c>
      <c r="P279" s="58" t="s">
        <v>1073</v>
      </c>
      <c r="Q279" s="58" t="s">
        <v>92</v>
      </c>
      <c r="R279" s="58" t="s">
        <v>913</v>
      </c>
      <c r="S279" s="58" t="s">
        <v>42</v>
      </c>
      <c r="T279" s="73">
        <v>2300000</v>
      </c>
      <c r="U279" s="74">
        <f t="shared" si="178"/>
        <v>2334186.6226259293</v>
      </c>
      <c r="V279" s="74">
        <v>515000</v>
      </c>
      <c r="W279" s="74">
        <v>2357694</v>
      </c>
      <c r="X279" s="74">
        <v>416232</v>
      </c>
      <c r="Y279" s="74">
        <v>1357.46</v>
      </c>
      <c r="Z279" s="74">
        <v>303.95</v>
      </c>
      <c r="AA279" s="75" t="s">
        <v>43</v>
      </c>
      <c r="AB279" s="74"/>
      <c r="AC279" s="74"/>
      <c r="AD279" s="75" t="s">
        <v>43</v>
      </c>
      <c r="AE279" s="74"/>
      <c r="AF279" s="74"/>
      <c r="AG279" s="74">
        <v>0</v>
      </c>
      <c r="AH279" s="75" t="s">
        <v>42</v>
      </c>
      <c r="AI279" s="74"/>
      <c r="AJ279" s="74">
        <f t="shared" si="170"/>
        <v>522183.95815170009</v>
      </c>
      <c r="AK279" s="74">
        <f t="shared" si="173"/>
        <v>2641866.2262592898</v>
      </c>
      <c r="AL279" s="74">
        <f t="shared" si="174"/>
        <v>545980.81952920661</v>
      </c>
      <c r="AM279" s="74">
        <f t="shared" si="175"/>
        <v>2773959.5375722544</v>
      </c>
      <c r="AN279" s="74">
        <f t="shared" si="175"/>
        <v>573279.86050566693</v>
      </c>
      <c r="AO279" s="74">
        <f t="shared" si="171"/>
        <v>2853215.5243600328</v>
      </c>
      <c r="AP279" s="74">
        <f t="shared" si="172"/>
        <v>573279.86050566693</v>
      </c>
      <c r="AQ279" s="74">
        <f t="shared" si="168"/>
        <v>3009085.6317093312</v>
      </c>
      <c r="AR279" s="76">
        <v>113.9</v>
      </c>
      <c r="AS279" s="74">
        <f t="shared" si="169"/>
        <v>573279.86050566693</v>
      </c>
      <c r="AT279" s="76">
        <v>105</v>
      </c>
      <c r="AU279" s="74">
        <f t="shared" si="179"/>
        <v>3275914.1205615192</v>
      </c>
      <c r="AV279" s="76">
        <v>124</v>
      </c>
      <c r="AW279" s="74">
        <f t="shared" si="180"/>
        <v>666096.59982563206</v>
      </c>
      <c r="AX279" s="76">
        <v>122</v>
      </c>
      <c r="AY279" s="77">
        <f t="shared" si="166"/>
        <v>3307617</v>
      </c>
      <c r="AZ279" s="78">
        <v>125.2</v>
      </c>
      <c r="BA279" s="77">
        <f t="shared" si="167"/>
        <v>673195</v>
      </c>
      <c r="BB279" s="78">
        <v>123.3</v>
      </c>
      <c r="BC279" s="79">
        <v>36526</v>
      </c>
      <c r="BD279" s="59"/>
      <c r="BE279" s="80">
        <v>1637.17</v>
      </c>
      <c r="BF279" s="80">
        <v>1627.82</v>
      </c>
      <c r="BG279" s="80">
        <v>1609.29</v>
      </c>
      <c r="BH279" s="73"/>
      <c r="BI279" s="73"/>
      <c r="BJ279" s="73"/>
      <c r="BK279" s="73"/>
      <c r="BL279" s="79">
        <v>43000</v>
      </c>
      <c r="BM279" s="79">
        <v>36434</v>
      </c>
      <c r="BN279" s="58" t="s">
        <v>44</v>
      </c>
      <c r="BO279" s="58" t="s">
        <v>70</v>
      </c>
      <c r="BP279" s="58" t="s">
        <v>184</v>
      </c>
      <c r="BQ279">
        <v>2016</v>
      </c>
      <c r="BR279" s="59"/>
      <c r="BV279" s="18"/>
      <c r="BW279" s="18"/>
    </row>
    <row r="280" spans="2:75" x14ac:dyDescent="0.3">
      <c r="B280" s="20" t="s">
        <v>914</v>
      </c>
      <c r="C280" s="20" t="s">
        <v>914</v>
      </c>
      <c r="D280" s="57" t="e">
        <v>#N/A</v>
      </c>
      <c r="E280" s="58" t="s">
        <v>1111</v>
      </c>
      <c r="F280" s="96"/>
      <c r="G280" s="96"/>
      <c r="H280" s="58" t="s">
        <v>261</v>
      </c>
      <c r="I280" s="58" t="s">
        <v>261</v>
      </c>
      <c r="J280" s="59">
        <v>779790</v>
      </c>
      <c r="K280" s="95" t="s">
        <v>43</v>
      </c>
      <c r="L280" s="95"/>
      <c r="M280" s="58" t="s">
        <v>48</v>
      </c>
      <c r="N280" s="59">
        <v>11</v>
      </c>
      <c r="O280" s="58" t="s">
        <v>40</v>
      </c>
      <c r="P280" s="58" t="s">
        <v>915</v>
      </c>
      <c r="Q280" s="58" t="s">
        <v>51</v>
      </c>
      <c r="R280" s="58" t="s">
        <v>916</v>
      </c>
      <c r="S280" s="58" t="s">
        <v>42</v>
      </c>
      <c r="T280" s="73">
        <v>500000</v>
      </c>
      <c r="U280" s="74">
        <f t="shared" si="178"/>
        <v>507431.87448389764</v>
      </c>
      <c r="V280" s="74"/>
      <c r="W280" s="74">
        <v>522836</v>
      </c>
      <c r="X280" s="74"/>
      <c r="Y280" s="74">
        <v>295.10000000000002</v>
      </c>
      <c r="Z280" s="74"/>
      <c r="AA280" s="75" t="s">
        <v>43</v>
      </c>
      <c r="AB280" s="74"/>
      <c r="AC280" s="74"/>
      <c r="AD280" s="75" t="s">
        <v>43</v>
      </c>
      <c r="AE280" s="74"/>
      <c r="AF280" s="74"/>
      <c r="AG280" s="74">
        <v>0</v>
      </c>
      <c r="AH280" s="75" t="s">
        <v>42</v>
      </c>
      <c r="AI280" s="74"/>
      <c r="AJ280" s="74">
        <f t="shared" si="170"/>
        <v>0</v>
      </c>
      <c r="AK280" s="74">
        <f t="shared" si="173"/>
        <v>574318.74483897607</v>
      </c>
      <c r="AL280" s="74">
        <f t="shared" si="174"/>
        <v>0</v>
      </c>
      <c r="AM280" s="74">
        <f t="shared" si="175"/>
        <v>603034.68208092486</v>
      </c>
      <c r="AN280" s="74">
        <f t="shared" si="175"/>
        <v>0</v>
      </c>
      <c r="AO280" s="74"/>
      <c r="AP280" s="74">
        <f t="shared" si="172"/>
        <v>0</v>
      </c>
      <c r="AQ280" s="74">
        <f t="shared" si="168"/>
        <v>0</v>
      </c>
      <c r="AR280" s="76">
        <v>113.9</v>
      </c>
      <c r="AS280" s="74">
        <f t="shared" si="169"/>
        <v>0</v>
      </c>
      <c r="AT280" s="76">
        <v>105</v>
      </c>
      <c r="AU280" s="74">
        <f t="shared" si="179"/>
        <v>0</v>
      </c>
      <c r="AV280" s="76">
        <v>124</v>
      </c>
      <c r="AW280" s="74">
        <f t="shared" si="180"/>
        <v>0</v>
      </c>
      <c r="AX280" s="76">
        <v>122</v>
      </c>
      <c r="AY280" s="77">
        <f t="shared" si="166"/>
        <v>0</v>
      </c>
      <c r="AZ280" s="78">
        <v>125.2</v>
      </c>
      <c r="BA280" s="77">
        <f t="shared" si="167"/>
        <v>0</v>
      </c>
      <c r="BB280" s="78">
        <v>123.3</v>
      </c>
      <c r="BC280" s="79">
        <v>36964</v>
      </c>
      <c r="BD280" s="59"/>
      <c r="BE280" s="80">
        <v>308.58</v>
      </c>
      <c r="BF280" s="80">
        <v>306.5</v>
      </c>
      <c r="BG280" s="80">
        <v>375.78</v>
      </c>
      <c r="BH280" s="73"/>
      <c r="BI280" s="73"/>
      <c r="BJ280" s="73"/>
      <c r="BK280" s="73"/>
      <c r="BL280" s="79">
        <v>43000</v>
      </c>
      <c r="BM280" s="79">
        <v>37123</v>
      </c>
      <c r="BN280" s="58" t="s">
        <v>44</v>
      </c>
      <c r="BO280" s="58" t="s">
        <v>44</v>
      </c>
      <c r="BP280" s="58" t="s">
        <v>184</v>
      </c>
      <c r="BQ280">
        <v>2016</v>
      </c>
      <c r="BR280" s="59"/>
      <c r="BV280" s="18"/>
      <c r="BW280" s="18"/>
    </row>
    <row r="281" spans="2:75" x14ac:dyDescent="0.3">
      <c r="B281" s="20" t="s">
        <v>917</v>
      </c>
      <c r="C281" s="20" t="s">
        <v>1375</v>
      </c>
      <c r="D281" s="57" t="s">
        <v>1239</v>
      </c>
      <c r="E281" s="58" t="s">
        <v>1123</v>
      </c>
      <c r="F281" s="96"/>
      <c r="G281" s="96"/>
      <c r="H281" s="58" t="s">
        <v>127</v>
      </c>
      <c r="I281" s="58" t="s">
        <v>127</v>
      </c>
      <c r="J281" s="59">
        <v>772723</v>
      </c>
      <c r="K281" s="95" t="s">
        <v>43</v>
      </c>
      <c r="L281" s="95"/>
      <c r="M281" s="58" t="s">
        <v>72</v>
      </c>
      <c r="N281" s="59">
        <v>99</v>
      </c>
      <c r="O281" s="58" t="s">
        <v>128</v>
      </c>
      <c r="P281" s="58" t="s">
        <v>918</v>
      </c>
      <c r="Q281" s="58" t="s">
        <v>217</v>
      </c>
      <c r="R281" s="58" t="s">
        <v>919</v>
      </c>
      <c r="S281" s="58" t="s">
        <v>42</v>
      </c>
      <c r="T281" s="73">
        <v>1500000</v>
      </c>
      <c r="U281" s="74">
        <f t="shared" si="178"/>
        <v>1522295.623451693</v>
      </c>
      <c r="V281" s="74">
        <v>320000</v>
      </c>
      <c r="W281" s="74">
        <v>1183779</v>
      </c>
      <c r="X281" s="74">
        <v>239271</v>
      </c>
      <c r="Y281" s="74">
        <v>885.3</v>
      </c>
      <c r="Z281" s="74">
        <v>188.86</v>
      </c>
      <c r="AA281" s="75" t="s">
        <v>43</v>
      </c>
      <c r="AB281" s="74"/>
      <c r="AC281" s="74"/>
      <c r="AD281" s="75" t="s">
        <v>43</v>
      </c>
      <c r="AE281" s="74"/>
      <c r="AF281" s="74"/>
      <c r="AG281" s="74">
        <v>0</v>
      </c>
      <c r="AH281" s="75" t="s">
        <v>42</v>
      </c>
      <c r="AI281" s="74"/>
      <c r="AJ281" s="74">
        <f t="shared" si="170"/>
        <v>324463.81865736702</v>
      </c>
      <c r="AK281" s="74">
        <f t="shared" si="173"/>
        <v>1722956.2345169282</v>
      </c>
      <c r="AL281" s="74">
        <f t="shared" si="174"/>
        <v>339250.21795989532</v>
      </c>
      <c r="AM281" s="74">
        <f t="shared" si="175"/>
        <v>1809104.0462427747</v>
      </c>
      <c r="AN281" s="74">
        <f t="shared" si="175"/>
        <v>356212.72885789012</v>
      </c>
      <c r="AO281" s="74">
        <f t="shared" si="171"/>
        <v>1860792.7332782827</v>
      </c>
      <c r="AP281" s="74">
        <f t="shared" si="172"/>
        <v>356212.72885789012</v>
      </c>
      <c r="AQ281" s="74">
        <f t="shared" si="168"/>
        <v>1962447.1511147816</v>
      </c>
      <c r="AR281" s="76">
        <v>113.9</v>
      </c>
      <c r="AS281" s="74">
        <f t="shared" si="169"/>
        <v>356212.72885789012</v>
      </c>
      <c r="AT281" s="76">
        <v>105</v>
      </c>
      <c r="AU281" s="74">
        <f t="shared" si="179"/>
        <v>2136465.7308009914</v>
      </c>
      <c r="AV281" s="76">
        <v>124</v>
      </c>
      <c r="AW281" s="74">
        <f t="shared" si="180"/>
        <v>413885.26591107238</v>
      </c>
      <c r="AX281" s="76">
        <v>122</v>
      </c>
      <c r="AY281" s="77">
        <f t="shared" si="166"/>
        <v>2157142</v>
      </c>
      <c r="AZ281" s="78">
        <v>125.2</v>
      </c>
      <c r="BA281" s="77">
        <f t="shared" si="167"/>
        <v>418296</v>
      </c>
      <c r="BB281" s="78">
        <v>123.3</v>
      </c>
      <c r="BC281" s="79">
        <v>36526</v>
      </c>
      <c r="BD281" s="59"/>
      <c r="BE281" s="80">
        <v>839.89</v>
      </c>
      <c r="BF281" s="80">
        <v>835.19</v>
      </c>
      <c r="BG281" s="80">
        <v>825.73</v>
      </c>
      <c r="BH281" s="73"/>
      <c r="BI281" s="73"/>
      <c r="BJ281" s="73"/>
      <c r="BK281" s="73"/>
      <c r="BL281" s="79">
        <v>43000</v>
      </c>
      <c r="BM281" s="79">
        <v>36434</v>
      </c>
      <c r="BN281" s="58" t="s">
        <v>44</v>
      </c>
      <c r="BO281" s="58" t="s">
        <v>70</v>
      </c>
      <c r="BP281" s="58" t="s">
        <v>184</v>
      </c>
      <c r="BQ281">
        <v>2016</v>
      </c>
      <c r="BR281" s="59"/>
      <c r="BV281" s="18"/>
      <c r="BW281" s="18"/>
    </row>
    <row r="282" spans="2:75" x14ac:dyDescent="0.3">
      <c r="B282" s="20" t="s">
        <v>920</v>
      </c>
      <c r="C282" s="20" t="s">
        <v>1376</v>
      </c>
      <c r="D282" s="57" t="s">
        <v>1239</v>
      </c>
      <c r="E282" s="58" t="s">
        <v>1123</v>
      </c>
      <c r="F282" s="96"/>
      <c r="G282" s="96"/>
      <c r="H282" s="58" t="s">
        <v>127</v>
      </c>
      <c r="I282" s="58" t="s">
        <v>127</v>
      </c>
      <c r="J282" s="59">
        <v>772724</v>
      </c>
      <c r="K282" s="95" t="s">
        <v>43</v>
      </c>
      <c r="L282" s="95"/>
      <c r="M282" s="58" t="s">
        <v>66</v>
      </c>
      <c r="N282" s="59">
        <v>99</v>
      </c>
      <c r="O282" s="58" t="s">
        <v>128</v>
      </c>
      <c r="P282" s="58" t="s">
        <v>123</v>
      </c>
      <c r="Q282" s="58" t="s">
        <v>124</v>
      </c>
      <c r="R282" s="58" t="s">
        <v>921</v>
      </c>
      <c r="S282" s="58" t="s">
        <v>42</v>
      </c>
      <c r="T282" s="73">
        <v>550000</v>
      </c>
      <c r="U282" s="74">
        <f t="shared" si="178"/>
        <v>558175.06193228741</v>
      </c>
      <c r="V282" s="74">
        <v>70000</v>
      </c>
      <c r="W282" s="74">
        <v>532701</v>
      </c>
      <c r="X282" s="74">
        <v>72280</v>
      </c>
      <c r="Y282" s="74">
        <v>324.61</v>
      </c>
      <c r="Z282" s="74">
        <v>41.31</v>
      </c>
      <c r="AA282" s="75" t="s">
        <v>43</v>
      </c>
      <c r="AB282" s="74"/>
      <c r="AC282" s="74"/>
      <c r="AD282" s="75" t="s">
        <v>43</v>
      </c>
      <c r="AE282" s="74"/>
      <c r="AF282" s="74"/>
      <c r="AG282" s="74">
        <v>0</v>
      </c>
      <c r="AH282" s="75" t="s">
        <v>42</v>
      </c>
      <c r="AI282" s="74"/>
      <c r="AJ282" s="74">
        <f t="shared" si="170"/>
        <v>70976.460331299037</v>
      </c>
      <c r="AK282" s="74">
        <f t="shared" si="173"/>
        <v>631750.61932287365</v>
      </c>
      <c r="AL282" s="74">
        <f t="shared" si="174"/>
        <v>74210.985178727104</v>
      </c>
      <c r="AM282" s="74">
        <f t="shared" si="175"/>
        <v>663338.15028901736</v>
      </c>
      <c r="AN282" s="74">
        <f t="shared" si="175"/>
        <v>77921.53443766346</v>
      </c>
      <c r="AO282" s="74">
        <f t="shared" si="171"/>
        <v>682290.66886870365</v>
      </c>
      <c r="AP282" s="74">
        <f t="shared" si="172"/>
        <v>77921.53443766346</v>
      </c>
      <c r="AQ282" s="74">
        <f t="shared" si="168"/>
        <v>719563.95540875325</v>
      </c>
      <c r="AR282" s="76">
        <v>113.9</v>
      </c>
      <c r="AS282" s="74">
        <f t="shared" si="169"/>
        <v>77921.53443766346</v>
      </c>
      <c r="AT282" s="76">
        <v>105</v>
      </c>
      <c r="AU282" s="74">
        <f t="shared" si="179"/>
        <v>783370.76796036342</v>
      </c>
      <c r="AV282" s="76">
        <v>124</v>
      </c>
      <c r="AW282" s="74">
        <f t="shared" si="180"/>
        <v>90537.401918047064</v>
      </c>
      <c r="AX282" s="76">
        <v>122</v>
      </c>
      <c r="AY282" s="77">
        <f t="shared" si="166"/>
        <v>790952</v>
      </c>
      <c r="AZ282" s="78">
        <v>125.2</v>
      </c>
      <c r="BA282" s="77">
        <f t="shared" si="167"/>
        <v>91503</v>
      </c>
      <c r="BB282" s="78">
        <v>123.3</v>
      </c>
      <c r="BC282" s="79">
        <v>36482</v>
      </c>
      <c r="BD282" s="59"/>
      <c r="BE282" s="80">
        <v>357.06</v>
      </c>
      <c r="BF282" s="80">
        <v>354.95</v>
      </c>
      <c r="BG282" s="80">
        <v>350.87</v>
      </c>
      <c r="BH282" s="73"/>
      <c r="BI282" s="73"/>
      <c r="BJ282" s="73"/>
      <c r="BK282" s="73"/>
      <c r="BL282" s="79">
        <v>43000</v>
      </c>
      <c r="BM282" s="79">
        <v>36434</v>
      </c>
      <c r="BN282" s="58" t="s">
        <v>44</v>
      </c>
      <c r="BO282" s="58" t="s">
        <v>70</v>
      </c>
      <c r="BP282" s="58" t="s">
        <v>184</v>
      </c>
      <c r="BQ282">
        <v>2016</v>
      </c>
      <c r="BR282" s="59"/>
      <c r="BV282" s="18"/>
      <c r="BW282" s="18"/>
    </row>
    <row r="283" spans="2:75" x14ac:dyDescent="0.3">
      <c r="B283" s="20" t="s">
        <v>922</v>
      </c>
      <c r="C283" s="20" t="s">
        <v>1419</v>
      </c>
      <c r="D283" s="57" t="s">
        <v>1418</v>
      </c>
      <c r="E283" s="58" t="s">
        <v>1111</v>
      </c>
      <c r="F283" s="96"/>
      <c r="G283" s="96"/>
      <c r="H283" s="58" t="s">
        <v>923</v>
      </c>
      <c r="I283" s="58" t="s">
        <v>923</v>
      </c>
      <c r="J283" s="59">
        <v>777773</v>
      </c>
      <c r="K283" s="95" t="s">
        <v>43</v>
      </c>
      <c r="L283" s="95"/>
      <c r="M283" s="58" t="s">
        <v>290</v>
      </c>
      <c r="N283" s="59">
        <v>11</v>
      </c>
      <c r="O283" s="58" t="s">
        <v>40</v>
      </c>
      <c r="P283" s="58" t="s">
        <v>924</v>
      </c>
      <c r="Q283" s="58" t="s">
        <v>925</v>
      </c>
      <c r="R283" s="58" t="s">
        <v>926</v>
      </c>
      <c r="S283" s="58" t="s">
        <v>42</v>
      </c>
      <c r="T283" s="73">
        <v>35000</v>
      </c>
      <c r="U283" s="74">
        <f t="shared" si="178"/>
        <v>35520.231213872838</v>
      </c>
      <c r="V283" s="74">
        <v>55000</v>
      </c>
      <c r="W283" s="74">
        <v>29594</v>
      </c>
      <c r="X283" s="74"/>
      <c r="Y283" s="74">
        <v>20.66</v>
      </c>
      <c r="Z283" s="74">
        <v>32.46</v>
      </c>
      <c r="AA283" s="75" t="s">
        <v>43</v>
      </c>
      <c r="AB283" s="74"/>
      <c r="AC283" s="74"/>
      <c r="AD283" s="75" t="s">
        <v>43</v>
      </c>
      <c r="AE283" s="74"/>
      <c r="AF283" s="74"/>
      <c r="AG283" s="74">
        <v>0</v>
      </c>
      <c r="AH283" s="75" t="s">
        <v>42</v>
      </c>
      <c r="AI283" s="74"/>
      <c r="AJ283" s="74">
        <f t="shared" si="170"/>
        <v>55767.218831734957</v>
      </c>
      <c r="AK283" s="74">
        <f t="shared" si="173"/>
        <v>40202.312138728324</v>
      </c>
      <c r="AL283" s="74">
        <f t="shared" si="174"/>
        <v>58308.631211857013</v>
      </c>
      <c r="AM283" s="74">
        <f t="shared" si="175"/>
        <v>42212.42774566474</v>
      </c>
      <c r="AN283" s="74">
        <f t="shared" si="175"/>
        <v>61224.06277244987</v>
      </c>
      <c r="AO283" s="74">
        <f t="shared" si="171"/>
        <v>43418.497109826589</v>
      </c>
      <c r="AP283" s="74">
        <f t="shared" si="172"/>
        <v>61224.06277244987</v>
      </c>
      <c r="AQ283" s="74">
        <f t="shared" si="168"/>
        <v>45790.433526011562</v>
      </c>
      <c r="AR283" s="76">
        <v>113.9</v>
      </c>
      <c r="AS283" s="74">
        <f t="shared" si="169"/>
        <v>61224.06277244987</v>
      </c>
      <c r="AT283" s="76">
        <v>105</v>
      </c>
      <c r="AU283" s="74">
        <f t="shared" si="179"/>
        <v>49850.867052023124</v>
      </c>
      <c r="AV283" s="76">
        <v>124</v>
      </c>
      <c r="AW283" s="74">
        <f t="shared" si="180"/>
        <v>71136.530078465556</v>
      </c>
      <c r="AX283" s="76">
        <v>122</v>
      </c>
      <c r="AY283" s="77">
        <f t="shared" si="166"/>
        <v>50334</v>
      </c>
      <c r="AZ283" s="78">
        <v>125.2</v>
      </c>
      <c r="BA283" s="77">
        <f t="shared" si="167"/>
        <v>71895</v>
      </c>
      <c r="BB283" s="78">
        <v>123.3</v>
      </c>
      <c r="BC283" s="79">
        <v>36704</v>
      </c>
      <c r="BD283" s="59"/>
      <c r="BE283" s="80">
        <v>17.47</v>
      </c>
      <c r="BF283" s="80">
        <v>17.350000000000001</v>
      </c>
      <c r="BG283" s="80">
        <v>17.14</v>
      </c>
      <c r="BH283" s="73"/>
      <c r="BI283" s="73"/>
      <c r="BJ283" s="73"/>
      <c r="BK283" s="73"/>
      <c r="BL283" s="79">
        <v>43146</v>
      </c>
      <c r="BM283" s="79">
        <v>36833</v>
      </c>
      <c r="BN283" s="58" t="s">
        <v>44</v>
      </c>
      <c r="BO283" s="58" t="s">
        <v>44</v>
      </c>
      <c r="BP283" s="58" t="s">
        <v>927</v>
      </c>
      <c r="BQ283">
        <v>2016</v>
      </c>
      <c r="BR283" s="59"/>
      <c r="BV283" s="18"/>
      <c r="BW283" s="18"/>
    </row>
    <row r="284" spans="2:75" x14ac:dyDescent="0.3">
      <c r="B284" s="20" t="s">
        <v>928</v>
      </c>
      <c r="C284" s="20" t="s">
        <v>1377</v>
      </c>
      <c r="D284" s="57" t="e">
        <v>#N/A</v>
      </c>
      <c r="E284" s="58" t="s">
        <v>1382</v>
      </c>
      <c r="F284" s="96"/>
      <c r="G284" s="96"/>
      <c r="H284" s="58" t="s">
        <v>929</v>
      </c>
      <c r="I284" s="58" t="s">
        <v>929</v>
      </c>
      <c r="J284" s="59">
        <v>777773</v>
      </c>
      <c r="K284" s="95" t="s">
        <v>43</v>
      </c>
      <c r="L284" s="95"/>
      <c r="M284" s="58" t="s">
        <v>290</v>
      </c>
      <c r="N284" s="59">
        <v>11</v>
      </c>
      <c r="O284" s="58" t="s">
        <v>40</v>
      </c>
      <c r="P284" s="58" t="s">
        <v>930</v>
      </c>
      <c r="Q284" s="58" t="s">
        <v>925</v>
      </c>
      <c r="R284" s="58" t="s">
        <v>931</v>
      </c>
      <c r="S284" s="58" t="s">
        <v>42</v>
      </c>
      <c r="T284" s="73">
        <v>160000</v>
      </c>
      <c r="U284" s="74">
        <f t="shared" si="178"/>
        <v>162378.19983484724</v>
      </c>
      <c r="V284" s="74">
        <v>61000</v>
      </c>
      <c r="W284" s="74">
        <v>147973</v>
      </c>
      <c r="X284" s="74"/>
      <c r="Y284" s="74">
        <v>94.43</v>
      </c>
      <c r="Z284" s="74">
        <v>36</v>
      </c>
      <c r="AA284" s="75" t="s">
        <v>43</v>
      </c>
      <c r="AB284" s="74"/>
      <c r="AC284" s="74"/>
      <c r="AD284" s="75" t="s">
        <v>43</v>
      </c>
      <c r="AE284" s="74"/>
      <c r="AF284" s="74"/>
      <c r="AG284" s="74">
        <v>0</v>
      </c>
      <c r="AH284" s="75" t="s">
        <v>42</v>
      </c>
      <c r="AI284" s="74"/>
      <c r="AJ284" s="74">
        <f t="shared" si="170"/>
        <v>61850.915431560592</v>
      </c>
      <c r="AK284" s="74">
        <f t="shared" si="173"/>
        <v>183781.99834847232</v>
      </c>
      <c r="AL284" s="74">
        <f t="shared" si="174"/>
        <v>64669.572798605048</v>
      </c>
      <c r="AM284" s="74">
        <f t="shared" si="175"/>
        <v>192971.09826589594</v>
      </c>
      <c r="AN284" s="74">
        <f t="shared" si="175"/>
        <v>67903.051438535302</v>
      </c>
      <c r="AO284" s="74">
        <f t="shared" si="171"/>
        <v>198484.55821635012</v>
      </c>
      <c r="AP284" s="74">
        <f t="shared" si="172"/>
        <v>67903.051438535302</v>
      </c>
      <c r="AQ284" s="74">
        <f t="shared" si="168"/>
        <v>209327.69611891001</v>
      </c>
      <c r="AR284" s="76">
        <v>113.9</v>
      </c>
      <c r="AS284" s="74">
        <f t="shared" si="169"/>
        <v>67903.051438535302</v>
      </c>
      <c r="AT284" s="76">
        <v>105</v>
      </c>
      <c r="AU284" s="74">
        <f t="shared" si="179"/>
        <v>227889.6779521057</v>
      </c>
      <c r="AV284" s="76">
        <v>124</v>
      </c>
      <c r="AW284" s="74">
        <f t="shared" si="180"/>
        <v>78896.878814298165</v>
      </c>
      <c r="AX284" s="76">
        <v>122</v>
      </c>
      <c r="AY284" s="77">
        <f t="shared" si="166"/>
        <v>230096</v>
      </c>
      <c r="AZ284" s="78">
        <v>125.2</v>
      </c>
      <c r="BA284" s="77">
        <f t="shared" si="167"/>
        <v>79738</v>
      </c>
      <c r="BB284" s="78">
        <v>123.3</v>
      </c>
      <c r="BC284" s="79">
        <v>36704</v>
      </c>
      <c r="BD284" s="59"/>
      <c r="BE284" s="80">
        <v>87.33</v>
      </c>
      <c r="BF284" s="80">
        <v>86.75</v>
      </c>
      <c r="BG284" s="80">
        <v>85.72</v>
      </c>
      <c r="BH284" s="73"/>
      <c r="BI284" s="73"/>
      <c r="BJ284" s="73"/>
      <c r="BK284" s="73"/>
      <c r="BL284" s="79">
        <v>43146</v>
      </c>
      <c r="BM284" s="79">
        <v>36833</v>
      </c>
      <c r="BN284" s="58" t="s">
        <v>44</v>
      </c>
      <c r="BO284" s="58" t="s">
        <v>44</v>
      </c>
      <c r="BP284" s="58" t="s">
        <v>932</v>
      </c>
      <c r="BQ284">
        <v>2016</v>
      </c>
      <c r="BR284" s="59"/>
      <c r="BV284" s="18"/>
      <c r="BW284" s="18"/>
    </row>
    <row r="285" spans="2:75" x14ac:dyDescent="0.3">
      <c r="B285" s="20" t="s">
        <v>933</v>
      </c>
      <c r="C285" s="20" t="s">
        <v>1417</v>
      </c>
      <c r="D285" s="57" t="s">
        <v>1416</v>
      </c>
      <c r="E285" s="58" t="s">
        <v>669</v>
      </c>
      <c r="F285" s="96"/>
      <c r="G285" s="96"/>
      <c r="H285" s="58" t="s">
        <v>669</v>
      </c>
      <c r="I285" s="58" t="s">
        <v>669</v>
      </c>
      <c r="J285" s="59">
        <v>777773</v>
      </c>
      <c r="K285" s="95" t="s">
        <v>43</v>
      </c>
      <c r="L285" s="95"/>
      <c r="M285" s="58" t="s">
        <v>290</v>
      </c>
      <c r="N285" s="59">
        <v>11</v>
      </c>
      <c r="O285" s="58" t="s">
        <v>40</v>
      </c>
      <c r="P285" s="58" t="s">
        <v>934</v>
      </c>
      <c r="Q285" s="58" t="s">
        <v>925</v>
      </c>
      <c r="R285" s="58" t="s">
        <v>935</v>
      </c>
      <c r="S285" s="58" t="s">
        <v>42</v>
      </c>
      <c r="T285" s="73">
        <v>180000</v>
      </c>
      <c r="U285" s="74">
        <f t="shared" si="178"/>
        <v>182675.47481420316</v>
      </c>
      <c r="V285" s="74">
        <v>57000</v>
      </c>
      <c r="W285" s="74">
        <v>172636</v>
      </c>
      <c r="X285" s="74"/>
      <c r="Y285" s="74">
        <v>106.24</v>
      </c>
      <c r="Z285" s="74">
        <v>33.64</v>
      </c>
      <c r="AA285" s="75" t="s">
        <v>43</v>
      </c>
      <c r="AB285" s="74"/>
      <c r="AC285" s="74"/>
      <c r="AD285" s="75" t="s">
        <v>43</v>
      </c>
      <c r="AE285" s="74"/>
      <c r="AF285" s="74"/>
      <c r="AG285" s="74">
        <v>0</v>
      </c>
      <c r="AH285" s="75" t="s">
        <v>42</v>
      </c>
      <c r="AI285" s="74"/>
      <c r="AJ285" s="74">
        <f t="shared" si="170"/>
        <v>57795.1176983435</v>
      </c>
      <c r="AK285" s="74">
        <f t="shared" si="173"/>
        <v>206754.7481420314</v>
      </c>
      <c r="AL285" s="74">
        <f t="shared" si="174"/>
        <v>60428.945074106356</v>
      </c>
      <c r="AM285" s="74">
        <f t="shared" si="175"/>
        <v>217092.48554913298</v>
      </c>
      <c r="AN285" s="74">
        <f t="shared" si="175"/>
        <v>63450.392327811678</v>
      </c>
      <c r="AO285" s="74">
        <f t="shared" si="171"/>
        <v>223295.12799339389</v>
      </c>
      <c r="AP285" s="74">
        <f t="shared" si="172"/>
        <v>63450.392327811678</v>
      </c>
      <c r="AQ285" s="74">
        <f t="shared" si="168"/>
        <v>235493.65813377377</v>
      </c>
      <c r="AR285" s="76">
        <v>113.9</v>
      </c>
      <c r="AS285" s="74">
        <f t="shared" si="169"/>
        <v>63450.392327811678</v>
      </c>
      <c r="AT285" s="76">
        <v>105</v>
      </c>
      <c r="AU285" s="74">
        <f t="shared" si="179"/>
        <v>256375.88769611894</v>
      </c>
      <c r="AV285" s="76">
        <v>124</v>
      </c>
      <c r="AW285" s="74">
        <f t="shared" si="180"/>
        <v>73723.312990409759</v>
      </c>
      <c r="AX285" s="76">
        <v>122</v>
      </c>
      <c r="AY285" s="77">
        <f t="shared" si="166"/>
        <v>258857</v>
      </c>
      <c r="AZ285" s="78">
        <v>125.2</v>
      </c>
      <c r="BA285" s="77">
        <f t="shared" si="167"/>
        <v>74509</v>
      </c>
      <c r="BB285" s="78">
        <v>123.3</v>
      </c>
      <c r="BC285" s="79">
        <v>36704</v>
      </c>
      <c r="BD285" s="59"/>
      <c r="BE285" s="80">
        <v>101.89</v>
      </c>
      <c r="BF285" s="80">
        <v>101.2</v>
      </c>
      <c r="BG285" s="80">
        <v>100.01</v>
      </c>
      <c r="BH285" s="73"/>
      <c r="BI285" s="73"/>
      <c r="BJ285" s="73"/>
      <c r="BK285" s="73"/>
      <c r="BL285" s="79">
        <v>43146</v>
      </c>
      <c r="BM285" s="79">
        <v>36833</v>
      </c>
      <c r="BN285" s="58" t="s">
        <v>44</v>
      </c>
      <c r="BO285" s="58" t="s">
        <v>44</v>
      </c>
      <c r="BP285" s="58" t="s">
        <v>932</v>
      </c>
      <c r="BQ285">
        <v>2016</v>
      </c>
      <c r="BR285" s="59"/>
      <c r="BV285" s="18"/>
      <c r="BW285" s="18"/>
    </row>
    <row r="286" spans="2:75" x14ac:dyDescent="0.3">
      <c r="B286" s="20" t="s">
        <v>936</v>
      </c>
      <c r="C286" s="20" t="s">
        <v>1421</v>
      </c>
      <c r="D286" s="57" t="s">
        <v>1420</v>
      </c>
      <c r="E286" s="58" t="s">
        <v>115</v>
      </c>
      <c r="F286" s="96"/>
      <c r="G286" s="96"/>
      <c r="H286" s="58" t="s">
        <v>115</v>
      </c>
      <c r="I286" s="58" t="s">
        <v>115</v>
      </c>
      <c r="J286" s="59">
        <v>777773</v>
      </c>
      <c r="K286" s="95" t="s">
        <v>43</v>
      </c>
      <c r="L286" s="95"/>
      <c r="M286" s="58" t="s">
        <v>290</v>
      </c>
      <c r="N286" s="59">
        <v>11</v>
      </c>
      <c r="O286" s="58" t="s">
        <v>40</v>
      </c>
      <c r="P286" s="58" t="s">
        <v>937</v>
      </c>
      <c r="Q286" s="58" t="s">
        <v>925</v>
      </c>
      <c r="R286" s="58" t="s">
        <v>938</v>
      </c>
      <c r="S286" s="58" t="s">
        <v>42</v>
      </c>
      <c r="T286" s="73">
        <v>85000</v>
      </c>
      <c r="U286" s="74">
        <f>122.9*T286/121.1</f>
        <v>86263.4186622626</v>
      </c>
      <c r="V286" s="74">
        <v>52000</v>
      </c>
      <c r="W286" s="74">
        <v>78919</v>
      </c>
      <c r="X286" s="74"/>
      <c r="Y286" s="74">
        <v>50.17</v>
      </c>
      <c r="Z286" s="74">
        <v>30.69</v>
      </c>
      <c r="AA286" s="75" t="s">
        <v>43</v>
      </c>
      <c r="AB286" s="74"/>
      <c r="AC286" s="74"/>
      <c r="AD286" s="75" t="s">
        <v>43</v>
      </c>
      <c r="AE286" s="74"/>
      <c r="AF286" s="74"/>
      <c r="AG286" s="74">
        <v>0</v>
      </c>
      <c r="AH286" s="75" t="s">
        <v>42</v>
      </c>
      <c r="AI286" s="74"/>
      <c r="AJ286" s="74">
        <f t="shared" si="170"/>
        <v>52725.37053182214</v>
      </c>
      <c r="AK286" s="74">
        <f t="shared" si="173"/>
        <v>97634.18662262593</v>
      </c>
      <c r="AL286" s="74">
        <f t="shared" si="174"/>
        <v>55128.160418482992</v>
      </c>
      <c r="AM286" s="74">
        <f t="shared" si="175"/>
        <v>102515.89595375724</v>
      </c>
      <c r="AN286" s="74">
        <f t="shared" si="175"/>
        <v>57884.568439407143</v>
      </c>
      <c r="AO286" s="74">
        <f t="shared" si="171"/>
        <v>105444.92155243602</v>
      </c>
      <c r="AP286" s="74">
        <f t="shared" si="172"/>
        <v>57884.568439407143</v>
      </c>
      <c r="AQ286" s="74">
        <f t="shared" si="168"/>
        <v>111205.33856317095</v>
      </c>
      <c r="AR286" s="76">
        <v>113.9</v>
      </c>
      <c r="AS286" s="74">
        <f t="shared" si="169"/>
        <v>57884.568439407143</v>
      </c>
      <c r="AT286" s="76">
        <v>105</v>
      </c>
      <c r="AU286" s="74">
        <f t="shared" si="179"/>
        <v>121066.39141205617</v>
      </c>
      <c r="AV286" s="76">
        <v>124</v>
      </c>
      <c r="AW286" s="74">
        <f t="shared" si="180"/>
        <v>67256.355710549251</v>
      </c>
      <c r="AX286" s="76">
        <v>122</v>
      </c>
      <c r="AY286" s="77">
        <f t="shared" si="166"/>
        <v>122239</v>
      </c>
      <c r="AZ286" s="78">
        <v>125.2</v>
      </c>
      <c r="BA286" s="77">
        <f t="shared" si="167"/>
        <v>67974</v>
      </c>
      <c r="BB286" s="78">
        <v>123.3</v>
      </c>
      <c r="BC286" s="79">
        <v>36704</v>
      </c>
      <c r="BD286" s="59"/>
      <c r="BE286" s="80">
        <v>46.58</v>
      </c>
      <c r="BF286" s="80">
        <v>46.26</v>
      </c>
      <c r="BG286" s="80">
        <v>45.72</v>
      </c>
      <c r="BH286" s="73"/>
      <c r="BI286" s="73"/>
      <c r="BJ286" s="73"/>
      <c r="BK286" s="73"/>
      <c r="BL286" s="79">
        <v>43146</v>
      </c>
      <c r="BM286" s="79">
        <v>36833</v>
      </c>
      <c r="BN286" s="58" t="s">
        <v>44</v>
      </c>
      <c r="BO286" s="58" t="s">
        <v>44</v>
      </c>
      <c r="BP286" s="58" t="s">
        <v>932</v>
      </c>
      <c r="BQ286">
        <v>2016</v>
      </c>
      <c r="BR286" s="59"/>
      <c r="BV286" s="18"/>
      <c r="BW286" s="18"/>
    </row>
    <row r="287" spans="2:75" x14ac:dyDescent="0.3">
      <c r="B287" s="20" t="s">
        <v>939</v>
      </c>
      <c r="C287" s="20" t="s">
        <v>1425</v>
      </c>
      <c r="D287" s="57" t="s">
        <v>1424</v>
      </c>
      <c r="E287" s="58" t="s">
        <v>1384</v>
      </c>
      <c r="F287" s="96"/>
      <c r="G287" s="96"/>
      <c r="H287" s="58" t="s">
        <v>155</v>
      </c>
      <c r="I287" s="58" t="s">
        <v>155</v>
      </c>
      <c r="J287" s="59">
        <v>777773</v>
      </c>
      <c r="K287" s="95" t="s">
        <v>43</v>
      </c>
      <c r="L287" s="95"/>
      <c r="M287" s="58" t="s">
        <v>290</v>
      </c>
      <c r="N287" s="59">
        <v>11</v>
      </c>
      <c r="O287" s="58" t="s">
        <v>40</v>
      </c>
      <c r="P287" s="58" t="s">
        <v>940</v>
      </c>
      <c r="Q287" s="58" t="s">
        <v>925</v>
      </c>
      <c r="R287" s="58" t="s">
        <v>941</v>
      </c>
      <c r="S287" s="58" t="s">
        <v>42</v>
      </c>
      <c r="T287" s="73">
        <v>85000</v>
      </c>
      <c r="U287" s="74">
        <f>122.9*T287/121.1</f>
        <v>86263.4186622626</v>
      </c>
      <c r="V287" s="74">
        <v>52000</v>
      </c>
      <c r="W287" s="74">
        <v>78919</v>
      </c>
      <c r="X287" s="74"/>
      <c r="Y287" s="74">
        <v>50.17</v>
      </c>
      <c r="Z287" s="74">
        <v>30.69</v>
      </c>
      <c r="AA287" s="75" t="s">
        <v>43</v>
      </c>
      <c r="AB287" s="74"/>
      <c r="AC287" s="74"/>
      <c r="AD287" s="75" t="s">
        <v>43</v>
      </c>
      <c r="AE287" s="74"/>
      <c r="AF287" s="74"/>
      <c r="AG287" s="74">
        <v>0</v>
      </c>
      <c r="AH287" s="75" t="s">
        <v>42</v>
      </c>
      <c r="AI287" s="74"/>
      <c r="AJ287" s="74">
        <f t="shared" si="170"/>
        <v>52725.37053182214</v>
      </c>
      <c r="AK287" s="74">
        <f t="shared" si="173"/>
        <v>97634.18662262593</v>
      </c>
      <c r="AL287" s="74">
        <f t="shared" si="174"/>
        <v>55128.160418482992</v>
      </c>
      <c r="AM287" s="74">
        <f t="shared" si="175"/>
        <v>102515.89595375724</v>
      </c>
      <c r="AN287" s="74">
        <f t="shared" si="175"/>
        <v>57884.568439407143</v>
      </c>
      <c r="AO287" s="74">
        <f t="shared" si="171"/>
        <v>105444.92155243602</v>
      </c>
      <c r="AP287" s="74">
        <f t="shared" si="172"/>
        <v>57884.568439407143</v>
      </c>
      <c r="AQ287" s="74">
        <f t="shared" si="168"/>
        <v>111205.33856317095</v>
      </c>
      <c r="AR287" s="76">
        <v>113.9</v>
      </c>
      <c r="AS287" s="74">
        <f t="shared" si="169"/>
        <v>57884.568439407143</v>
      </c>
      <c r="AT287" s="76">
        <v>105</v>
      </c>
      <c r="AU287" s="74">
        <f t="shared" si="179"/>
        <v>121066.39141205617</v>
      </c>
      <c r="AV287" s="76">
        <v>124</v>
      </c>
      <c r="AW287" s="74">
        <f t="shared" si="180"/>
        <v>67256.355710549251</v>
      </c>
      <c r="AX287" s="76">
        <v>122</v>
      </c>
      <c r="AY287" s="77">
        <f t="shared" si="166"/>
        <v>122239</v>
      </c>
      <c r="AZ287" s="78">
        <v>125.2</v>
      </c>
      <c r="BA287" s="77">
        <f t="shared" si="167"/>
        <v>67974</v>
      </c>
      <c r="BB287" s="78">
        <v>123.3</v>
      </c>
      <c r="BC287" s="79">
        <v>36704</v>
      </c>
      <c r="BD287" s="59"/>
      <c r="BE287" s="80">
        <v>46.58</v>
      </c>
      <c r="BF287" s="80">
        <v>46.26</v>
      </c>
      <c r="BG287" s="80">
        <v>45.72</v>
      </c>
      <c r="BH287" s="73"/>
      <c r="BI287" s="73"/>
      <c r="BJ287" s="73"/>
      <c r="BK287" s="73"/>
      <c r="BL287" s="79">
        <v>43146</v>
      </c>
      <c r="BM287" s="79">
        <v>36833</v>
      </c>
      <c r="BN287" s="58" t="s">
        <v>44</v>
      </c>
      <c r="BO287" s="58" t="s">
        <v>44</v>
      </c>
      <c r="BP287" s="58" t="s">
        <v>932</v>
      </c>
      <c r="BQ287">
        <v>2016</v>
      </c>
      <c r="BR287" s="59"/>
      <c r="BV287" s="18"/>
      <c r="BW287" s="18"/>
    </row>
    <row r="288" spans="2:75" x14ac:dyDescent="0.3">
      <c r="B288" s="20" t="s">
        <v>942</v>
      </c>
      <c r="C288" s="20" t="s">
        <v>1423</v>
      </c>
      <c r="D288" s="57" t="s">
        <v>1422</v>
      </c>
      <c r="E288" s="58" t="s">
        <v>1123</v>
      </c>
      <c r="F288" s="96"/>
      <c r="G288" s="96"/>
      <c r="H288" s="58" t="s">
        <v>849</v>
      </c>
      <c r="I288" s="58" t="s">
        <v>849</v>
      </c>
      <c r="J288" s="59">
        <v>777773</v>
      </c>
      <c r="K288" s="95" t="s">
        <v>43</v>
      </c>
      <c r="L288" s="95"/>
      <c r="M288" s="58" t="s">
        <v>290</v>
      </c>
      <c r="N288" s="59">
        <v>11</v>
      </c>
      <c r="O288" s="58" t="s">
        <v>40</v>
      </c>
      <c r="P288" s="58" t="s">
        <v>943</v>
      </c>
      <c r="Q288" s="58" t="s">
        <v>925</v>
      </c>
      <c r="R288" s="58" t="s">
        <v>944</v>
      </c>
      <c r="S288" s="58" t="s">
        <v>42</v>
      </c>
      <c r="T288" s="73">
        <v>17000</v>
      </c>
      <c r="U288" s="74">
        <f>122.9*T288/121.1</f>
        <v>17252.683732452519</v>
      </c>
      <c r="V288" s="74">
        <v>12000</v>
      </c>
      <c r="W288" s="74">
        <v>14797</v>
      </c>
      <c r="X288" s="74"/>
      <c r="Y288" s="74">
        <v>10.029999999999999</v>
      </c>
      <c r="Z288" s="74">
        <v>7.08</v>
      </c>
      <c r="AA288" s="75" t="s">
        <v>43</v>
      </c>
      <c r="AB288" s="74"/>
      <c r="AC288" s="74"/>
      <c r="AD288" s="75" t="s">
        <v>43</v>
      </c>
      <c r="AE288" s="74"/>
      <c r="AF288" s="74"/>
      <c r="AG288" s="74">
        <v>0</v>
      </c>
      <c r="AH288" s="75" t="s">
        <v>42</v>
      </c>
      <c r="AI288" s="74"/>
      <c r="AJ288" s="74">
        <f t="shared" si="170"/>
        <v>12167.393199651264</v>
      </c>
      <c r="AK288" s="74">
        <f t="shared" si="173"/>
        <v>19526.837324525186</v>
      </c>
      <c r="AL288" s="74">
        <f t="shared" si="174"/>
        <v>12721.883173496075</v>
      </c>
      <c r="AM288" s="74">
        <f t="shared" si="175"/>
        <v>20503.179190751445</v>
      </c>
      <c r="AN288" s="74">
        <f t="shared" si="175"/>
        <v>13357.97733217088</v>
      </c>
      <c r="AO288" s="74">
        <f t="shared" si="171"/>
        <v>21088.984310487202</v>
      </c>
      <c r="AP288" s="74">
        <f t="shared" si="172"/>
        <v>13357.97733217088</v>
      </c>
      <c r="AQ288" s="74">
        <f t="shared" si="168"/>
        <v>22241.067712634187</v>
      </c>
      <c r="AR288" s="76">
        <v>113.9</v>
      </c>
      <c r="AS288" s="74">
        <f t="shared" si="169"/>
        <v>13357.97733217088</v>
      </c>
      <c r="AT288" s="76">
        <v>105</v>
      </c>
      <c r="AU288" s="74">
        <f t="shared" si="179"/>
        <v>24213.278282411233</v>
      </c>
      <c r="AV288" s="76">
        <v>124</v>
      </c>
      <c r="AW288" s="74">
        <f t="shared" si="180"/>
        <v>15520.697471665213</v>
      </c>
      <c r="AX288" s="76">
        <v>122</v>
      </c>
      <c r="AY288" s="77">
        <f t="shared" si="166"/>
        <v>24448</v>
      </c>
      <c r="AZ288" s="78">
        <v>125.2</v>
      </c>
      <c r="BA288" s="77">
        <f t="shared" si="167"/>
        <v>15687</v>
      </c>
      <c r="BB288" s="78">
        <v>123.3</v>
      </c>
      <c r="BC288" s="79">
        <v>36704</v>
      </c>
      <c r="BD288" s="59"/>
      <c r="BE288" s="80">
        <v>8.73</v>
      </c>
      <c r="BF288" s="80">
        <v>8.67</v>
      </c>
      <c r="BG288" s="80">
        <v>8.57</v>
      </c>
      <c r="BH288" s="73"/>
      <c r="BI288" s="73"/>
      <c r="BJ288" s="73"/>
      <c r="BK288" s="73"/>
      <c r="BL288" s="79">
        <v>43146</v>
      </c>
      <c r="BM288" s="79">
        <v>36833</v>
      </c>
      <c r="BN288" s="58" t="s">
        <v>44</v>
      </c>
      <c r="BO288" s="58" t="s">
        <v>44</v>
      </c>
      <c r="BP288" s="58" t="s">
        <v>945</v>
      </c>
      <c r="BQ288">
        <v>2016</v>
      </c>
      <c r="BR288" s="59"/>
      <c r="BV288" s="18"/>
      <c r="BW288" s="18"/>
    </row>
    <row r="289" spans="2:75" x14ac:dyDescent="0.3">
      <c r="B289" s="20" t="s">
        <v>946</v>
      </c>
      <c r="C289" s="20" t="s">
        <v>1378</v>
      </c>
      <c r="D289" s="57" t="e">
        <v>#N/A</v>
      </c>
      <c r="E289" s="58" t="s">
        <v>562</v>
      </c>
      <c r="F289" s="96"/>
      <c r="G289" s="96"/>
      <c r="H289" s="58" t="s">
        <v>562</v>
      </c>
      <c r="I289" s="58" t="s">
        <v>562</v>
      </c>
      <c r="J289" s="59">
        <v>777773</v>
      </c>
      <c r="K289" s="95" t="s">
        <v>43</v>
      </c>
      <c r="L289" s="95"/>
      <c r="M289" s="58" t="s">
        <v>290</v>
      </c>
      <c r="N289" s="59">
        <v>11</v>
      </c>
      <c r="O289" s="58" t="s">
        <v>40</v>
      </c>
      <c r="P289" s="58" t="s">
        <v>947</v>
      </c>
      <c r="Q289" s="58" t="s">
        <v>42</v>
      </c>
      <c r="R289" s="58" t="s">
        <v>948</v>
      </c>
      <c r="S289" s="58" t="s">
        <v>42</v>
      </c>
      <c r="T289" s="73">
        <v>110000</v>
      </c>
      <c r="U289" s="74">
        <f>122.9*T289/121.1</f>
        <v>111635.01238645749</v>
      </c>
      <c r="V289" s="74">
        <v>66000</v>
      </c>
      <c r="W289" s="74">
        <v>80541</v>
      </c>
      <c r="X289" s="74"/>
      <c r="Y289" s="74">
        <v>64.92</v>
      </c>
      <c r="Z289" s="74">
        <v>38.950000000000003</v>
      </c>
      <c r="AA289" s="75" t="s">
        <v>43</v>
      </c>
      <c r="AB289" s="74"/>
      <c r="AC289" s="74"/>
      <c r="AD289" s="75" t="s">
        <v>43</v>
      </c>
      <c r="AE289" s="74"/>
      <c r="AF289" s="74"/>
      <c r="AG289" s="74">
        <v>0</v>
      </c>
      <c r="AH289" s="75" t="s">
        <v>42</v>
      </c>
      <c r="AI289" s="74"/>
      <c r="AJ289" s="74">
        <f t="shared" si="170"/>
        <v>66920.662598081952</v>
      </c>
      <c r="AK289" s="74">
        <f t="shared" si="173"/>
        <v>126350.12386457474</v>
      </c>
      <c r="AL289" s="74">
        <f t="shared" si="174"/>
        <v>69970.357454228419</v>
      </c>
      <c r="AM289" s="74">
        <f t="shared" si="175"/>
        <v>132667.63005780347</v>
      </c>
      <c r="AN289" s="74">
        <f t="shared" si="175"/>
        <v>73468.875326939844</v>
      </c>
      <c r="AO289" s="74">
        <f t="shared" si="171"/>
        <v>136458.13377374073</v>
      </c>
      <c r="AP289" s="74">
        <f t="shared" si="172"/>
        <v>73468.875326939844</v>
      </c>
      <c r="AQ289" s="74">
        <f t="shared" si="168"/>
        <v>143912.79108175065</v>
      </c>
      <c r="AR289" s="76">
        <v>113.9</v>
      </c>
      <c r="AS289" s="74">
        <f t="shared" si="169"/>
        <v>73468.875326939844</v>
      </c>
      <c r="AT289" s="76">
        <v>105</v>
      </c>
      <c r="AU289" s="74">
        <f t="shared" si="179"/>
        <v>156674.15359207269</v>
      </c>
      <c r="AV289" s="76">
        <v>124</v>
      </c>
      <c r="AW289" s="74">
        <f t="shared" si="180"/>
        <v>85363.836094158672</v>
      </c>
      <c r="AX289" s="76">
        <v>122</v>
      </c>
      <c r="AY289" s="77">
        <f t="shared" si="166"/>
        <v>158191</v>
      </c>
      <c r="AZ289" s="78">
        <v>125.2</v>
      </c>
      <c r="BA289" s="77">
        <f t="shared" si="167"/>
        <v>86274</v>
      </c>
      <c r="BB289" s="78">
        <v>123.3</v>
      </c>
      <c r="BC289" s="79">
        <v>42005</v>
      </c>
      <c r="BD289" s="59"/>
      <c r="BE289" s="80">
        <v>47.54</v>
      </c>
      <c r="BF289" s="80">
        <v>47.22</v>
      </c>
      <c r="BG289" s="80"/>
      <c r="BH289" s="73"/>
      <c r="BI289" s="73"/>
      <c r="BJ289" s="73"/>
      <c r="BK289" s="73"/>
      <c r="BL289" s="79">
        <v>43146</v>
      </c>
      <c r="BM289" s="79">
        <v>42405</v>
      </c>
      <c r="BN289" s="58" t="s">
        <v>44</v>
      </c>
      <c r="BO289" s="58" t="s">
        <v>44</v>
      </c>
      <c r="BP289" s="58" t="s">
        <v>221</v>
      </c>
      <c r="BQ289">
        <v>2016</v>
      </c>
      <c r="BR289" s="59"/>
      <c r="BV289" s="18"/>
      <c r="BW289" s="18"/>
    </row>
    <row r="290" spans="2:75" x14ac:dyDescent="0.3">
      <c r="B290" s="7"/>
      <c r="C290" s="7"/>
      <c r="D290" s="61"/>
      <c r="E290" s="60"/>
      <c r="F290" s="60"/>
      <c r="G290" s="60"/>
      <c r="H290" s="60"/>
      <c r="I290" s="60"/>
      <c r="M290" s="60"/>
      <c r="O290" s="60"/>
      <c r="P290" s="20" t="s">
        <v>998</v>
      </c>
      <c r="Q290" s="20"/>
      <c r="R290" s="20"/>
      <c r="S290" s="20"/>
      <c r="T290" s="19">
        <f>SUM(T5:T289)</f>
        <v>569419713</v>
      </c>
      <c r="U290" s="1">
        <f>SUM(U5:U289)</f>
        <v>570324514.36168468</v>
      </c>
      <c r="V290" s="1">
        <f>SUM(V5:V289)</f>
        <v>93877815</v>
      </c>
      <c r="W290" s="1"/>
      <c r="X290" s="1"/>
      <c r="Y290" s="1"/>
      <c r="Z290" s="1"/>
      <c r="AA290" s="2"/>
      <c r="AB290" s="1"/>
      <c r="AC290" s="1"/>
      <c r="AD290" s="2"/>
      <c r="AE290" s="1"/>
      <c r="AF290" s="1"/>
      <c r="AG290" s="1"/>
      <c r="AH290" s="2"/>
      <c r="AI290" s="1"/>
      <c r="AJ290" s="1">
        <f t="shared" ref="AJ290:AQ290" si="181">SUM(AJ5:AJ289)</f>
        <v>94972868.946817771</v>
      </c>
      <c r="AK290" s="1">
        <f t="shared" si="181"/>
        <v>645501545.54686952</v>
      </c>
      <c r="AL290" s="1">
        <f t="shared" si="181"/>
        <v>99300953.258237705</v>
      </c>
      <c r="AM290" s="1">
        <f t="shared" si="181"/>
        <v>684886236.60636294</v>
      </c>
      <c r="AN290" s="1">
        <f t="shared" si="181"/>
        <v>104785323.51961762</v>
      </c>
      <c r="AO290" s="74">
        <f t="shared" si="181"/>
        <v>696260470.63078856</v>
      </c>
      <c r="AP290" s="74">
        <f t="shared" si="181"/>
        <v>104009224.55623487</v>
      </c>
      <c r="AQ290" s="74">
        <f t="shared" si="181"/>
        <v>782826011.56520224</v>
      </c>
      <c r="AR290" s="76"/>
      <c r="AS290" s="74">
        <f>SUM(AS5:AS289)</f>
        <v>110514563.35973966</v>
      </c>
      <c r="AU290" s="74">
        <f>SUM(AU5:AU289)</f>
        <v>879589665.79530215</v>
      </c>
      <c r="AW290" s="74">
        <f>SUM(AW5:AW289)</f>
        <v>128676452.42750704</v>
      </c>
      <c r="AY290" s="31">
        <f>SUM(AY5:AY289)</f>
        <v>888101934</v>
      </c>
      <c r="AZ290" s="78"/>
      <c r="BA290" s="31">
        <f>SUM(BA5:BA289)</f>
        <v>130047673</v>
      </c>
      <c r="BB290" s="78"/>
      <c r="BC290" s="13"/>
      <c r="BL290" s="13"/>
      <c r="BM290" s="13"/>
      <c r="BN290" s="60"/>
      <c r="BO290" s="60"/>
      <c r="BP290" s="60"/>
      <c r="BV290" s="18"/>
      <c r="BW290" s="18"/>
    </row>
    <row r="291" spans="2:75" x14ac:dyDescent="0.3">
      <c r="B291" s="7"/>
      <c r="C291" s="7"/>
      <c r="D291" s="61"/>
      <c r="E291" s="60"/>
      <c r="F291" s="60"/>
      <c r="G291" s="60"/>
      <c r="H291" s="60"/>
      <c r="I291" s="60"/>
      <c r="M291" s="60"/>
      <c r="O291" s="60"/>
      <c r="P291" s="60"/>
      <c r="Q291" s="60"/>
      <c r="R291" s="60"/>
      <c r="S291" s="60"/>
      <c r="U291" s="18"/>
      <c r="V291" s="18"/>
      <c r="W291" s="18"/>
      <c r="X291" s="18"/>
      <c r="Y291" s="18"/>
      <c r="Z291" s="18"/>
      <c r="AA291" s="81"/>
      <c r="AB291" s="18"/>
      <c r="AC291" s="18"/>
      <c r="AD291" s="81"/>
      <c r="AE291" s="18"/>
      <c r="AF291" s="18"/>
      <c r="AG291" s="18"/>
      <c r="AH291" s="81"/>
      <c r="AI291" s="18"/>
      <c r="AJ291" s="18"/>
      <c r="AK291" s="18"/>
      <c r="AL291" s="18"/>
      <c r="AM291" s="18"/>
      <c r="AN291" s="18"/>
      <c r="AO291" s="74"/>
      <c r="AP291" s="74"/>
      <c r="AQ291" s="74"/>
      <c r="AR291" s="74"/>
      <c r="AS291" s="74"/>
      <c r="AY291" s="82"/>
      <c r="AZ291" s="76"/>
      <c r="BB291" s="76"/>
      <c r="BC291" s="13"/>
      <c r="BL291" s="13"/>
      <c r="BM291" s="13"/>
      <c r="BN291" s="60"/>
      <c r="BO291" s="60"/>
      <c r="BP291" s="60"/>
      <c r="BV291" s="18"/>
      <c r="BW291" s="18"/>
    </row>
    <row r="292" spans="2:75" x14ac:dyDescent="0.3">
      <c r="B292" s="20" t="s">
        <v>959</v>
      </c>
      <c r="C292" s="20" t="s">
        <v>959</v>
      </c>
      <c r="D292" s="57" t="s">
        <v>1414</v>
      </c>
      <c r="E292" s="58" t="s">
        <v>952</v>
      </c>
      <c r="F292" s="96"/>
      <c r="G292" s="96"/>
      <c r="H292" s="58"/>
      <c r="I292" s="58"/>
      <c r="J292" s="59"/>
      <c r="K292" s="95" t="s">
        <v>1440</v>
      </c>
      <c r="L292" s="95"/>
      <c r="M292" s="58"/>
      <c r="N292" s="59"/>
      <c r="O292" s="58"/>
      <c r="P292" s="58" t="s">
        <v>992</v>
      </c>
      <c r="Q292" s="58"/>
      <c r="R292" s="58"/>
      <c r="S292" s="58"/>
      <c r="T292" s="73">
        <v>5255592</v>
      </c>
      <c r="U292" s="74">
        <f>5583298+25000</f>
        <v>5608298</v>
      </c>
      <c r="V292" s="74" t="s">
        <v>960</v>
      </c>
      <c r="W292" s="74"/>
      <c r="X292" s="74"/>
      <c r="Y292" s="74"/>
      <c r="Z292" s="74"/>
      <c r="AA292" s="75"/>
      <c r="AB292" s="74"/>
      <c r="AC292" s="74"/>
      <c r="AD292" s="75"/>
      <c r="AE292" s="74"/>
      <c r="AF292" s="74"/>
      <c r="AG292" s="74"/>
      <c r="AH292" s="75"/>
      <c r="AI292" s="74"/>
      <c r="AJ292" s="74">
        <v>200836</v>
      </c>
      <c r="AK292" s="83">
        <f>139.1/122.9*U292</f>
        <v>6347552.9031733107</v>
      </c>
      <c r="AL292" s="83">
        <f>121.6/116.3*AJ292</f>
        <v>209988.45743766121</v>
      </c>
      <c r="AM292" s="74">
        <f t="shared" ref="AM292:AN297" si="182">AK292*1.05</f>
        <v>6664930.5483319769</v>
      </c>
      <c r="AN292" s="74">
        <f t="shared" si="182"/>
        <v>220487.88030954427</v>
      </c>
      <c r="AO292" s="74">
        <f>AM292/105*108+7478</f>
        <v>6862835.135427177</v>
      </c>
      <c r="AP292" s="74">
        <f>AN292+3970</f>
        <v>224457.88030954427</v>
      </c>
      <c r="AQ292" s="74">
        <f t="shared" si="168"/>
        <v>7237749.2770847734</v>
      </c>
      <c r="AR292" s="76">
        <v>113.9</v>
      </c>
      <c r="AS292" s="74">
        <f t="shared" si="169"/>
        <v>224457.88030954427</v>
      </c>
      <c r="AT292" s="76">
        <v>105</v>
      </c>
      <c r="AU292" s="74">
        <f t="shared" ref="AU292:AU297" si="183">AQ292/AR292*AV292</f>
        <v>7879551.4517867584</v>
      </c>
      <c r="AV292" s="76">
        <v>124</v>
      </c>
      <c r="AW292" s="74">
        <f t="shared" ref="AW292:AW297" si="184">AS292/AT292*AX292</f>
        <v>260798.67997870856</v>
      </c>
      <c r="AX292" s="76">
        <v>122</v>
      </c>
      <c r="AY292" s="77">
        <f t="shared" ref="AY292:AY297" si="185">CEILING(((AU292/AV292)*AZ292),1)</f>
        <v>7955806</v>
      </c>
      <c r="AZ292" s="78">
        <v>125.2</v>
      </c>
      <c r="BA292" s="77">
        <f t="shared" ref="BA292:BA297" si="186">CEILING(((AW292/AX292)*BB292),1)</f>
        <v>263578</v>
      </c>
      <c r="BB292" s="78">
        <v>123.3</v>
      </c>
      <c r="BC292" s="79"/>
      <c r="BD292" s="59"/>
      <c r="BE292" s="80"/>
      <c r="BF292" s="80"/>
      <c r="BG292" s="80"/>
      <c r="BH292" s="73"/>
      <c r="BI292" s="73"/>
      <c r="BJ292" s="73"/>
      <c r="BK292" s="73"/>
      <c r="BL292" s="79"/>
      <c r="BM292" s="79"/>
      <c r="BN292" s="58"/>
      <c r="BO292" s="58"/>
      <c r="BP292" s="58" t="s">
        <v>974</v>
      </c>
      <c r="BR292" s="59" t="s">
        <v>1021</v>
      </c>
      <c r="BV292" s="18"/>
      <c r="BW292" s="18"/>
    </row>
    <row r="293" spans="2:75" x14ac:dyDescent="0.3">
      <c r="B293" s="20" t="s">
        <v>949</v>
      </c>
      <c r="C293" s="20" t="s">
        <v>949</v>
      </c>
      <c r="D293" s="57" t="s">
        <v>1240</v>
      </c>
      <c r="E293" s="58" t="s">
        <v>950</v>
      </c>
      <c r="F293" s="96"/>
      <c r="G293" s="96"/>
      <c r="H293" s="58" t="s">
        <v>950</v>
      </c>
      <c r="I293" s="58" t="s">
        <v>950</v>
      </c>
      <c r="J293" s="59">
        <v>777772</v>
      </c>
      <c r="K293" s="95" t="s">
        <v>43</v>
      </c>
      <c r="L293" s="95"/>
      <c r="M293" s="58" t="s">
        <v>39</v>
      </c>
      <c r="N293" s="59">
        <v>11</v>
      </c>
      <c r="O293" s="58" t="s">
        <v>40</v>
      </c>
      <c r="P293" s="58" t="s">
        <v>987</v>
      </c>
      <c r="Q293" s="58" t="s">
        <v>42</v>
      </c>
      <c r="R293" s="58" t="s">
        <v>951</v>
      </c>
      <c r="S293" s="58" t="s">
        <v>42</v>
      </c>
      <c r="T293" s="73">
        <v>1768709</v>
      </c>
      <c r="U293" s="74">
        <f t="shared" ref="U293:U309" si="187">122.9*T293/121.1</f>
        <v>1794998.6465730804</v>
      </c>
      <c r="V293" s="74"/>
      <c r="W293" s="74"/>
      <c r="X293" s="74"/>
      <c r="Y293" s="74"/>
      <c r="Z293" s="74"/>
      <c r="AA293" s="75" t="s">
        <v>43</v>
      </c>
      <c r="AB293" s="74"/>
      <c r="AC293" s="74"/>
      <c r="AD293" s="75" t="s">
        <v>43</v>
      </c>
      <c r="AE293" s="74"/>
      <c r="AF293" s="74"/>
      <c r="AG293" s="74">
        <v>0</v>
      </c>
      <c r="AH293" s="75" t="s">
        <v>42</v>
      </c>
      <c r="AI293" s="74"/>
      <c r="AJ293" s="74">
        <f t="shared" si="170"/>
        <v>0</v>
      </c>
      <c r="AK293" s="83">
        <f t="shared" ref="AK293:AK297" si="188">139.1/122.9*U293</f>
        <v>2031605.4657308012</v>
      </c>
      <c r="AL293" s="83">
        <f t="shared" ref="AL293:AL297" si="189">121.6/116.3*AJ293</f>
        <v>0</v>
      </c>
      <c r="AM293" s="74">
        <f t="shared" si="182"/>
        <v>2133185.7390173413</v>
      </c>
      <c r="AN293" s="74">
        <f t="shared" si="182"/>
        <v>0</v>
      </c>
      <c r="AO293" s="74">
        <f t="shared" si="171"/>
        <v>2194133.9029892655</v>
      </c>
      <c r="AP293" s="74">
        <f t="shared" si="172"/>
        <v>0</v>
      </c>
      <c r="AQ293" s="74">
        <f t="shared" si="168"/>
        <v>2313998.6254673828</v>
      </c>
      <c r="AR293" s="76">
        <v>113.9</v>
      </c>
      <c r="AS293" s="74">
        <f t="shared" si="169"/>
        <v>0</v>
      </c>
      <c r="AT293" s="76">
        <v>105</v>
      </c>
      <c r="AU293" s="74">
        <f t="shared" si="183"/>
        <v>2519190.7775061936</v>
      </c>
      <c r="AV293" s="76">
        <v>124</v>
      </c>
      <c r="AW293" s="74">
        <f t="shared" si="184"/>
        <v>0</v>
      </c>
      <c r="AX293" s="76">
        <v>122</v>
      </c>
      <c r="AY293" s="77">
        <f t="shared" si="185"/>
        <v>2543571</v>
      </c>
      <c r="AZ293" s="78">
        <v>125.2</v>
      </c>
      <c r="BA293" s="77">
        <f t="shared" si="186"/>
        <v>0</v>
      </c>
      <c r="BB293" s="78">
        <v>123.3</v>
      </c>
      <c r="BC293" s="79">
        <v>43101</v>
      </c>
      <c r="BD293" s="59"/>
      <c r="BE293" s="80"/>
      <c r="BF293" s="80"/>
      <c r="BG293" s="80"/>
      <c r="BH293" s="73"/>
      <c r="BI293" s="73"/>
      <c r="BJ293" s="73"/>
      <c r="BK293" s="73"/>
      <c r="BL293" s="79">
        <v>43109</v>
      </c>
      <c r="BM293" s="79">
        <v>43109</v>
      </c>
      <c r="BN293" s="58" t="s">
        <v>44</v>
      </c>
      <c r="BO293" s="58" t="s">
        <v>44</v>
      </c>
      <c r="BP293" s="58" t="s">
        <v>974</v>
      </c>
      <c r="BR293" s="59"/>
      <c r="BV293" s="18"/>
      <c r="BW293" s="18"/>
    </row>
    <row r="294" spans="2:75" x14ac:dyDescent="0.3">
      <c r="B294" s="20" t="s">
        <v>961</v>
      </c>
      <c r="C294" s="20" t="s">
        <v>961</v>
      </c>
      <c r="D294" s="57" t="e">
        <v>#N/A</v>
      </c>
      <c r="E294" s="58" t="s">
        <v>952</v>
      </c>
      <c r="F294" s="96"/>
      <c r="G294" s="96"/>
      <c r="H294" s="58"/>
      <c r="I294" s="58"/>
      <c r="J294" s="59"/>
      <c r="K294" s="95" t="s">
        <v>43</v>
      </c>
      <c r="L294" s="95"/>
      <c r="M294" s="58"/>
      <c r="N294" s="59"/>
      <c r="O294" s="58"/>
      <c r="P294" s="58" t="s">
        <v>962</v>
      </c>
      <c r="Q294" s="58"/>
      <c r="R294" s="58"/>
      <c r="S294" s="58"/>
      <c r="T294" s="73">
        <v>808553</v>
      </c>
      <c r="U294" s="74">
        <f t="shared" si="187"/>
        <v>820571.12881915784</v>
      </c>
      <c r="V294" s="74" t="s">
        <v>963</v>
      </c>
      <c r="W294" s="74"/>
      <c r="X294" s="74"/>
      <c r="Y294" s="74"/>
      <c r="Z294" s="74"/>
      <c r="AA294" s="75"/>
      <c r="AB294" s="74"/>
      <c r="AC294" s="74"/>
      <c r="AD294" s="75"/>
      <c r="AE294" s="74"/>
      <c r="AF294" s="74"/>
      <c r="AG294" s="74"/>
      <c r="AH294" s="75"/>
      <c r="AI294" s="74"/>
      <c r="AJ294" s="74">
        <v>0</v>
      </c>
      <c r="AK294" s="83">
        <f t="shared" si="188"/>
        <v>928734.2881915773</v>
      </c>
      <c r="AL294" s="83">
        <f t="shared" si="189"/>
        <v>0</v>
      </c>
      <c r="AM294" s="74">
        <f t="shared" si="182"/>
        <v>975171.00260115624</v>
      </c>
      <c r="AN294" s="74">
        <f t="shared" si="182"/>
        <v>0</v>
      </c>
      <c r="AO294" s="74"/>
      <c r="AP294" s="74">
        <f t="shared" si="172"/>
        <v>0</v>
      </c>
      <c r="AQ294" s="74">
        <f t="shared" si="168"/>
        <v>0</v>
      </c>
      <c r="AR294" s="76">
        <v>113.9</v>
      </c>
      <c r="AS294" s="74">
        <f t="shared" si="169"/>
        <v>0</v>
      </c>
      <c r="AT294" s="76">
        <v>105</v>
      </c>
      <c r="AU294" s="74">
        <f t="shared" si="183"/>
        <v>0</v>
      </c>
      <c r="AV294" s="76">
        <v>124</v>
      </c>
      <c r="AW294" s="74">
        <f t="shared" si="184"/>
        <v>0</v>
      </c>
      <c r="AX294" s="76">
        <v>122</v>
      </c>
      <c r="AY294" s="77">
        <f t="shared" si="185"/>
        <v>0</v>
      </c>
      <c r="AZ294" s="78">
        <v>125.2</v>
      </c>
      <c r="BA294" s="77">
        <f t="shared" si="186"/>
        <v>0</v>
      </c>
      <c r="BB294" s="78">
        <v>123.3</v>
      </c>
      <c r="BC294" s="79"/>
      <c r="BD294" s="59"/>
      <c r="BE294" s="80"/>
      <c r="BF294" s="80"/>
      <c r="BG294" s="80"/>
      <c r="BH294" s="73"/>
      <c r="BI294" s="73"/>
      <c r="BJ294" s="73"/>
      <c r="BK294" s="73"/>
      <c r="BL294" s="79"/>
      <c r="BM294" s="79"/>
      <c r="BN294" s="58"/>
      <c r="BO294" s="58"/>
      <c r="BP294" s="58" t="s">
        <v>974</v>
      </c>
      <c r="BR294" s="59"/>
      <c r="BV294" s="18"/>
      <c r="BW294" s="18"/>
    </row>
    <row r="295" spans="2:75" x14ac:dyDescent="0.3">
      <c r="B295" s="20" t="s">
        <v>964</v>
      </c>
      <c r="C295" s="20" t="s">
        <v>964</v>
      </c>
      <c r="D295" s="57" t="s">
        <v>1241</v>
      </c>
      <c r="E295" s="58" t="s">
        <v>956</v>
      </c>
      <c r="F295" s="96"/>
      <c r="G295" s="96"/>
      <c r="H295" s="58"/>
      <c r="I295" s="58"/>
      <c r="J295" s="59"/>
      <c r="K295" s="95" t="s">
        <v>43</v>
      </c>
      <c r="L295" s="95"/>
      <c r="M295" s="58"/>
      <c r="N295" s="59"/>
      <c r="O295" s="58"/>
      <c r="P295" s="58" t="s">
        <v>965</v>
      </c>
      <c r="Q295" s="58"/>
      <c r="R295" s="58"/>
      <c r="S295" s="58"/>
      <c r="T295" s="73">
        <v>217299</v>
      </c>
      <c r="U295" s="74">
        <f t="shared" si="187"/>
        <v>220528.87778695294</v>
      </c>
      <c r="V295" s="74"/>
      <c r="W295" s="74"/>
      <c r="X295" s="74"/>
      <c r="Y295" s="74"/>
      <c r="Z295" s="74"/>
      <c r="AA295" s="75"/>
      <c r="AB295" s="74"/>
      <c r="AC295" s="74"/>
      <c r="AD295" s="75"/>
      <c r="AE295" s="74"/>
      <c r="AF295" s="74"/>
      <c r="AG295" s="74"/>
      <c r="AH295" s="75"/>
      <c r="AI295" s="74"/>
      <c r="AJ295" s="74">
        <f t="shared" si="170"/>
        <v>0</v>
      </c>
      <c r="AK295" s="83">
        <f t="shared" si="188"/>
        <v>249597.77786952929</v>
      </c>
      <c r="AL295" s="83">
        <f t="shared" si="189"/>
        <v>0</v>
      </c>
      <c r="AM295" s="74">
        <f t="shared" si="182"/>
        <v>262077.66676300578</v>
      </c>
      <c r="AN295" s="74">
        <f t="shared" si="182"/>
        <v>0</v>
      </c>
      <c r="AO295" s="74"/>
      <c r="AP295" s="74">
        <f t="shared" si="172"/>
        <v>0</v>
      </c>
      <c r="AQ295" s="74">
        <f t="shared" si="168"/>
        <v>0</v>
      </c>
      <c r="AR295" s="76">
        <v>113.9</v>
      </c>
      <c r="AS295" s="74">
        <f t="shared" si="169"/>
        <v>0</v>
      </c>
      <c r="AT295" s="76">
        <v>105</v>
      </c>
      <c r="AU295" s="74">
        <f t="shared" si="183"/>
        <v>0</v>
      </c>
      <c r="AV295" s="76">
        <v>124</v>
      </c>
      <c r="AW295" s="74">
        <f t="shared" si="184"/>
        <v>0</v>
      </c>
      <c r="AX295" s="76">
        <v>122</v>
      </c>
      <c r="AY295" s="77">
        <f t="shared" si="185"/>
        <v>0</v>
      </c>
      <c r="AZ295" s="78">
        <v>125.2</v>
      </c>
      <c r="BA295" s="77">
        <f t="shared" si="186"/>
        <v>0</v>
      </c>
      <c r="BB295" s="78">
        <v>123.3</v>
      </c>
      <c r="BC295" s="79"/>
      <c r="BD295" s="59"/>
      <c r="BE295" s="80"/>
      <c r="BF295" s="80"/>
      <c r="BG295" s="80"/>
      <c r="BH295" s="73"/>
      <c r="BI295" s="73"/>
      <c r="BJ295" s="73"/>
      <c r="BK295" s="73"/>
      <c r="BL295" s="79"/>
      <c r="BM295" s="79"/>
      <c r="BN295" s="58"/>
      <c r="BO295" s="58"/>
      <c r="BP295" s="58" t="s">
        <v>974</v>
      </c>
      <c r="BR295" s="59"/>
      <c r="BV295" s="18"/>
      <c r="BW295" s="18"/>
    </row>
    <row r="296" spans="2:75" x14ac:dyDescent="0.3">
      <c r="B296" s="20" t="s">
        <v>966</v>
      </c>
      <c r="C296" s="20" t="s">
        <v>966</v>
      </c>
      <c r="D296" s="57" t="e">
        <v>#N/A</v>
      </c>
      <c r="E296" s="58" t="s">
        <v>952</v>
      </c>
      <c r="F296" s="96"/>
      <c r="G296" s="96"/>
      <c r="H296" s="58"/>
      <c r="I296" s="58"/>
      <c r="J296" s="59"/>
      <c r="K296" s="95" t="s">
        <v>43</v>
      </c>
      <c r="L296" s="95"/>
      <c r="M296" s="58"/>
      <c r="N296" s="59"/>
      <c r="O296" s="58"/>
      <c r="P296" s="58" t="s">
        <v>967</v>
      </c>
      <c r="Q296" s="58"/>
      <c r="R296" s="58"/>
      <c r="S296" s="58"/>
      <c r="T296" s="73">
        <v>2324589</v>
      </c>
      <c r="U296" s="74">
        <f t="shared" si="187"/>
        <v>2359141.1073492984</v>
      </c>
      <c r="V296" s="74"/>
      <c r="W296" s="74"/>
      <c r="X296" s="74"/>
      <c r="Y296" s="74"/>
      <c r="Z296" s="74"/>
      <c r="AA296" s="75"/>
      <c r="AB296" s="74"/>
      <c r="AC296" s="74"/>
      <c r="AD296" s="75"/>
      <c r="AE296" s="74"/>
      <c r="AF296" s="74"/>
      <c r="AG296" s="74"/>
      <c r="AH296" s="75"/>
      <c r="AI296" s="74"/>
      <c r="AJ296" s="74">
        <f t="shared" si="170"/>
        <v>0</v>
      </c>
      <c r="AK296" s="83">
        <f t="shared" si="188"/>
        <v>2670110.073492981</v>
      </c>
      <c r="AL296" s="83">
        <f t="shared" si="189"/>
        <v>0</v>
      </c>
      <c r="AM296" s="74">
        <f t="shared" si="182"/>
        <v>2803615.5771676302</v>
      </c>
      <c r="AN296" s="74">
        <f t="shared" si="182"/>
        <v>0</v>
      </c>
      <c r="AO296" s="74">
        <f t="shared" si="171"/>
        <v>2883718.8793724198</v>
      </c>
      <c r="AP296" s="74">
        <f t="shared" si="172"/>
        <v>0</v>
      </c>
      <c r="AQ296" s="74">
        <f t="shared" si="168"/>
        <v>3041255.3737085056</v>
      </c>
      <c r="AR296" s="76">
        <v>113.9</v>
      </c>
      <c r="AS296" s="74">
        <f t="shared" si="169"/>
        <v>0</v>
      </c>
      <c r="AT296" s="76">
        <v>105</v>
      </c>
      <c r="AU296" s="74">
        <f t="shared" si="183"/>
        <v>3310936.4911312968</v>
      </c>
      <c r="AV296" s="76">
        <v>124</v>
      </c>
      <c r="AW296" s="74">
        <f t="shared" si="184"/>
        <v>0</v>
      </c>
      <c r="AX296" s="76">
        <v>122</v>
      </c>
      <c r="AY296" s="77">
        <f t="shared" si="185"/>
        <v>3342978</v>
      </c>
      <c r="AZ296" s="78">
        <v>125.2</v>
      </c>
      <c r="BA296" s="77">
        <f t="shared" si="186"/>
        <v>0</v>
      </c>
      <c r="BB296" s="78">
        <v>123.3</v>
      </c>
      <c r="BC296" s="79"/>
      <c r="BD296" s="59"/>
      <c r="BE296" s="80"/>
      <c r="BF296" s="80"/>
      <c r="BG296" s="80"/>
      <c r="BH296" s="73"/>
      <c r="BI296" s="73"/>
      <c r="BJ296" s="73"/>
      <c r="BK296" s="73"/>
      <c r="BL296" s="79"/>
      <c r="BM296" s="79"/>
      <c r="BN296" s="58"/>
      <c r="BO296" s="58"/>
      <c r="BP296" s="58" t="s">
        <v>974</v>
      </c>
      <c r="BR296" s="59"/>
      <c r="BV296" s="18"/>
      <c r="BW296" s="18"/>
    </row>
    <row r="297" spans="2:75" x14ac:dyDescent="0.3">
      <c r="B297" s="22" t="s">
        <v>968</v>
      </c>
      <c r="C297" s="22" t="s">
        <v>968</v>
      </c>
      <c r="D297" s="55" t="s">
        <v>1415</v>
      </c>
      <c r="E297" s="59" t="s">
        <v>1113</v>
      </c>
      <c r="F297" s="95"/>
      <c r="G297" s="95"/>
      <c r="H297" s="59"/>
      <c r="I297" s="59"/>
      <c r="J297" s="59"/>
      <c r="K297" s="95" t="s">
        <v>43</v>
      </c>
      <c r="L297" s="95"/>
      <c r="M297" s="59"/>
      <c r="N297" s="59"/>
      <c r="O297" s="59"/>
      <c r="P297" s="59" t="s">
        <v>969</v>
      </c>
      <c r="Q297" s="59"/>
      <c r="R297" s="59"/>
      <c r="S297" s="59"/>
      <c r="T297" s="73">
        <v>348688</v>
      </c>
      <c r="U297" s="74">
        <f t="shared" si="187"/>
        <v>353870.81090008264</v>
      </c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>
        <f t="shared" si="170"/>
        <v>0</v>
      </c>
      <c r="AK297" s="83">
        <f t="shared" si="188"/>
        <v>400516.10900082579</v>
      </c>
      <c r="AL297" s="83">
        <f t="shared" si="189"/>
        <v>0</v>
      </c>
      <c r="AM297" s="74">
        <f t="shared" si="182"/>
        <v>420541.9144508671</v>
      </c>
      <c r="AN297" s="74">
        <f t="shared" si="182"/>
        <v>0</v>
      </c>
      <c r="AO297" s="74">
        <f t="shared" si="171"/>
        <v>432557.39772089187</v>
      </c>
      <c r="AP297" s="74">
        <f t="shared" si="172"/>
        <v>0</v>
      </c>
      <c r="AQ297" s="74">
        <f t="shared" si="168"/>
        <v>456187.84815194056</v>
      </c>
      <c r="AR297" s="76">
        <v>113.9</v>
      </c>
      <c r="AS297" s="74">
        <f t="shared" si="169"/>
        <v>0</v>
      </c>
      <c r="AT297" s="76">
        <v>105</v>
      </c>
      <c r="AU297" s="74">
        <f t="shared" si="183"/>
        <v>496639.9751610239</v>
      </c>
      <c r="AV297" s="76">
        <v>124</v>
      </c>
      <c r="AW297" s="74">
        <f t="shared" si="184"/>
        <v>0</v>
      </c>
      <c r="AX297" s="76">
        <v>122</v>
      </c>
      <c r="AY297" s="77">
        <f t="shared" si="185"/>
        <v>501447</v>
      </c>
      <c r="AZ297" s="78">
        <v>125.2</v>
      </c>
      <c r="BA297" s="77">
        <f t="shared" si="186"/>
        <v>0</v>
      </c>
      <c r="BB297" s="78">
        <v>123.3</v>
      </c>
      <c r="BC297" s="59"/>
      <c r="BD297" s="59"/>
      <c r="BE297" s="80"/>
      <c r="BF297" s="80"/>
      <c r="BG297" s="80"/>
      <c r="BH297" s="73"/>
      <c r="BI297" s="73"/>
      <c r="BJ297" s="73"/>
      <c r="BK297" s="73"/>
      <c r="BL297" s="59"/>
      <c r="BM297" s="59"/>
      <c r="BN297" s="59"/>
      <c r="BO297" s="59"/>
      <c r="BP297" s="59" t="s">
        <v>974</v>
      </c>
      <c r="BR297" s="59"/>
      <c r="BV297" s="18"/>
      <c r="BW297" s="18"/>
    </row>
    <row r="298" spans="2:75" x14ac:dyDescent="0.3">
      <c r="D298" s="56"/>
      <c r="E298"/>
      <c r="F298"/>
      <c r="G298"/>
      <c r="P298" s="20" t="s">
        <v>998</v>
      </c>
      <c r="Q298" s="59"/>
      <c r="R298" s="59"/>
      <c r="S298" s="59"/>
      <c r="T298" s="19">
        <f>SUM(T292:T297)</f>
        <v>10723430</v>
      </c>
      <c r="U298" s="1">
        <f>SUM(U292:U297)</f>
        <v>11157408.571428573</v>
      </c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>
        <f t="shared" ref="AJ298:AQ298" si="190">SUM(AJ292:AJ297)</f>
        <v>200836</v>
      </c>
      <c r="AK298" s="3">
        <f t="shared" si="190"/>
        <v>12628116.617459027</v>
      </c>
      <c r="AL298" s="3">
        <f t="shared" si="190"/>
        <v>209988.45743766121</v>
      </c>
      <c r="AM298" s="1">
        <f t="shared" si="190"/>
        <v>13259522.448331976</v>
      </c>
      <c r="AN298" s="1">
        <f t="shared" si="190"/>
        <v>220487.88030954427</v>
      </c>
      <c r="AO298" s="74">
        <f t="shared" si="190"/>
        <v>12373245.315509753</v>
      </c>
      <c r="AP298" s="74">
        <f t="shared" si="190"/>
        <v>224457.88030954427</v>
      </c>
      <c r="AQ298" s="74">
        <f t="shared" si="190"/>
        <v>13049191.124412602</v>
      </c>
      <c r="AR298" s="76"/>
      <c r="AS298" s="74">
        <f>SUM(AS292:AS297)</f>
        <v>224457.88030954427</v>
      </c>
      <c r="AU298" s="74">
        <f>SUM(AU292:AU297)</f>
        <v>14206318.695585271</v>
      </c>
      <c r="AW298" s="74">
        <f>SUM(AW292:AW297)</f>
        <v>260798.67997870856</v>
      </c>
      <c r="AY298" s="31">
        <f>SUM(AY292:AY297)</f>
        <v>14343802</v>
      </c>
      <c r="AZ298" s="78"/>
      <c r="BA298" s="84">
        <f>SUM(BA292:BA297)</f>
        <v>263578</v>
      </c>
      <c r="BB298" s="78"/>
      <c r="BV298" s="18"/>
      <c r="BW298" s="18"/>
    </row>
    <row r="299" spans="2:75" x14ac:dyDescent="0.3">
      <c r="D299" s="56"/>
      <c r="E299"/>
      <c r="F299"/>
      <c r="G299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74"/>
      <c r="AP299" s="74"/>
      <c r="AQ299" s="74"/>
      <c r="AR299" s="74"/>
      <c r="AS299" s="74"/>
      <c r="AY299" s="82"/>
      <c r="AZ299" s="76"/>
      <c r="BB299" s="76"/>
      <c r="BV299" s="18"/>
      <c r="BW299" s="18"/>
    </row>
    <row r="300" spans="2:75" x14ac:dyDescent="0.3">
      <c r="B300" s="22" t="s">
        <v>970</v>
      </c>
      <c r="C300" s="22" t="s">
        <v>970</v>
      </c>
      <c r="D300" s="55" t="s">
        <v>1413</v>
      </c>
      <c r="E300" s="59" t="s">
        <v>952</v>
      </c>
      <c r="F300" s="95"/>
      <c r="G300" s="95"/>
      <c r="H300" s="59"/>
      <c r="I300" s="59"/>
      <c r="J300" s="59"/>
      <c r="K300" s="95" t="s">
        <v>43</v>
      </c>
      <c r="L300" s="95"/>
      <c r="M300" s="59"/>
      <c r="N300" s="59"/>
      <c r="O300" s="59"/>
      <c r="P300" s="59" t="s">
        <v>971</v>
      </c>
      <c r="Q300" s="59"/>
      <c r="R300" s="59"/>
      <c r="S300" s="59"/>
      <c r="T300" s="73">
        <v>195793</v>
      </c>
      <c r="U300" s="74">
        <f t="shared" si="187"/>
        <v>198703.21800165152</v>
      </c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>
        <f t="shared" si="170"/>
        <v>0</v>
      </c>
      <c r="AK300" s="83">
        <f>139.1/122.9*U300</f>
        <v>224895.18001651525</v>
      </c>
      <c r="AL300" s="83">
        <f>121.6/116.3*AJ300</f>
        <v>0</v>
      </c>
      <c r="AM300" s="74">
        <f t="shared" ref="AM300:AN302" si="191">AK300*1.05</f>
        <v>236139.93901734104</v>
      </c>
      <c r="AN300" s="74">
        <f t="shared" si="191"/>
        <v>0</v>
      </c>
      <c r="AO300" s="74">
        <f t="shared" si="171"/>
        <v>242886.7944178365</v>
      </c>
      <c r="AP300" s="74">
        <f t="shared" si="172"/>
        <v>0</v>
      </c>
      <c r="AQ300" s="74">
        <f t="shared" si="168"/>
        <v>256155.6100388109</v>
      </c>
      <c r="AR300" s="76">
        <v>113.9</v>
      </c>
      <c r="AS300" s="74">
        <f t="shared" si="169"/>
        <v>0</v>
      </c>
      <c r="AT300" s="76">
        <v>105</v>
      </c>
      <c r="AU300" s="74">
        <f>AQ300/AR300*AV300</f>
        <v>278870.02322047891</v>
      </c>
      <c r="AV300" s="76">
        <v>124</v>
      </c>
      <c r="AW300" s="74">
        <f>AS300/AT300*AX300</f>
        <v>0</v>
      </c>
      <c r="AX300" s="76">
        <v>122</v>
      </c>
      <c r="AY300" s="77">
        <f>CEILING(((AU300/AV300)*AZ300),1)</f>
        <v>281569</v>
      </c>
      <c r="AZ300" s="78">
        <v>125.2</v>
      </c>
      <c r="BA300" s="77">
        <f>CEILING(((AW300/AX300)*BB300),1)</f>
        <v>0</v>
      </c>
      <c r="BB300" s="78">
        <v>123.3</v>
      </c>
      <c r="BC300" s="59"/>
      <c r="BD300" s="59"/>
      <c r="BE300" s="80"/>
      <c r="BF300" s="80"/>
      <c r="BG300" s="80"/>
      <c r="BH300" s="73"/>
      <c r="BI300" s="73"/>
      <c r="BJ300" s="73"/>
      <c r="BK300" s="73"/>
      <c r="BL300" s="59"/>
      <c r="BM300" s="59"/>
      <c r="BN300" s="59"/>
      <c r="BO300" s="59"/>
      <c r="BP300" s="59" t="s">
        <v>975</v>
      </c>
      <c r="BQ300">
        <v>0</v>
      </c>
      <c r="BR300" s="59"/>
      <c r="BV300" s="18"/>
      <c r="BW300" s="18"/>
    </row>
    <row r="301" spans="2:75" x14ac:dyDescent="0.3">
      <c r="B301" s="22" t="s">
        <v>993</v>
      </c>
      <c r="C301" s="22" t="s">
        <v>993</v>
      </c>
      <c r="D301" s="55" t="e">
        <v>#N/A</v>
      </c>
      <c r="E301" s="59" t="s">
        <v>713</v>
      </c>
      <c r="F301" s="94"/>
      <c r="G301" s="94"/>
      <c r="H301" s="59"/>
      <c r="I301" s="59"/>
      <c r="J301" s="59"/>
      <c r="K301" s="95" t="s">
        <v>43</v>
      </c>
      <c r="L301" s="95"/>
      <c r="M301" s="59"/>
      <c r="N301" s="59"/>
      <c r="O301" s="59"/>
      <c r="P301" s="59" t="s">
        <v>994</v>
      </c>
      <c r="Q301" s="59"/>
      <c r="R301" s="59"/>
      <c r="S301" s="59"/>
      <c r="T301" s="73"/>
      <c r="U301" s="74">
        <v>0</v>
      </c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>
        <v>68800</v>
      </c>
      <c r="AK301" s="83">
        <f>139.1/122.9*U301</f>
        <v>0</v>
      </c>
      <c r="AL301" s="83">
        <f>121.6/116.3*AJ301</f>
        <v>71935.339638865</v>
      </c>
      <c r="AM301" s="74">
        <f t="shared" si="191"/>
        <v>0</v>
      </c>
      <c r="AN301" s="74">
        <f t="shared" si="191"/>
        <v>75532.106620808248</v>
      </c>
      <c r="AO301" s="74">
        <f t="shared" si="171"/>
        <v>0</v>
      </c>
      <c r="AP301" s="74">
        <f t="shared" si="172"/>
        <v>75532.106620808248</v>
      </c>
      <c r="AQ301" s="74">
        <f t="shared" si="168"/>
        <v>0</v>
      </c>
      <c r="AR301" s="76">
        <v>113.9</v>
      </c>
      <c r="AS301" s="74">
        <f t="shared" si="169"/>
        <v>75532.106620808248</v>
      </c>
      <c r="AT301" s="76">
        <v>105</v>
      </c>
      <c r="AU301" s="74">
        <f>AQ301/AR301*AV301</f>
        <v>0</v>
      </c>
      <c r="AV301" s="76">
        <v>124</v>
      </c>
      <c r="AW301" s="74">
        <f>AS301/AT301*AX301</f>
        <v>87761.114359415296</v>
      </c>
      <c r="AX301" s="76">
        <v>122</v>
      </c>
      <c r="AY301" s="77">
        <f>CEILING(((AU301/AV301)*AZ301),1)</f>
        <v>0</v>
      </c>
      <c r="AZ301" s="78">
        <v>125.2</v>
      </c>
      <c r="BA301" s="77">
        <f>CEILING(((AW301/AX301)*BB301),1)</f>
        <v>88697</v>
      </c>
      <c r="BB301" s="78">
        <v>123.3</v>
      </c>
      <c r="BC301" s="59"/>
      <c r="BD301" s="59"/>
      <c r="BE301" s="80"/>
      <c r="BF301" s="80"/>
      <c r="BG301" s="80"/>
      <c r="BH301" s="73"/>
      <c r="BI301" s="73"/>
      <c r="BJ301" s="73"/>
      <c r="BK301" s="73"/>
      <c r="BL301" s="59"/>
      <c r="BM301" s="59"/>
      <c r="BN301" s="59"/>
      <c r="BO301" s="59"/>
      <c r="BP301" s="59" t="s">
        <v>975</v>
      </c>
      <c r="BR301" s="59"/>
      <c r="BV301" s="18"/>
      <c r="BW301" s="18"/>
    </row>
    <row r="302" spans="2:75" x14ac:dyDescent="0.3">
      <c r="B302" s="22" t="s">
        <v>972</v>
      </c>
      <c r="C302" s="22" t="s">
        <v>972</v>
      </c>
      <c r="D302" s="55" t="e">
        <v>#N/A</v>
      </c>
      <c r="E302" s="59" t="s">
        <v>956</v>
      </c>
      <c r="F302" s="94"/>
      <c r="G302" s="94"/>
      <c r="H302" s="59"/>
      <c r="I302" s="59"/>
      <c r="J302" s="59"/>
      <c r="K302" s="95" t="s">
        <v>43</v>
      </c>
      <c r="L302" s="95"/>
      <c r="M302" s="59"/>
      <c r="N302" s="59"/>
      <c r="O302" s="59"/>
      <c r="P302" s="59" t="s">
        <v>973</v>
      </c>
      <c r="Q302" s="59"/>
      <c r="R302" s="59"/>
      <c r="S302" s="59"/>
      <c r="T302" s="73">
        <v>1315483</v>
      </c>
      <c r="U302" s="74">
        <f t="shared" si="187"/>
        <v>1335036.0090834023</v>
      </c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>
        <f t="shared" si="170"/>
        <v>0</v>
      </c>
      <c r="AK302" s="83">
        <f>139.1/122.9*U302</f>
        <v>1511013.0908340216</v>
      </c>
      <c r="AL302" s="83">
        <f>121.6/116.3*AJ302</f>
        <v>0</v>
      </c>
      <c r="AM302" s="74">
        <f t="shared" si="191"/>
        <v>1586563.7453757226</v>
      </c>
      <c r="AN302" s="74">
        <f t="shared" si="191"/>
        <v>0</v>
      </c>
      <c r="AO302" s="74">
        <f t="shared" si="171"/>
        <v>1631894.1381007433</v>
      </c>
      <c r="AP302" s="74">
        <f t="shared" si="172"/>
        <v>0</v>
      </c>
      <c r="AQ302" s="74">
        <f t="shared" si="168"/>
        <v>1721043.9104599506</v>
      </c>
      <c r="AR302" s="76">
        <v>113.9</v>
      </c>
      <c r="AS302" s="74">
        <f t="shared" si="169"/>
        <v>0</v>
      </c>
      <c r="AT302" s="76">
        <v>105</v>
      </c>
      <c r="AU302" s="74">
        <f>AQ302/AR302*AV302</f>
        <v>1873656.2326341867</v>
      </c>
      <c r="AV302" s="76">
        <v>124</v>
      </c>
      <c r="AW302" s="74">
        <f>AS302/AT302*AX302</f>
        <v>0</v>
      </c>
      <c r="AX302" s="76">
        <v>122</v>
      </c>
      <c r="AY302" s="77">
        <f>CEILING(((AU302/AV302)*AZ302),1)</f>
        <v>1891789</v>
      </c>
      <c r="AZ302" s="78">
        <v>125.2</v>
      </c>
      <c r="BA302" s="77">
        <f>CEILING(((AW302/AX302)*BB302),1)</f>
        <v>0</v>
      </c>
      <c r="BB302" s="78">
        <v>123.3</v>
      </c>
      <c r="BC302" s="59"/>
      <c r="BD302" s="59"/>
      <c r="BE302" s="80"/>
      <c r="BF302" s="80"/>
      <c r="BG302" s="80"/>
      <c r="BH302" s="73"/>
      <c r="BI302" s="73"/>
      <c r="BJ302" s="73"/>
      <c r="BK302" s="73"/>
      <c r="BL302" s="59"/>
      <c r="BM302" s="59"/>
      <c r="BN302" s="59"/>
      <c r="BO302" s="59"/>
      <c r="BP302" s="59" t="s">
        <v>975</v>
      </c>
      <c r="BR302" s="59"/>
      <c r="BV302" s="18"/>
      <c r="BW302" s="18"/>
    </row>
    <row r="303" spans="2:75" x14ac:dyDescent="0.3">
      <c r="D303" s="56"/>
      <c r="E303"/>
      <c r="P303" s="20" t="s">
        <v>998</v>
      </c>
      <c r="Q303" s="59"/>
      <c r="R303" s="59"/>
      <c r="S303" s="59"/>
      <c r="T303" s="19">
        <f>SUM(T300:T302)</f>
        <v>1511276</v>
      </c>
      <c r="U303" s="1">
        <f>SUM(U300:U302)</f>
        <v>1533739.2270850539</v>
      </c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>
        <f t="shared" ref="AJ303:AW303" si="192">SUM(AJ300:AJ302)</f>
        <v>68800</v>
      </c>
      <c r="AK303" s="3">
        <f t="shared" si="192"/>
        <v>1735908.2708505369</v>
      </c>
      <c r="AL303" s="3">
        <f t="shared" si="192"/>
        <v>71935.339638865</v>
      </c>
      <c r="AM303" s="1">
        <f t="shared" si="192"/>
        <v>1822703.6843930637</v>
      </c>
      <c r="AN303" s="1">
        <f t="shared" si="192"/>
        <v>75532.106620808248</v>
      </c>
      <c r="AO303" s="74">
        <f t="shared" si="192"/>
        <v>1874780.9325185798</v>
      </c>
      <c r="AP303" s="74">
        <f t="shared" si="192"/>
        <v>75532.106620808248</v>
      </c>
      <c r="AQ303" s="74">
        <f t="shared" si="192"/>
        <v>1977199.5204987614</v>
      </c>
      <c r="AR303" s="76"/>
      <c r="AS303" s="74">
        <f t="shared" si="192"/>
        <v>75532.106620808248</v>
      </c>
      <c r="AU303" s="74">
        <f t="shared" si="192"/>
        <v>2152526.2558546658</v>
      </c>
      <c r="AW303" s="74">
        <f t="shared" si="192"/>
        <v>87761.114359415296</v>
      </c>
      <c r="AY303" s="31">
        <f>SUM(AY300:AY302)</f>
        <v>2173358</v>
      </c>
      <c r="AZ303" s="78"/>
      <c r="BA303" s="84">
        <f>SUM(BA300:BA302)</f>
        <v>88697</v>
      </c>
      <c r="BB303" s="78"/>
      <c r="BV303" s="18"/>
      <c r="BW303" s="18"/>
    </row>
    <row r="304" spans="2:75" x14ac:dyDescent="0.3">
      <c r="D304" s="56"/>
      <c r="E304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74"/>
      <c r="AP304" s="74"/>
      <c r="AQ304" s="74"/>
      <c r="AR304" s="74"/>
      <c r="AS304" s="74"/>
      <c r="AY304" s="82"/>
      <c r="AZ304" s="76"/>
      <c r="BB304" s="76"/>
      <c r="BV304" s="18"/>
      <c r="BW304" s="18"/>
    </row>
    <row r="305" spans="1:75" x14ac:dyDescent="0.3">
      <c r="B305" s="20" t="s">
        <v>1064</v>
      </c>
      <c r="C305" s="20" t="s">
        <v>1481</v>
      </c>
      <c r="D305" s="57" t="s">
        <v>1408</v>
      </c>
      <c r="E305" s="58" t="s">
        <v>952</v>
      </c>
      <c r="F305" s="93"/>
      <c r="G305" s="93"/>
      <c r="H305" s="58" t="s">
        <v>952</v>
      </c>
      <c r="I305" s="58" t="s">
        <v>952</v>
      </c>
      <c r="J305" s="59">
        <v>777772</v>
      </c>
      <c r="K305" s="95" t="s">
        <v>43</v>
      </c>
      <c r="L305" s="95"/>
      <c r="M305" s="58" t="s">
        <v>39</v>
      </c>
      <c r="N305" s="59">
        <v>12</v>
      </c>
      <c r="O305" s="58" t="s">
        <v>49</v>
      </c>
      <c r="P305" s="58" t="s">
        <v>978</v>
      </c>
      <c r="Q305" s="58" t="s">
        <v>42</v>
      </c>
      <c r="R305" s="58" t="s">
        <v>953</v>
      </c>
      <c r="S305" s="58" t="s">
        <v>954</v>
      </c>
      <c r="T305" s="73">
        <v>1505158</v>
      </c>
      <c r="U305" s="74">
        <f t="shared" si="187"/>
        <v>1527530.2906688689</v>
      </c>
      <c r="V305" s="74">
        <v>435600</v>
      </c>
      <c r="W305" s="74"/>
      <c r="X305" s="74"/>
      <c r="Y305" s="74"/>
      <c r="Z305" s="74"/>
      <c r="AA305" s="75" t="s">
        <v>43</v>
      </c>
      <c r="AB305" s="74"/>
      <c r="AC305" s="74"/>
      <c r="AD305" s="75" t="s">
        <v>43</v>
      </c>
      <c r="AE305" s="74"/>
      <c r="AF305" s="74"/>
      <c r="AG305" s="74">
        <v>0</v>
      </c>
      <c r="AH305" s="75" t="s">
        <v>42</v>
      </c>
      <c r="AI305" s="74"/>
      <c r="AJ305" s="74">
        <f t="shared" si="170"/>
        <v>441676.3731473409</v>
      </c>
      <c r="AK305" s="83">
        <f>139.1/122.9*U305</f>
        <v>1728880.9066886872</v>
      </c>
      <c r="AL305" s="83">
        <f>121.6/116.3*AJ305</f>
        <v>461804.35919790756</v>
      </c>
      <c r="AM305" s="74">
        <f t="shared" ref="AM305:AN309" si="193">AK305*1.05</f>
        <v>1815324.9520231215</v>
      </c>
      <c r="AN305" s="74">
        <f t="shared" si="193"/>
        <v>484894.57715780294</v>
      </c>
      <c r="AO305" s="74">
        <f t="shared" si="171"/>
        <v>1867191.3792237821</v>
      </c>
      <c r="AP305" s="74">
        <f t="shared" si="172"/>
        <v>484894.57715780294</v>
      </c>
      <c r="AQ305" s="74">
        <f t="shared" si="168"/>
        <v>1969195.3527184147</v>
      </c>
      <c r="AR305" s="76">
        <v>113.9</v>
      </c>
      <c r="AS305" s="74">
        <v>0</v>
      </c>
      <c r="AT305" s="76">
        <v>105</v>
      </c>
      <c r="AU305" s="74">
        <v>1071906.1599999999</v>
      </c>
      <c r="AV305" s="76">
        <v>124</v>
      </c>
      <c r="AW305" s="74">
        <f>AS305/AT305*AX305</f>
        <v>0</v>
      </c>
      <c r="AX305" s="76">
        <v>122</v>
      </c>
      <c r="AY305" s="77">
        <f>CEILING(((AU305/AV305)*AZ305),1)</f>
        <v>1082280</v>
      </c>
      <c r="AZ305" s="78">
        <v>125.2</v>
      </c>
      <c r="BA305" s="77">
        <f>CEILING(((AW305/AX305)*BB305),1)</f>
        <v>0</v>
      </c>
      <c r="BB305" s="78">
        <v>123.3</v>
      </c>
      <c r="BC305" s="79">
        <v>43100</v>
      </c>
      <c r="BD305" s="59"/>
      <c r="BE305" s="80"/>
      <c r="BF305" s="80"/>
      <c r="BG305" s="80"/>
      <c r="BH305" s="73"/>
      <c r="BI305" s="73"/>
      <c r="BJ305" s="73"/>
      <c r="BK305" s="73"/>
      <c r="BL305" s="79">
        <v>43150</v>
      </c>
      <c r="BM305" s="79">
        <v>43150</v>
      </c>
      <c r="BN305" s="58" t="s">
        <v>44</v>
      </c>
      <c r="BO305" s="58" t="s">
        <v>44</v>
      </c>
      <c r="BP305" s="58" t="s">
        <v>976</v>
      </c>
      <c r="BQ305">
        <v>0</v>
      </c>
      <c r="BR305" s="92" t="s">
        <v>1467</v>
      </c>
      <c r="BV305" s="18"/>
      <c r="BW305" s="18"/>
    </row>
    <row r="306" spans="1:75" x14ac:dyDescent="0.3">
      <c r="B306" s="20" t="s">
        <v>955</v>
      </c>
      <c r="C306" s="20" t="s">
        <v>955</v>
      </c>
      <c r="D306" s="57" t="s">
        <v>1242</v>
      </c>
      <c r="E306" s="58" t="s">
        <v>956</v>
      </c>
      <c r="F306" s="93"/>
      <c r="G306" s="93"/>
      <c r="H306" s="58" t="s">
        <v>42</v>
      </c>
      <c r="I306" s="58" t="s">
        <v>956</v>
      </c>
      <c r="J306" s="59">
        <v>777772</v>
      </c>
      <c r="K306" s="95" t="s">
        <v>43</v>
      </c>
      <c r="L306" s="95"/>
      <c r="M306" s="58" t="s">
        <v>39</v>
      </c>
      <c r="N306" s="59">
        <v>12</v>
      </c>
      <c r="O306" s="58" t="s">
        <v>49</v>
      </c>
      <c r="P306" s="58" t="s">
        <v>979</v>
      </c>
      <c r="Q306" s="58" t="s">
        <v>42</v>
      </c>
      <c r="R306" s="58" t="s">
        <v>957</v>
      </c>
      <c r="S306" s="58" t="s">
        <v>42</v>
      </c>
      <c r="T306" s="73">
        <v>1517395</v>
      </c>
      <c r="U306" s="74">
        <f t="shared" si="187"/>
        <v>1539949.1783649877</v>
      </c>
      <c r="V306" s="74">
        <v>381150</v>
      </c>
      <c r="W306" s="74"/>
      <c r="X306" s="74"/>
      <c r="Y306" s="74"/>
      <c r="Z306" s="74"/>
      <c r="AA306" s="75" t="s">
        <v>43</v>
      </c>
      <c r="AB306" s="74"/>
      <c r="AC306" s="74"/>
      <c r="AD306" s="75" t="s">
        <v>43</v>
      </c>
      <c r="AE306" s="74"/>
      <c r="AF306" s="74"/>
      <c r="AG306" s="74">
        <v>0</v>
      </c>
      <c r="AH306" s="75" t="s">
        <v>42</v>
      </c>
      <c r="AI306" s="74"/>
      <c r="AJ306" s="74">
        <f t="shared" si="170"/>
        <v>386466.82650392328</v>
      </c>
      <c r="AK306" s="83">
        <f>139.1/122.9*U306</f>
        <v>1742936.783649876</v>
      </c>
      <c r="AL306" s="83">
        <f>121.6/116.3*AJ306</f>
        <v>404078.81429816911</v>
      </c>
      <c r="AM306" s="74">
        <f t="shared" si="193"/>
        <v>1830083.62283237</v>
      </c>
      <c r="AN306" s="74">
        <f t="shared" si="193"/>
        <v>424282.75501307758</v>
      </c>
      <c r="AO306" s="74">
        <f t="shared" si="171"/>
        <v>1882371.7263418662</v>
      </c>
      <c r="AP306" s="74">
        <f t="shared" si="172"/>
        <v>424282.75501307758</v>
      </c>
      <c r="AQ306" s="74">
        <f t="shared" si="168"/>
        <v>1985204.9965772089</v>
      </c>
      <c r="AR306" s="76">
        <v>113.9</v>
      </c>
      <c r="AS306" s="74">
        <f t="shared" si="169"/>
        <v>424282.75501307758</v>
      </c>
      <c r="AT306" s="76">
        <v>105</v>
      </c>
      <c r="AU306" s="74">
        <f>AQ306/AR306*AV306</f>
        <v>2161241.6117258463</v>
      </c>
      <c r="AV306" s="76">
        <v>124</v>
      </c>
      <c r="AW306" s="74">
        <f>AS306/AT306*AX306</f>
        <v>492976.15344376635</v>
      </c>
      <c r="AX306" s="76">
        <v>122</v>
      </c>
      <c r="AY306" s="77">
        <f>CEILING(((AU306/AV306)*AZ306),1)</f>
        <v>2182157</v>
      </c>
      <c r="AZ306" s="78">
        <v>125.2</v>
      </c>
      <c r="BA306" s="77">
        <f>CEILING(((AW306/AX306)*BB306),1)</f>
        <v>498230</v>
      </c>
      <c r="BB306" s="78">
        <v>123.3</v>
      </c>
      <c r="BC306" s="79">
        <v>43100</v>
      </c>
      <c r="BD306" s="59"/>
      <c r="BE306" s="80"/>
      <c r="BF306" s="80"/>
      <c r="BG306" s="80"/>
      <c r="BH306" s="73"/>
      <c r="BI306" s="73"/>
      <c r="BJ306" s="73"/>
      <c r="BK306" s="73"/>
      <c r="BL306" s="79">
        <v>43153</v>
      </c>
      <c r="BM306" s="79">
        <v>43153</v>
      </c>
      <c r="BN306" s="58" t="s">
        <v>44</v>
      </c>
      <c r="BO306" s="58" t="s">
        <v>44</v>
      </c>
      <c r="BP306" s="58" t="s">
        <v>976</v>
      </c>
      <c r="BQ306">
        <v>0</v>
      </c>
      <c r="BR306" s="59"/>
      <c r="BV306" s="18"/>
      <c r="BW306" s="18"/>
    </row>
    <row r="307" spans="1:75" x14ac:dyDescent="0.3">
      <c r="B307" s="22" t="s">
        <v>977</v>
      </c>
      <c r="C307" s="22" t="s">
        <v>977</v>
      </c>
      <c r="D307" s="55" t="s">
        <v>1409</v>
      </c>
      <c r="E307" s="59" t="s">
        <v>986</v>
      </c>
      <c r="F307" s="94"/>
      <c r="G307" s="94"/>
      <c r="H307" s="59"/>
      <c r="I307" s="59"/>
      <c r="J307" s="59"/>
      <c r="K307" s="95" t="s">
        <v>43</v>
      </c>
      <c r="L307" s="95"/>
      <c r="M307" s="59"/>
      <c r="N307" s="59"/>
      <c r="O307" s="59"/>
      <c r="P307" s="59" t="s">
        <v>980</v>
      </c>
      <c r="Q307" s="59"/>
      <c r="R307" s="59"/>
      <c r="S307" s="59"/>
      <c r="T307" s="73">
        <v>1333839</v>
      </c>
      <c r="U307" s="74">
        <f t="shared" si="187"/>
        <v>1353664.8480594549</v>
      </c>
      <c r="V307" s="74">
        <v>465850</v>
      </c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>
        <f t="shared" si="170"/>
        <v>472348.34350479511</v>
      </c>
      <c r="AK307" s="83">
        <f>139.1/122.9*U307</f>
        <v>1532097.4805945498</v>
      </c>
      <c r="AL307" s="83">
        <f>121.6/116.3*AJ307</f>
        <v>493874.10636442888</v>
      </c>
      <c r="AM307" s="74">
        <f t="shared" si="193"/>
        <v>1608702.3546242774</v>
      </c>
      <c r="AN307" s="74">
        <f t="shared" si="193"/>
        <v>518567.81168265035</v>
      </c>
      <c r="AO307" s="74">
        <f t="shared" si="171"/>
        <v>1654665.279042114</v>
      </c>
      <c r="AP307" s="74">
        <f t="shared" si="172"/>
        <v>518567.81168265035</v>
      </c>
      <c r="AQ307" s="74">
        <f t="shared" si="168"/>
        <v>1745059.0303971926</v>
      </c>
      <c r="AR307" s="76">
        <v>113.9</v>
      </c>
      <c r="AS307" s="74">
        <f t="shared" si="169"/>
        <v>518567.81168265035</v>
      </c>
      <c r="AT307" s="76">
        <v>105</v>
      </c>
      <c r="AU307" s="74">
        <f>AQ307/AR307*AV307</f>
        <v>1899800.8759372421</v>
      </c>
      <c r="AV307" s="76">
        <v>124</v>
      </c>
      <c r="AW307" s="74">
        <f>AS307/AT307*AX307</f>
        <v>602526.40976460325</v>
      </c>
      <c r="AX307" s="76">
        <v>122</v>
      </c>
      <c r="AY307" s="77">
        <f>CEILING(((AU307/AV307)*AZ307),1)</f>
        <v>1918187</v>
      </c>
      <c r="AZ307" s="78">
        <v>125.2</v>
      </c>
      <c r="BA307" s="77">
        <f>CEILING(((AW307/AX307)*BB307),1)</f>
        <v>608947</v>
      </c>
      <c r="BB307" s="78">
        <v>123.3</v>
      </c>
      <c r="BC307" s="59"/>
      <c r="BD307" s="59"/>
      <c r="BE307" s="80"/>
      <c r="BF307" s="80"/>
      <c r="BG307" s="80"/>
      <c r="BH307" s="73"/>
      <c r="BI307" s="73"/>
      <c r="BJ307" s="73"/>
      <c r="BK307" s="73"/>
      <c r="BL307" s="59"/>
      <c r="BM307" s="59"/>
      <c r="BN307" s="59"/>
      <c r="BO307" s="59"/>
      <c r="BP307" s="59" t="s">
        <v>976</v>
      </c>
      <c r="BR307" s="59"/>
      <c r="BV307" s="18"/>
      <c r="BW307" s="18"/>
    </row>
    <row r="308" spans="1:75" x14ac:dyDescent="0.3">
      <c r="B308" s="20" t="s">
        <v>958</v>
      </c>
      <c r="C308" s="20" t="s">
        <v>958</v>
      </c>
      <c r="D308" s="57" t="s">
        <v>1410</v>
      </c>
      <c r="E308" s="58" t="s">
        <v>952</v>
      </c>
      <c r="F308" s="93"/>
      <c r="G308" s="93"/>
      <c r="H308" s="58"/>
      <c r="I308" s="58"/>
      <c r="J308" s="59"/>
      <c r="K308" s="95" t="s">
        <v>43</v>
      </c>
      <c r="L308" s="95"/>
      <c r="M308" s="58"/>
      <c r="N308" s="59"/>
      <c r="O308" s="58"/>
      <c r="P308" s="58" t="s">
        <v>981</v>
      </c>
      <c r="Q308" s="58"/>
      <c r="R308" s="58"/>
      <c r="S308" s="58"/>
      <c r="T308" s="73">
        <v>1554106</v>
      </c>
      <c r="U308" s="74">
        <f t="shared" si="187"/>
        <v>1577205.8414533446</v>
      </c>
      <c r="V308" s="74">
        <v>471900</v>
      </c>
      <c r="W308" s="74"/>
      <c r="X308" s="74"/>
      <c r="Y308" s="74"/>
      <c r="Z308" s="74"/>
      <c r="AA308" s="75"/>
      <c r="AB308" s="74"/>
      <c r="AC308" s="74"/>
      <c r="AD308" s="75"/>
      <c r="AE308" s="74"/>
      <c r="AF308" s="74"/>
      <c r="AG308" s="74"/>
      <c r="AH308" s="75"/>
      <c r="AI308" s="74"/>
      <c r="AJ308" s="74">
        <f t="shared" si="170"/>
        <v>478482.73757628596</v>
      </c>
      <c r="AK308" s="83">
        <f>139.1/122.9*U308</f>
        <v>1785104.4145334435</v>
      </c>
      <c r="AL308" s="83">
        <f>121.6/116.3*AJ308</f>
        <v>500288.05579773319</v>
      </c>
      <c r="AM308" s="74">
        <f t="shared" si="193"/>
        <v>1874359.6352601158</v>
      </c>
      <c r="AN308" s="74">
        <f t="shared" si="193"/>
        <v>525302.45858761983</v>
      </c>
      <c r="AO308" s="74">
        <f t="shared" si="171"/>
        <v>1927912.7676961191</v>
      </c>
      <c r="AP308" s="74">
        <f t="shared" si="172"/>
        <v>525302.45858761983</v>
      </c>
      <c r="AQ308" s="74">
        <f t="shared" si="168"/>
        <v>2033233.9281535924</v>
      </c>
      <c r="AR308" s="76">
        <v>113.9</v>
      </c>
      <c r="AS308" s="74">
        <f t="shared" si="169"/>
        <v>525302.45858761983</v>
      </c>
      <c r="AT308" s="76">
        <v>105</v>
      </c>
      <c r="AU308" s="74">
        <f>AQ308/AR308*AV308</f>
        <v>2213529.4740214702</v>
      </c>
      <c r="AV308" s="76">
        <v>124</v>
      </c>
      <c r="AW308" s="74">
        <f>AS308/AT308*AX308</f>
        <v>610351.42807323451</v>
      </c>
      <c r="AX308" s="76">
        <v>122</v>
      </c>
      <c r="AY308" s="77">
        <f>CEILING(((AU308/AV308)*AZ308),1)</f>
        <v>2234951</v>
      </c>
      <c r="AZ308" s="78">
        <v>125.2</v>
      </c>
      <c r="BA308" s="77">
        <f>CEILING(((AW308/AX308)*BB308),1)</f>
        <v>616856</v>
      </c>
      <c r="BB308" s="78">
        <v>123.3</v>
      </c>
      <c r="BC308" s="79"/>
      <c r="BD308" s="59"/>
      <c r="BE308" s="80"/>
      <c r="BF308" s="80"/>
      <c r="BG308" s="80"/>
      <c r="BH308" s="73"/>
      <c r="BI308" s="73"/>
      <c r="BJ308" s="73"/>
      <c r="BK308" s="73"/>
      <c r="BL308" s="79"/>
      <c r="BM308" s="79"/>
      <c r="BN308" s="58"/>
      <c r="BO308" s="58"/>
      <c r="BP308" s="58" t="s">
        <v>976</v>
      </c>
      <c r="BR308" s="59"/>
      <c r="BV308" s="18"/>
      <c r="BW308" s="18"/>
    </row>
    <row r="309" spans="1:75" x14ac:dyDescent="0.3">
      <c r="B309" s="20" t="s">
        <v>982</v>
      </c>
      <c r="C309" s="20" t="s">
        <v>982</v>
      </c>
      <c r="D309" s="57" t="s">
        <v>1243</v>
      </c>
      <c r="E309" s="58" t="s">
        <v>1113</v>
      </c>
      <c r="F309" s="93"/>
      <c r="G309" s="93"/>
      <c r="H309" s="58"/>
      <c r="I309" s="58"/>
      <c r="J309" s="59"/>
      <c r="K309" s="95" t="s">
        <v>43</v>
      </c>
      <c r="L309" s="95"/>
      <c r="M309" s="58"/>
      <c r="N309" s="59"/>
      <c r="O309" s="58"/>
      <c r="P309" s="58" t="s">
        <v>983</v>
      </c>
      <c r="Q309" s="58"/>
      <c r="R309" s="58"/>
      <c r="S309" s="58"/>
      <c r="T309" s="73">
        <v>2447411</v>
      </c>
      <c r="U309" s="74">
        <f t="shared" si="187"/>
        <v>2483788.7027250212</v>
      </c>
      <c r="V309" s="74">
        <v>612260</v>
      </c>
      <c r="W309" s="74"/>
      <c r="X309" s="74"/>
      <c r="Y309" s="74"/>
      <c r="Z309" s="74"/>
      <c r="AA309" s="75"/>
      <c r="AB309" s="74"/>
      <c r="AC309" s="74"/>
      <c r="AD309" s="75"/>
      <c r="AE309" s="74"/>
      <c r="AF309" s="74"/>
      <c r="AG309" s="74"/>
      <c r="AH309" s="75"/>
      <c r="AI309" s="74"/>
      <c r="AJ309" s="74">
        <f t="shared" si="170"/>
        <v>620800.68003487354</v>
      </c>
      <c r="AK309" s="83">
        <f>139.1/122.9*U309</f>
        <v>2811188.027250207</v>
      </c>
      <c r="AL309" s="83">
        <f>121.6/116.3*AJ309</f>
        <v>649091.68265039218</v>
      </c>
      <c r="AM309" s="74">
        <f t="shared" si="193"/>
        <v>2951747.4286127174</v>
      </c>
      <c r="AN309" s="74">
        <f t="shared" si="193"/>
        <v>681546.26678291184</v>
      </c>
      <c r="AO309" s="74">
        <f t="shared" si="171"/>
        <v>3036083.0694302237</v>
      </c>
      <c r="AP309" s="74">
        <f t="shared" si="172"/>
        <v>681546.26678291184</v>
      </c>
      <c r="AQ309" s="74">
        <f t="shared" si="168"/>
        <v>3201943.163037986</v>
      </c>
      <c r="AR309" s="76">
        <v>113.9</v>
      </c>
      <c r="AS309" s="74">
        <f t="shared" si="169"/>
        <v>681546.26678291184</v>
      </c>
      <c r="AT309" s="76">
        <v>105</v>
      </c>
      <c r="AU309" s="74">
        <f>AQ309/AR309*AV309</f>
        <v>3485873.1537902569</v>
      </c>
      <c r="AV309" s="76">
        <v>124</v>
      </c>
      <c r="AW309" s="27">
        <v>809391.85</v>
      </c>
      <c r="AX309" s="76">
        <v>122</v>
      </c>
      <c r="AY309" s="77">
        <f>CEILING(((AU309/AV309)*AZ309),1)</f>
        <v>3519608</v>
      </c>
      <c r="AZ309" s="78">
        <v>125.2</v>
      </c>
      <c r="BA309" s="77">
        <f>CEILING(((AW309/AX309)*BB309),1)</f>
        <v>818017</v>
      </c>
      <c r="BB309" s="78">
        <v>123.3</v>
      </c>
      <c r="BC309" s="98"/>
      <c r="BD309" s="65"/>
      <c r="BE309" s="99"/>
      <c r="BF309" s="99"/>
      <c r="BG309" s="99"/>
      <c r="BH309" s="100"/>
      <c r="BI309" s="100"/>
      <c r="BJ309" s="100"/>
      <c r="BK309" s="100"/>
      <c r="BL309" s="98"/>
      <c r="BM309" s="98"/>
      <c r="BN309" s="101"/>
      <c r="BO309" s="101"/>
      <c r="BP309" s="101" t="s">
        <v>976</v>
      </c>
      <c r="BR309" s="59"/>
      <c r="BV309" s="18"/>
      <c r="BW309" s="18"/>
    </row>
    <row r="310" spans="1:75" x14ac:dyDescent="0.3">
      <c r="A310" t="s">
        <v>1083</v>
      </c>
      <c r="B310" s="7" t="s">
        <v>1075</v>
      </c>
      <c r="C310" s="7" t="s">
        <v>1075</v>
      </c>
      <c r="D310" s="61" t="e">
        <v>#N/A</v>
      </c>
      <c r="E310" s="60"/>
      <c r="F310" s="7"/>
      <c r="G310" s="7"/>
      <c r="H310" s="60"/>
      <c r="I310" s="60"/>
      <c r="M310" s="60"/>
      <c r="O310" s="60" t="s">
        <v>1076</v>
      </c>
      <c r="P310" s="58" t="s">
        <v>1077</v>
      </c>
      <c r="Q310" s="60"/>
      <c r="R310" s="60"/>
      <c r="S310" s="60"/>
      <c r="U310" s="74"/>
      <c r="V310" s="74"/>
      <c r="W310" s="74"/>
      <c r="X310" s="74"/>
      <c r="Y310" s="74"/>
      <c r="Z310" s="74"/>
      <c r="AA310" s="75"/>
      <c r="AB310" s="74"/>
      <c r="AC310" s="74"/>
      <c r="AD310" s="75"/>
      <c r="AE310" s="74"/>
      <c r="AF310" s="74"/>
      <c r="AG310" s="74"/>
      <c r="AH310" s="75"/>
      <c r="AI310" s="74"/>
      <c r="AJ310" s="74"/>
      <c r="AK310" s="83"/>
      <c r="AL310" s="83"/>
      <c r="AM310" s="74"/>
      <c r="AN310" s="74"/>
      <c r="AO310" s="74"/>
      <c r="AP310" s="74"/>
      <c r="AQ310" s="74"/>
      <c r="AR310" s="76"/>
      <c r="AS310" s="74"/>
      <c r="AU310" s="27">
        <v>1573000</v>
      </c>
      <c r="AV310" s="64">
        <v>124</v>
      </c>
      <c r="AW310" s="27">
        <v>151250</v>
      </c>
      <c r="AX310" s="64">
        <v>122</v>
      </c>
      <c r="AY310" s="77">
        <v>1573000</v>
      </c>
      <c r="AZ310" s="78">
        <v>125.2</v>
      </c>
      <c r="BA310" s="77">
        <v>151250</v>
      </c>
      <c r="BB310" s="78">
        <v>123.3</v>
      </c>
      <c r="BC310" s="79"/>
      <c r="BD310" s="59"/>
      <c r="BE310" s="80"/>
      <c r="BF310" s="80"/>
      <c r="BG310" s="80"/>
      <c r="BH310" s="73"/>
      <c r="BI310" s="73"/>
      <c r="BJ310" s="73"/>
      <c r="BK310" s="73"/>
      <c r="BL310" s="79"/>
      <c r="BM310" s="79"/>
      <c r="BN310" s="58"/>
      <c r="BO310" s="58"/>
      <c r="BP310" s="58"/>
      <c r="BR310" s="59"/>
      <c r="BV310" s="18"/>
      <c r="BW310" s="18"/>
    </row>
    <row r="311" spans="1:75" x14ac:dyDescent="0.3">
      <c r="B311" s="7"/>
      <c r="C311" s="7"/>
      <c r="D311" s="7"/>
      <c r="E311" s="7"/>
      <c r="F311" s="7"/>
      <c r="G311" s="7"/>
      <c r="H311" s="60"/>
      <c r="I311" s="60"/>
      <c r="M311" s="60"/>
      <c r="O311" s="60"/>
      <c r="P311" s="20" t="s">
        <v>998</v>
      </c>
      <c r="Q311" s="60"/>
      <c r="R311" s="60"/>
      <c r="S311" s="60"/>
      <c r="T311" s="11">
        <f>SUM(T305:T309)</f>
        <v>8357909</v>
      </c>
      <c r="U311" s="1">
        <f>SUM(U305:U309)</f>
        <v>8482138.8612716775</v>
      </c>
      <c r="V311" s="1">
        <f>SUM(V305:V309)</f>
        <v>2366760</v>
      </c>
      <c r="W311" s="1"/>
      <c r="X311" s="1"/>
      <c r="Y311" s="1"/>
      <c r="Z311" s="1"/>
      <c r="AA311" s="2"/>
      <c r="AB311" s="1"/>
      <c r="AC311" s="1"/>
      <c r="AD311" s="2"/>
      <c r="AE311" s="1"/>
      <c r="AF311" s="1"/>
      <c r="AG311" s="1"/>
      <c r="AH311" s="2"/>
      <c r="AI311" s="1"/>
      <c r="AJ311" s="1">
        <f t="shared" ref="AJ311:AQ311" si="194">SUM(AJ305:AJ309)</f>
        <v>2399774.9607672188</v>
      </c>
      <c r="AK311" s="3">
        <f t="shared" si="194"/>
        <v>9600207.6127167642</v>
      </c>
      <c r="AL311" s="3">
        <f t="shared" si="194"/>
        <v>2509137.0183086307</v>
      </c>
      <c r="AM311" s="1">
        <f t="shared" si="194"/>
        <v>10080217.993352603</v>
      </c>
      <c r="AN311" s="1">
        <f t="shared" si="194"/>
        <v>2634593.8692240627</v>
      </c>
      <c r="AO311" s="74">
        <f t="shared" si="194"/>
        <v>10368224.221734105</v>
      </c>
      <c r="AP311" s="74">
        <f t="shared" si="194"/>
        <v>2634593.8692240627</v>
      </c>
      <c r="AQ311" s="74">
        <f t="shared" si="194"/>
        <v>10934636.470884394</v>
      </c>
      <c r="AR311" s="76">
        <v>113.9</v>
      </c>
      <c r="AS311" s="74">
        <f>SUM(AS305:AS309)</f>
        <v>2149699.2920662598</v>
      </c>
      <c r="AU311" s="74">
        <f>SUM(AU305:AU309)</f>
        <v>10832351.275474817</v>
      </c>
      <c r="AW311" s="74">
        <f>SUM(AW305:AW309)</f>
        <v>2515245.841281604</v>
      </c>
      <c r="AY311" s="32">
        <f>SUM(AY305:AY310)</f>
        <v>12510183</v>
      </c>
      <c r="AZ311" s="78"/>
      <c r="BA311" s="77">
        <f>SUM(BA305:BA310)</f>
        <v>2693300</v>
      </c>
      <c r="BB311" s="78"/>
      <c r="BC311" s="79"/>
      <c r="BD311" s="59"/>
      <c r="BE311" s="80"/>
      <c r="BF311" s="80"/>
      <c r="BG311" s="80"/>
      <c r="BH311" s="73"/>
      <c r="BI311" s="73"/>
      <c r="BJ311" s="73"/>
      <c r="BK311" s="73"/>
      <c r="BL311" s="79"/>
      <c r="BM311" s="79"/>
      <c r="BN311" s="58"/>
      <c r="BO311" s="58"/>
      <c r="BP311" s="58"/>
      <c r="BR311" s="59"/>
      <c r="BV311" s="18"/>
    </row>
    <row r="312" spans="1:75" x14ac:dyDescent="0.3">
      <c r="C312" s="7"/>
      <c r="D312" s="7"/>
      <c r="E312" s="7"/>
      <c r="F312" s="7"/>
      <c r="G312" s="7"/>
      <c r="H312" s="60"/>
      <c r="I312" s="60"/>
      <c r="M312" s="60"/>
      <c r="O312" s="60"/>
      <c r="P312" s="60"/>
      <c r="Q312" s="60"/>
      <c r="R312" s="60"/>
      <c r="S312" s="60"/>
      <c r="U312" s="18"/>
      <c r="V312" s="18"/>
      <c r="W312" s="18"/>
      <c r="X312" s="18"/>
      <c r="Y312" s="18"/>
      <c r="Z312" s="18"/>
      <c r="AA312" s="81"/>
      <c r="AB312" s="18"/>
      <c r="AC312" s="18"/>
      <c r="AD312" s="81"/>
      <c r="AE312" s="18"/>
      <c r="AF312" s="18"/>
      <c r="AG312" s="18"/>
      <c r="AH312" s="81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Y312" s="85"/>
      <c r="BC312" s="13"/>
      <c r="BL312" s="13"/>
      <c r="BM312" s="13"/>
      <c r="BN312" s="60"/>
      <c r="BO312" s="60"/>
      <c r="BP312" s="60"/>
    </row>
    <row r="315" spans="1:75" x14ac:dyDescent="0.3">
      <c r="B315" s="86"/>
      <c r="C315" s="88" t="s">
        <v>1438</v>
      </c>
      <c r="D315" s="53" t="s">
        <v>9</v>
      </c>
      <c r="E315" s="54" t="s">
        <v>1380</v>
      </c>
      <c r="F315" s="54" t="s">
        <v>1389</v>
      </c>
      <c r="G315" s="54" t="s">
        <v>1390</v>
      </c>
      <c r="H315" s="7" t="s">
        <v>1</v>
      </c>
      <c r="I315" s="7" t="s">
        <v>2</v>
      </c>
      <c r="J315" s="7" t="s">
        <v>3</v>
      </c>
      <c r="K315" s="7"/>
      <c r="L315" s="7"/>
      <c r="M315" s="7" t="s">
        <v>4</v>
      </c>
      <c r="N315" s="88"/>
      <c r="O315" s="88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V315" s="5"/>
    </row>
    <row r="316" spans="1:75" x14ac:dyDescent="0.3">
      <c r="C316" s="89" t="s">
        <v>1426</v>
      </c>
      <c r="D316" s="89" t="s">
        <v>1427</v>
      </c>
      <c r="E316" s="89" t="s">
        <v>1428</v>
      </c>
      <c r="F316" s="95"/>
      <c r="G316" s="94"/>
      <c r="H316" s="59"/>
      <c r="I316" s="59"/>
      <c r="J316" s="59"/>
      <c r="K316" s="95" t="s">
        <v>43</v>
      </c>
      <c r="L316" s="95"/>
      <c r="M316" s="59"/>
      <c r="N316" s="59"/>
      <c r="O316" s="59" t="s">
        <v>1437</v>
      </c>
      <c r="AY316" s="109">
        <v>0</v>
      </c>
      <c r="AZ316" s="108">
        <v>125.2</v>
      </c>
      <c r="BA316" s="109">
        <v>0</v>
      </c>
      <c r="BB316" s="108">
        <v>123.3</v>
      </c>
      <c r="BR316" t="s">
        <v>1482</v>
      </c>
    </row>
    <row r="317" spans="1:75" x14ac:dyDescent="0.3">
      <c r="A317" t="s">
        <v>1480</v>
      </c>
      <c r="C317" s="89" t="s">
        <v>1140</v>
      </c>
      <c r="D317" s="89" t="s">
        <v>1429</v>
      </c>
      <c r="E317" s="89" t="s">
        <v>1101</v>
      </c>
      <c r="F317" s="95"/>
      <c r="G317" s="94"/>
      <c r="H317" s="59"/>
      <c r="I317" s="59"/>
      <c r="J317" s="59"/>
      <c r="K317" s="95" t="s">
        <v>43</v>
      </c>
      <c r="L317" s="95"/>
      <c r="M317" s="59"/>
      <c r="N317" s="59"/>
      <c r="O317" s="59" t="s">
        <v>1437</v>
      </c>
      <c r="AY317" s="109">
        <v>2500000</v>
      </c>
      <c r="AZ317" s="108">
        <v>125.2</v>
      </c>
      <c r="BA317" s="109">
        <v>0</v>
      </c>
      <c r="BB317" s="108">
        <v>123.3</v>
      </c>
      <c r="BC317" s="85"/>
    </row>
    <row r="318" spans="1:75" x14ac:dyDescent="0.3">
      <c r="C318" s="89" t="s">
        <v>1430</v>
      </c>
      <c r="D318" s="89" t="s">
        <v>1171</v>
      </c>
      <c r="E318" s="89" t="s">
        <v>1101</v>
      </c>
      <c r="F318" s="95"/>
      <c r="G318" s="94"/>
      <c r="H318" s="59"/>
      <c r="I318" s="59"/>
      <c r="J318" s="59"/>
      <c r="K318" s="95" t="s">
        <v>43</v>
      </c>
      <c r="L318" s="95"/>
      <c r="M318" s="59"/>
      <c r="N318" s="59"/>
      <c r="O318" s="59" t="s">
        <v>1437</v>
      </c>
      <c r="AR318" s="18"/>
      <c r="AY318" s="109">
        <v>9000000</v>
      </c>
      <c r="AZ318" s="108">
        <v>125.2</v>
      </c>
      <c r="BA318" s="109">
        <v>0</v>
      </c>
      <c r="BB318" s="108">
        <v>123.3</v>
      </c>
      <c r="BC318" s="85"/>
    </row>
    <row r="319" spans="1:75" x14ac:dyDescent="0.3">
      <c r="C319" s="89" t="s">
        <v>1431</v>
      </c>
      <c r="D319" s="89" t="s">
        <v>1187</v>
      </c>
      <c r="E319" s="89" t="s">
        <v>1101</v>
      </c>
      <c r="F319" s="95"/>
      <c r="G319" s="94"/>
      <c r="H319" s="59"/>
      <c r="I319" s="59"/>
      <c r="J319" s="59"/>
      <c r="K319" s="95" t="s">
        <v>43</v>
      </c>
      <c r="L319" s="95"/>
      <c r="M319" s="59"/>
      <c r="N319" s="59"/>
      <c r="O319" s="59" t="s">
        <v>1437</v>
      </c>
      <c r="AR319" s="18"/>
      <c r="AY319" s="109">
        <v>1500000</v>
      </c>
      <c r="AZ319" s="108">
        <v>125.2</v>
      </c>
      <c r="BA319" s="109">
        <v>0</v>
      </c>
      <c r="BB319" s="108">
        <v>123.3</v>
      </c>
      <c r="BC319" s="85"/>
    </row>
    <row r="320" spans="1:75" x14ac:dyDescent="0.3">
      <c r="C320" s="89" t="s">
        <v>1432</v>
      </c>
      <c r="D320" s="89" t="s">
        <v>1205</v>
      </c>
      <c r="E320" s="89" t="s">
        <v>1382</v>
      </c>
      <c r="F320" s="95"/>
      <c r="G320" s="94"/>
      <c r="H320" s="59"/>
      <c r="I320" s="59"/>
      <c r="J320" s="59"/>
      <c r="K320" s="95" t="s">
        <v>43</v>
      </c>
      <c r="L320" s="95"/>
      <c r="M320" s="59"/>
      <c r="N320" s="59"/>
      <c r="O320" s="59" t="s">
        <v>1437</v>
      </c>
      <c r="AR320" s="18"/>
      <c r="AY320" s="109">
        <v>0</v>
      </c>
      <c r="AZ320" s="108">
        <v>125.2</v>
      </c>
      <c r="BA320" s="109">
        <v>0</v>
      </c>
      <c r="BB320" s="108">
        <v>123.3</v>
      </c>
    </row>
    <row r="321" spans="1:75" x14ac:dyDescent="0.3">
      <c r="A321" s="12"/>
      <c r="C321" s="89" t="s">
        <v>1433</v>
      </c>
      <c r="D321" s="89" t="s">
        <v>1434</v>
      </c>
      <c r="E321" s="89" t="s">
        <v>713</v>
      </c>
      <c r="F321" s="95"/>
      <c r="G321" s="94"/>
      <c r="H321" s="59"/>
      <c r="I321" s="59"/>
      <c r="J321" s="59"/>
      <c r="K321" s="95" t="s">
        <v>43</v>
      </c>
      <c r="L321" s="95"/>
      <c r="M321" s="59"/>
      <c r="N321" s="59"/>
      <c r="O321" s="59" t="s">
        <v>1437</v>
      </c>
      <c r="AY321" s="109">
        <v>0</v>
      </c>
      <c r="AZ321" s="108">
        <v>125.2</v>
      </c>
      <c r="BA321" s="109">
        <v>0</v>
      </c>
      <c r="BB321" s="108">
        <v>123.3</v>
      </c>
    </row>
    <row r="322" spans="1:75" x14ac:dyDescent="0.3">
      <c r="A322" s="52"/>
      <c r="B322" s="10" t="s">
        <v>1140</v>
      </c>
      <c r="C322" s="89" t="s">
        <v>1435</v>
      </c>
      <c r="D322" s="89" t="s">
        <v>1436</v>
      </c>
      <c r="E322" s="89" t="s">
        <v>1111</v>
      </c>
      <c r="F322" s="95"/>
      <c r="G322" s="94"/>
      <c r="H322" s="59"/>
      <c r="I322" s="59"/>
      <c r="J322" s="59"/>
      <c r="K322" s="95" t="s">
        <v>43</v>
      </c>
      <c r="L322" s="95"/>
      <c r="M322" s="59"/>
      <c r="N322" s="59"/>
      <c r="O322" s="59" t="s">
        <v>1437</v>
      </c>
      <c r="AY322" s="109">
        <v>0</v>
      </c>
      <c r="AZ322" s="108">
        <v>125.2</v>
      </c>
      <c r="BA322" s="109">
        <v>0</v>
      </c>
      <c r="BB322" s="108">
        <v>123.3</v>
      </c>
    </row>
    <row r="323" spans="1:75" x14ac:dyDescent="0.3">
      <c r="A323" s="52"/>
      <c r="B323" s="10" t="s">
        <v>1134</v>
      </c>
      <c r="C323" s="89" t="s">
        <v>1435</v>
      </c>
      <c r="D323" s="89" t="s">
        <v>1436</v>
      </c>
      <c r="E323" s="89" t="s">
        <v>1111</v>
      </c>
      <c r="F323" s="95"/>
      <c r="G323" s="94"/>
      <c r="H323" s="59"/>
      <c r="I323" s="59"/>
      <c r="J323" s="59"/>
      <c r="K323" s="95" t="s">
        <v>43</v>
      </c>
      <c r="L323" s="95"/>
      <c r="M323" s="59"/>
      <c r="N323" s="59"/>
      <c r="O323" s="59" t="s">
        <v>1437</v>
      </c>
      <c r="AY323" s="109">
        <v>0</v>
      </c>
      <c r="AZ323" s="108">
        <v>125.2</v>
      </c>
      <c r="BA323" s="109">
        <v>0</v>
      </c>
      <c r="BB323" s="108">
        <v>123.3</v>
      </c>
    </row>
    <row r="324" spans="1:75" x14ac:dyDescent="0.3">
      <c r="A324" t="s">
        <v>1480</v>
      </c>
      <c r="C324" s="87" t="s">
        <v>1478</v>
      </c>
      <c r="D324" s="87" t="s">
        <v>1479</v>
      </c>
      <c r="E324" s="87" t="s">
        <v>1384</v>
      </c>
      <c r="F324"/>
      <c r="K324" s="107" t="s">
        <v>1473</v>
      </c>
      <c r="AY324" s="109">
        <v>3025000</v>
      </c>
      <c r="AZ324" s="108"/>
      <c r="BA324" s="112">
        <v>151250</v>
      </c>
      <c r="BB324" s="108"/>
    </row>
    <row r="325" spans="1:75" s="106" customFormat="1" x14ac:dyDescent="0.3">
      <c r="B325" s="10"/>
      <c r="C325" s="87"/>
      <c r="D325" s="87"/>
      <c r="E325" s="87"/>
      <c r="G325" s="10"/>
      <c r="K325" s="111"/>
      <c r="T325" s="62"/>
      <c r="U325" s="62"/>
      <c r="V325" s="62"/>
      <c r="W325" s="62"/>
      <c r="X325" s="62"/>
      <c r="Y325" s="63"/>
      <c r="Z325" s="63"/>
      <c r="AB325" s="62"/>
      <c r="AC325" s="62"/>
      <c r="AE325" s="62"/>
      <c r="AF325" s="62"/>
      <c r="AT325" s="64"/>
      <c r="AU325" s="18"/>
      <c r="AV325" s="64"/>
      <c r="AW325" s="18"/>
      <c r="AX325" s="64"/>
      <c r="AY325" s="110">
        <f>SUM(AY316:AY324)</f>
        <v>16025000</v>
      </c>
      <c r="AZ325" s="108"/>
      <c r="BA325" s="110">
        <f>SUM(BA316:BA324)</f>
        <v>151250</v>
      </c>
      <c r="BB325" s="108"/>
      <c r="BE325" s="63"/>
      <c r="BF325" s="63"/>
      <c r="BG325" s="63"/>
      <c r="BH325" s="62"/>
      <c r="BI325" s="62"/>
      <c r="BJ325" s="62"/>
      <c r="BK325" s="62"/>
    </row>
    <row r="326" spans="1:75" x14ac:dyDescent="0.3">
      <c r="B326" s="7"/>
      <c r="C326" s="7"/>
      <c r="D326" s="7"/>
      <c r="E326" s="7"/>
      <c r="F326" s="7"/>
      <c r="G326" s="7"/>
      <c r="H326" s="60"/>
      <c r="I326" s="60"/>
      <c r="M326" s="60"/>
      <c r="O326" s="60"/>
      <c r="P326" s="20" t="s">
        <v>984</v>
      </c>
      <c r="Q326" s="58"/>
      <c r="R326" s="58"/>
      <c r="S326" s="58"/>
      <c r="T326" s="73"/>
      <c r="U326" s="1">
        <f>U290+U298+U303+U311</f>
        <v>591497801.02146983</v>
      </c>
      <c r="V326" s="1"/>
      <c r="W326" s="1"/>
      <c r="X326" s="1"/>
      <c r="Y326" s="1"/>
      <c r="Z326" s="1"/>
      <c r="AA326" s="2"/>
      <c r="AB326" s="1"/>
      <c r="AC326" s="1"/>
      <c r="AD326" s="2"/>
      <c r="AE326" s="1"/>
      <c r="AF326" s="1"/>
      <c r="AG326" s="1"/>
      <c r="AH326" s="2"/>
      <c r="AI326" s="1"/>
      <c r="AJ326" s="1">
        <f t="shared" ref="AJ326:AQ326" si="195">AJ290+AJ298+AJ303+AJ311</f>
        <v>97642279.907584995</v>
      </c>
      <c r="AK326" s="3">
        <f t="shared" si="195"/>
        <v>669465778.04789591</v>
      </c>
      <c r="AL326" s="4">
        <f t="shared" si="195"/>
        <v>102092014.07362285</v>
      </c>
      <c r="AM326" s="6">
        <f t="shared" si="195"/>
        <v>710048680.73244059</v>
      </c>
      <c r="AN326" s="6">
        <f t="shared" si="195"/>
        <v>107715937.37577201</v>
      </c>
      <c r="AO326" s="6">
        <f t="shared" si="195"/>
        <v>720876721.10055101</v>
      </c>
      <c r="AP326" s="6">
        <f t="shared" si="195"/>
        <v>106943808.41238926</v>
      </c>
      <c r="AQ326" s="6">
        <f t="shared" si="195"/>
        <v>808787038.68099809</v>
      </c>
      <c r="AR326" s="6"/>
      <c r="AS326" s="6">
        <f>AS290+AS298+AS303+AS311</f>
        <v>112964252.63873626</v>
      </c>
      <c r="AT326" s="26"/>
      <c r="AU326" s="6">
        <f>AU290+AU298+AU303+AU311</f>
        <v>906780862.0222168</v>
      </c>
      <c r="AV326" s="26"/>
      <c r="AW326" s="6">
        <f>AW290+AW298+AW303+AW311</f>
        <v>131540258.06312677</v>
      </c>
      <c r="AX326" s="26"/>
      <c r="AY326" s="4">
        <f>AY290+AY298+AY303+AY311+AY325</f>
        <v>933154277</v>
      </c>
      <c r="AZ326" s="24"/>
      <c r="BA326" s="4">
        <f>BA290+BA298+BA303+BA311+BA325</f>
        <v>133244498</v>
      </c>
      <c r="BB326" s="24"/>
      <c r="BC326" s="3">
        <f>AY326+BA326</f>
        <v>1066398775</v>
      </c>
      <c r="BL326" s="13"/>
      <c r="BM326" s="13"/>
      <c r="BN326" s="60"/>
      <c r="BO326" s="60"/>
      <c r="BP326" s="60"/>
      <c r="BV326" s="5"/>
      <c r="BW326" s="5"/>
    </row>
    <row r="328" spans="1:75" x14ac:dyDescent="0.3">
      <c r="A328" s="52"/>
      <c r="B328" s="10" t="s">
        <v>1137</v>
      </c>
    </row>
    <row r="329" spans="1:75" x14ac:dyDescent="0.3">
      <c r="P329" t="s">
        <v>1483</v>
      </c>
      <c r="BC329" s="109">
        <v>25000000</v>
      </c>
    </row>
    <row r="330" spans="1:75" x14ac:dyDescent="0.3">
      <c r="P330" t="s">
        <v>1485</v>
      </c>
      <c r="U330" s="67"/>
      <c r="BC330" s="109">
        <v>7000000</v>
      </c>
    </row>
    <row r="331" spans="1:75" x14ac:dyDescent="0.3">
      <c r="P331" t="s">
        <v>1484</v>
      </c>
      <c r="BC331" s="109">
        <v>9000000</v>
      </c>
    </row>
    <row r="332" spans="1:75" ht="15" thickBot="1" x14ac:dyDescent="0.35">
      <c r="P332" t="s">
        <v>1486</v>
      </c>
      <c r="BC332" s="113">
        <v>1500000</v>
      </c>
    </row>
    <row r="333" spans="1:75" ht="15" thickBot="1" x14ac:dyDescent="0.35">
      <c r="BC333" s="114">
        <f>SUM(BC329:BC332)</f>
        <v>42500000</v>
      </c>
    </row>
    <row r="334" spans="1:75" ht="15" thickBot="1" x14ac:dyDescent="0.35"/>
    <row r="335" spans="1:75" ht="15" thickBot="1" x14ac:dyDescent="0.35">
      <c r="BC335" s="115">
        <f>BC326+BC333</f>
        <v>1108898775</v>
      </c>
    </row>
  </sheetData>
  <autoFilter ref="A4:BW290" xr:uid="{12C93006-6DE0-47D5-930C-F23FBDE2CA11}">
    <sortState xmlns:xlrd2="http://schemas.microsoft.com/office/spreadsheetml/2017/richdata2" ref="A50:BW232">
      <sortCondition ref="L4:L290"/>
    </sortState>
  </autoFilter>
  <mergeCells count="7">
    <mergeCell ref="AY2:BB2"/>
    <mergeCell ref="U2:AJ2"/>
    <mergeCell ref="AK2:AL2"/>
    <mergeCell ref="AM2:AN2"/>
    <mergeCell ref="AO2:AP2"/>
    <mergeCell ref="AQ2:AT2"/>
    <mergeCell ref="AU2:AX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6023-2276-496E-8996-D3A40DECCAE7}">
  <dimension ref="A7:I37"/>
  <sheetViews>
    <sheetView topLeftCell="A3" workbookViewId="0">
      <selection activeCell="A25" sqref="A25"/>
    </sheetView>
  </sheetViews>
  <sheetFormatPr defaultColWidth="8.88671875" defaultRowHeight="14.4" x14ac:dyDescent="0.3"/>
  <cols>
    <col min="1" max="1" width="15.109375" customWidth="1"/>
    <col min="2" max="2" width="19.44140625" customWidth="1"/>
    <col min="4" max="4" width="12.5546875" customWidth="1"/>
    <col min="5" max="5" width="13.33203125" customWidth="1"/>
    <col min="7" max="7" width="15" bestFit="1" customWidth="1"/>
    <col min="8" max="8" width="13.33203125" customWidth="1"/>
    <col min="9" max="9" width="14.6640625" customWidth="1"/>
  </cols>
  <sheetData>
    <row r="7" spans="1:9" ht="21.6" thickBot="1" x14ac:dyDescent="0.45">
      <c r="A7" s="33" t="s">
        <v>1085</v>
      </c>
      <c r="G7" s="18"/>
    </row>
    <row r="8" spans="1:9" ht="18.600000000000001" thickBot="1" x14ac:dyDescent="0.4">
      <c r="A8" s="34" t="s">
        <v>1086</v>
      </c>
      <c r="B8" s="37">
        <v>2023</v>
      </c>
      <c r="E8" s="40" t="s">
        <v>1090</v>
      </c>
      <c r="F8" s="128">
        <v>649802303</v>
      </c>
      <c r="G8" s="129"/>
    </row>
    <row r="9" spans="1:9" ht="18.600000000000001" thickBot="1" x14ac:dyDescent="0.4">
      <c r="A9" s="34" t="s">
        <v>1087</v>
      </c>
      <c r="B9" s="38" t="s">
        <v>1098</v>
      </c>
      <c r="G9" s="18"/>
    </row>
    <row r="10" spans="1:9" ht="15" thickBot="1" x14ac:dyDescent="0.35">
      <c r="A10" s="35"/>
      <c r="B10" s="35"/>
      <c r="C10" s="35"/>
      <c r="D10" s="35"/>
      <c r="E10" s="35"/>
      <c r="F10" s="35"/>
      <c r="G10" s="42"/>
      <c r="H10" s="35"/>
      <c r="I10" s="35"/>
    </row>
    <row r="11" spans="1:9" ht="42" thickBot="1" x14ac:dyDescent="0.35">
      <c r="A11" s="36"/>
      <c r="B11" s="39" t="s">
        <v>0</v>
      </c>
      <c r="C11" s="39" t="s">
        <v>9</v>
      </c>
      <c r="D11" s="39" t="s">
        <v>1089</v>
      </c>
      <c r="E11" s="39" t="s">
        <v>1120</v>
      </c>
      <c r="F11" s="41" t="s">
        <v>1092</v>
      </c>
      <c r="G11" s="43" t="s">
        <v>1093</v>
      </c>
      <c r="H11" s="39" t="s">
        <v>1094</v>
      </c>
      <c r="I11" s="47" t="s">
        <v>1095</v>
      </c>
    </row>
    <row r="12" spans="1:9" x14ac:dyDescent="0.3">
      <c r="A12" s="35"/>
      <c r="B12" s="35" t="s">
        <v>1099</v>
      </c>
      <c r="C12" s="35"/>
      <c r="D12" s="35" t="s">
        <v>952</v>
      </c>
      <c r="E12" s="35" t="s">
        <v>1114</v>
      </c>
      <c r="F12" s="35"/>
      <c r="G12" s="44">
        <v>0</v>
      </c>
      <c r="H12" s="44">
        <v>0</v>
      </c>
      <c r="I12" s="35" t="s">
        <v>1100</v>
      </c>
    </row>
    <row r="13" spans="1:9" x14ac:dyDescent="0.3">
      <c r="A13" s="35"/>
      <c r="B13" s="35" t="s">
        <v>1103</v>
      </c>
      <c r="C13" s="35"/>
      <c r="D13" s="35" t="s">
        <v>1101</v>
      </c>
      <c r="E13" s="35" t="s">
        <v>1102</v>
      </c>
      <c r="F13" s="35"/>
      <c r="G13" s="44">
        <v>269055</v>
      </c>
      <c r="H13" s="44">
        <v>0</v>
      </c>
      <c r="I13" s="35" t="s">
        <v>1109</v>
      </c>
    </row>
    <row r="14" spans="1:9" x14ac:dyDescent="0.3">
      <c r="A14" s="35"/>
      <c r="B14" s="35" t="s">
        <v>1103</v>
      </c>
      <c r="C14" s="35"/>
      <c r="D14" s="35" t="s">
        <v>1101</v>
      </c>
      <c r="E14" s="35" t="s">
        <v>1104</v>
      </c>
      <c r="F14" s="35"/>
      <c r="G14" s="44">
        <v>584628.80000000005</v>
      </c>
      <c r="H14" s="44">
        <v>0</v>
      </c>
      <c r="I14" s="35" t="s">
        <v>1118</v>
      </c>
    </row>
    <row r="15" spans="1:9" x14ac:dyDescent="0.3">
      <c r="A15" s="35"/>
      <c r="B15" s="35" t="s">
        <v>1055</v>
      </c>
      <c r="C15" s="35"/>
      <c r="D15" s="35" t="s">
        <v>1105</v>
      </c>
      <c r="E15" s="35" t="s">
        <v>1114</v>
      </c>
      <c r="F15" s="35"/>
      <c r="G15" s="44">
        <v>0</v>
      </c>
      <c r="H15" s="44">
        <v>5636742.7599999998</v>
      </c>
      <c r="I15" s="35" t="s">
        <v>1106</v>
      </c>
    </row>
    <row r="16" spans="1:9" x14ac:dyDescent="0.3">
      <c r="A16" s="35"/>
      <c r="B16" s="35" t="s">
        <v>1107</v>
      </c>
      <c r="C16" s="35"/>
      <c r="D16" s="35" t="s">
        <v>1101</v>
      </c>
      <c r="E16" s="35" t="s">
        <v>1114</v>
      </c>
      <c r="F16" s="35"/>
      <c r="G16" s="44">
        <v>0</v>
      </c>
      <c r="H16" s="44">
        <v>690790.59</v>
      </c>
      <c r="I16" s="35" t="s">
        <v>1108</v>
      </c>
    </row>
    <row r="17" spans="1:9" x14ac:dyDescent="0.3">
      <c r="A17" s="35"/>
      <c r="B17" s="35" t="s">
        <v>1068</v>
      </c>
      <c r="C17" s="35"/>
      <c r="D17" s="35" t="s">
        <v>1101</v>
      </c>
      <c r="E17" s="35" t="s">
        <v>1114</v>
      </c>
      <c r="F17" s="35"/>
      <c r="G17" s="44">
        <v>29500000</v>
      </c>
      <c r="H17" s="44">
        <v>0</v>
      </c>
      <c r="I17" s="35" t="s">
        <v>1109</v>
      </c>
    </row>
    <row r="18" spans="1:9" x14ac:dyDescent="0.3">
      <c r="A18" s="35"/>
      <c r="B18" s="35" t="s">
        <v>1110</v>
      </c>
      <c r="C18" s="35"/>
      <c r="D18" s="35" t="s">
        <v>1111</v>
      </c>
      <c r="E18" s="35" t="s">
        <v>1114</v>
      </c>
      <c r="F18" s="35"/>
      <c r="G18" s="44">
        <v>1250000</v>
      </c>
      <c r="H18" s="44">
        <v>0</v>
      </c>
      <c r="I18" s="35" t="s">
        <v>1109</v>
      </c>
    </row>
    <row r="19" spans="1:9" x14ac:dyDescent="0.3">
      <c r="A19" s="35"/>
      <c r="B19" s="35" t="s">
        <v>1112</v>
      </c>
      <c r="C19" s="35"/>
      <c r="D19" s="35" t="s">
        <v>1101</v>
      </c>
      <c r="E19" s="35" t="s">
        <v>1114</v>
      </c>
      <c r="F19" s="35"/>
      <c r="G19" s="44">
        <v>0</v>
      </c>
      <c r="H19" s="44">
        <v>0</v>
      </c>
      <c r="I19" s="35" t="s">
        <v>1084</v>
      </c>
    </row>
    <row r="20" spans="1:9" x14ac:dyDescent="0.3">
      <c r="A20" s="35"/>
      <c r="B20" s="35" t="s">
        <v>982</v>
      </c>
      <c r="C20" s="35"/>
      <c r="D20" s="35" t="s">
        <v>1113</v>
      </c>
      <c r="E20" s="35" t="s">
        <v>1115</v>
      </c>
      <c r="F20" s="35"/>
      <c r="G20" s="44">
        <v>17500</v>
      </c>
      <c r="H20" s="44">
        <v>0</v>
      </c>
      <c r="I20" s="35" t="s">
        <v>1109</v>
      </c>
    </row>
    <row r="21" spans="1:9" x14ac:dyDescent="0.3">
      <c r="A21" s="35"/>
      <c r="B21" s="35" t="s">
        <v>1116</v>
      </c>
      <c r="C21" s="35"/>
      <c r="D21" s="35" t="s">
        <v>1101</v>
      </c>
      <c r="E21" s="35" t="s">
        <v>1114</v>
      </c>
      <c r="F21" s="35"/>
      <c r="G21" s="44">
        <v>0</v>
      </c>
      <c r="H21" s="44">
        <v>0</v>
      </c>
      <c r="I21" s="35" t="s">
        <v>1084</v>
      </c>
    </row>
    <row r="22" spans="1:9" x14ac:dyDescent="0.3">
      <c r="A22" s="35"/>
      <c r="B22" s="35" t="s">
        <v>1075</v>
      </c>
      <c r="C22" s="35"/>
      <c r="D22" s="35" t="s">
        <v>1101</v>
      </c>
      <c r="E22" s="35" t="s">
        <v>1114</v>
      </c>
      <c r="F22" s="35"/>
      <c r="G22" s="44">
        <v>1573000</v>
      </c>
      <c r="H22" s="44">
        <v>0</v>
      </c>
      <c r="I22" s="35" t="s">
        <v>1109</v>
      </c>
    </row>
    <row r="23" spans="1:9" x14ac:dyDescent="0.3">
      <c r="A23" s="35"/>
      <c r="B23" s="35" t="s">
        <v>1075</v>
      </c>
      <c r="C23" s="35"/>
      <c r="D23" s="35" t="s">
        <v>1101</v>
      </c>
      <c r="E23" s="35" t="s">
        <v>1115</v>
      </c>
      <c r="F23" s="35"/>
      <c r="G23" s="44">
        <v>151250</v>
      </c>
      <c r="H23" s="44">
        <v>0</v>
      </c>
      <c r="I23" s="35" t="s">
        <v>1109</v>
      </c>
    </row>
    <row r="24" spans="1:9" x14ac:dyDescent="0.3">
      <c r="A24" s="35"/>
      <c r="B24" s="35" t="s">
        <v>856</v>
      </c>
      <c r="C24" s="35"/>
      <c r="D24" s="35" t="s">
        <v>1101</v>
      </c>
      <c r="E24" s="35" t="s">
        <v>1114</v>
      </c>
      <c r="F24" s="35"/>
      <c r="G24" s="44">
        <v>0</v>
      </c>
      <c r="H24" s="44">
        <v>0</v>
      </c>
      <c r="I24" s="35" t="s">
        <v>1119</v>
      </c>
    </row>
    <row r="25" spans="1:9" x14ac:dyDescent="0.3">
      <c r="A25" s="35"/>
      <c r="B25" s="35" t="s">
        <v>1078</v>
      </c>
      <c r="C25" s="35"/>
      <c r="D25" s="35" t="s">
        <v>1117</v>
      </c>
      <c r="E25" s="35" t="s">
        <v>1114</v>
      </c>
      <c r="F25" s="35"/>
      <c r="G25" s="44">
        <v>0</v>
      </c>
      <c r="H25" s="44">
        <v>0</v>
      </c>
      <c r="I25" s="35" t="s">
        <v>1121</v>
      </c>
    </row>
    <row r="26" spans="1:9" x14ac:dyDescent="0.3">
      <c r="A26" s="35"/>
      <c r="B26" s="35" t="s">
        <v>1122</v>
      </c>
      <c r="C26" s="35"/>
      <c r="D26" s="35" t="s">
        <v>1123</v>
      </c>
      <c r="E26" s="35" t="s">
        <v>1114</v>
      </c>
      <c r="F26" s="35"/>
      <c r="G26" s="44">
        <v>0</v>
      </c>
      <c r="H26" s="44">
        <v>1239150.1200000001</v>
      </c>
      <c r="I26" s="35"/>
    </row>
    <row r="27" spans="1:9" x14ac:dyDescent="0.3">
      <c r="A27" s="35"/>
      <c r="B27" s="35" t="s">
        <v>1122</v>
      </c>
      <c r="C27" s="35"/>
      <c r="D27" s="35" t="s">
        <v>1123</v>
      </c>
      <c r="E27" s="35" t="s">
        <v>1115</v>
      </c>
      <c r="F27" s="35"/>
      <c r="G27" s="44">
        <v>0</v>
      </c>
      <c r="H27" s="44">
        <v>34875.14</v>
      </c>
      <c r="I27" s="35"/>
    </row>
    <row r="28" spans="1:9" x14ac:dyDescent="0.3">
      <c r="A28" s="35"/>
      <c r="B28" s="35"/>
      <c r="C28" s="35"/>
      <c r="D28" s="35"/>
      <c r="E28" s="35"/>
      <c r="F28" s="35"/>
      <c r="G28" s="44">
        <v>0</v>
      </c>
      <c r="H28" s="44">
        <v>0</v>
      </c>
      <c r="I28" s="35"/>
    </row>
    <row r="29" spans="1:9" x14ac:dyDescent="0.3">
      <c r="A29" s="35"/>
      <c r="B29" s="35"/>
      <c r="C29" s="35"/>
      <c r="D29" s="35"/>
      <c r="E29" s="35"/>
      <c r="F29" s="35"/>
      <c r="G29" s="44">
        <v>0</v>
      </c>
      <c r="H29" s="44">
        <v>0</v>
      </c>
      <c r="I29" s="35"/>
    </row>
    <row r="30" spans="1:9" x14ac:dyDescent="0.3">
      <c r="A30" s="35"/>
      <c r="B30" s="35"/>
      <c r="C30" s="35"/>
      <c r="D30" s="35"/>
      <c r="E30" s="35"/>
      <c r="F30" s="35"/>
      <c r="G30" s="44">
        <v>0</v>
      </c>
      <c r="H30" s="44">
        <v>0</v>
      </c>
      <c r="I30" s="35"/>
    </row>
    <row r="31" spans="1:9" x14ac:dyDescent="0.3">
      <c r="A31" s="35"/>
      <c r="B31" s="35"/>
      <c r="C31" s="35"/>
      <c r="D31" s="35"/>
      <c r="E31" s="35"/>
      <c r="F31" s="35"/>
      <c r="G31" s="44">
        <v>0</v>
      </c>
      <c r="H31" s="44">
        <v>0</v>
      </c>
      <c r="I31" s="35"/>
    </row>
    <row r="32" spans="1:9" x14ac:dyDescent="0.3">
      <c r="A32" s="35"/>
      <c r="B32" s="35"/>
      <c r="C32" s="35"/>
      <c r="D32" s="35"/>
      <c r="E32" s="35"/>
      <c r="F32" s="35"/>
      <c r="G32" s="44">
        <v>0</v>
      </c>
      <c r="H32" s="44">
        <v>0</v>
      </c>
      <c r="I32" s="35"/>
    </row>
    <row r="33" spans="1:9" ht="15" thickBot="1" x14ac:dyDescent="0.35">
      <c r="A33" s="35"/>
      <c r="B33" s="35"/>
      <c r="C33" s="35"/>
      <c r="D33" s="35"/>
      <c r="E33" s="35"/>
      <c r="F33" s="35"/>
      <c r="G33" s="45">
        <v>0</v>
      </c>
      <c r="H33" s="45">
        <v>0</v>
      </c>
      <c r="I33" s="35"/>
    </row>
    <row r="34" spans="1:9" x14ac:dyDescent="0.3">
      <c r="A34" s="35"/>
      <c r="B34" s="35"/>
      <c r="C34" s="35"/>
      <c r="D34" s="35"/>
      <c r="E34" s="35"/>
      <c r="F34" s="35"/>
      <c r="G34" s="46">
        <f>SUM(G12:G33)</f>
        <v>33345433.800000001</v>
      </c>
      <c r="H34" s="46">
        <f>SUM(H12:H33)</f>
        <v>7601558.6099999994</v>
      </c>
      <c r="I34" s="35"/>
    </row>
    <row r="35" spans="1:9" x14ac:dyDescent="0.3">
      <c r="A35" s="35"/>
      <c r="B35" s="35"/>
      <c r="C35" s="35"/>
      <c r="D35" s="35"/>
      <c r="E35" s="35"/>
      <c r="F35" s="35"/>
      <c r="G35" s="42"/>
      <c r="H35" s="35"/>
      <c r="I35" s="35"/>
    </row>
    <row r="36" spans="1:9" x14ac:dyDescent="0.3">
      <c r="A36" s="35"/>
      <c r="B36" s="35"/>
      <c r="C36" s="35"/>
      <c r="D36" s="35"/>
      <c r="E36" s="35"/>
      <c r="F36" s="35"/>
      <c r="G36" s="42"/>
      <c r="H36" s="35"/>
      <c r="I36" s="35"/>
    </row>
    <row r="37" spans="1:9" x14ac:dyDescent="0.3">
      <c r="A37" s="35"/>
      <c r="B37" s="35"/>
      <c r="C37" s="35"/>
      <c r="D37" s="35"/>
      <c r="E37" s="35"/>
      <c r="F37" s="35"/>
      <c r="G37" s="42"/>
      <c r="H37" s="35"/>
      <c r="I37" s="35"/>
    </row>
  </sheetData>
  <mergeCells count="1"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7EBF-D719-46F8-9812-AF3AD47C150E}">
  <dimension ref="A7:I37"/>
  <sheetViews>
    <sheetView topLeftCell="A9" workbookViewId="0">
      <selection activeCell="B18" sqref="B18"/>
    </sheetView>
  </sheetViews>
  <sheetFormatPr defaultRowHeight="14.4" x14ac:dyDescent="0.3"/>
  <cols>
    <col min="1" max="1" width="15.109375" customWidth="1"/>
    <col min="2" max="2" width="19.44140625" customWidth="1"/>
    <col min="4" max="4" width="12.5546875" customWidth="1"/>
    <col min="5" max="5" width="13.33203125" customWidth="1"/>
    <col min="7" max="7" width="11.6640625" customWidth="1"/>
    <col min="8" max="8" width="11.109375" customWidth="1"/>
    <col min="9" max="9" width="14.6640625" customWidth="1"/>
  </cols>
  <sheetData>
    <row r="7" spans="1:9" ht="21.6" thickBot="1" x14ac:dyDescent="0.45">
      <c r="A7" s="33" t="s">
        <v>1085</v>
      </c>
      <c r="G7" s="18"/>
    </row>
    <row r="8" spans="1:9" ht="18.600000000000001" thickBot="1" x14ac:dyDescent="0.4">
      <c r="A8" s="34" t="s">
        <v>1086</v>
      </c>
      <c r="B8" s="37">
        <v>2024</v>
      </c>
      <c r="E8" s="40" t="s">
        <v>1090</v>
      </c>
      <c r="F8" s="128">
        <v>649802303</v>
      </c>
      <c r="G8" s="129"/>
    </row>
    <row r="9" spans="1:9" ht="18.600000000000001" thickBot="1" x14ac:dyDescent="0.4">
      <c r="A9" s="34" t="s">
        <v>1087</v>
      </c>
      <c r="B9" s="38" t="s">
        <v>1097</v>
      </c>
      <c r="G9" s="18"/>
    </row>
    <row r="10" spans="1:9" ht="15" thickBot="1" x14ac:dyDescent="0.35">
      <c r="A10" s="35"/>
      <c r="B10" s="35"/>
      <c r="C10" s="35"/>
      <c r="D10" s="35"/>
      <c r="E10" s="35"/>
      <c r="F10" s="35"/>
      <c r="G10" s="42"/>
      <c r="H10" s="35"/>
      <c r="I10" s="35"/>
    </row>
    <row r="11" spans="1:9" ht="42" thickBot="1" x14ac:dyDescent="0.35">
      <c r="A11" s="36" t="s">
        <v>1088</v>
      </c>
      <c r="B11" s="39" t="s">
        <v>0</v>
      </c>
      <c r="C11" s="39" t="s">
        <v>9</v>
      </c>
      <c r="D11" s="39" t="s">
        <v>1089</v>
      </c>
      <c r="E11" s="39" t="s">
        <v>1091</v>
      </c>
      <c r="F11" s="41" t="s">
        <v>1092</v>
      </c>
      <c r="G11" s="43" t="s">
        <v>1093</v>
      </c>
      <c r="H11" s="39" t="s">
        <v>1094</v>
      </c>
      <c r="I11" s="47" t="s">
        <v>1095</v>
      </c>
    </row>
    <row r="12" spans="1:9" ht="138" x14ac:dyDescent="0.3">
      <c r="A12" s="51">
        <v>45300</v>
      </c>
      <c r="B12" s="35" t="s">
        <v>1124</v>
      </c>
      <c r="C12" s="35"/>
      <c r="D12" s="35" t="s">
        <v>1101</v>
      </c>
      <c r="E12" s="49" t="s">
        <v>1127</v>
      </c>
      <c r="F12" s="49" t="s">
        <v>1126</v>
      </c>
      <c r="G12" s="50">
        <v>3200000</v>
      </c>
      <c r="H12" s="44">
        <v>0</v>
      </c>
      <c r="I12" s="49" t="s">
        <v>1125</v>
      </c>
    </row>
    <row r="13" spans="1:9" ht="41.4" x14ac:dyDescent="0.3">
      <c r="A13" s="51">
        <v>45348</v>
      </c>
      <c r="B13" s="49" t="s">
        <v>1128</v>
      </c>
      <c r="C13" s="35"/>
      <c r="D13" s="35" t="s">
        <v>1101</v>
      </c>
      <c r="E13" s="35"/>
      <c r="F13" s="35"/>
      <c r="G13" s="44">
        <v>0</v>
      </c>
      <c r="H13" s="44">
        <v>0</v>
      </c>
      <c r="I13" s="49" t="s">
        <v>1129</v>
      </c>
    </row>
    <row r="14" spans="1:9" ht="41.4" x14ac:dyDescent="0.3">
      <c r="A14" s="51"/>
      <c r="B14" s="35"/>
      <c r="C14" s="35"/>
      <c r="D14" s="35"/>
      <c r="E14" s="35"/>
      <c r="F14" s="35"/>
      <c r="G14" s="44">
        <v>0</v>
      </c>
      <c r="H14" s="44">
        <v>0</v>
      </c>
      <c r="I14" s="49" t="s">
        <v>1130</v>
      </c>
    </row>
    <row r="15" spans="1:9" x14ac:dyDescent="0.3">
      <c r="A15" s="51">
        <v>45392</v>
      </c>
      <c r="B15" s="35" t="s">
        <v>1131</v>
      </c>
      <c r="C15" s="35"/>
      <c r="D15" s="35"/>
      <c r="E15" s="35"/>
      <c r="F15" s="35"/>
      <c r="G15" s="44">
        <v>0</v>
      </c>
      <c r="H15" s="44">
        <v>0</v>
      </c>
      <c r="I15" s="35" t="s">
        <v>1139</v>
      </c>
    </row>
    <row r="16" spans="1:9" ht="69" x14ac:dyDescent="0.3">
      <c r="A16" s="51">
        <v>45407</v>
      </c>
      <c r="B16" s="35" t="s">
        <v>1132</v>
      </c>
      <c r="C16" s="35"/>
      <c r="D16" s="35"/>
      <c r="E16" s="35"/>
      <c r="F16" s="35"/>
      <c r="G16" s="44">
        <v>0</v>
      </c>
      <c r="H16" s="44">
        <v>0</v>
      </c>
      <c r="I16" s="49" t="s">
        <v>1133</v>
      </c>
    </row>
    <row r="17" spans="1:9" ht="69" x14ac:dyDescent="0.3">
      <c r="A17" s="51">
        <v>45444</v>
      </c>
      <c r="B17" s="35" t="s">
        <v>1134</v>
      </c>
      <c r="C17" s="35"/>
      <c r="D17" s="35"/>
      <c r="E17" s="49" t="s">
        <v>1135</v>
      </c>
      <c r="F17" s="35" t="s">
        <v>1025</v>
      </c>
      <c r="G17" s="50">
        <v>3025000</v>
      </c>
      <c r="H17" s="44">
        <v>0</v>
      </c>
      <c r="I17" s="35" t="s">
        <v>1136</v>
      </c>
    </row>
    <row r="18" spans="1:9" x14ac:dyDescent="0.3">
      <c r="A18" s="51">
        <v>45376</v>
      </c>
      <c r="B18" s="35" t="s">
        <v>1137</v>
      </c>
      <c r="C18" s="35"/>
      <c r="D18" s="35"/>
      <c r="E18" s="35" t="s">
        <v>1138</v>
      </c>
      <c r="F18" s="35"/>
      <c r="G18" s="44">
        <v>0</v>
      </c>
      <c r="H18" s="50">
        <v>564039</v>
      </c>
      <c r="I18" s="35"/>
    </row>
    <row r="19" spans="1:9" x14ac:dyDescent="0.3">
      <c r="A19" s="35"/>
      <c r="B19" s="35"/>
      <c r="C19" s="35"/>
      <c r="D19" s="35"/>
      <c r="E19" s="35"/>
      <c r="F19" s="35"/>
      <c r="G19" s="44">
        <v>0</v>
      </c>
      <c r="H19" s="44">
        <v>0</v>
      </c>
      <c r="I19" s="35"/>
    </row>
    <row r="20" spans="1:9" x14ac:dyDescent="0.3">
      <c r="A20" s="35"/>
      <c r="B20" s="35"/>
      <c r="C20" s="35"/>
      <c r="D20" s="35"/>
      <c r="E20" s="35"/>
      <c r="F20" s="35"/>
      <c r="G20" s="44">
        <v>0</v>
      </c>
      <c r="H20" s="44">
        <v>0</v>
      </c>
      <c r="I20" s="35"/>
    </row>
    <row r="21" spans="1:9" x14ac:dyDescent="0.3">
      <c r="A21" s="35"/>
      <c r="B21" s="35"/>
      <c r="C21" s="35"/>
      <c r="D21" s="35"/>
      <c r="E21" s="35"/>
      <c r="F21" s="35"/>
      <c r="G21" s="44">
        <v>0</v>
      </c>
      <c r="H21" s="44">
        <v>0</v>
      </c>
      <c r="I21" s="35"/>
    </row>
    <row r="22" spans="1:9" x14ac:dyDescent="0.3">
      <c r="A22" s="35"/>
      <c r="B22" s="35"/>
      <c r="C22" s="35"/>
      <c r="D22" s="35"/>
      <c r="E22" s="35"/>
      <c r="F22" s="35"/>
      <c r="G22" s="44">
        <v>0</v>
      </c>
      <c r="H22" s="44">
        <v>0</v>
      </c>
      <c r="I22" s="35"/>
    </row>
    <row r="23" spans="1:9" x14ac:dyDescent="0.3">
      <c r="A23" s="35"/>
      <c r="B23" s="35"/>
      <c r="C23" s="35"/>
      <c r="D23" s="35"/>
      <c r="E23" s="35"/>
      <c r="F23" s="35"/>
      <c r="G23" s="44">
        <v>0</v>
      </c>
      <c r="H23" s="44">
        <v>0</v>
      </c>
      <c r="I23" s="35"/>
    </row>
    <row r="24" spans="1:9" x14ac:dyDescent="0.3">
      <c r="A24" s="35"/>
      <c r="B24" s="35"/>
      <c r="C24" s="35"/>
      <c r="D24" s="35"/>
      <c r="E24" s="35"/>
      <c r="F24" s="35"/>
      <c r="G24" s="44">
        <v>0</v>
      </c>
      <c r="H24" s="44">
        <v>0</v>
      </c>
      <c r="I24" s="35"/>
    </row>
    <row r="25" spans="1:9" x14ac:dyDescent="0.3">
      <c r="A25" s="35"/>
      <c r="B25" s="35"/>
      <c r="C25" s="35"/>
      <c r="D25" s="35"/>
      <c r="E25" s="35"/>
      <c r="F25" s="35"/>
      <c r="G25" s="44">
        <v>0</v>
      </c>
      <c r="H25" s="44">
        <v>0</v>
      </c>
      <c r="I25" s="35"/>
    </row>
    <row r="26" spans="1:9" x14ac:dyDescent="0.3">
      <c r="A26" s="35"/>
      <c r="B26" s="35"/>
      <c r="C26" s="35"/>
      <c r="D26" s="35"/>
      <c r="E26" s="35"/>
      <c r="F26" s="35"/>
      <c r="G26" s="44">
        <v>0</v>
      </c>
      <c r="H26" s="44">
        <v>0</v>
      </c>
      <c r="I26" s="35"/>
    </row>
    <row r="27" spans="1:9" x14ac:dyDescent="0.3">
      <c r="A27" s="35"/>
      <c r="B27" s="35"/>
      <c r="C27" s="35"/>
      <c r="D27" s="35"/>
      <c r="E27" s="35"/>
      <c r="F27" s="35"/>
      <c r="G27" s="44">
        <v>0</v>
      </c>
      <c r="H27" s="44">
        <v>0</v>
      </c>
      <c r="I27" s="35"/>
    </row>
    <row r="28" spans="1:9" x14ac:dyDescent="0.3">
      <c r="A28" s="35"/>
      <c r="B28" s="35"/>
      <c r="C28" s="35"/>
      <c r="D28" s="35"/>
      <c r="E28" s="35"/>
      <c r="F28" s="35"/>
      <c r="G28" s="44">
        <v>0</v>
      </c>
      <c r="H28" s="44">
        <v>0</v>
      </c>
      <c r="I28" s="35"/>
    </row>
    <row r="29" spans="1:9" x14ac:dyDescent="0.3">
      <c r="A29" s="35"/>
      <c r="B29" s="35"/>
      <c r="C29" s="35"/>
      <c r="D29" s="35"/>
      <c r="E29" s="35"/>
      <c r="F29" s="35"/>
      <c r="G29" s="44">
        <v>0</v>
      </c>
      <c r="H29" s="44">
        <v>0</v>
      </c>
      <c r="I29" s="35"/>
    </row>
    <row r="30" spans="1:9" x14ac:dyDescent="0.3">
      <c r="A30" s="35"/>
      <c r="B30" s="35"/>
      <c r="C30" s="35"/>
      <c r="D30" s="35"/>
      <c r="E30" s="35"/>
      <c r="F30" s="35"/>
      <c r="G30" s="44">
        <v>0</v>
      </c>
      <c r="H30" s="44">
        <v>0</v>
      </c>
      <c r="I30" s="35"/>
    </row>
    <row r="31" spans="1:9" x14ac:dyDescent="0.3">
      <c r="A31" s="35"/>
      <c r="B31" s="35"/>
      <c r="C31" s="35"/>
      <c r="D31" s="35"/>
      <c r="E31" s="35"/>
      <c r="F31" s="35"/>
      <c r="G31" s="44">
        <v>0</v>
      </c>
      <c r="H31" s="44">
        <v>0</v>
      </c>
      <c r="I31" s="35"/>
    </row>
    <row r="32" spans="1:9" x14ac:dyDescent="0.3">
      <c r="A32" s="35"/>
      <c r="B32" s="35"/>
      <c r="C32" s="35"/>
      <c r="D32" s="35"/>
      <c r="E32" s="35"/>
      <c r="F32" s="35"/>
      <c r="G32" s="44">
        <v>0</v>
      </c>
      <c r="H32" s="44">
        <v>0</v>
      </c>
      <c r="I32" s="35"/>
    </row>
    <row r="33" spans="1:9" ht="15" thickBot="1" x14ac:dyDescent="0.35">
      <c r="A33" s="35"/>
      <c r="B33" s="35"/>
      <c r="C33" s="35"/>
      <c r="D33" s="35"/>
      <c r="E33" s="35"/>
      <c r="F33" s="35"/>
      <c r="G33" s="45">
        <v>0</v>
      </c>
      <c r="H33" s="45">
        <v>0</v>
      </c>
      <c r="I33" s="35"/>
    </row>
    <row r="34" spans="1:9" x14ac:dyDescent="0.3">
      <c r="A34" s="35"/>
      <c r="B34" s="35"/>
      <c r="C34" s="35"/>
      <c r="D34" s="35"/>
      <c r="E34" s="35"/>
      <c r="F34" s="35"/>
      <c r="G34" s="46">
        <f>SUM(G12:G33)</f>
        <v>6225000</v>
      </c>
      <c r="H34" s="46">
        <f>SUM(H12:H33)</f>
        <v>564039</v>
      </c>
      <c r="I34" s="35"/>
    </row>
    <row r="35" spans="1:9" x14ac:dyDescent="0.3">
      <c r="A35" s="35"/>
      <c r="B35" s="35"/>
      <c r="C35" s="35"/>
      <c r="D35" s="35"/>
      <c r="E35" s="35"/>
      <c r="F35" s="35"/>
      <c r="G35" s="42"/>
      <c r="H35" s="35"/>
      <c r="I35" s="35"/>
    </row>
    <row r="36" spans="1:9" x14ac:dyDescent="0.3">
      <c r="A36" s="35"/>
      <c r="B36" s="35"/>
      <c r="C36" s="35"/>
      <c r="D36" s="35"/>
      <c r="E36" s="35"/>
      <c r="F36" s="35"/>
      <c r="G36" s="42"/>
      <c r="H36" s="35"/>
      <c r="I36" s="35"/>
    </row>
    <row r="37" spans="1:9" x14ac:dyDescent="0.3">
      <c r="A37" s="35"/>
      <c r="B37" s="35"/>
      <c r="C37" s="35"/>
      <c r="D37" s="35"/>
      <c r="E37" s="35"/>
      <c r="F37" s="35"/>
      <c r="G37" s="42"/>
      <c r="H37" s="35"/>
      <c r="I37" s="35"/>
    </row>
  </sheetData>
  <mergeCells count="1">
    <mergeCell ref="F8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978E-C61E-4A58-9714-E162A2B38D11}">
  <dimension ref="A1"/>
  <sheetViews>
    <sheetView workbookViewId="0">
      <selection activeCell="F1" sqref="F1"/>
    </sheetView>
  </sheetViews>
  <sheetFormatPr defaultRowHeight="14.4" x14ac:dyDescent="0.3"/>
  <sheetData>
    <row r="1" spans="1:1" ht="18" x14ac:dyDescent="0.35">
      <c r="A1" s="48" t="s">
        <v>1096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e3d1067-92dd-4073-999c-b664b76e1e12" xsi:nil="true"/>
    <TaxCatchAll xmlns="5824a19a-0f44-4cf9-87a2-1f0c38607e2f" xsi:nil="true"/>
    <lcf76f155ced4ddcb4097134ff3c332f xmlns="5e3d1067-92dd-4073-999c-b664b76e1e12">
      <Terms xmlns="http://schemas.microsoft.com/office/infopath/2007/PartnerControls"/>
    </lcf76f155ced4ddcb4097134ff3c332f>
    <Wie xmlns="5e3d1067-92dd-4073-999c-b664b76e1e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D52D0F621EE439453F56EF524A038" ma:contentTypeVersion="22" ma:contentTypeDescription="Een nieuw document maken." ma:contentTypeScope="" ma:versionID="d02f4e07bf8e7b8229a6ce897bc059e4">
  <xsd:schema xmlns:xsd="http://www.w3.org/2001/XMLSchema" xmlns:xs="http://www.w3.org/2001/XMLSchema" xmlns:p="http://schemas.microsoft.com/office/2006/metadata/properties" xmlns:ns2="5e3d1067-92dd-4073-999c-b664b76e1e12" xmlns:ns3="5824a19a-0f44-4cf9-87a2-1f0c38607e2f" targetNamespace="http://schemas.microsoft.com/office/2006/metadata/properties" ma:root="true" ma:fieldsID="d5a89aa86038cb574901ed7405598d3b" ns2:_="" ns3:_="">
    <xsd:import namespace="5e3d1067-92dd-4073-999c-b664b76e1e12"/>
    <xsd:import namespace="5824a19a-0f44-4cf9-87a2-1f0c38607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Wie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d1067-92dd-4073-999c-b664b76e1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Wie" ma:index="22" nillable="true" ma:displayName="Wie" ma:format="Dropdown" ma:internalName="Wie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Dropdown" ma:internalName="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4a19a-0f44-4cf9-87a2-1f0c38607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ab18bda-4306-49f6-b491-d266659f3b74}" ma:internalName="TaxCatchAll" ma:showField="CatchAllData" ma:web="5824a19a-0f44-4cf9-87a2-1f0c38607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A6906-3763-40FE-960F-932FFB606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AF0F1C-C0DE-4259-A0BA-6350E2F22CB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824a19a-0f44-4cf9-87a2-1f0c38607e2f"/>
    <ds:schemaRef ds:uri="5e3d1067-92dd-4073-999c-b664b76e1e1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EF5FCA-5259-401A-BA1B-6B7ED4A8D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d1067-92dd-4073-999c-b664b76e1e12"/>
    <ds:schemaRef ds:uri="5824a19a-0f44-4cf9-87a2-1f0c38607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Aanh. 3</vt:lpstr>
      <vt:lpstr>ADC mutaties 2023</vt:lpstr>
      <vt:lpstr>ADC mutaties 2024</vt:lpstr>
      <vt:lpstr>Toelichting ADC clausule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Langhout</dc:creator>
  <cp:lastModifiedBy>Rustenburg, Antoine</cp:lastModifiedBy>
  <cp:lastPrinted>2020-03-13T10:33:02Z</cp:lastPrinted>
  <dcterms:created xsi:type="dcterms:W3CDTF">2018-07-26T08:54:02Z</dcterms:created>
  <dcterms:modified xsi:type="dcterms:W3CDTF">2024-09-17T10:33:41Z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0x01010070CD52D0F621EE439453F56EF524A038</vt:lpwstr>
  </property>
  <property fmtid="{D5CDD505-2E9C-101B-9397-08002B2CF9AE}" pid="3" name="MediaServiceImageTags">
    <vt:lpwstr/>
  </property>
</Properties>
</file>