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Desktop\EuA - Neerslag\NvI 2\"/>
    </mc:Choice>
  </mc:AlternateContent>
  <xr:revisionPtr revIDLastSave="0" documentId="13_ncr:1_{932CF1FA-5543-4196-98E7-A79EA9AD0322}" xr6:coauthVersionLast="47" xr6:coauthVersionMax="47" xr10:uidLastSave="{00000000-0000-0000-0000-000000000000}"/>
  <workbookProtection workbookAlgorithmName="SHA-512" workbookHashValue="9dfaAZlp422kS1ZI4NZvSe5AQdTOY4CCY/XJ4y4hPRvQ4Xava8SXdNLoJqC5IN2ye99hEm3YeHpzhTYLWcbNcA==" workbookSaltValue="YpWq2+5zHCf6xx4FCreIAQ==" workbookSpinCount="100000" lockStructure="1"/>
  <bookViews>
    <workbookView xWindow="28680" yWindow="-120" windowWidth="29040" windowHeight="15840" activeTab="1" xr2:uid="{00000000-000D-0000-FFFF-FFFF00000000}"/>
  </bookViews>
  <sheets>
    <sheet name="Instructions" sheetId="1" r:id="rId1"/>
    <sheet name="Pricing Sheet " sheetId="2" r:id="rId2"/>
    <sheet name="Invulblad" sheetId="3" state="hidden" r:id="rId3"/>
  </sheets>
  <definedNames>
    <definedName name="_xlnm.Print_Area" localSheetId="1">'Pricing Sheet '!$A$1:$I$194</definedName>
    <definedName name="Spare">'Pricing Sheet '!$C$18</definedName>
    <definedName name="Z_B5AC064D_419A_6848_AFB2_153F0700B23B_.wvu.PrintArea" localSheetId="1" hidden="1">'Pricing Sheet '!$A$1:$H$188</definedName>
  </definedNames>
  <calcPr calcId="191029"/>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A94" i="2" s="1"/>
  <c r="A33" i="2"/>
  <c r="H131" i="2"/>
  <c r="J44" i="2"/>
  <c r="I44" i="2" s="1"/>
  <c r="J45" i="2"/>
  <c r="I45" i="2" s="1"/>
  <c r="J43" i="2"/>
  <c r="I43" i="2" s="1"/>
  <c r="A199" i="2"/>
  <c r="A198" i="2"/>
  <c r="A197" i="2"/>
  <c r="A196" i="2"/>
  <c r="F144" i="2"/>
  <c r="C144" i="2"/>
  <c r="H98" i="2"/>
  <c r="A97" i="2"/>
  <c r="H38" i="2"/>
  <c r="A18" i="2"/>
  <c r="A12" i="2"/>
  <c r="H20" i="2"/>
  <c r="H14" i="2"/>
  <c r="M32" i="2"/>
  <c r="O32" i="2" s="1"/>
  <c r="M33" i="2"/>
  <c r="M34" i="2"/>
  <c r="O34" i="2" s="1"/>
  <c r="M35" i="2"/>
  <c r="M31" i="2"/>
  <c r="O31" i="2" s="1"/>
  <c r="N32" i="2"/>
  <c r="N33" i="2"/>
  <c r="N34" i="2"/>
  <c r="N35" i="2"/>
  <c r="N31" i="2"/>
  <c r="F18" i="2"/>
  <c r="K21" i="2" s="1"/>
  <c r="H185" i="2"/>
  <c r="H184" i="2"/>
  <c r="F111" i="3"/>
  <c r="H111" i="3" s="1"/>
  <c r="F110" i="3"/>
  <c r="H110" i="3" s="1"/>
  <c r="K32" i="2"/>
  <c r="K33" i="2"/>
  <c r="K34" i="2"/>
  <c r="I34" i="2" s="1"/>
  <c r="K35" i="2"/>
  <c r="K31" i="2"/>
  <c r="C23" i="2"/>
  <c r="C22" i="2"/>
  <c r="C21" i="2"/>
  <c r="C20" i="2"/>
  <c r="Q182" i="2"/>
  <c r="P79" i="3"/>
  <c r="H44" i="2" s="1"/>
  <c r="P80" i="3"/>
  <c r="H45" i="2" s="1"/>
  <c r="P78" i="3"/>
  <c r="H43" i="2" s="1"/>
  <c r="F75" i="3"/>
  <c r="D50" i="2" s="1"/>
  <c r="F76" i="3"/>
  <c r="E50" i="2" s="1"/>
  <c r="F74" i="3"/>
  <c r="C50" i="2" s="1"/>
  <c r="E32" i="2"/>
  <c r="E33" i="2"/>
  <c r="E35" i="2"/>
  <c r="C32" i="2"/>
  <c r="C33" i="2"/>
  <c r="C34" i="2"/>
  <c r="C35" i="2"/>
  <c r="A32" i="2"/>
  <c r="J32" i="2" s="1"/>
  <c r="A34" i="2"/>
  <c r="J34" i="2" s="1"/>
  <c r="A35" i="2"/>
  <c r="J35" i="2" s="1"/>
  <c r="C31" i="2"/>
  <c r="A31" i="2"/>
  <c r="J31" i="2" s="1"/>
  <c r="A2" i="2"/>
  <c r="J52" i="2"/>
  <c r="H119" i="3"/>
  <c r="H118" i="3"/>
  <c r="H117" i="3"/>
  <c r="H116" i="3"/>
  <c r="G119" i="3"/>
  <c r="W167" i="2" s="1"/>
  <c r="G118" i="3"/>
  <c r="V172" i="2" s="1"/>
  <c r="G117" i="3"/>
  <c r="U150" i="2" s="1"/>
  <c r="G116" i="3"/>
  <c r="T147" i="2" s="1"/>
  <c r="G115" i="3"/>
  <c r="S157" i="2" s="1"/>
  <c r="B135" i="2"/>
  <c r="B134" i="2"/>
  <c r="B133" i="2"/>
  <c r="B132" i="2"/>
  <c r="B131" i="2"/>
  <c r="E121" i="3"/>
  <c r="A129" i="2"/>
  <c r="B129" i="2"/>
  <c r="B97" i="2"/>
  <c r="C95" i="2"/>
  <c r="H94" i="2"/>
  <c r="H93" i="2"/>
  <c r="P96" i="3"/>
  <c r="H90" i="2" s="1"/>
  <c r="W153" i="2"/>
  <c r="C147" i="2"/>
  <c r="C148" i="2"/>
  <c r="C149" i="2"/>
  <c r="C150" i="2"/>
  <c r="C146" i="2"/>
  <c r="E148" i="2" s="1"/>
  <c r="E51" i="2"/>
  <c r="D51" i="2"/>
  <c r="C51" i="2"/>
  <c r="C46" i="2"/>
  <c r="C38" i="2"/>
  <c r="G38" i="2" s="1"/>
  <c r="P38" i="2" s="1"/>
  <c r="E31" i="2"/>
  <c r="C25" i="2"/>
  <c r="G25" i="2" s="1"/>
  <c r="M25" i="2" s="1"/>
  <c r="F29" i="3"/>
  <c r="H29" i="3" s="1"/>
  <c r="F51" i="3"/>
  <c r="H51" i="3" s="1"/>
  <c r="F49" i="3"/>
  <c r="H49" i="3" s="1"/>
  <c r="F47" i="3"/>
  <c r="H47" i="3" s="1"/>
  <c r="F45" i="3"/>
  <c r="H45" i="3" s="1"/>
  <c r="F42" i="3"/>
  <c r="H42" i="3" s="1"/>
  <c r="F40" i="3"/>
  <c r="H40" i="3" s="1"/>
  <c r="F38" i="3"/>
  <c r="H38" i="3" s="1"/>
  <c r="F36" i="3"/>
  <c r="H36" i="3" s="1"/>
  <c r="F27" i="3"/>
  <c r="H27" i="3" s="1"/>
  <c r="F31" i="3"/>
  <c r="H31" i="3" s="1"/>
  <c r="F33" i="3"/>
  <c r="H33" i="3" s="1"/>
  <c r="F20" i="3"/>
  <c r="H20" i="3" s="1"/>
  <c r="F22" i="3"/>
  <c r="H22" i="3" s="1"/>
  <c r="F24" i="3"/>
  <c r="H24" i="3" s="1"/>
  <c r="F18" i="3"/>
  <c r="H18" i="3" s="1"/>
  <c r="B5" i="2"/>
  <c r="I194" i="2"/>
  <c r="I192" i="2"/>
  <c r="I191" i="2"/>
  <c r="I190" i="2"/>
  <c r="I7" i="2"/>
  <c r="I6" i="2"/>
  <c r="I91" i="2"/>
  <c r="I90" i="2"/>
  <c r="I38" i="2"/>
  <c r="J98" i="2"/>
  <c r="J99" i="2" s="1"/>
  <c r="J110" i="2" s="1"/>
  <c r="U51" i="2"/>
  <c r="E147" i="2"/>
  <c r="G139" i="2"/>
  <c r="G140" i="2"/>
  <c r="G141" i="2"/>
  <c r="G179" i="2"/>
  <c r="G84" i="2"/>
  <c r="G85" i="2"/>
  <c r="G86" i="2"/>
  <c r="G180" i="2"/>
  <c r="G181" i="2"/>
  <c r="L32" i="2"/>
  <c r="W156" i="2"/>
  <c r="W98" i="2"/>
  <c r="U174" i="2"/>
  <c r="V174" i="2"/>
  <c r="U158" i="2"/>
  <c r="W166" i="2"/>
  <c r="U149" i="2"/>
  <c r="J53" i="2"/>
  <c r="H91" i="2"/>
  <c r="H92" i="2"/>
  <c r="S169" i="2"/>
  <c r="T156" i="2" l="1"/>
  <c r="T159" i="2"/>
  <c r="V153" i="2"/>
  <c r="U171" i="2"/>
  <c r="V164" i="2"/>
  <c r="U147" i="2"/>
  <c r="P183" i="2"/>
  <c r="O182" i="2" s="1"/>
  <c r="U161" i="2"/>
  <c r="V163" i="2"/>
  <c r="T167" i="2"/>
  <c r="V147" i="2"/>
  <c r="V175" i="2"/>
  <c r="V161" i="2"/>
  <c r="V168" i="2"/>
  <c r="T157" i="2"/>
  <c r="V152" i="2"/>
  <c r="V170" i="2"/>
  <c r="V165" i="2"/>
  <c r="A140" i="2"/>
  <c r="V162" i="2"/>
  <c r="V155" i="2"/>
  <c r="U155" i="2"/>
  <c r="W175" i="2"/>
  <c r="W157" i="2"/>
  <c r="A82" i="2"/>
  <c r="W172" i="2"/>
  <c r="W163" i="2"/>
  <c r="W171" i="2"/>
  <c r="W161" i="2"/>
  <c r="A181" i="2"/>
  <c r="W162" i="2"/>
  <c r="W165" i="2"/>
  <c r="W168" i="2"/>
  <c r="W100" i="2"/>
  <c r="W158" i="2"/>
  <c r="W170" i="2"/>
  <c r="A86" i="2"/>
  <c r="U153" i="2"/>
  <c r="A84" i="2"/>
  <c r="U154" i="2"/>
  <c r="V171" i="2"/>
  <c r="L31" i="2"/>
  <c r="P31" i="2" s="1"/>
  <c r="A179" i="2"/>
  <c r="A180" i="2"/>
  <c r="V154" i="2"/>
  <c r="U168" i="2"/>
  <c r="W150" i="2"/>
  <c r="W164" i="2"/>
  <c r="U98" i="2"/>
  <c r="W160" i="2"/>
  <c r="V167" i="2"/>
  <c r="U148" i="2"/>
  <c r="U165" i="2"/>
  <c r="V160" i="2"/>
  <c r="V149" i="2"/>
  <c r="A85" i="2"/>
  <c r="F183" i="2"/>
  <c r="W152" i="2"/>
  <c r="U152" i="2"/>
  <c r="U160" i="2"/>
  <c r="V151" i="2"/>
  <c r="U166" i="2"/>
  <c r="U164" i="2"/>
  <c r="U159" i="2"/>
  <c r="V148" i="2"/>
  <c r="U162" i="2"/>
  <c r="W174" i="2"/>
  <c r="V98" i="2"/>
  <c r="V159" i="2"/>
  <c r="O183" i="2"/>
  <c r="N182" i="2" s="1"/>
  <c r="S170" i="2"/>
  <c r="U156" i="2"/>
  <c r="U157" i="2"/>
  <c r="U173" i="2"/>
  <c r="A139" i="2"/>
  <c r="U172" i="2"/>
  <c r="W147" i="2"/>
  <c r="V51" i="2"/>
  <c r="W155" i="2"/>
  <c r="I32" i="2"/>
  <c r="U163" i="2"/>
  <c r="U175" i="2"/>
  <c r="S156" i="2"/>
  <c r="W169" i="2"/>
  <c r="A137" i="2"/>
  <c r="S166" i="2"/>
  <c r="W173" i="2"/>
  <c r="Q183" i="2"/>
  <c r="P182" i="2" s="1"/>
  <c r="V183" i="2" s="1"/>
  <c r="S158" i="2"/>
  <c r="W149" i="2"/>
  <c r="A99" i="2"/>
  <c r="S154" i="2"/>
  <c r="W154" i="2"/>
  <c r="S147" i="2"/>
  <c r="A141" i="2"/>
  <c r="S146" i="2"/>
  <c r="W159" i="2"/>
  <c r="O33" i="2"/>
  <c r="S162" i="2"/>
  <c r="I35" i="2"/>
  <c r="K98" i="2"/>
  <c r="L98" i="2" s="1"/>
  <c r="M99" i="2" s="1"/>
  <c r="N110" i="2" s="1"/>
  <c r="V52" i="2"/>
  <c r="W99" i="2"/>
  <c r="I25" i="2"/>
  <c r="G51" i="2"/>
  <c r="T51" i="2" s="1"/>
  <c r="Q31" i="2"/>
  <c r="O35" i="2"/>
  <c r="V99" i="2"/>
  <c r="U52" i="2"/>
  <c r="U183" i="2"/>
  <c r="C98" i="2"/>
  <c r="A147" i="2"/>
  <c r="Q32" i="2"/>
  <c r="C15" i="2"/>
  <c r="G92" i="2" s="1"/>
  <c r="D132" i="2" s="1"/>
  <c r="A14" i="2"/>
  <c r="E149" i="2"/>
  <c r="E150" i="2" s="1"/>
  <c r="A15" i="2"/>
  <c r="C14" i="2"/>
  <c r="J14" i="2" s="1"/>
  <c r="K17" i="2"/>
  <c r="J100" i="2"/>
  <c r="J101" i="2" s="1"/>
  <c r="K101" i="2" s="1"/>
  <c r="K23" i="2"/>
  <c r="G18" i="2"/>
  <c r="A22" i="2" s="1"/>
  <c r="K20" i="2"/>
  <c r="K22" i="2"/>
  <c r="E130" i="2"/>
  <c r="F130" i="2"/>
  <c r="A92" i="2"/>
  <c r="A91" i="2"/>
  <c r="A17" i="2"/>
  <c r="A93" i="2"/>
  <c r="D16" i="2"/>
  <c r="C16" i="2"/>
  <c r="A16" i="2"/>
  <c r="K14" i="2"/>
  <c r="C17" i="2"/>
  <c r="K15" i="2"/>
  <c r="K99" i="2"/>
  <c r="L99" i="2" s="1"/>
  <c r="M110" i="2" s="1"/>
  <c r="V100" i="2"/>
  <c r="U53" i="2"/>
  <c r="W53" i="2"/>
  <c r="U100" i="2"/>
  <c r="A100" i="2"/>
  <c r="H148" i="2"/>
  <c r="J54" i="2"/>
  <c r="A53" i="2"/>
  <c r="A148" i="2"/>
  <c r="V53" i="2"/>
  <c r="K110" i="2"/>
  <c r="L110" i="2" s="1"/>
  <c r="E151" i="2"/>
  <c r="E152" i="2" s="1"/>
  <c r="E153" i="2" s="1"/>
  <c r="E154" i="2" s="1"/>
  <c r="E155" i="2" s="1"/>
  <c r="E156" i="2" s="1"/>
  <c r="E157" i="2" s="1"/>
  <c r="E158" i="2" s="1"/>
  <c r="E159" i="2" s="1"/>
  <c r="E160" i="2" s="1"/>
  <c r="E161" i="2" s="1"/>
  <c r="E162" i="2" s="1"/>
  <c r="E163" i="2" s="1"/>
  <c r="E164" i="2" s="1"/>
  <c r="E165" i="2" s="1"/>
  <c r="E166" i="2" s="1"/>
  <c r="E167" i="2" s="1"/>
  <c r="E168" i="2" s="1"/>
  <c r="E169" i="2" s="1"/>
  <c r="E170" i="2" s="1"/>
  <c r="E171" i="2" s="1"/>
  <c r="E172" i="2" s="1"/>
  <c r="E173" i="2" s="1"/>
  <c r="E174" i="2" s="1"/>
  <c r="E175" i="2" s="1"/>
  <c r="C183" i="2"/>
  <c r="L35" i="2"/>
  <c r="T164" i="2"/>
  <c r="T161" i="2"/>
  <c r="T173" i="2"/>
  <c r="T171" i="2"/>
  <c r="T162" i="2"/>
  <c r="T168" i="2"/>
  <c r="T174" i="2"/>
  <c r="A138" i="2"/>
  <c r="A178" i="2"/>
  <c r="T169" i="2"/>
  <c r="T172" i="2"/>
  <c r="T175" i="2"/>
  <c r="T160" i="2"/>
  <c r="T146" i="2"/>
  <c r="N183" i="2"/>
  <c r="T183" i="2" s="1"/>
  <c r="T163" i="2"/>
  <c r="T165" i="2"/>
  <c r="T158" i="2"/>
  <c r="T166" i="2"/>
  <c r="A83" i="2"/>
  <c r="T170" i="2"/>
  <c r="S167" i="2"/>
  <c r="D14" i="2"/>
  <c r="W52" i="2"/>
  <c r="S159" i="2"/>
  <c r="S160" i="2"/>
  <c r="S168" i="2"/>
  <c r="S173" i="2"/>
  <c r="S174" i="2"/>
  <c r="S155" i="2"/>
  <c r="S163" i="2"/>
  <c r="S153" i="2"/>
  <c r="P32" i="2"/>
  <c r="C130" i="2"/>
  <c r="K16" i="2"/>
  <c r="D15" i="2"/>
  <c r="S172" i="2"/>
  <c r="S161" i="2"/>
  <c r="U167" i="2"/>
  <c r="U146" i="2"/>
  <c r="D183" i="2"/>
  <c r="U169" i="2"/>
  <c r="U170" i="2"/>
  <c r="M183" i="2"/>
  <c r="S164" i="2"/>
  <c r="A52" i="2"/>
  <c r="I31" i="2"/>
  <c r="S175" i="2"/>
  <c r="D17" i="2"/>
  <c r="D130" i="2"/>
  <c r="U99" i="2"/>
  <c r="B183" i="2"/>
  <c r="S171" i="2"/>
  <c r="U151" i="2"/>
  <c r="V146" i="2"/>
  <c r="V169" i="2"/>
  <c r="V166" i="2"/>
  <c r="E183" i="2"/>
  <c r="V156" i="2"/>
  <c r="V157" i="2"/>
  <c r="V158" i="2"/>
  <c r="V150" i="2"/>
  <c r="V173" i="2"/>
  <c r="A177" i="2"/>
  <c r="S165" i="2"/>
  <c r="L33" i="2"/>
  <c r="J33" i="2"/>
  <c r="I33" i="2" s="1"/>
  <c r="L34" i="2"/>
  <c r="Q34" i="2" s="1"/>
  <c r="W151" i="2"/>
  <c r="W146" i="2"/>
  <c r="W51" i="2"/>
  <c r="W148" i="2"/>
  <c r="W183" i="2" l="1"/>
  <c r="N100" i="2"/>
  <c r="G91" i="2"/>
  <c r="C134" i="2" s="1"/>
  <c r="E15" i="2"/>
  <c r="D134" i="2"/>
  <c r="E17" i="2"/>
  <c r="D135" i="2"/>
  <c r="J15" i="2"/>
  <c r="D133" i="2"/>
  <c r="I92" i="2"/>
  <c r="D131" i="2"/>
  <c r="G32" i="2"/>
  <c r="S51" i="2"/>
  <c r="O110" i="2"/>
  <c r="E14" i="2"/>
  <c r="G14" i="2" s="1"/>
  <c r="J112" i="2"/>
  <c r="K112" i="2" s="1"/>
  <c r="L112" i="2" s="1"/>
  <c r="O112" i="2" s="1"/>
  <c r="J111" i="2"/>
  <c r="K111" i="2" s="1"/>
  <c r="L111" i="2" s="1"/>
  <c r="O111" i="2" s="1"/>
  <c r="J102" i="2"/>
  <c r="J108" i="2" s="1"/>
  <c r="K100" i="2"/>
  <c r="L100" i="2" s="1"/>
  <c r="M111" i="2" s="1"/>
  <c r="L101" i="2"/>
  <c r="M112" i="2" s="1"/>
  <c r="A21" i="2"/>
  <c r="A23" i="2"/>
  <c r="A20" i="2"/>
  <c r="G93" i="2"/>
  <c r="J16" i="2"/>
  <c r="E16" i="2"/>
  <c r="J17" i="2"/>
  <c r="G94" i="2"/>
  <c r="M100" i="2"/>
  <c r="N101" i="2" s="1"/>
  <c r="O99" i="2"/>
  <c r="I20" i="2"/>
  <c r="J20" i="2"/>
  <c r="L20" i="2" s="1"/>
  <c r="I14" i="2"/>
  <c r="I148" i="2"/>
  <c r="G148" i="2"/>
  <c r="Q33" i="2"/>
  <c r="P33" i="2"/>
  <c r="G33" i="2" s="1"/>
  <c r="A149" i="2"/>
  <c r="J55" i="2"/>
  <c r="U101" i="2"/>
  <c r="U54" i="2"/>
  <c r="H149" i="2"/>
  <c r="V54" i="2"/>
  <c r="A54" i="2"/>
  <c r="W101" i="2"/>
  <c r="A101" i="2"/>
  <c r="V101" i="2"/>
  <c r="W54" i="2"/>
  <c r="P34" i="2"/>
  <c r="G34" i="2" s="1"/>
  <c r="C52" i="2"/>
  <c r="C53" i="2" s="1"/>
  <c r="E52" i="2"/>
  <c r="E53" i="2" s="1"/>
  <c r="D52" i="2"/>
  <c r="D53" i="2" s="1"/>
  <c r="G31" i="2"/>
  <c r="M182" i="2"/>
  <c r="S183" i="2" s="1"/>
  <c r="P35" i="2"/>
  <c r="Q35" i="2"/>
  <c r="C135" i="2" l="1"/>
  <c r="C132" i="2"/>
  <c r="G15" i="2"/>
  <c r="C133" i="2"/>
  <c r="C131" i="2"/>
  <c r="J21" i="2"/>
  <c r="L21" i="2" s="1"/>
  <c r="N21" i="2" s="1"/>
  <c r="I21" i="2"/>
  <c r="I15" i="2"/>
  <c r="M102" i="2"/>
  <c r="N103" i="2" s="1"/>
  <c r="O101" i="2"/>
  <c r="O100" i="2"/>
  <c r="M101" i="2"/>
  <c r="N102" i="2" s="1"/>
  <c r="K102" i="2"/>
  <c r="L102" i="2" s="1"/>
  <c r="M113" i="2" s="1"/>
  <c r="J113" i="2"/>
  <c r="K113" i="2" s="1"/>
  <c r="L113" i="2" s="1"/>
  <c r="O113" i="2" s="1"/>
  <c r="J103" i="2"/>
  <c r="J109" i="2" s="1"/>
  <c r="P39" i="2"/>
  <c r="G39" i="2" s="1"/>
  <c r="F133" i="2"/>
  <c r="F132" i="2"/>
  <c r="F134" i="2"/>
  <c r="F131" i="2"/>
  <c r="F135" i="2"/>
  <c r="I94" i="2"/>
  <c r="E134" i="2"/>
  <c r="E131" i="2"/>
  <c r="E135" i="2"/>
  <c r="E132" i="2"/>
  <c r="I93" i="2"/>
  <c r="E133" i="2"/>
  <c r="I17" i="2"/>
  <c r="J23" i="2"/>
  <c r="L23" i="2" s="1"/>
  <c r="I23" i="2"/>
  <c r="G17" i="2"/>
  <c r="J22" i="2"/>
  <c r="L22" i="2" s="1"/>
  <c r="I16" i="2"/>
  <c r="I22" i="2"/>
  <c r="G16" i="2"/>
  <c r="N111" i="2"/>
  <c r="S148" i="2"/>
  <c r="T148" i="2"/>
  <c r="A55" i="2"/>
  <c r="U102" i="2"/>
  <c r="V55" i="2"/>
  <c r="W55" i="2"/>
  <c r="H150" i="2"/>
  <c r="A102" i="2"/>
  <c r="U55" i="2"/>
  <c r="W102" i="2"/>
  <c r="J56" i="2"/>
  <c r="V102" i="2"/>
  <c r="A150" i="2"/>
  <c r="N20" i="2"/>
  <c r="M20" i="2"/>
  <c r="C54" i="2"/>
  <c r="E54" i="2"/>
  <c r="D54" i="2"/>
  <c r="K108" i="2"/>
  <c r="L108" i="2" s="1"/>
  <c r="O108" i="2" s="1"/>
  <c r="I149" i="2"/>
  <c r="G149" i="2"/>
  <c r="G35" i="2"/>
  <c r="G53" i="2"/>
  <c r="G52" i="2"/>
  <c r="C99" i="2"/>
  <c r="Q39" i="2"/>
  <c r="G40" i="2" s="1"/>
  <c r="G132" i="2" l="1"/>
  <c r="K103" i="2"/>
  <c r="L103" i="2" s="1"/>
  <c r="M109" i="2" s="1"/>
  <c r="P109" i="2" s="1"/>
  <c r="N113" i="2"/>
  <c r="N108" i="2"/>
  <c r="M21" i="2"/>
  <c r="G21" i="2" s="1"/>
  <c r="G133" i="2"/>
  <c r="M103" i="2"/>
  <c r="P103" i="2" s="1"/>
  <c r="I12" i="2"/>
  <c r="M108" i="2"/>
  <c r="P108" i="2" s="1"/>
  <c r="P101" i="2"/>
  <c r="N112" i="2"/>
  <c r="O102" i="2"/>
  <c r="J114" i="2"/>
  <c r="K114" i="2" s="1"/>
  <c r="J104" i="2"/>
  <c r="J116" i="2" s="1"/>
  <c r="G131" i="2"/>
  <c r="G134" i="2"/>
  <c r="I18" i="2"/>
  <c r="C100" i="2"/>
  <c r="Q111" i="2" s="1"/>
  <c r="G135" i="2"/>
  <c r="N22" i="2"/>
  <c r="M22" i="2"/>
  <c r="N23" i="2"/>
  <c r="M23" i="2"/>
  <c r="G54" i="2"/>
  <c r="T54" i="2" s="1"/>
  <c r="O103" i="2"/>
  <c r="P111" i="2"/>
  <c r="K109" i="2"/>
  <c r="L109" i="2" s="1"/>
  <c r="O109" i="2" s="1"/>
  <c r="G20" i="2"/>
  <c r="I150" i="2"/>
  <c r="G150" i="2"/>
  <c r="T53" i="2"/>
  <c r="S53" i="2"/>
  <c r="T149" i="2"/>
  <c r="S149" i="2"/>
  <c r="V103" i="2"/>
  <c r="W56" i="2"/>
  <c r="W103" i="2"/>
  <c r="J57" i="2"/>
  <c r="H151" i="2"/>
  <c r="U103" i="2"/>
  <c r="V56" i="2"/>
  <c r="A151" i="2"/>
  <c r="A56" i="2"/>
  <c r="U56" i="2"/>
  <c r="A103" i="2"/>
  <c r="P113" i="2"/>
  <c r="P112" i="2"/>
  <c r="E55" i="2"/>
  <c r="D55" i="2"/>
  <c r="C55" i="2"/>
  <c r="P98" i="2"/>
  <c r="P110" i="2"/>
  <c r="P100" i="2"/>
  <c r="D100" i="2" s="1"/>
  <c r="G100" i="2" s="1"/>
  <c r="T52" i="2"/>
  <c r="S52" i="2"/>
  <c r="P102" i="2"/>
  <c r="N104" i="2" l="1"/>
  <c r="N114" i="2"/>
  <c r="M114" i="2"/>
  <c r="P114" i="2" s="1"/>
  <c r="M104" i="2"/>
  <c r="N109" i="2"/>
  <c r="Q109" i="2" s="1"/>
  <c r="D109" i="2" s="1"/>
  <c r="G109" i="2" s="1"/>
  <c r="Q103" i="2"/>
  <c r="D103" i="2" s="1"/>
  <c r="G103" i="2" s="1"/>
  <c r="Q99" i="2"/>
  <c r="D99" i="2" s="1"/>
  <c r="G99" i="2" s="1"/>
  <c r="T99" i="2" s="1"/>
  <c r="Q114" i="2"/>
  <c r="Q102" i="2"/>
  <c r="D102" i="2" s="1"/>
  <c r="G102" i="2" s="1"/>
  <c r="Q101" i="2"/>
  <c r="D101" i="2" s="1"/>
  <c r="G101" i="2" s="1"/>
  <c r="T101" i="2" s="1"/>
  <c r="L114" i="2"/>
  <c r="O114" i="2" s="1"/>
  <c r="G23" i="2"/>
  <c r="N26" i="2"/>
  <c r="G27" i="2" s="1"/>
  <c r="B186" i="2" s="1"/>
  <c r="J115" i="2"/>
  <c r="K115" i="2" s="1"/>
  <c r="L115" i="2" s="1"/>
  <c r="O115" i="2" s="1"/>
  <c r="J118" i="2"/>
  <c r="K118" i="2" s="1"/>
  <c r="L118" i="2" s="1"/>
  <c r="O118" i="2" s="1"/>
  <c r="K104" i="2"/>
  <c r="L104" i="2" s="1"/>
  <c r="M115" i="2" s="1"/>
  <c r="P115" i="2" s="1"/>
  <c r="J105" i="2"/>
  <c r="J117" i="2" s="1"/>
  <c r="G55" i="2"/>
  <c r="T55" i="2" s="1"/>
  <c r="G22" i="2"/>
  <c r="Q113" i="2"/>
  <c r="D113" i="2" s="1"/>
  <c r="G113" i="2" s="1"/>
  <c r="Q112" i="2"/>
  <c r="D112" i="2" s="1"/>
  <c r="G112" i="2" s="1"/>
  <c r="Q108" i="2"/>
  <c r="D108" i="2" s="1"/>
  <c r="G108" i="2" s="1"/>
  <c r="Q104" i="2"/>
  <c r="Q110" i="2"/>
  <c r="D110" i="2" s="1"/>
  <c r="G110" i="2" s="1"/>
  <c r="Q98" i="2"/>
  <c r="D98" i="2" s="1"/>
  <c r="G98" i="2" s="1"/>
  <c r="S54" i="2"/>
  <c r="M26" i="2"/>
  <c r="G26" i="2" s="1"/>
  <c r="F184" i="2" s="1"/>
  <c r="D111" i="2"/>
  <c r="G111" i="2" s="1"/>
  <c r="I151" i="2"/>
  <c r="G151" i="2"/>
  <c r="S150" i="2"/>
  <c r="T150" i="2"/>
  <c r="K116" i="2"/>
  <c r="L116" i="2" s="1"/>
  <c r="O116" i="2" s="1"/>
  <c r="N116" i="2"/>
  <c r="Q116" i="2" s="1"/>
  <c r="N118" i="2"/>
  <c r="Q118" i="2" s="1"/>
  <c r="N105" i="2"/>
  <c r="Q105" i="2" s="1"/>
  <c r="P104" i="2"/>
  <c r="N115" i="2"/>
  <c r="Q115" i="2" s="1"/>
  <c r="D56" i="2"/>
  <c r="C56" i="2"/>
  <c r="E56" i="2"/>
  <c r="T100" i="2"/>
  <c r="S100" i="2"/>
  <c r="H152" i="2"/>
  <c r="A152" i="2"/>
  <c r="V104" i="2"/>
  <c r="W104" i="2"/>
  <c r="V57" i="2"/>
  <c r="W57" i="2"/>
  <c r="U104" i="2"/>
  <c r="J58" i="2"/>
  <c r="A57" i="2"/>
  <c r="U57" i="2"/>
  <c r="A104" i="2"/>
  <c r="D114" i="2" l="1"/>
  <c r="G114" i="2" s="1"/>
  <c r="Q184" i="2"/>
  <c r="W184" i="2" s="1"/>
  <c r="T102" i="2"/>
  <c r="S102" i="2"/>
  <c r="S99" i="2"/>
  <c r="S101" i="2"/>
  <c r="K105" i="2"/>
  <c r="L105" i="2" s="1"/>
  <c r="M119" i="2" s="1"/>
  <c r="P119" i="2" s="1"/>
  <c r="J119" i="2"/>
  <c r="K119" i="2" s="1"/>
  <c r="L119" i="2" s="1"/>
  <c r="O119" i="2" s="1"/>
  <c r="J106" i="2"/>
  <c r="J120" i="2" s="1"/>
  <c r="O104" i="2"/>
  <c r="D104" i="2" s="1"/>
  <c r="G104" i="2" s="1"/>
  <c r="M105" i="2"/>
  <c r="P105" i="2" s="1"/>
  <c r="M116" i="2"/>
  <c r="P116" i="2" s="1"/>
  <c r="D116" i="2" s="1"/>
  <c r="G116" i="2" s="1"/>
  <c r="M118" i="2"/>
  <c r="P118" i="2" s="1"/>
  <c r="D118" i="2" s="1"/>
  <c r="G118" i="2" s="1"/>
  <c r="S55" i="2"/>
  <c r="S103" i="2"/>
  <c r="T103" i="2"/>
  <c r="D184" i="2"/>
  <c r="D185" i="2"/>
  <c r="O185" i="2" s="1"/>
  <c r="U185" i="2" s="1"/>
  <c r="E184" i="2"/>
  <c r="E185" i="2"/>
  <c r="P185" i="2" s="1"/>
  <c r="V185" i="2" s="1"/>
  <c r="F185" i="2"/>
  <c r="Q185" i="2" s="1"/>
  <c r="W185" i="2" s="1"/>
  <c r="W58" i="2"/>
  <c r="S105" i="2"/>
  <c r="J59" i="2"/>
  <c r="V105" i="2"/>
  <c r="U105" i="2"/>
  <c r="H153" i="2"/>
  <c r="A58" i="2"/>
  <c r="U58" i="2"/>
  <c r="V58" i="2"/>
  <c r="W105" i="2"/>
  <c r="S58" i="2"/>
  <c r="A153" i="2"/>
  <c r="A105" i="2"/>
  <c r="G152" i="2"/>
  <c r="I152" i="2"/>
  <c r="G56" i="2"/>
  <c r="K117" i="2"/>
  <c r="L117" i="2" s="1"/>
  <c r="O117" i="2" s="1"/>
  <c r="T151" i="2"/>
  <c r="S151" i="2"/>
  <c r="D115" i="2"/>
  <c r="G115" i="2" s="1"/>
  <c r="S98" i="2"/>
  <c r="T98" i="2"/>
  <c r="D57" i="2"/>
  <c r="C57" i="2"/>
  <c r="E57" i="2"/>
  <c r="O105" i="2" l="1"/>
  <c r="D105" i="2" s="1"/>
  <c r="G105" i="2" s="1"/>
  <c r="T105" i="2" s="1"/>
  <c r="N106" i="2"/>
  <c r="Q106" i="2" s="1"/>
  <c r="M117" i="2"/>
  <c r="P117" i="2" s="1"/>
  <c r="N117" i="2"/>
  <c r="Q117" i="2" s="1"/>
  <c r="J107" i="2"/>
  <c r="K107" i="2" s="1"/>
  <c r="L107" i="2" s="1"/>
  <c r="J121" i="2"/>
  <c r="K121" i="2" s="1"/>
  <c r="L121" i="2" s="1"/>
  <c r="O121" i="2" s="1"/>
  <c r="M106" i="2"/>
  <c r="N107" i="2" s="1"/>
  <c r="Q107" i="2" s="1"/>
  <c r="K106" i="2"/>
  <c r="L106" i="2" s="1"/>
  <c r="O106" i="2" s="1"/>
  <c r="P184" i="2"/>
  <c r="V184" i="2" s="1"/>
  <c r="O184" i="2"/>
  <c r="U184" i="2" s="1"/>
  <c r="N119" i="2"/>
  <c r="Q119" i="2" s="1"/>
  <c r="D119" i="2" s="1"/>
  <c r="G119" i="2" s="1"/>
  <c r="D58" i="2"/>
  <c r="E58" i="2"/>
  <c r="C58" i="2"/>
  <c r="I153" i="2"/>
  <c r="G153" i="2"/>
  <c r="T153" i="2" s="1"/>
  <c r="S104" i="2"/>
  <c r="T104" i="2"/>
  <c r="U106" i="2"/>
  <c r="W106" i="2"/>
  <c r="V106" i="2"/>
  <c r="V59" i="2"/>
  <c r="W59" i="2"/>
  <c r="J60" i="2"/>
  <c r="A154" i="2"/>
  <c r="S59" i="2"/>
  <c r="U59" i="2"/>
  <c r="H154" i="2"/>
  <c r="S106" i="2"/>
  <c r="A59" i="2"/>
  <c r="A106" i="2"/>
  <c r="K120" i="2"/>
  <c r="L120" i="2" s="1"/>
  <c r="O120" i="2" s="1"/>
  <c r="G57" i="2"/>
  <c r="T56" i="2"/>
  <c r="S56" i="2"/>
  <c r="S152" i="2"/>
  <c r="G177" i="2" s="1"/>
  <c r="B185" i="2" s="1"/>
  <c r="S185" i="2" s="1"/>
  <c r="T152" i="2"/>
  <c r="J122" i="2" l="1"/>
  <c r="P106" i="2"/>
  <c r="D117" i="2"/>
  <c r="G117" i="2" s="1"/>
  <c r="N121" i="2"/>
  <c r="Q121" i="2" s="1"/>
  <c r="M107" i="2"/>
  <c r="P107" i="2" s="1"/>
  <c r="N120" i="2"/>
  <c r="Q120" i="2" s="1"/>
  <c r="M120" i="2"/>
  <c r="P120" i="2" s="1"/>
  <c r="D120" i="2" s="1"/>
  <c r="G120" i="2" s="1"/>
  <c r="M121" i="2"/>
  <c r="P121" i="2" s="1"/>
  <c r="D121" i="2" s="1"/>
  <c r="G121" i="2" s="1"/>
  <c r="G58" i="2"/>
  <c r="T58" i="2" s="1"/>
  <c r="D106" i="2"/>
  <c r="G106" i="2" s="1"/>
  <c r="T106" i="2" s="1"/>
  <c r="O107" i="2"/>
  <c r="M122" i="2"/>
  <c r="D59" i="2"/>
  <c r="C59" i="2"/>
  <c r="E59" i="2"/>
  <c r="A155" i="2"/>
  <c r="J61" i="2"/>
  <c r="U60" i="2"/>
  <c r="S107" i="2"/>
  <c r="U107" i="2"/>
  <c r="V107" i="2"/>
  <c r="V60" i="2"/>
  <c r="W60" i="2"/>
  <c r="H155" i="2"/>
  <c r="W107" i="2"/>
  <c r="S60" i="2"/>
  <c r="A60" i="2"/>
  <c r="A107" i="2"/>
  <c r="J123" i="2"/>
  <c r="K122" i="2"/>
  <c r="L122" i="2" s="1"/>
  <c r="T57" i="2"/>
  <c r="S57" i="2"/>
  <c r="I154" i="2"/>
  <c r="G154" i="2"/>
  <c r="T154" i="2" s="1"/>
  <c r="N122" i="2" l="1"/>
  <c r="Q122" i="2" s="1"/>
  <c r="O122" i="2"/>
  <c r="M123" i="2"/>
  <c r="S61" i="2"/>
  <c r="H156" i="2"/>
  <c r="W108" i="2"/>
  <c r="A108" i="2"/>
  <c r="S108" i="2"/>
  <c r="W61" i="2"/>
  <c r="V61" i="2"/>
  <c r="A61" i="2"/>
  <c r="U61" i="2"/>
  <c r="T108" i="2"/>
  <c r="T61" i="2"/>
  <c r="V108" i="2"/>
  <c r="U108" i="2"/>
  <c r="A156" i="2"/>
  <c r="J62" i="2"/>
  <c r="K123" i="2"/>
  <c r="L123" i="2" s="1"/>
  <c r="J124" i="2"/>
  <c r="G155" i="2"/>
  <c r="T155" i="2" s="1"/>
  <c r="G178" i="2" s="1"/>
  <c r="C185" i="2" s="1"/>
  <c r="T185" i="2" s="1"/>
  <c r="I155" i="2"/>
  <c r="G59" i="2"/>
  <c r="T59" i="2" s="1"/>
  <c r="N123" i="2"/>
  <c r="Q123" i="2" s="1"/>
  <c r="P122" i="2"/>
  <c r="D60" i="2"/>
  <c r="C60" i="2"/>
  <c r="E60" i="2"/>
  <c r="D107" i="2"/>
  <c r="G107" i="2" s="1"/>
  <c r="T107" i="2" s="1"/>
  <c r="G60" i="2" l="1"/>
  <c r="T60" i="2" s="1"/>
  <c r="G156" i="2"/>
  <c r="I156" i="2"/>
  <c r="M124" i="2"/>
  <c r="O123" i="2"/>
  <c r="D61" i="2"/>
  <c r="C61" i="2"/>
  <c r="E61" i="2"/>
  <c r="P123" i="2"/>
  <c r="N124" i="2"/>
  <c r="Q124" i="2" s="1"/>
  <c r="K124" i="2"/>
  <c r="L124" i="2" s="1"/>
  <c r="J125" i="2"/>
  <c r="S62" i="2"/>
  <c r="A157" i="2"/>
  <c r="U62" i="2"/>
  <c r="H157" i="2"/>
  <c r="W62" i="2"/>
  <c r="A62" i="2"/>
  <c r="V109" i="2"/>
  <c r="A109" i="2"/>
  <c r="W109" i="2"/>
  <c r="T62" i="2"/>
  <c r="T109" i="2"/>
  <c r="U109" i="2"/>
  <c r="V62" i="2"/>
  <c r="S109" i="2"/>
  <c r="J63" i="2"/>
  <c r="D122" i="2"/>
  <c r="G122" i="2" s="1"/>
  <c r="D123" i="2" l="1"/>
  <c r="G123" i="2" s="1"/>
  <c r="G61" i="2"/>
  <c r="I157" i="2"/>
  <c r="G157" i="2"/>
  <c r="O124" i="2"/>
  <c r="M125" i="2"/>
  <c r="N125" i="2"/>
  <c r="Q125" i="2" s="1"/>
  <c r="P124" i="2"/>
  <c r="T110" i="2"/>
  <c r="A110" i="2"/>
  <c r="V63" i="2"/>
  <c r="A158" i="2"/>
  <c r="U110" i="2"/>
  <c r="J64" i="2"/>
  <c r="W63" i="2"/>
  <c r="T63" i="2"/>
  <c r="U63" i="2"/>
  <c r="S110" i="2"/>
  <c r="W110" i="2"/>
  <c r="S63" i="2"/>
  <c r="A63" i="2"/>
  <c r="V110" i="2"/>
  <c r="H158" i="2"/>
  <c r="C62" i="2"/>
  <c r="E62" i="2"/>
  <c r="D62" i="2"/>
  <c r="K125" i="2"/>
  <c r="L125" i="2" s="1"/>
  <c r="J126" i="2"/>
  <c r="G62" i="2" l="1"/>
  <c r="M126" i="2"/>
  <c r="O125" i="2"/>
  <c r="D124" i="2"/>
  <c r="G124" i="2" s="1"/>
  <c r="A111" i="2"/>
  <c r="S111" i="2"/>
  <c r="A64" i="2"/>
  <c r="V111" i="2"/>
  <c r="U111" i="2"/>
  <c r="T111" i="2"/>
  <c r="W64" i="2"/>
  <c r="A159" i="2"/>
  <c r="J65" i="2"/>
  <c r="W111" i="2"/>
  <c r="U64" i="2"/>
  <c r="H159" i="2"/>
  <c r="T64" i="2"/>
  <c r="V64" i="2"/>
  <c r="S64" i="2"/>
  <c r="P125" i="2"/>
  <c r="N126" i="2"/>
  <c r="Q126" i="2" s="1"/>
  <c r="J127" i="2"/>
  <c r="K126" i="2"/>
  <c r="L126" i="2" s="1"/>
  <c r="G158" i="2"/>
  <c r="I158" i="2"/>
  <c r="D63" i="2"/>
  <c r="E63" i="2"/>
  <c r="C63" i="2"/>
  <c r="G63" i="2" l="1"/>
  <c r="M127" i="2"/>
  <c r="P127" i="2" s="1"/>
  <c r="O126" i="2"/>
  <c r="S65" i="2"/>
  <c r="W112" i="2"/>
  <c r="A112" i="2"/>
  <c r="A160" i="2"/>
  <c r="H160" i="2"/>
  <c r="J66" i="2"/>
  <c r="U112" i="2"/>
  <c r="A65" i="2"/>
  <c r="W65" i="2"/>
  <c r="T112" i="2"/>
  <c r="V65" i="2"/>
  <c r="U65" i="2"/>
  <c r="V112" i="2"/>
  <c r="T65" i="2"/>
  <c r="S112" i="2"/>
  <c r="D125" i="2"/>
  <c r="G125" i="2" s="1"/>
  <c r="C64" i="2"/>
  <c r="D64" i="2"/>
  <c r="E64" i="2"/>
  <c r="N127" i="2"/>
  <c r="Q127" i="2" s="1"/>
  <c r="P126" i="2"/>
  <c r="K127" i="2"/>
  <c r="L127" i="2" s="1"/>
  <c r="O127" i="2" s="1"/>
  <c r="I159" i="2"/>
  <c r="G159" i="2"/>
  <c r="D127" i="2" l="1"/>
  <c r="G127" i="2" s="1"/>
  <c r="A113" i="2"/>
  <c r="W66" i="2"/>
  <c r="H161" i="2"/>
  <c r="W113" i="2"/>
  <c r="S66" i="2"/>
  <c r="S113" i="2"/>
  <c r="U66" i="2"/>
  <c r="J67" i="2"/>
  <c r="A66" i="2"/>
  <c r="A161" i="2"/>
  <c r="U113" i="2"/>
  <c r="T113" i="2"/>
  <c r="V113" i="2"/>
  <c r="T66" i="2"/>
  <c r="V66" i="2"/>
  <c r="G64" i="2"/>
  <c r="D126" i="2"/>
  <c r="G126" i="2" s="1"/>
  <c r="G160" i="2"/>
  <c r="I160" i="2"/>
  <c r="D65" i="2"/>
  <c r="C65" i="2"/>
  <c r="E65" i="2"/>
  <c r="A162" i="2" l="1"/>
  <c r="T114" i="2"/>
  <c r="J68" i="2"/>
  <c r="S114" i="2"/>
  <c r="A114" i="2"/>
  <c r="V114" i="2"/>
  <c r="T67" i="2"/>
  <c r="H162" i="2"/>
  <c r="A67" i="2"/>
  <c r="V67" i="2"/>
  <c r="W114" i="2"/>
  <c r="W67" i="2"/>
  <c r="S67" i="2"/>
  <c r="U114" i="2"/>
  <c r="U67" i="2"/>
  <c r="I161" i="2"/>
  <c r="G161" i="2"/>
  <c r="G65" i="2"/>
  <c r="E66" i="2"/>
  <c r="D66" i="2"/>
  <c r="C66" i="2"/>
  <c r="G66" i="2" s="1"/>
  <c r="A163" i="2" l="1"/>
  <c r="S68" i="2"/>
  <c r="W68" i="2"/>
  <c r="T68" i="2"/>
  <c r="J69" i="2"/>
  <c r="H163" i="2"/>
  <c r="U68" i="2"/>
  <c r="A68" i="2"/>
  <c r="V68" i="2"/>
  <c r="A115" i="2"/>
  <c r="V115" i="2"/>
  <c r="W115" i="2"/>
  <c r="T115" i="2"/>
  <c r="S115" i="2"/>
  <c r="U115" i="2"/>
  <c r="E67" i="2"/>
  <c r="C67" i="2"/>
  <c r="D67" i="2"/>
  <c r="I162" i="2"/>
  <c r="G162" i="2"/>
  <c r="V116" i="2" l="1"/>
  <c r="A69" i="2"/>
  <c r="J70" i="2"/>
  <c r="S116" i="2"/>
  <c r="U69" i="2"/>
  <c r="U116" i="2"/>
  <c r="T69" i="2"/>
  <c r="W69" i="2"/>
  <c r="H164" i="2"/>
  <c r="S69" i="2"/>
  <c r="A116" i="2"/>
  <c r="A164" i="2"/>
  <c r="V69" i="2"/>
  <c r="T116" i="2"/>
  <c r="W116" i="2"/>
  <c r="D68" i="2"/>
  <c r="E68" i="2"/>
  <c r="C68" i="2"/>
  <c r="G67" i="2"/>
  <c r="I163" i="2"/>
  <c r="G163" i="2"/>
  <c r="I164" i="2" l="1"/>
  <c r="G164" i="2"/>
  <c r="U117" i="2"/>
  <c r="W117" i="2"/>
  <c r="A117" i="2"/>
  <c r="J71" i="2"/>
  <c r="V70" i="2"/>
  <c r="U70" i="2"/>
  <c r="H165" i="2"/>
  <c r="S117" i="2"/>
  <c r="T117" i="2"/>
  <c r="W70" i="2"/>
  <c r="S70" i="2"/>
  <c r="A70" i="2"/>
  <c r="V117" i="2"/>
  <c r="T70" i="2"/>
  <c r="A165" i="2"/>
  <c r="D69" i="2"/>
  <c r="C69" i="2"/>
  <c r="E69" i="2"/>
  <c r="G68" i="2"/>
  <c r="E70" i="2" l="1"/>
  <c r="D70" i="2"/>
  <c r="C70" i="2"/>
  <c r="S71" i="2"/>
  <c r="W71" i="2"/>
  <c r="S118" i="2"/>
  <c r="J72" i="2"/>
  <c r="V71" i="2"/>
  <c r="T118" i="2"/>
  <c r="U71" i="2"/>
  <c r="A166" i="2"/>
  <c r="U118" i="2"/>
  <c r="H166" i="2"/>
  <c r="W118" i="2"/>
  <c r="V118" i="2"/>
  <c r="A71" i="2"/>
  <c r="A118" i="2"/>
  <c r="T71" i="2"/>
  <c r="G69" i="2"/>
  <c r="I165" i="2"/>
  <c r="G165" i="2"/>
  <c r="G70" i="2" l="1"/>
  <c r="T72" i="2"/>
  <c r="A119" i="2"/>
  <c r="U119" i="2"/>
  <c r="U72" i="2"/>
  <c r="W72" i="2"/>
  <c r="H167" i="2"/>
  <c r="V72" i="2"/>
  <c r="W119" i="2"/>
  <c r="S72" i="2"/>
  <c r="T119" i="2"/>
  <c r="V119" i="2"/>
  <c r="A72" i="2"/>
  <c r="A167" i="2"/>
  <c r="S119" i="2"/>
  <c r="J73" i="2"/>
  <c r="C71" i="2"/>
  <c r="E71" i="2"/>
  <c r="D71" i="2"/>
  <c r="G166" i="2"/>
  <c r="I166" i="2"/>
  <c r="G71" i="2" l="1"/>
  <c r="J74" i="2"/>
  <c r="T73" i="2"/>
  <c r="V120" i="2"/>
  <c r="S120" i="2"/>
  <c r="A73" i="2"/>
  <c r="W120" i="2"/>
  <c r="U120" i="2"/>
  <c r="V73" i="2"/>
  <c r="W73" i="2"/>
  <c r="A120" i="2"/>
  <c r="H168" i="2"/>
  <c r="A168" i="2"/>
  <c r="T120" i="2"/>
  <c r="U73" i="2"/>
  <c r="S73" i="2"/>
  <c r="I167" i="2"/>
  <c r="G167" i="2"/>
  <c r="D72" i="2"/>
  <c r="C72" i="2"/>
  <c r="E72" i="2"/>
  <c r="E73" i="2" l="1"/>
  <c r="C73" i="2"/>
  <c r="D73" i="2"/>
  <c r="I168" i="2"/>
  <c r="G168" i="2"/>
  <c r="G72" i="2"/>
  <c r="H169" i="2"/>
  <c r="A121" i="2"/>
  <c r="A74" i="2"/>
  <c r="V121" i="2"/>
  <c r="U74" i="2"/>
  <c r="V74" i="2"/>
  <c r="W74" i="2"/>
  <c r="T121" i="2"/>
  <c r="T74" i="2"/>
  <c r="S74" i="2"/>
  <c r="U121" i="2"/>
  <c r="J75" i="2"/>
  <c r="W121" i="2"/>
  <c r="S121" i="2"/>
  <c r="A169" i="2"/>
  <c r="I169" i="2" l="1"/>
  <c r="G169" i="2"/>
  <c r="W122" i="2"/>
  <c r="T75" i="2"/>
  <c r="W75" i="2"/>
  <c r="J76" i="2"/>
  <c r="U122" i="2"/>
  <c r="T122" i="2"/>
  <c r="V122" i="2"/>
  <c r="S122" i="2"/>
  <c r="V75" i="2"/>
  <c r="A75" i="2"/>
  <c r="H170" i="2"/>
  <c r="S75" i="2"/>
  <c r="A170" i="2"/>
  <c r="U75" i="2"/>
  <c r="A122" i="2"/>
  <c r="G73" i="2"/>
  <c r="E74" i="2"/>
  <c r="D74" i="2"/>
  <c r="C74" i="2"/>
  <c r="G74" i="2" s="1"/>
  <c r="I170" i="2" l="1"/>
  <c r="G170" i="2"/>
  <c r="A171" i="2"/>
  <c r="A76" i="2"/>
  <c r="T76" i="2"/>
  <c r="W123" i="2"/>
  <c r="S76" i="2"/>
  <c r="H171" i="2"/>
  <c r="A123" i="2"/>
  <c r="V76" i="2"/>
  <c r="U76" i="2"/>
  <c r="S123" i="2"/>
  <c r="U123" i="2"/>
  <c r="T123" i="2"/>
  <c r="W76" i="2"/>
  <c r="V123" i="2"/>
  <c r="J77" i="2"/>
  <c r="E75" i="2"/>
  <c r="D75" i="2"/>
  <c r="C75" i="2"/>
  <c r="G75" i="2" s="1"/>
  <c r="D76" i="2" l="1"/>
  <c r="C76" i="2"/>
  <c r="E76" i="2"/>
  <c r="I171" i="2"/>
  <c r="G171" i="2"/>
  <c r="V77" i="2"/>
  <c r="J78" i="2"/>
  <c r="W77" i="2"/>
  <c r="U77" i="2"/>
  <c r="A124" i="2"/>
  <c r="S77" i="2"/>
  <c r="U124" i="2"/>
  <c r="T124" i="2"/>
  <c r="A77" i="2"/>
  <c r="H172" i="2"/>
  <c r="S124" i="2"/>
  <c r="W124" i="2"/>
  <c r="T77" i="2"/>
  <c r="A172" i="2"/>
  <c r="V124" i="2"/>
  <c r="C77" i="2" l="1"/>
  <c r="D77" i="2"/>
  <c r="E77" i="2"/>
  <c r="J79" i="2"/>
  <c r="A173" i="2"/>
  <c r="S125" i="2"/>
  <c r="T78" i="2"/>
  <c r="U125" i="2"/>
  <c r="S78" i="2"/>
  <c r="U78" i="2"/>
  <c r="A125" i="2"/>
  <c r="V78" i="2"/>
  <c r="A78" i="2"/>
  <c r="W78" i="2"/>
  <c r="V125" i="2"/>
  <c r="H173" i="2"/>
  <c r="W125" i="2"/>
  <c r="T125" i="2"/>
  <c r="G76" i="2"/>
  <c r="I172" i="2"/>
  <c r="G172" i="2"/>
  <c r="I173" i="2" l="1"/>
  <c r="G173" i="2"/>
  <c r="C78" i="2"/>
  <c r="E78" i="2"/>
  <c r="D78" i="2"/>
  <c r="J80" i="2"/>
  <c r="S126" i="2"/>
  <c r="V126" i="2"/>
  <c r="H174" i="2"/>
  <c r="T126" i="2"/>
  <c r="W126" i="2"/>
  <c r="T79" i="2"/>
  <c r="A79" i="2"/>
  <c r="W79" i="2"/>
  <c r="U79" i="2"/>
  <c r="A174" i="2"/>
  <c r="S79" i="2"/>
  <c r="V79" i="2"/>
  <c r="U126" i="2"/>
  <c r="A126" i="2"/>
  <c r="G77" i="2"/>
  <c r="G174" i="2" l="1"/>
  <c r="I174" i="2"/>
  <c r="E79" i="2"/>
  <c r="D79" i="2"/>
  <c r="C79" i="2"/>
  <c r="H175" i="2"/>
  <c r="A175" i="2"/>
  <c r="S80" i="2"/>
  <c r="G82" i="2" s="1"/>
  <c r="V127" i="2"/>
  <c r="U127" i="2"/>
  <c r="U80" i="2"/>
  <c r="W127" i="2"/>
  <c r="T80" i="2"/>
  <c r="G83" i="2" s="1"/>
  <c r="A80" i="2"/>
  <c r="W80" i="2"/>
  <c r="S127" i="2"/>
  <c r="G137" i="2" s="1"/>
  <c r="T127" i="2"/>
  <c r="G138" i="2" s="1"/>
  <c r="A127" i="2"/>
  <c r="V80" i="2"/>
  <c r="G78" i="2"/>
  <c r="C184" i="2" l="1"/>
  <c r="G79" i="2"/>
  <c r="G175" i="2"/>
  <c r="I175" i="2"/>
  <c r="I195" i="2" s="1"/>
  <c r="H183" i="2" s="1"/>
  <c r="D80" i="2"/>
  <c r="E80" i="2"/>
  <c r="C80" i="2"/>
  <c r="B184" i="2"/>
  <c r="S184" i="2" l="1"/>
  <c r="N184" i="2"/>
  <c r="T184" i="2" s="1"/>
  <c r="G8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Schaap, Tom (KNMI)</author>
  </authors>
  <commentList>
    <comment ref="M184" authorId="0" shapeId="0" xr:uid="{80D3BC1B-D7CE-405D-B27E-55225CA9E61C}">
      <text>
        <r>
          <rPr>
            <b/>
            <sz val="9"/>
            <color indexed="81"/>
            <rFont val="Tahoma"/>
            <family val="2"/>
          </rPr>
          <t>Schaap, Tom (KNMI):</t>
        </r>
        <r>
          <rPr>
            <sz val="9"/>
            <color indexed="81"/>
            <rFont val="Tahoma"/>
            <family val="2"/>
          </rPr>
          <t xml:space="preserve">
harde 0 erin gezet om ervoor te zorgen dat B184 niet kan verkleuren
oorspronkelijke inhoud:
=IF(AND(B184&gt;Invulblad!$E$123,B184&lt;Invulblad!$E$124),0,1)</t>
        </r>
      </text>
    </comment>
    <comment ref="M185" authorId="0" shapeId="0" xr:uid="{FC1EE1A2-9507-4E4C-B98C-8DC1930F92BB}">
      <text>
        <r>
          <rPr>
            <b/>
            <sz val="9"/>
            <color indexed="81"/>
            <rFont val="Tahoma"/>
            <family val="2"/>
          </rPr>
          <t>Schaap, Tom (KNMI):</t>
        </r>
        <r>
          <rPr>
            <sz val="9"/>
            <color indexed="81"/>
            <rFont val="Tahoma"/>
            <family val="2"/>
          </rPr>
          <t xml:space="preserve">
harde 0 erin gezet om ervoor te zorgen dat B185 niet kan verkleuren
oorspronkelijke inhoud:
=IF(AND(B185&gt;Invulblad!$E$125,B185&lt;Invulblad!$E$126),0,1)</t>
        </r>
      </text>
    </comment>
    <comment ref="N185" authorId="0" shapeId="0" xr:uid="{E7661503-631E-4684-B26B-1FA71C7A77A7}">
      <text>
        <r>
          <rPr>
            <b/>
            <sz val="9"/>
            <color indexed="81"/>
            <rFont val="Tahoma"/>
            <family val="2"/>
          </rPr>
          <t>Schaap, Tom (KNMI):</t>
        </r>
        <r>
          <rPr>
            <sz val="9"/>
            <color indexed="81"/>
            <rFont val="Tahoma"/>
            <family val="2"/>
          </rPr>
          <t xml:space="preserve">
harde 0 erin gezet om ervoor te zorgen dat C185 niet kan verkleuren
oorspronkelijke inhoud:
=IF(AND(C185&gt;Invulblad!$E$125,C185&lt;Invulblad!$E$126),0,1)</t>
        </r>
      </text>
    </comment>
  </commentList>
</comments>
</file>

<file path=xl/sharedStrings.xml><?xml version="1.0" encoding="utf-8"?>
<sst xmlns="http://schemas.openxmlformats.org/spreadsheetml/2006/main" count="377" uniqueCount="267">
  <si>
    <t>Instructions Annex 9 - Pricing Sheet</t>
  </si>
  <si>
    <t>Section</t>
  </si>
  <si>
    <t>Instructions</t>
  </si>
  <si>
    <t>Entering Information</t>
  </si>
  <si>
    <t>Fill in the yellow shaded cells only. Do not adjust or fill in other cells, as this will lead to exclusion from the tender. Note: In some cells, an arrow will appear when you click on the cell. Click this arrow to display a drop-down list and make your selection. For example, see cell C12.</t>
  </si>
  <si>
    <t>Required Information</t>
  </si>
  <si>
    <t>Failure to provide all required information may result in a request for additional details or exclusion from the tender. Prices will be evaluated based on the specified decimal places.</t>
  </si>
  <si>
    <t>Responsibility and Clarifications</t>
  </si>
  <si>
    <t>The Tenderer is responsible for any misinterpretation of the Pricing Sheet. Questions about the Pricing Sheet can be submitted as per the procedure in the Descriptive Document.</t>
  </si>
  <si>
    <t>Modifications</t>
  </si>
  <si>
    <t>Altering text in the Pricing Sheet outside of the yellow cells may invalidate the Tender and lead to exclusion.</t>
  </si>
  <si>
    <t>Pricing Guidelines</t>
  </si>
  <si>
    <r>
      <t xml:space="preserve">Prices must be in Euros (€) excluding VAT, with the </t>
    </r>
    <r>
      <rPr>
        <b/>
        <sz val="9.6"/>
        <color rgb="FF0D0D0D"/>
        <rFont val="Segoe UI"/>
        <family val="2"/>
      </rPr>
      <t>Tenderer bearing any currency risk</t>
    </r>
    <r>
      <rPr>
        <sz val="9.6"/>
        <color rgb="FF0D0D0D"/>
        <rFont val="Segoe UI"/>
        <family val="2"/>
      </rPr>
      <t>. Prices must be all-inclusive and align with the Tender documents and Information Memoranda.</t>
    </r>
  </si>
  <si>
    <t>Prohibited Practices</t>
  </si>
  <si>
    <t>Negative prices are not allowed and will result in exclusion. Discounts must be included in the Tender price. Zero prices are permitted only if explicitly allowed.</t>
  </si>
  <si>
    <t>Strategic Tendering</t>
  </si>
  <si>
    <t>Strategic tendering is forbidden. Abnormal pricing may prompt the Contracting Authority to request further details or invalidate the tender, leading to exclusion.</t>
  </si>
  <si>
    <t>Submission of Prices</t>
  </si>
  <si>
    <t>Prices must be included only in this document, not in any other documents of the Tender. Quoted prices will become part of the Agreement once the assignment is awarded.</t>
  </si>
  <si>
    <t>Realistic Pricing</t>
  </si>
  <si>
    <t>Prices should be realistic and not manipulative. Unrealistic Tenders, which cannot be justified from a cost perspective, will be excluded.</t>
  </si>
  <si>
    <t>Item</t>
  </si>
  <si>
    <t>Description</t>
  </si>
  <si>
    <t>Cell to Fill</t>
  </si>
  <si>
    <t>Notes</t>
  </si>
  <si>
    <t>Comparison Price</t>
  </si>
  <si>
    <t>The comparison price is based on a Total Cost of Ownership (TCO) of 10 years, not the maximum contract duration of 12 years, due to the mutual termination option of the last extension.</t>
  </si>
  <si>
    <r>
      <rPr>
        <b/>
        <sz val="9.6"/>
        <color rgb="FF0D0D0D"/>
        <rFont val="Segoe UI"/>
        <family val="2"/>
      </rPr>
      <t>A</t>
    </r>
    <r>
      <rPr>
        <sz val="9.6"/>
        <color rgb="FF0D0D0D"/>
        <rFont val="Segoe UI"/>
        <family val="2"/>
      </rPr>
      <t>. Pricing of Offered Gauges</t>
    </r>
  </si>
  <si>
    <t>Type of Offered Gauge</t>
  </si>
  <si>
    <r>
      <t>Choose "Precipitation gauge" or "Precipitation gauge with auxiliary device". </t>
    </r>
    <r>
      <rPr>
        <b/>
        <sz val="9.6"/>
        <color rgb="FF0D0D0D"/>
        <rFont val="Segoe UI"/>
        <family val="2"/>
      </rPr>
      <t>The price for an auxiliary device is capped at €1,000 each. Offering a higher price will lead to exclusion.</t>
    </r>
  </si>
  <si>
    <t>C12</t>
  </si>
  <si>
    <t>Ensure solution meets Programme of Requirements.</t>
  </si>
  <si>
    <t>Quantity of Line-Replaceable Units</t>
  </si>
  <si>
    <r>
      <t xml:space="preserve">Provide recommended quantity of LRUs or spare gauges to avoid data delivery interruptions. </t>
    </r>
    <r>
      <rPr>
        <b/>
        <sz val="9.6"/>
        <color rgb="FF0D0D0D"/>
        <rFont val="Segoe UI"/>
        <family val="2"/>
      </rPr>
      <t>The price for an auxiliary device is capped at €1,000 each</t>
    </r>
    <r>
      <rPr>
        <sz val="9.6"/>
        <color rgb="FF0D0D0D"/>
        <rFont val="Segoe UI"/>
        <family val="2"/>
      </rPr>
      <t xml:space="preserve">. </t>
    </r>
    <r>
      <rPr>
        <b/>
        <sz val="9.6"/>
        <color rgb="FF0D0D0D"/>
        <rFont val="Segoe UI"/>
        <family val="2"/>
      </rPr>
      <t>Offering a higher price will lead to exclusion.</t>
    </r>
  </si>
  <si>
    <t>C18</t>
  </si>
  <si>
    <t>Specify extra gauges if required.</t>
  </si>
  <si>
    <t>Calibrators</t>
  </si>
  <si>
    <t>Quote a price for two Calibrators sets and tools for Calibration Laboratory.</t>
  </si>
  <si>
    <t>F25</t>
  </si>
  <si>
    <r>
      <rPr>
        <b/>
        <sz val="9.6"/>
        <color rgb="FF0D0D0D"/>
        <rFont val="Segoe UI"/>
        <family val="2"/>
      </rPr>
      <t>B.</t>
    </r>
    <r>
      <rPr>
        <sz val="9.6"/>
        <color rgb="FF0D0D0D"/>
        <rFont val="Segoe UI"/>
        <family val="2"/>
      </rPr>
      <t xml:space="preserve"> Pricing of Additional Products</t>
    </r>
  </si>
  <si>
    <t>Standpoles</t>
  </si>
  <si>
    <t>Indicate if standpoles can be provided and quote prices.</t>
  </si>
  <si>
    <t>D31, F31, D32, F32</t>
  </si>
  <si>
    <t>Requirement 67 in Annex 4.</t>
  </si>
  <si>
    <t>Windscreens</t>
  </si>
  <si>
    <t>State if wind screens are required and quote a price.</t>
  </si>
  <si>
    <t>D33, F33</t>
  </si>
  <si>
    <t>Requirement 58 in Annex 4.</t>
  </si>
  <si>
    <t>Field calibrators</t>
  </si>
  <si>
    <t>Quote a price for eight field calibrators when applicable (see requirement 101 in the Program of Requirements). </t>
  </si>
  <si>
    <t>F34</t>
  </si>
  <si>
    <t>Maintenance sets and tools</t>
  </si>
  <si>
    <t>Quote a price for eight maintenance sets and tools when applicable. Please complete this section only if specific tools are required.</t>
  </si>
  <si>
    <t>F35</t>
  </si>
  <si>
    <t>Training</t>
  </si>
  <si>
    <t>Offer a price for training that meets the conditions in the Programme of Requirements. Prices for the amount of training session mentioned in the Pricing sheet are fixed throughout the Agreement term.</t>
  </si>
  <si>
    <t>F38</t>
  </si>
  <si>
    <t>Requirements 110-112 in Annex 4.</t>
  </si>
  <si>
    <r>
      <rPr>
        <b/>
        <sz val="9.6"/>
        <color rgb="FF0D0D0D"/>
        <rFont val="Segoe UI"/>
        <family val="2"/>
      </rPr>
      <t>C.</t>
    </r>
    <r>
      <rPr>
        <sz val="9.6"/>
        <color rgb="FF0D0D0D"/>
        <rFont val="Segoe UI"/>
        <family val="2"/>
      </rPr>
      <t xml:space="preserve"> 1st Line Maintenance</t>
    </r>
  </si>
  <si>
    <t>Required Maintenance</t>
  </si>
  <si>
    <t>Specify the amount of First-line maintenance required per gauge. This is about the number of times per year preventative measures need to be done specifically by trained KNMI technical staff.
The formula calculates: Number of maintenance events at AWS location per gauge per year*# gauges AWS location*Cost KNMI employee per hour.</t>
  </si>
  <si>
    <t>D42</t>
  </si>
  <si>
    <t>Automatically multiplied by hourly rate and duration.</t>
  </si>
  <si>
    <r>
      <rPr>
        <b/>
        <sz val="9.6"/>
        <color rgb="FF0D0D0D"/>
        <rFont val="Segoe UI"/>
        <family val="2"/>
      </rPr>
      <t>D</t>
    </r>
    <r>
      <rPr>
        <sz val="9.6"/>
        <color rgb="FF0D0D0D"/>
        <rFont val="Segoe UI"/>
        <family val="2"/>
      </rPr>
      <t>. 2nd Line Maintenance</t>
    </r>
  </si>
  <si>
    <t>Calibration Frequency</t>
  </si>
  <si>
    <t>Indicate the necessary frequency for calibrating the gauges.
The formula calculates: Amount of gauges periodic maintenance*Duration of 2nd line maintenance (calibration) per gauge arrangement in hours*Cost KNMI employee per hour.</t>
  </si>
  <si>
    <t>D90</t>
  </si>
  <si>
    <t>Mean Time Between Failures (MTBF)</t>
  </si>
  <si>
    <t>Provide the MTBF in hours.</t>
  </si>
  <si>
    <t>Based on Programme of Requirements.</t>
  </si>
  <si>
    <r>
      <rPr>
        <b/>
        <sz val="9.6"/>
        <color rgb="FF0D0D0D"/>
        <rFont val="Segoe UI"/>
        <family val="2"/>
      </rPr>
      <t>E.</t>
    </r>
    <r>
      <rPr>
        <sz val="9.6"/>
        <color rgb="FF0D0D0D"/>
        <rFont val="Segoe UI"/>
        <family val="2"/>
      </rPr>
      <t xml:space="preserve"> 3rd Line Maintenance</t>
    </r>
  </si>
  <si>
    <t>Annual Maintenance Cost</t>
  </si>
  <si>
    <t>Quote a yearly price per gauge for third-line maintenance.</t>
  </si>
  <si>
    <t>Prices fixed for first 10 years, then subject to review.</t>
  </si>
  <si>
    <t>Repairs Included</t>
  </si>
  <si>
    <t>All repairs included except for damage due to vandalism, major wind events, and lightning strikes.</t>
  </si>
  <si>
    <t>Reference number of this Tender</t>
  </si>
  <si>
    <t>Tenderer :</t>
  </si>
  <si>
    <t>Legally represented in this matter by :</t>
  </si>
  <si>
    <r>
      <t xml:space="preserve">declares that, by signing this form, they offer to provide products and services as described in the Tender. They will do so at the following price in </t>
    </r>
    <r>
      <rPr>
        <b/>
        <sz val="10"/>
        <rFont val="Calibri"/>
        <family val="2"/>
      </rPr>
      <t>€</t>
    </r>
    <r>
      <rPr>
        <b/>
        <sz val="10"/>
        <rFont val="Arial"/>
        <family val="2"/>
      </rPr>
      <t>, excluding VAT:</t>
    </r>
  </si>
  <si>
    <t>A. Pricing of offered gauges</t>
  </si>
  <si>
    <t>&lt;Enter Choice &gt;</t>
  </si>
  <si>
    <r>
      <t>Product</t>
    </r>
    <r>
      <rPr>
        <b/>
        <sz val="10"/>
        <color rgb="FFFF0000"/>
        <rFont val="Calibri"/>
        <family val="2"/>
        <scheme val="minor"/>
      </rPr>
      <t xml:space="preserve"> </t>
    </r>
  </si>
  <si>
    <t># gauges</t>
  </si>
  <si>
    <t># surplus</t>
  </si>
  <si>
    <t>total amount</t>
  </si>
  <si>
    <t xml:space="preserve">Price per unit </t>
  </si>
  <si>
    <t>Total Price</t>
  </si>
  <si>
    <t>Remarks</t>
  </si>
  <si>
    <t xml:space="preserve">Included in the 
Comparison Price </t>
  </si>
  <si>
    <t>Amount</t>
  </si>
  <si>
    <t>geselekeerde units</t>
  </si>
  <si>
    <t>lijn actief</t>
  </si>
  <si>
    <t>bedrag geven</t>
  </si>
  <si>
    <t>Calibrators sets and tools for Calibration Laboratory</t>
  </si>
  <si>
    <t>Included in the Comparison Price</t>
  </si>
  <si>
    <t>Not included in the Comparison Price</t>
  </si>
  <si>
    <t>B. Pricing of additional products</t>
  </si>
  <si>
    <t>Product</t>
  </si>
  <si>
    <t>Price per unit</t>
  </si>
  <si>
    <t>regel actief</t>
  </si>
  <si>
    <t>Ja of nee gebruik van necessary of not necessary</t>
  </si>
  <si>
    <t>status necessary of not necessary</t>
  </si>
  <si>
    <t>filter voor necessary of not necessary</t>
  </si>
  <si>
    <t>&lt;Enter Choice&gt;</t>
  </si>
  <si>
    <t>Tenderer is obliged to include the price for these items in the bid, but these costs are not included in the overall price comparison.</t>
  </si>
  <si>
    <t xml:space="preserve">Amount of 8 is based on the amount of vehicles and spares. </t>
  </si>
  <si>
    <t xml:space="preserve"> # Training sessions</t>
  </si>
  <si>
    <t>Price per session</t>
  </si>
  <si>
    <t>C. 1st line maintenance</t>
  </si>
  <si>
    <t>Number of maintenance events at AWS location per gauge per year</t>
  </si>
  <si>
    <t>Times a year</t>
  </si>
  <si>
    <t>Number of maintenance events at Airport/Airbase location per sensor per year</t>
  </si>
  <si>
    <t>Number of maintenance events at North Sea platform location per sensor per year</t>
  </si>
  <si>
    <t>Cost KNMI employee per hour</t>
  </si>
  <si>
    <t>€/hour</t>
  </si>
  <si>
    <t>Fixed value ​​specified by KNMI</t>
  </si>
  <si>
    <t xml:space="preserve">1st line maintenance duration in hour(s) </t>
  </si>
  <si>
    <t># gauges AWS location</t>
  </si>
  <si>
    <t># sensors Airport/Airbase</t>
  </si>
  <si>
    <t># sensors platform</t>
  </si>
  <si>
    <t>Total price</t>
  </si>
  <si>
    <t>Fixed values ​​specified by KNMI including averaged travel time (1 hour per gauge, per maintenance event)</t>
  </si>
  <si>
    <t>Year 1</t>
  </si>
  <si>
    <r>
      <t>Will be automatically</t>
    </r>
    <r>
      <rPr>
        <sz val="10"/>
        <color rgb="FFFF0000"/>
        <rFont val="Calibri"/>
        <family val="2"/>
        <scheme val="minor"/>
      </rPr>
      <t xml:space="preserve"> </t>
    </r>
    <r>
      <rPr>
        <sz val="10"/>
        <rFont val="Calibri"/>
        <family val="2"/>
        <scheme val="minor"/>
      </rPr>
      <t>calculated from maintenance intervals and  gauges in use</t>
    </r>
  </si>
  <si>
    <t>D. 2nd line maintenance</t>
  </si>
  <si>
    <t>Number</t>
  </si>
  <si>
    <t>Number of gauges</t>
  </si>
  <si>
    <t>Calibration period per gauge</t>
  </si>
  <si>
    <t>Number of year(s)</t>
  </si>
  <si>
    <t>Number in hours</t>
  </si>
  <si>
    <t>New operational in field</t>
  </si>
  <si>
    <t>Amount of gauges periodic maintenance</t>
  </si>
  <si>
    <t>Price</t>
  </si>
  <si>
    <t>Calculation to determine calibration moments</t>
  </si>
  <si>
    <t xml:space="preserve">Years </t>
  </si>
  <si>
    <t>Number of Failures during the specified period based on the MTBF</t>
  </si>
  <si>
    <t>The calculation used to calculate the number of failures per sensor is given below. The numbers are rounded up.</t>
  </si>
  <si>
    <t>E. 3rd line maintenance</t>
  </si>
  <si>
    <t>Product: 3rd line maintenance (price per year)</t>
  </si>
  <si>
    <t>Received</t>
  </si>
  <si>
    <t>3rd line</t>
  </si>
  <si>
    <t>X</t>
  </si>
  <si>
    <t xml:space="preserve">Under warranty from supplier (excluding 3rd line costs), see Draft Agreement </t>
  </si>
  <si>
    <t>TCO / bid</t>
  </si>
  <si>
    <t>TCO, total price including 1st and 2nd line maintenance (***)</t>
  </si>
  <si>
    <t>Bid, total price exclusive 1st and  2nd line maintenance (***)</t>
  </si>
  <si>
    <t>Prices of products that are not included in the Comparison Price.</t>
  </si>
  <si>
    <t xml:space="preserve">The Tenderer declares to have examined all Tender documents. The Tenderer declares that the pricing sheet has been completed truthfully.
</t>
  </si>
  <si>
    <t xml:space="preserve">Signature
</t>
  </si>
  <si>
    <t>Name of Tenderer :</t>
  </si>
  <si>
    <t>Name of duly authorized signatory :</t>
  </si>
  <si>
    <t>Job title :</t>
  </si>
  <si>
    <t xml:space="preserve">Signature :
</t>
  </si>
  <si>
    <t>Date:</t>
  </si>
  <si>
    <t>Wachtwoord beveiliging</t>
  </si>
  <si>
    <t>hK20#Wn_2M4$iQ</t>
  </si>
  <si>
    <t>Annex nummer:</t>
  </si>
  <si>
    <t>Naam Aanbesteding:</t>
  </si>
  <si>
    <t>Precipitation gauges</t>
  </si>
  <si>
    <t>Tender referentie nummer:</t>
  </si>
  <si>
    <t>Sensor naam</t>
  </si>
  <si>
    <t>gauge</t>
  </si>
  <si>
    <t>A. Pricing of offered sensors</t>
  </si>
  <si>
    <t>Case 1:</t>
  </si>
  <si>
    <t>Precipitation gauge</t>
  </si>
  <si>
    <t>Case 2:</t>
  </si>
  <si>
    <t>Precipitation gauge and auxiliary device</t>
  </si>
  <si>
    <t>Case 3:</t>
  </si>
  <si>
    <t>Case 4:</t>
  </si>
  <si>
    <t>Aantal sensoren</t>
  </si>
  <si>
    <t>Uitleg</t>
  </si>
  <si>
    <t>Sensoren</t>
  </si>
  <si>
    <t>Spare</t>
  </si>
  <si>
    <t>Afwijking voor Spare</t>
  </si>
  <si>
    <t>Spare op Pricing Sheet</t>
  </si>
  <si>
    <t>Maximum tegeven waarden</t>
  </si>
  <si>
    <t>Komt prijs in TCB/ Bit voor LRU</t>
  </si>
  <si>
    <t>Case 1-&gt;</t>
  </si>
  <si>
    <t>Product 1:</t>
  </si>
  <si>
    <t>No</t>
  </si>
  <si>
    <t>incl. mounting materials or mast, (digital) documentation</t>
  </si>
  <si>
    <t>Product 2:</t>
  </si>
  <si>
    <t>Product 3:</t>
  </si>
  <si>
    <t>Product 4:</t>
  </si>
  <si>
    <t>Case 2-&gt;</t>
  </si>
  <si>
    <t>Auxiliary device</t>
  </si>
  <si>
    <t>Case 3-&gt;</t>
  </si>
  <si>
    <t>Case 4-&gt;</t>
  </si>
  <si>
    <t>Aantal Calibration sets and tools</t>
  </si>
  <si>
    <t>Remarks veld H14</t>
  </si>
  <si>
    <r>
      <t xml:space="preserve">The price per unit is inclusive (including all costs such as insurance and shipment to KNMI location De Bilt) and applies to all eventual repeat orders.
</t>
    </r>
    <r>
      <rPr>
        <b/>
        <sz val="11"/>
        <color theme="1"/>
        <rFont val="Calibri"/>
        <family val="2"/>
        <scheme val="minor"/>
      </rPr>
      <t>The price to be quoted for an auxiliary device is capped at €1.000 each. Offering a higher price will lead to exclusion.</t>
    </r>
    <r>
      <rPr>
        <sz val="11"/>
        <color theme="1"/>
        <rFont val="Calibri"/>
        <family val="2"/>
        <scheme val="minor"/>
      </rPr>
      <t xml:space="preserve"> 
The amount of units will be ordered in batches, please see Annex 1B for more information.
The surplus is required for research and development.</t>
    </r>
  </si>
  <si>
    <t>Remarks veld H20</t>
  </si>
  <si>
    <t>The application of LRU or spare gauge is described in Annex 4 Requirement 49. The Tenderer indicates the minimum stock required.
Note: The above mentioned surplus for research and development purposes cannot be taken into account. 
Tenderer is obliged to include the price for these items in the bid, but these costs are not included in the overall price comparison.</t>
  </si>
  <si>
    <t>Product naam</t>
  </si>
  <si>
    <t>Aantal</t>
  </si>
  <si>
    <t>Komt prijs in TCB/ Bit</t>
  </si>
  <si>
    <t>Keuzen uit noodzakelijk of niet noodzakelijk</t>
  </si>
  <si>
    <t>Product 1</t>
  </si>
  <si>
    <t>Standpoles for windscreen set-ups</t>
  </si>
  <si>
    <t>Nee</t>
  </si>
  <si>
    <t>Product 2</t>
  </si>
  <si>
    <t>Standpoles for english pit set-ups</t>
  </si>
  <si>
    <t>Product 3</t>
  </si>
  <si>
    <t>Windscreens (only when needed because of gauge dimensions, see Annex 4 requirement 58)</t>
  </si>
  <si>
    <t>Yes</t>
  </si>
  <si>
    <t>Ja</t>
  </si>
  <si>
    <t>Product 4</t>
  </si>
  <si>
    <t>Field calibrators when applicable</t>
  </si>
  <si>
    <t>Product 5</t>
  </si>
  <si>
    <t>Hoeveel traningen zijn er nodig  voor een goede verdeling binnen de teams:</t>
  </si>
  <si>
    <t>Verwijzing voor traningen naar wensen en eisen document</t>
  </si>
  <si>
    <t>Annex :</t>
  </si>
  <si>
    <t>section :</t>
  </si>
  <si>
    <t>Onderhoud op een AWS?</t>
  </si>
  <si>
    <t>Onderhoud op een Luchthaven?</t>
  </si>
  <si>
    <t>Onderhoud op een Noordzee platform?</t>
  </si>
  <si>
    <t>Aantal onderhoudsmomenten op een AWS lokatie per sensor per jaar</t>
  </si>
  <si>
    <t>Aantal onderhoudsmomenten op een luchthaven lokatie per sensor per jaar</t>
  </si>
  <si>
    <t>Aantal onderhoudsmomenten op een Noordzee platform lokatie per sensor per jaar</t>
  </si>
  <si>
    <t>Uur kosten KNMI personeel</t>
  </si>
  <si>
    <t>Onderhoud per sensor per meetlocatie op een AWS in uren:</t>
  </si>
  <si>
    <t>Onderhoud per sensor per meetlocatie op een Luchthaven in uren:</t>
  </si>
  <si>
    <t>Onderhoud per sensor per meetlocatie op een Noordzee Platform in uren:</t>
  </si>
  <si>
    <t>Levering periode van sensoren</t>
  </si>
  <si>
    <t># sensors AWS</t>
  </si>
  <si>
    <t># sensors Spare</t>
  </si>
  <si>
    <t>Jaar 1</t>
  </si>
  <si>
    <t>#Waarden wordt ook gebruikt in 3de lijns onderhoud</t>
  </si>
  <si>
    <t>Jaar 2</t>
  </si>
  <si>
    <t>Jaar 3</t>
  </si>
  <si>
    <t>Jaar 4</t>
  </si>
  <si>
    <t>Jaar 5</t>
  </si>
  <si>
    <t>Calibratie periode per sensor in jaren</t>
  </si>
  <si>
    <t>Verwijzing voor calibratie naar wensen en eisen document</t>
  </si>
  <si>
    <t>Regel :</t>
  </si>
  <si>
    <t>Verwijzing voor MTBF naar wensen en eisen document</t>
  </si>
  <si>
    <t>x</t>
  </si>
  <si>
    <t>Aantal uren wat besteed word aan onderhoud tbv kalibratie van begin tot eind</t>
  </si>
  <si>
    <t>Aantaal uren dat nodig is voor correctief onderhoud:</t>
  </si>
  <si>
    <t>Onderhoud</t>
  </si>
  <si>
    <t>Reistijd</t>
  </si>
  <si>
    <t>Minimale MTBF</t>
  </si>
  <si>
    <t>jaar</t>
  </si>
  <si>
    <t>maanden</t>
  </si>
  <si>
    <t>Maximale MTBF</t>
  </si>
  <si>
    <t xml:space="preserve">Remark: Under warranty from supplier (excluding 3rd line costs), see Draft Agreement </t>
  </si>
  <si>
    <t>Duur contract periode 1</t>
  </si>
  <si>
    <t>Duur contract verlenging periode 2</t>
  </si>
  <si>
    <t>Duur contract verlenging periode 3</t>
  </si>
  <si>
    <t>Duur contract verlenging periode 4</t>
  </si>
  <si>
    <t>Duur contract verlenging periode 5</t>
  </si>
  <si>
    <t>Totale contract is:</t>
  </si>
  <si>
    <t>Maximum TCO bedrag</t>
  </si>
  <si>
    <t>Minium aanbieding zonder TCO</t>
  </si>
  <si>
    <t>Maximum aanbieding zonder TCO</t>
  </si>
  <si>
    <t>TCO/bid</t>
  </si>
  <si>
    <t>Toeligting voor de regels:</t>
  </si>
  <si>
    <t>onderbouwing gegeven sterren in tekst:</t>
  </si>
  <si>
    <t>* There are two options for this choice, case 1: A Precipitation gauge only  2: A Precipitation gauge and an auxiliary device</t>
  </si>
  <si>
    <t>** If the gauge consists of 1 unit and in case of replacement the entire gauge must be returned, the Supplier must indicate how many extra gauges must be taken in stock due to the transit time of transport and repair. When choosing that the gauge consists of several line replaceable units that can be replaced during 2nd line maintenance, the Supplier must indicate the required number of LRUs.</t>
  </si>
  <si>
    <t>*** No other costs than the ones submitted in this form can be charged to KNMI or its partners.</t>
  </si>
  <si>
    <t>**** If a field is not filled in, a red area will appear in column "I" where the error has occurred</t>
  </si>
  <si>
    <t>TN-472117</t>
  </si>
  <si>
    <t>Minium TCO bedrag</t>
  </si>
  <si>
    <t xml:space="preserve">The TCO over 10 years (cell C184, framed in green) is used as the Tender price for comparison. A Tender price below € 420.000,- and/or above € 1.200.000,- will recieve no points and will be rejected.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</si>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</sst>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2" formatCode="_ &quot;€&quot;\ * #,##0_ ;_ &quot;€&quot;\ * \-#,##0_ ;_ &quot;€&quot;\ * &quot;-&quot;_ ;_ @_ "/>
    <numFmt numFmtId="44" formatCode="_ &quot;€&quot;\ * #,##0.00_ ;_ &quot;€&quot;\ * \-#,##0.00_ ;_ &quot;€&quot;\ * &quot;-&quot;??_ ;_ @_ "/>
    <numFmt numFmtId="164" formatCode="#,##0_ ;\-#,##0\ "/>
    <numFmt numFmtId="165" formatCode="0.0"/>
    <numFmt numFmtId="166" formatCode="&quot;€&quot;\ #,##0"/>
    <numFmt numFmtId="167" formatCode="&quot;€&quot;\ #,##0.000;&quot;€&quot;\ \-#,##0.000"/>
  </numFmts>
  <fonts count="57"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24"/>
      <color theme="0"/>
      <name val="Arial"/>
      <family val="2"/>
    </font>
    <font>
      <b/>
      <sz val="14"/>
      <color theme="1"/>
      <name val="Calibri"/>
      <family val="2"/>
      <scheme val="minor"/>
    </font>
    <font>
      <b/>
      <sz val="11"/>
      <color theme="1"/>
      <name val="Calibri"/>
      <family val="2"/>
      <scheme val="minor"/>
    </font>
    <font>
      <b/>
      <sz val="10"/>
      <color theme="1"/>
      <name val="Arial"/>
      <family val="2"/>
    </font>
    <font>
      <sz val="11"/>
      <color rgb="FFFF0000"/>
      <name val="Calibri"/>
      <family val="2"/>
      <scheme val="minor"/>
    </font>
    <font>
      <b/>
      <i/>
      <sz val="10"/>
      <color theme="1"/>
      <name val="Calibri"/>
      <family val="2"/>
      <scheme val="minor"/>
    </font>
    <font>
      <i/>
      <sz val="10"/>
      <color theme="1"/>
      <name val="Calibri"/>
      <family val="2"/>
      <scheme val="minor"/>
    </font>
    <font>
      <sz val="10"/>
      <color rgb="FFFF0000"/>
      <name val="Calibri"/>
      <family val="2"/>
      <scheme val="minor"/>
    </font>
    <font>
      <b/>
      <sz val="11"/>
      <color rgb="FFFF0000"/>
      <name val="Calibri"/>
      <family val="2"/>
      <scheme val="minor"/>
    </font>
    <font>
      <sz val="10"/>
      <color rgb="FFFF0000"/>
      <name val="Calibri"/>
      <family val="2"/>
    </font>
    <font>
      <sz val="10"/>
      <color rgb="FFFF0000"/>
      <name val="Symbol"/>
      <family val="1"/>
      <charset val="2"/>
    </font>
    <font>
      <sz val="10"/>
      <color theme="1"/>
      <name val="Calibri"/>
      <family val="2"/>
    </font>
    <font>
      <sz val="8"/>
      <name val="Calibri"/>
      <family val="2"/>
      <scheme val="minor"/>
    </font>
    <font>
      <b/>
      <sz val="10"/>
      <name val="Calibri"/>
      <family val="2"/>
      <scheme val="minor"/>
    </font>
    <font>
      <i/>
      <sz val="10"/>
      <color rgb="FFFF0000"/>
      <name val="Calibri"/>
      <family val="2"/>
      <scheme val="minor"/>
    </font>
    <font>
      <i/>
      <sz val="10"/>
      <color theme="0" tint="-0.249977111117893"/>
      <name val="Calibri"/>
      <family val="2"/>
      <scheme val="minor"/>
    </font>
    <font>
      <sz val="10"/>
      <color theme="0" tint="-0.499984740745262"/>
      <name val="Calibri"/>
      <family val="2"/>
      <scheme val="minor"/>
    </font>
    <font>
      <i/>
      <sz val="10"/>
      <name val="Calibri"/>
      <family val="2"/>
      <scheme val="minor"/>
    </font>
    <font>
      <sz val="10"/>
      <name val="Calibri"/>
      <family val="2"/>
      <scheme val="minor"/>
    </font>
    <font>
      <i/>
      <sz val="10"/>
      <color theme="0" tint="-0.499984740745262"/>
      <name val="Calibri"/>
      <family val="2"/>
      <scheme val="minor"/>
    </font>
    <font>
      <b/>
      <i/>
      <sz val="10"/>
      <color theme="0" tint="-0.499984740745262"/>
      <name val="Calibri"/>
      <family val="2"/>
      <scheme val="minor"/>
    </font>
    <font>
      <b/>
      <sz val="10"/>
      <color theme="0" tint="-0.499984740745262"/>
      <name val="Calibri"/>
      <family val="2"/>
      <scheme val="minor"/>
    </font>
    <font>
      <sz val="11"/>
      <name val="Calibri"/>
      <family val="2"/>
      <scheme val="minor"/>
    </font>
    <font>
      <b/>
      <sz val="10"/>
      <color rgb="FFFF0000"/>
      <name val="Calibri"/>
      <family val="2"/>
      <scheme val="minor"/>
    </font>
    <font>
      <b/>
      <i/>
      <sz val="10"/>
      <color rgb="FFFF0000"/>
      <name val="Calibri"/>
      <family val="2"/>
      <scheme val="minor"/>
    </font>
    <font>
      <sz val="11"/>
      <color theme="0" tint="-0.14999847407452621"/>
      <name val="Calibri"/>
      <family val="2"/>
      <scheme val="minor"/>
    </font>
    <font>
      <b/>
      <sz val="10"/>
      <color theme="0"/>
      <name val="Calibri"/>
      <family val="2"/>
      <scheme val="minor"/>
    </font>
    <font>
      <sz val="10"/>
      <color theme="0"/>
      <name val="Calibri"/>
      <family val="2"/>
      <scheme val="minor"/>
    </font>
    <font>
      <b/>
      <sz val="10"/>
      <color theme="0" tint="-0.14999847407452621"/>
      <name val="Calibri"/>
      <family val="2"/>
      <scheme val="minor"/>
    </font>
    <font>
      <b/>
      <i/>
      <sz val="10"/>
      <name val="Calibri"/>
      <family val="2"/>
      <scheme val="minor"/>
    </font>
    <font>
      <b/>
      <sz val="24"/>
      <name val="Arial"/>
      <family val="2"/>
    </font>
    <font>
      <b/>
      <sz val="10"/>
      <name val="Arial"/>
      <family val="2"/>
    </font>
    <font>
      <b/>
      <sz val="10"/>
      <name val="Calibri"/>
      <family val="2"/>
    </font>
    <font>
      <b/>
      <sz val="14"/>
      <name val="Calibri"/>
      <family val="2"/>
      <scheme val="minor"/>
    </font>
    <font>
      <b/>
      <sz val="12"/>
      <name val="Calibri"/>
      <family val="2"/>
      <scheme val="minor"/>
    </font>
    <font>
      <b/>
      <sz val="11"/>
      <name val="Calibri"/>
      <family val="2"/>
      <scheme val="minor"/>
    </font>
    <font>
      <i/>
      <sz val="10"/>
      <color theme="0" tint="-4.9989318521683403E-2"/>
      <name val="Calibri"/>
      <family val="2"/>
      <scheme val="minor"/>
    </font>
    <font>
      <sz val="10"/>
      <color theme="0" tint="-4.9989318521683403E-2"/>
      <name val="Calibri"/>
      <family val="2"/>
      <scheme val="minor"/>
    </font>
    <font>
      <i/>
      <sz val="10"/>
      <color theme="7" tint="0.79998168889431442"/>
      <name val="Calibri"/>
      <family val="2"/>
      <scheme val="minor"/>
    </font>
    <font>
      <sz val="10"/>
      <color theme="7" tint="0.79998168889431442"/>
      <name val="Calibri"/>
      <family val="2"/>
      <scheme val="minor"/>
    </font>
    <font>
      <sz val="11"/>
      <color theme="0"/>
      <name val="Calibri"/>
      <family val="2"/>
      <scheme val="minor"/>
    </font>
    <font>
      <i/>
      <sz val="10"/>
      <color theme="0" tint="-0.14999847407452621"/>
      <name val="Calibri"/>
      <family val="2"/>
      <scheme val="minor"/>
    </font>
    <font>
      <i/>
      <sz val="10"/>
      <color theme="0"/>
      <name val="Calibri"/>
      <family val="2"/>
      <scheme val="minor"/>
    </font>
    <font>
      <b/>
      <i/>
      <sz val="10"/>
      <color theme="0"/>
      <name val="Calibri"/>
      <family val="2"/>
      <scheme val="minor"/>
    </font>
    <font>
      <b/>
      <i/>
      <sz val="10"/>
      <color theme="0" tint="-4.9989318521683403E-2"/>
      <name val="Calibri"/>
      <family val="2"/>
      <scheme val="minor"/>
    </font>
    <font>
      <sz val="10"/>
      <color rgb="FFFF0000"/>
      <name val="Calibri Light"/>
      <family val="2"/>
      <scheme val="major"/>
    </font>
    <font>
      <b/>
      <sz val="14"/>
      <color theme="0" tint="-0.14999847407452621"/>
      <name val="Calibri"/>
      <family val="2"/>
      <scheme val="minor"/>
    </font>
    <font>
      <b/>
      <sz val="10"/>
      <color theme="0" tint="-4.9989318521683403E-2"/>
      <name val="Calibri"/>
      <family val="2"/>
      <scheme val="minor"/>
    </font>
    <font>
      <b/>
      <sz val="16"/>
      <name val="Calibri"/>
      <family val="2"/>
      <scheme val="minor"/>
    </font>
    <font>
      <sz val="9.6"/>
      <color rgb="FF0D0D0D"/>
      <name val="Segoe UI"/>
      <family val="2"/>
    </font>
    <font>
      <b/>
      <sz val="9.6"/>
      <color rgb="FF0D0D0D"/>
      <name val="Segoe UI"/>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3"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378">
    <xf numFmtId="0" fontId="0" fillId="0" borderId="0" xfId="0"/>
    <xf numFmtId="0" fontId="8" fillId="0" borderId="0" xfId="0" applyFont="1"/>
    <xf numFmtId="44" fontId="3" fillId="5" borderId="1" xfId="0" applyNumberFormat="1" applyFont="1" applyFill="1" applyBorder="1" applyAlignment="1" applyProtection="1">
      <alignment horizontal="center" vertical="center"/>
      <protection locked="0"/>
    </xf>
    <xf numFmtId="0" fontId="0" fillId="0" borderId="0" xfId="0" applyAlignment="1">
      <alignment wrapText="1"/>
    </xf>
    <xf numFmtId="0" fontId="0" fillId="0" borderId="0" xfId="0" applyAlignment="1">
      <alignment horizontal="center" wrapText="1"/>
    </xf>
    <xf numFmtId="0" fontId="0" fillId="3" borderId="0" xfId="0" applyFill="1"/>
    <xf numFmtId="0" fontId="0" fillId="3" borderId="0" xfId="0" applyFill="1" applyAlignment="1">
      <alignment horizontal="center" vertical="center"/>
    </xf>
    <xf numFmtId="0" fontId="0" fillId="3" borderId="0" xfId="0" applyFill="1" applyAlignment="1">
      <alignment vertical="center"/>
    </xf>
    <xf numFmtId="44" fontId="41" fillId="8" borderId="1" xfId="0" applyNumberFormat="1" applyFont="1" applyFill="1" applyBorder="1" applyAlignment="1" applyProtection="1">
      <alignment horizontal="center" vertical="center"/>
      <protection locked="0"/>
    </xf>
    <xf numFmtId="0" fontId="42" fillId="8" borderId="1" xfId="0" applyFont="1" applyFill="1" applyBorder="1" applyAlignment="1" applyProtection="1">
      <alignment horizontal="center" vertical="center"/>
      <protection locked="0"/>
    </xf>
    <xf numFmtId="44" fontId="43" fillId="8" borderId="1" xfId="0" applyNumberFormat="1" applyFont="1" applyFill="1" applyBorder="1" applyAlignment="1" applyProtection="1">
      <alignment horizontal="center" vertical="center"/>
      <protection locked="0"/>
    </xf>
    <xf numFmtId="44" fontId="31" fillId="6" borderId="1" xfId="1" applyFont="1" applyFill="1" applyBorder="1" applyAlignment="1">
      <alignment horizontal="center" vertical="center"/>
    </xf>
    <xf numFmtId="44" fontId="41" fillId="6" borderId="1" xfId="1" applyFont="1" applyFill="1" applyBorder="1" applyAlignment="1">
      <alignment horizontal="center" vertical="center"/>
    </xf>
    <xf numFmtId="44" fontId="31" fillId="0" borderId="1" xfId="0" applyNumberFormat="1" applyFont="1" applyBorder="1" applyAlignment="1" applyProtection="1">
      <alignment horizontal="center" vertical="center"/>
      <protection locked="0"/>
    </xf>
    <xf numFmtId="44" fontId="30" fillId="0" borderId="1" xfId="1" applyFont="1" applyBorder="1" applyAlignment="1">
      <alignment horizontal="center" vertical="center"/>
    </xf>
    <xf numFmtId="0" fontId="10" fillId="0" borderId="0" xfId="0" applyFont="1"/>
    <xf numFmtId="0" fontId="21" fillId="0" borderId="2" xfId="0" applyFont="1" applyBorder="1"/>
    <xf numFmtId="0" fontId="22" fillId="5" borderId="5" xfId="0" applyFont="1" applyFill="1" applyBorder="1" applyAlignment="1" applyProtection="1">
      <alignment horizontal="center" vertical="center"/>
      <protection locked="0"/>
    </xf>
    <xf numFmtId="44" fontId="31" fillId="3" borderId="1" xfId="0" applyNumberFormat="1" applyFont="1" applyFill="1" applyBorder="1" applyAlignment="1" applyProtection="1">
      <alignment horizontal="center" vertical="center"/>
      <protection locked="0"/>
    </xf>
    <xf numFmtId="0" fontId="51" fillId="6" borderId="3" xfId="0" applyFont="1" applyFill="1" applyBorder="1" applyAlignment="1" applyProtection="1">
      <alignment horizontal="center" vertical="center"/>
      <protection locked="0"/>
    </xf>
    <xf numFmtId="44" fontId="31" fillId="0" borderId="1" xfId="1" applyFont="1" applyBorder="1" applyAlignment="1">
      <alignment horizontal="left"/>
    </xf>
    <xf numFmtId="0" fontId="0" fillId="0" borderId="11" xfId="0" applyBorder="1"/>
    <xf numFmtId="0" fontId="0" fillId="0" borderId="5" xfId="0" applyBorder="1"/>
    <xf numFmtId="0" fontId="0" fillId="0" borderId="7" xfId="0" applyBorder="1"/>
    <xf numFmtId="0" fontId="0" fillId="2" borderId="10" xfId="0" applyFill="1" applyBorder="1"/>
    <xf numFmtId="0" fontId="8" fillId="0" borderId="0" xfId="0" applyFont="1" applyAlignment="1">
      <alignment horizontal="center"/>
    </xf>
    <xf numFmtId="0" fontId="0" fillId="2" borderId="14" xfId="0" applyFill="1" applyBorder="1"/>
    <xf numFmtId="0" fontId="4" fillId="3" borderId="12" xfId="0" applyFont="1" applyFill="1" applyBorder="1" applyAlignment="1">
      <alignment horizontal="left" vertical="top"/>
    </xf>
    <xf numFmtId="0" fontId="4" fillId="3" borderId="0" xfId="0" applyFont="1" applyFill="1" applyAlignment="1">
      <alignment horizontal="left" vertical="top"/>
    </xf>
    <xf numFmtId="0" fontId="4" fillId="3" borderId="13" xfId="0" applyFont="1" applyFill="1" applyBorder="1" applyAlignment="1">
      <alignment horizontal="left" vertical="top"/>
    </xf>
    <xf numFmtId="0" fontId="7" fillId="3" borderId="11" xfId="0" applyFont="1" applyFill="1" applyBorder="1" applyAlignment="1">
      <alignment vertical="top" wrapText="1"/>
    </xf>
    <xf numFmtId="0" fontId="7" fillId="3" borderId="5" xfId="0" applyFont="1" applyFill="1" applyBorder="1" applyAlignment="1">
      <alignment vertical="top" wrapText="1"/>
    </xf>
    <xf numFmtId="0" fontId="7" fillId="3" borderId="7" xfId="0" applyFont="1" applyFill="1" applyBorder="1" applyAlignment="1">
      <alignment vertical="top" wrapText="1"/>
    </xf>
    <xf numFmtId="0" fontId="35" fillId="3" borderId="12" xfId="0" applyFont="1" applyFill="1" applyBorder="1" applyAlignment="1">
      <alignment vertical="top" wrapText="1"/>
    </xf>
    <xf numFmtId="0" fontId="7" fillId="3" borderId="12" xfId="0" applyFont="1" applyFill="1" applyBorder="1" applyAlignment="1">
      <alignment vertical="top" wrapText="1"/>
    </xf>
    <xf numFmtId="0" fontId="8" fillId="7" borderId="14" xfId="0" applyFont="1" applyFill="1" applyBorder="1"/>
    <xf numFmtId="0" fontId="12" fillId="0" borderId="0" xfId="0" applyFont="1"/>
    <xf numFmtId="0" fontId="12" fillId="0" borderId="0" xfId="0" applyFont="1" applyAlignment="1">
      <alignment horizontal="center"/>
    </xf>
    <xf numFmtId="0" fontId="37" fillId="2" borderId="2" xfId="0" applyFont="1" applyFill="1" applyBorder="1" applyAlignment="1">
      <alignment vertical="top"/>
    </xf>
    <xf numFmtId="0" fontId="5" fillId="2" borderId="3" xfId="0" applyFont="1" applyFill="1" applyBorder="1" applyAlignment="1">
      <alignment vertical="top"/>
    </xf>
    <xf numFmtId="0" fontId="5" fillId="2" borderId="5" xfId="0" applyFont="1" applyFill="1" applyBorder="1" applyAlignment="1">
      <alignment vertical="top"/>
    </xf>
    <xf numFmtId="0" fontId="5" fillId="2" borderId="4" xfId="0" applyFont="1" applyFill="1" applyBorder="1" applyAlignment="1">
      <alignment vertical="top"/>
    </xf>
    <xf numFmtId="0" fontId="50" fillId="2" borderId="3" xfId="0" applyFont="1" applyFill="1" applyBorder="1" applyAlignment="1">
      <alignment vertical="top"/>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left" vertical="top" wrapText="1"/>
    </xf>
    <xf numFmtId="0" fontId="8" fillId="0" borderId="0" xfId="0" applyFont="1" applyAlignment="1">
      <alignment horizontal="center" vertical="center"/>
    </xf>
    <xf numFmtId="0" fontId="40" fillId="6" borderId="2" xfId="0" applyFont="1" applyFill="1" applyBorder="1" applyAlignment="1">
      <alignment horizontal="center" vertical="center"/>
    </xf>
    <xf numFmtId="0" fontId="40" fillId="6" borderId="3" xfId="0" applyFont="1" applyFill="1" applyBorder="1" applyAlignment="1">
      <alignment horizontal="center" vertical="center"/>
    </xf>
    <xf numFmtId="0" fontId="40" fillId="6" borderId="4" xfId="0" applyFont="1" applyFill="1" applyBorder="1" applyAlignment="1">
      <alignment horizontal="center" vertical="center"/>
    </xf>
    <xf numFmtId="0" fontId="13" fillId="0" borderId="0" xfId="0" applyFont="1" applyAlignment="1">
      <alignment horizontal="center" vertical="center"/>
    </xf>
    <xf numFmtId="0" fontId="19" fillId="6" borderId="4" xfId="0" applyFont="1" applyFill="1" applyBorder="1" applyAlignment="1">
      <alignment horizontal="center" vertical="center"/>
    </xf>
    <xf numFmtId="0" fontId="31" fillId="0" borderId="2" xfId="0" applyFont="1" applyBorder="1" applyAlignment="1">
      <alignment horizontal="left"/>
    </xf>
    <xf numFmtId="49" fontId="15" fillId="3" borderId="1" xfId="1" applyNumberFormat="1" applyFont="1" applyFill="1" applyBorder="1" applyAlignment="1">
      <alignment horizontal="left" vertical="top" wrapText="1"/>
    </xf>
    <xf numFmtId="44" fontId="3" fillId="3" borderId="1" xfId="1" applyFont="1" applyFill="1" applyBorder="1" applyAlignment="1">
      <alignment horizontal="center"/>
    </xf>
    <xf numFmtId="0" fontId="14" fillId="0" borderId="0" xfId="0" applyFont="1" applyAlignment="1">
      <alignment horizontal="center" vertical="center"/>
    </xf>
    <xf numFmtId="0" fontId="2" fillId="2" borderId="3" xfId="0" applyFont="1" applyFill="1" applyBorder="1" applyAlignment="1">
      <alignment horizontal="center" vertical="center" wrapText="1"/>
    </xf>
    <xf numFmtId="0" fontId="2" fillId="2" borderId="2" xfId="0" applyFont="1" applyFill="1" applyBorder="1" applyAlignment="1">
      <alignment vertical="top" wrapText="1"/>
    </xf>
    <xf numFmtId="0" fontId="46" fillId="0" borderId="4" xfId="0" applyFont="1" applyBorder="1" applyAlignment="1">
      <alignment horizontal="left"/>
    </xf>
    <xf numFmtId="0" fontId="44" fillId="0" borderId="1" xfId="0" applyFont="1" applyBorder="1" applyAlignment="1">
      <alignment horizontal="center" vertical="center"/>
    </xf>
    <xf numFmtId="0" fontId="31" fillId="3" borderId="3" xfId="0" applyFont="1" applyFill="1" applyBorder="1" applyAlignment="1">
      <alignment horizontal="center" vertical="center"/>
    </xf>
    <xf numFmtId="0" fontId="30" fillId="0" borderId="2" xfId="0" applyFont="1" applyBorder="1" applyAlignment="1">
      <alignment horizontal="center" vertical="center"/>
    </xf>
    <xf numFmtId="44" fontId="31" fillId="3" borderId="1" xfId="0" applyNumberFormat="1" applyFont="1" applyFill="1" applyBorder="1" applyAlignment="1">
      <alignment horizontal="center" vertical="center"/>
    </xf>
    <xf numFmtId="44" fontId="30" fillId="0" borderId="1" xfId="0" applyNumberFormat="1" applyFont="1" applyBorder="1" applyAlignment="1">
      <alignment horizontal="left" vertical="center"/>
    </xf>
    <xf numFmtId="0" fontId="2" fillId="0" borderId="1" xfId="0" applyFont="1" applyBorder="1" applyAlignment="1">
      <alignment horizontal="left"/>
    </xf>
    <xf numFmtId="0" fontId="10" fillId="0" borderId="2" xfId="0" applyFont="1" applyBorder="1" applyAlignment="1">
      <alignment horizontal="left"/>
    </xf>
    <xf numFmtId="0" fontId="10" fillId="0" borderId="4" xfId="0" applyFont="1" applyBorder="1" applyAlignment="1">
      <alignment horizontal="left"/>
    </xf>
    <xf numFmtId="0" fontId="25" fillId="0" borderId="2" xfId="0" applyFont="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44" fontId="2" fillId="0" borderId="1" xfId="0" applyNumberFormat="1" applyFont="1" applyBorder="1" applyAlignment="1">
      <alignment horizontal="left" vertical="center"/>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2" borderId="1" xfId="0" applyFont="1" applyFill="1" applyBorder="1" applyAlignment="1">
      <alignment horizontal="left" vertical="top" wrapText="1"/>
    </xf>
    <xf numFmtId="44" fontId="17" fillId="2" borderId="1" xfId="0" applyNumberFormat="1" applyFont="1" applyFill="1" applyBorder="1" applyAlignment="1">
      <alignment horizontal="left"/>
    </xf>
    <xf numFmtId="0" fontId="25" fillId="2" borderId="1" xfId="0" applyFont="1" applyFill="1" applyBorder="1" applyAlignment="1">
      <alignment horizontal="left"/>
    </xf>
    <xf numFmtId="44" fontId="2" fillId="0" borderId="1" xfId="0" applyNumberFormat="1" applyFont="1" applyBorder="1" applyAlignment="1">
      <alignment horizontal="center" vertical="center"/>
    </xf>
    <xf numFmtId="0" fontId="22" fillId="0" borderId="1" xfId="0" applyFont="1" applyBorder="1" applyAlignment="1">
      <alignment horizontal="left" wrapText="1"/>
    </xf>
    <xf numFmtId="44" fontId="2" fillId="0" borderId="1" xfId="0" applyNumberFormat="1" applyFont="1" applyBorder="1" applyAlignment="1">
      <alignment horizontal="center"/>
    </xf>
    <xf numFmtId="0" fontId="22" fillId="3" borderId="2" xfId="0" applyFont="1" applyFill="1" applyBorder="1"/>
    <xf numFmtId="0" fontId="22" fillId="3" borderId="4" xfId="0" applyFont="1" applyFill="1" applyBorder="1"/>
    <xf numFmtId="0" fontId="32" fillId="2" borderId="1" xfId="0" applyFont="1" applyFill="1" applyBorder="1" applyAlignment="1">
      <alignment horizontal="left" vertical="top" wrapText="1"/>
    </xf>
    <xf numFmtId="0" fontId="18" fillId="0" borderId="3" xfId="0" applyFont="1" applyBorder="1" applyAlignment="1">
      <alignment horizontal="left"/>
    </xf>
    <xf numFmtId="0" fontId="21" fillId="0" borderId="4" xfId="0" applyFont="1" applyBorder="1" applyAlignment="1">
      <alignment horizontal="left"/>
    </xf>
    <xf numFmtId="0" fontId="32" fillId="2" borderId="2"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 xfId="0" applyFont="1" applyFill="1" applyBorder="1" applyAlignment="1">
      <alignment horizontal="center" vertical="top" wrapText="1"/>
    </xf>
    <xf numFmtId="0" fontId="32" fillId="2" borderId="2"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4" xfId="0" applyFont="1" applyFill="1" applyBorder="1" applyAlignment="1">
      <alignment horizontal="center" vertical="top" wrapText="1"/>
    </xf>
    <xf numFmtId="164" fontId="31" fillId="3" borderId="1" xfId="0" applyNumberFormat="1" applyFont="1" applyFill="1" applyBorder="1" applyAlignment="1">
      <alignment horizontal="center" vertical="center"/>
    </xf>
    <xf numFmtId="44" fontId="2" fillId="0" borderId="1" xfId="0" applyNumberFormat="1" applyFont="1" applyBorder="1" applyAlignment="1">
      <alignment horizontal="left"/>
    </xf>
    <xf numFmtId="0" fontId="49" fillId="0" borderId="0" xfId="0" applyFont="1" applyAlignment="1">
      <alignment horizontal="center" vertical="center"/>
    </xf>
    <xf numFmtId="44" fontId="30" fillId="0" borderId="1" xfId="0" applyNumberFormat="1" applyFont="1" applyBorder="1" applyAlignment="1">
      <alignment horizontal="left"/>
    </xf>
    <xf numFmtId="0" fontId="2" fillId="2" borderId="1" xfId="0" applyFont="1" applyFill="1" applyBorder="1" applyAlignment="1">
      <alignment horizontal="center" vertical="center" wrapText="1"/>
    </xf>
    <xf numFmtId="0" fontId="22" fillId="3" borderId="11" xfId="0" applyFont="1" applyFill="1" applyBorder="1"/>
    <xf numFmtId="0" fontId="22" fillId="3" borderId="7" xfId="0" applyFont="1" applyFill="1" applyBorder="1"/>
    <xf numFmtId="0" fontId="18" fillId="2" borderId="3" xfId="0" applyFont="1" applyFill="1" applyBorder="1" applyAlignment="1">
      <alignment horizontal="center"/>
    </xf>
    <xf numFmtId="0" fontId="32" fillId="2" borderId="4" xfId="0" applyFont="1" applyFill="1" applyBorder="1" applyAlignment="1">
      <alignment horizontal="left" vertical="top" wrapText="1"/>
    </xf>
    <xf numFmtId="0" fontId="45" fillId="2" borderId="3" xfId="0" applyFont="1" applyFill="1" applyBorder="1" applyAlignment="1">
      <alignment horizont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vertical="top"/>
    </xf>
    <xf numFmtId="0" fontId="25" fillId="2" borderId="3"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164" fontId="20" fillId="3" borderId="1" xfId="0" applyNumberFormat="1" applyFont="1" applyFill="1" applyBorder="1" applyAlignment="1">
      <alignment horizontal="center" vertical="center"/>
    </xf>
    <xf numFmtId="164" fontId="20" fillId="3" borderId="2" xfId="0" applyNumberFormat="1" applyFont="1" applyFill="1" applyBorder="1" applyAlignment="1">
      <alignment horizontal="center" vertical="center"/>
    </xf>
    <xf numFmtId="164" fontId="20" fillId="3" borderId="4" xfId="0" applyNumberFormat="1" applyFont="1" applyFill="1" applyBorder="1" applyAlignment="1">
      <alignment horizontal="center" vertical="center"/>
    </xf>
    <xf numFmtId="44" fontId="3" fillId="3" borderId="1" xfId="0" applyNumberFormat="1" applyFont="1" applyFill="1" applyBorder="1" applyAlignment="1">
      <alignment horizontal="center" vertical="center"/>
    </xf>
    <xf numFmtId="165" fontId="8" fillId="0" borderId="0" xfId="0" applyNumberFormat="1" applyFont="1"/>
    <xf numFmtId="1" fontId="13" fillId="0" borderId="0" xfId="0" applyNumberFormat="1" applyFont="1" applyAlignment="1">
      <alignment horizontal="center" vertical="center"/>
    </xf>
    <xf numFmtId="164" fontId="31" fillId="3" borderId="2" xfId="0" applyNumberFormat="1" applyFont="1" applyFill="1" applyBorder="1" applyAlignment="1">
      <alignment horizontal="center" vertical="center"/>
    </xf>
    <xf numFmtId="164" fontId="31" fillId="3" borderId="4" xfId="0" applyNumberFormat="1" applyFont="1" applyFill="1" applyBorder="1" applyAlignment="1">
      <alignment horizontal="center" vertical="center"/>
    </xf>
    <xf numFmtId="164" fontId="31" fillId="3" borderId="2" xfId="0" applyNumberFormat="1" applyFont="1" applyFill="1" applyBorder="1" applyAlignment="1">
      <alignment horizontal="left" vertical="center"/>
    </xf>
    <xf numFmtId="0" fontId="33" fillId="2" borderId="11" xfId="0" applyFont="1" applyFill="1" applyBorder="1" applyAlignment="1">
      <alignment horizontal="left" vertical="center"/>
    </xf>
    <xf numFmtId="0" fontId="24" fillId="2" borderId="4" xfId="0" applyFont="1" applyFill="1" applyBorder="1" applyAlignment="1">
      <alignment horizontal="center"/>
    </xf>
    <xf numFmtId="0" fontId="0" fillId="2" borderId="0" xfId="0" applyFill="1"/>
    <xf numFmtId="0" fontId="9" fillId="2" borderId="5" xfId="0" applyFont="1" applyFill="1" applyBorder="1" applyAlignment="1">
      <alignment horizontal="left"/>
    </xf>
    <xf numFmtId="0" fontId="9" fillId="2" borderId="5" xfId="0" applyFont="1" applyFill="1" applyBorder="1" applyAlignment="1">
      <alignment horizontal="center"/>
    </xf>
    <xf numFmtId="0" fontId="9" fillId="2" borderId="7" xfId="0" applyFont="1" applyFill="1" applyBorder="1" applyAlignment="1">
      <alignment horizontal="center"/>
    </xf>
    <xf numFmtId="0" fontId="33" fillId="2" borderId="15" xfId="0" applyFont="1" applyFill="1" applyBorder="1" applyAlignment="1">
      <alignment horizontal="center"/>
    </xf>
    <xf numFmtId="0" fontId="9" fillId="2" borderId="1" xfId="0" applyFont="1" applyFill="1" applyBorder="1" applyAlignment="1">
      <alignment horizontal="center"/>
    </xf>
    <xf numFmtId="0" fontId="2" fillId="2" borderId="1" xfId="0" applyFont="1" applyFill="1" applyBorder="1" applyAlignment="1">
      <alignment horizontal="center" vertical="center"/>
    </xf>
    <xf numFmtId="0" fontId="9" fillId="2" borderId="15" xfId="0" applyFont="1" applyFill="1" applyBorder="1" applyAlignment="1">
      <alignment horizontal="center"/>
    </xf>
    <xf numFmtId="0" fontId="41" fillId="0" borderId="2" xfId="0" applyFont="1" applyBorder="1" applyAlignment="1">
      <alignment horizontal="left"/>
    </xf>
    <xf numFmtId="0" fontId="48" fillId="0" borderId="1" xfId="0" applyFont="1" applyBorder="1" applyAlignment="1">
      <alignment horizontal="center"/>
    </xf>
    <xf numFmtId="0" fontId="31" fillId="3" borderId="1" xfId="0" applyFont="1" applyFill="1" applyBorder="1" applyAlignment="1">
      <alignment horizontal="center"/>
    </xf>
    <xf numFmtId="0" fontId="44" fillId="3" borderId="1" xfId="0" applyFont="1" applyFill="1" applyBorder="1" applyAlignment="1">
      <alignment horizontal="center"/>
    </xf>
    <xf numFmtId="0" fontId="47" fillId="0" borderId="1" xfId="0" applyFont="1" applyBorder="1" applyAlignment="1">
      <alignment horizontal="center"/>
    </xf>
    <xf numFmtId="44" fontId="31" fillId="0" borderId="1" xfId="1" applyFont="1" applyBorder="1" applyAlignment="1">
      <alignment horizontal="center"/>
    </xf>
    <xf numFmtId="164" fontId="20" fillId="3" borderId="3" xfId="0" applyNumberFormat="1" applyFont="1" applyFill="1" applyBorder="1" applyAlignment="1">
      <alignment horizontal="center" vertical="center"/>
    </xf>
    <xf numFmtId="164" fontId="30" fillId="3" borderId="4" xfId="0" applyNumberFormat="1" applyFont="1" applyFill="1" applyBorder="1" applyAlignment="1">
      <alignment horizontal="center" vertical="center"/>
    </xf>
    <xf numFmtId="44" fontId="22" fillId="3" borderId="1" xfId="1" applyFont="1" applyFill="1" applyBorder="1" applyAlignment="1">
      <alignment horizontal="left"/>
    </xf>
    <xf numFmtId="0" fontId="32" fillId="2" borderId="10"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0" fillId="7" borderId="2" xfId="0" applyFont="1" applyFill="1" applyBorder="1" applyAlignment="1">
      <alignment vertical="center" wrapText="1"/>
    </xf>
    <xf numFmtId="0" fontId="22" fillId="0" borderId="2" xfId="0" applyFont="1" applyBorder="1"/>
    <xf numFmtId="44" fontId="22" fillId="0" borderId="1" xfId="0" applyNumberFormat="1" applyFont="1" applyBorder="1"/>
    <xf numFmtId="44" fontId="44" fillId="0" borderId="1" xfId="0" applyNumberFormat="1" applyFont="1" applyBorder="1"/>
    <xf numFmtId="44" fontId="44" fillId="0" borderId="2" xfId="0" applyNumberFormat="1" applyFont="1" applyBorder="1"/>
    <xf numFmtId="44" fontId="44" fillId="0" borderId="31" xfId="0" applyNumberFormat="1" applyFont="1" applyBorder="1"/>
    <xf numFmtId="44" fontId="44" fillId="0" borderId="30" xfId="0" applyNumberFormat="1" applyFont="1" applyBorder="1"/>
    <xf numFmtId="0" fontId="22" fillId="0" borderId="6" xfId="0" applyFont="1" applyBorder="1"/>
    <xf numFmtId="0" fontId="22" fillId="0" borderId="9" xfId="0" applyFont="1" applyBorder="1" applyAlignment="1">
      <alignment wrapText="1"/>
    </xf>
    <xf numFmtId="0" fontId="6" fillId="3" borderId="12" xfId="0" applyFont="1" applyFill="1" applyBorder="1" applyAlignment="1">
      <alignment vertical="top" wrapText="1"/>
    </xf>
    <xf numFmtId="0" fontId="6" fillId="3" borderId="9" xfId="0" applyFont="1" applyFill="1" applyBorder="1" applyAlignment="1">
      <alignment vertical="top" wrapText="1"/>
    </xf>
    <xf numFmtId="0" fontId="29" fillId="2" borderId="14" xfId="0" applyFont="1" applyFill="1" applyBorder="1"/>
    <xf numFmtId="0" fontId="26" fillId="0" borderId="0" xfId="0" applyFont="1"/>
    <xf numFmtId="0" fontId="31" fillId="3" borderId="3" xfId="0" applyFont="1" applyFill="1" applyBorder="1" applyAlignment="1" applyProtection="1">
      <alignment horizontal="center" vertical="center"/>
      <protection locked="0"/>
    </xf>
    <xf numFmtId="44" fontId="22" fillId="0" borderId="10" xfId="0" applyNumberFormat="1" applyFont="1" applyBorder="1"/>
    <xf numFmtId="44" fontId="44" fillId="0" borderId="10" xfId="0" applyNumberFormat="1" applyFont="1" applyBorder="1"/>
    <xf numFmtId="44" fontId="44" fillId="0" borderId="11" xfId="0" applyNumberFormat="1" applyFont="1" applyBorder="1"/>
    <xf numFmtId="44" fontId="44" fillId="0" borderId="33" xfId="0" applyNumberFormat="1" applyFont="1" applyBorder="1"/>
    <xf numFmtId="44" fontId="22" fillId="0" borderId="30" xfId="0" applyNumberFormat="1" applyFont="1" applyBorder="1"/>
    <xf numFmtId="0" fontId="44" fillId="0" borderId="0" xfId="0" applyFont="1"/>
    <xf numFmtId="7" fontId="0" fillId="9" borderId="36" xfId="1" applyNumberFormat="1" applyFont="1" applyFill="1" applyBorder="1" applyProtection="1">
      <protection locked="0"/>
    </xf>
    <xf numFmtId="7" fontId="0" fillId="9" borderId="38" xfId="1" applyNumberFormat="1" applyFont="1" applyFill="1" applyBorder="1" applyProtection="1">
      <protection locked="0"/>
    </xf>
    <xf numFmtId="0" fontId="0" fillId="9" borderId="25" xfId="0" applyFill="1" applyBorder="1" applyAlignment="1" applyProtection="1">
      <alignment horizontal="center" vertical="center"/>
      <protection locked="0"/>
    </xf>
    <xf numFmtId="0" fontId="21" fillId="3" borderId="25" xfId="0" applyFont="1" applyFill="1" applyBorder="1"/>
    <xf numFmtId="0" fontId="0" fillId="9" borderId="16" xfId="0" applyFill="1" applyBorder="1" applyProtection="1">
      <protection locked="0"/>
    </xf>
    <xf numFmtId="0" fontId="0" fillId="9" borderId="25" xfId="0" applyFill="1" applyBorder="1" applyProtection="1">
      <protection locked="0"/>
    </xf>
    <xf numFmtId="0" fontId="0" fillId="9" borderId="17" xfId="0" applyFill="1" applyBorder="1" applyProtection="1">
      <protection locked="0"/>
    </xf>
    <xf numFmtId="0" fontId="21" fillId="3" borderId="20" xfId="0" applyFont="1" applyFill="1" applyBorder="1"/>
    <xf numFmtId="0" fontId="21" fillId="3" borderId="21" xfId="0" applyFont="1" applyFill="1" applyBorder="1"/>
    <xf numFmtId="0" fontId="0" fillId="9" borderId="26" xfId="0" applyFill="1" applyBorder="1" applyProtection="1">
      <protection locked="0"/>
    </xf>
    <xf numFmtId="0" fontId="0" fillId="9" borderId="20" xfId="0" applyFill="1" applyBorder="1" applyProtection="1">
      <protection locked="0"/>
    </xf>
    <xf numFmtId="0" fontId="0" fillId="9" borderId="27" xfId="0" applyFill="1" applyBorder="1" applyProtection="1">
      <protection locked="0"/>
    </xf>
    <xf numFmtId="0" fontId="0" fillId="9" borderId="28" xfId="0" applyFill="1" applyBorder="1" applyProtection="1">
      <protection locked="0"/>
    </xf>
    <xf numFmtId="0" fontId="0" fillId="9" borderId="21" xfId="0" applyFill="1" applyBorder="1" applyProtection="1">
      <protection locked="0"/>
    </xf>
    <xf numFmtId="0" fontId="0" fillId="9" borderId="29" xfId="0" applyFill="1" applyBorder="1" applyProtection="1">
      <protection locked="0"/>
    </xf>
    <xf numFmtId="44" fontId="0" fillId="9" borderId="25" xfId="1" applyFont="1" applyFill="1" applyBorder="1" applyAlignment="1" applyProtection="1">
      <alignment horizontal="center" vertical="center"/>
      <protection locked="0"/>
    </xf>
    <xf numFmtId="0" fontId="0" fillId="9" borderId="25" xfId="0" applyFill="1" applyBorder="1" applyAlignment="1" applyProtection="1">
      <alignment horizontal="center"/>
      <protection locked="0"/>
    </xf>
    <xf numFmtId="0" fontId="3" fillId="9" borderId="25" xfId="0" applyFont="1" applyFill="1" applyBorder="1" applyProtection="1">
      <protection locked="0"/>
    </xf>
    <xf numFmtId="0" fontId="0" fillId="9" borderId="20" xfId="0" applyFill="1" applyBorder="1" applyAlignment="1" applyProtection="1">
      <alignment wrapText="1"/>
      <protection locked="0"/>
    </xf>
    <xf numFmtId="0" fontId="0" fillId="9" borderId="21" xfId="0" applyFill="1" applyBorder="1" applyAlignment="1" applyProtection="1">
      <alignment wrapText="1"/>
      <protection locked="0"/>
    </xf>
    <xf numFmtId="0" fontId="0" fillId="9" borderId="23" xfId="0" applyFill="1" applyBorder="1" applyProtection="1">
      <protection locked="0"/>
    </xf>
    <xf numFmtId="0" fontId="31" fillId="6" borderId="2" xfId="0" applyFont="1" applyFill="1" applyBorder="1" applyAlignment="1">
      <alignment horizontal="center" vertical="center"/>
    </xf>
    <xf numFmtId="44" fontId="3" fillId="3" borderId="4" xfId="1" applyFont="1" applyFill="1" applyBorder="1" applyAlignment="1">
      <alignment horizontal="center"/>
    </xf>
    <xf numFmtId="0" fontId="22" fillId="0" borderId="3" xfId="0" applyFont="1" applyBorder="1"/>
    <xf numFmtId="0" fontId="0" fillId="0" borderId="1" xfId="0" applyBorder="1" applyAlignment="1">
      <alignment wrapText="1"/>
    </xf>
    <xf numFmtId="0" fontId="22" fillId="0" borderId="0" xfId="0" applyFont="1"/>
    <xf numFmtId="0" fontId="18" fillId="6" borderId="0" xfId="0" applyFont="1" applyFill="1" applyAlignment="1">
      <alignment horizontal="center" vertical="center"/>
    </xf>
    <xf numFmtId="44" fontId="30" fillId="3" borderId="1" xfId="0" applyNumberFormat="1" applyFont="1" applyFill="1" applyBorder="1" applyAlignment="1">
      <alignment horizontal="left"/>
    </xf>
    <xf numFmtId="44" fontId="8" fillId="0" borderId="0" xfId="0" applyNumberFormat="1" applyFont="1"/>
    <xf numFmtId="44" fontId="8" fillId="0" borderId="29" xfId="0" applyNumberFormat="1" applyFont="1" applyBorder="1"/>
    <xf numFmtId="0" fontId="8" fillId="0" borderId="29" xfId="0" applyFont="1" applyBorder="1"/>
    <xf numFmtId="166" fontId="8" fillId="0" borderId="0" xfId="0" applyNumberFormat="1" applyFont="1"/>
    <xf numFmtId="42" fontId="8" fillId="0" borderId="29" xfId="0" applyNumberFormat="1" applyFont="1" applyBorder="1"/>
    <xf numFmtId="42" fontId="0" fillId="0" borderId="29" xfId="0" applyNumberFormat="1" applyBorder="1"/>
    <xf numFmtId="42" fontId="8" fillId="0" borderId="0" xfId="0" applyNumberFormat="1" applyFont="1"/>
    <xf numFmtId="0" fontId="43" fillId="8" borderId="5" xfId="0" applyFont="1" applyFill="1" applyBorder="1" applyAlignment="1" applyProtection="1">
      <alignment horizontal="center" vertical="center"/>
      <protection locked="0"/>
    </xf>
    <xf numFmtId="0" fontId="43" fillId="8" borderId="3" xfId="0" applyFont="1" applyFill="1" applyBorder="1" applyAlignment="1" applyProtection="1">
      <alignment horizontal="center" vertical="center"/>
      <protection locked="0"/>
    </xf>
    <xf numFmtId="0" fontId="0" fillId="9" borderId="25" xfId="0" applyFill="1" applyBorder="1" applyAlignment="1" applyProtection="1">
      <alignment wrapText="1"/>
      <protection locked="0"/>
    </xf>
    <xf numFmtId="0" fontId="3" fillId="0" borderId="15" xfId="0" applyFont="1" applyBorder="1" applyAlignment="1">
      <alignment vertical="top" wrapText="1"/>
    </xf>
    <xf numFmtId="0" fontId="53" fillId="11" borderId="40" xfId="0" applyFont="1" applyFill="1" applyBorder="1" applyAlignment="1">
      <alignment horizontal="center" wrapText="1"/>
    </xf>
    <xf numFmtId="0" fontId="53" fillId="11" borderId="42" xfId="0" applyFont="1" applyFill="1" applyBorder="1" applyAlignment="1">
      <alignment vertical="center" wrapText="1"/>
    </xf>
    <xf numFmtId="0" fontId="0" fillId="11" borderId="0" xfId="0" applyFill="1"/>
    <xf numFmtId="0" fontId="0" fillId="11" borderId="0" xfId="0" applyFill="1" applyAlignment="1">
      <alignment wrapText="1"/>
    </xf>
    <xf numFmtId="0" fontId="53" fillId="11" borderId="39" xfId="0" applyFont="1" applyFill="1" applyBorder="1" applyAlignment="1">
      <alignment horizontal="center" wrapText="1"/>
    </xf>
    <xf numFmtId="0" fontId="53" fillId="11" borderId="41" xfId="0" applyFont="1" applyFill="1" applyBorder="1" applyAlignment="1">
      <alignment vertical="center" wrapText="1"/>
    </xf>
    <xf numFmtId="0" fontId="53" fillId="9" borderId="41" xfId="0" applyFont="1" applyFill="1" applyBorder="1" applyAlignment="1">
      <alignment vertical="center" wrapText="1"/>
    </xf>
    <xf numFmtId="0" fontId="53" fillId="8" borderId="41" xfId="0" applyFont="1" applyFill="1" applyBorder="1" applyAlignment="1">
      <alignment vertical="center" wrapText="1"/>
    </xf>
    <xf numFmtId="0" fontId="53" fillId="10" borderId="41" xfId="0" applyFont="1" applyFill="1" applyBorder="1" applyAlignment="1">
      <alignment vertical="center" wrapText="1"/>
    </xf>
    <xf numFmtId="0" fontId="53" fillId="12" borderId="41" xfId="0" applyFont="1" applyFill="1" applyBorder="1" applyAlignment="1">
      <alignment vertical="center" wrapText="1"/>
    </xf>
    <xf numFmtId="0" fontId="53" fillId="13" borderId="41" xfId="0" applyFont="1" applyFill="1" applyBorder="1" applyAlignment="1">
      <alignment vertical="center" wrapText="1"/>
    </xf>
    <xf numFmtId="0" fontId="53" fillId="11" borderId="43" xfId="0" applyFont="1" applyFill="1" applyBorder="1" applyAlignment="1">
      <alignment vertical="center" wrapText="1"/>
    </xf>
    <xf numFmtId="0" fontId="0" fillId="11" borderId="25" xfId="0" applyFill="1" applyBorder="1" applyAlignment="1">
      <alignment wrapText="1"/>
    </xf>
    <xf numFmtId="0" fontId="53" fillId="9" borderId="42" xfId="0" applyFont="1" applyFill="1" applyBorder="1" applyAlignment="1">
      <alignment vertical="center" wrapText="1"/>
    </xf>
    <xf numFmtId="0" fontId="53" fillId="8" borderId="42" xfId="0" applyFont="1" applyFill="1" applyBorder="1" applyAlignment="1">
      <alignment vertical="center" wrapText="1"/>
    </xf>
    <xf numFmtId="0" fontId="53" fillId="10" borderId="42" xfId="0" applyFont="1" applyFill="1" applyBorder="1" applyAlignment="1">
      <alignment vertical="center" wrapText="1"/>
    </xf>
    <xf numFmtId="0" fontId="53" fillId="12" borderId="42" xfId="0" applyFont="1" applyFill="1" applyBorder="1" applyAlignment="1">
      <alignment vertical="center" wrapText="1"/>
    </xf>
    <xf numFmtId="0" fontId="53" fillId="14" borderId="41" xfId="0" applyFont="1" applyFill="1" applyBorder="1" applyAlignment="1">
      <alignment vertical="center" wrapText="1"/>
    </xf>
    <xf numFmtId="0" fontId="53" fillId="14" borderId="42" xfId="0" applyFont="1" applyFill="1" applyBorder="1" applyAlignment="1">
      <alignment vertical="center" wrapText="1"/>
    </xf>
    <xf numFmtId="0" fontId="53" fillId="11" borderId="44" xfId="0" applyFont="1" applyFill="1" applyBorder="1" applyAlignment="1">
      <alignment horizontal="center"/>
    </xf>
    <xf numFmtId="0" fontId="53" fillId="11" borderId="45" xfId="0" applyFont="1" applyFill="1" applyBorder="1" applyAlignment="1">
      <alignment horizontal="center" wrapText="1"/>
    </xf>
    <xf numFmtId="0" fontId="53" fillId="11" borderId="46" xfId="0" applyFont="1" applyFill="1" applyBorder="1" applyAlignment="1">
      <alignment vertical="center"/>
    </xf>
    <xf numFmtId="0" fontId="53" fillId="11" borderId="47" xfId="0" applyFont="1" applyFill="1" applyBorder="1" applyAlignment="1">
      <alignment vertical="center" wrapText="1"/>
    </xf>
    <xf numFmtId="0" fontId="53" fillId="11" borderId="48" xfId="0" applyFont="1" applyFill="1" applyBorder="1" applyAlignment="1">
      <alignment vertical="center"/>
    </xf>
    <xf numFmtId="0" fontId="53" fillId="11" borderId="49" xfId="0" applyFont="1" applyFill="1" applyBorder="1" applyAlignment="1">
      <alignment vertical="center" wrapText="1"/>
    </xf>
    <xf numFmtId="0" fontId="53" fillId="11" borderId="50" xfId="0" applyFont="1" applyFill="1" applyBorder="1" applyAlignment="1">
      <alignment vertical="center"/>
    </xf>
    <xf numFmtId="0" fontId="53" fillId="11" borderId="51" xfId="0" applyFont="1" applyFill="1" applyBorder="1" applyAlignment="1">
      <alignment vertical="center" wrapText="1"/>
    </xf>
    <xf numFmtId="166" fontId="2" fillId="0" borderId="1" xfId="0" applyNumberFormat="1" applyFont="1" applyBorder="1" applyAlignment="1">
      <alignment horizontal="center"/>
    </xf>
    <xf numFmtId="0" fontId="3" fillId="0" borderId="10" xfId="0" applyFont="1" applyBorder="1" applyAlignment="1">
      <alignment vertical="center"/>
    </xf>
    <xf numFmtId="0" fontId="3" fillId="0" borderId="14" xfId="0" applyFont="1" applyBorder="1" applyAlignment="1">
      <alignment vertical="center"/>
    </xf>
    <xf numFmtId="0" fontId="3" fillId="0" borderId="1" xfId="0" applyFont="1" applyBorder="1" applyAlignment="1">
      <alignment horizontal="left"/>
    </xf>
    <xf numFmtId="0" fontId="26" fillId="5" borderId="0" xfId="0" applyFont="1" applyFill="1"/>
    <xf numFmtId="167" fontId="0" fillId="9" borderId="37" xfId="1" applyNumberFormat="1" applyFont="1" applyFill="1" applyBorder="1" applyProtection="1">
      <protection locked="0"/>
    </xf>
    <xf numFmtId="0" fontId="52" fillId="4" borderId="1" xfId="0" applyFont="1" applyFill="1" applyBorder="1" applyAlignment="1">
      <alignment horizontal="left" vertical="top"/>
    </xf>
    <xf numFmtId="0" fontId="31" fillId="0" borderId="2" xfId="0" applyFont="1" applyBorder="1" applyAlignment="1">
      <alignment horizontal="left"/>
    </xf>
    <xf numFmtId="0" fontId="31" fillId="0" borderId="4" xfId="0" applyFont="1" applyBorder="1" applyAlignment="1">
      <alignment horizontal="left"/>
    </xf>
    <xf numFmtId="0" fontId="34" fillId="4" borderId="12" xfId="0" applyFont="1" applyFill="1" applyBorder="1" applyAlignment="1">
      <alignment horizontal="left" vertical="top"/>
    </xf>
    <xf numFmtId="0" fontId="34" fillId="4" borderId="0" xfId="0" applyFont="1" applyFill="1" applyAlignment="1">
      <alignment horizontal="left" vertical="top"/>
    </xf>
    <xf numFmtId="0" fontId="34" fillId="4" borderId="13" xfId="0" applyFont="1" applyFill="1" applyBorder="1" applyAlignment="1">
      <alignment horizontal="left" vertical="top"/>
    </xf>
    <xf numFmtId="0" fontId="40" fillId="6" borderId="2" xfId="0" applyFont="1" applyFill="1" applyBorder="1" applyAlignment="1">
      <alignment horizontal="left" vertical="top" wrapText="1"/>
    </xf>
    <xf numFmtId="0" fontId="40" fillId="6" borderId="4" xfId="0" applyFont="1" applyFill="1" applyBorder="1" applyAlignment="1">
      <alignment horizontal="left" vertical="top" wrapText="1"/>
    </xf>
    <xf numFmtId="0" fontId="26" fillId="3" borderId="0" xfId="0" applyFont="1" applyFill="1" applyAlignment="1">
      <alignment horizontal="left" vertical="top" wrapText="1"/>
    </xf>
    <xf numFmtId="0" fontId="31" fillId="6" borderId="2" xfId="0" applyFont="1" applyFill="1" applyBorder="1" applyAlignment="1">
      <alignment horizontal="left" vertical="top" wrapText="1"/>
    </xf>
    <xf numFmtId="0" fontId="31" fillId="6" borderId="4" xfId="0" applyFont="1" applyFill="1" applyBorder="1" applyAlignment="1">
      <alignment horizontal="left" vertical="top" wrapText="1"/>
    </xf>
    <xf numFmtId="0" fontId="41" fillId="6" borderId="2" xfId="0" applyFont="1" applyFill="1" applyBorder="1" applyAlignment="1">
      <alignment horizontal="left" vertical="top" wrapText="1"/>
    </xf>
    <xf numFmtId="0" fontId="41" fillId="6" borderId="4" xfId="0" applyFont="1" applyFill="1" applyBorder="1" applyAlignment="1">
      <alignment horizontal="left" vertical="top" wrapText="1"/>
    </xf>
    <xf numFmtId="0" fontId="18" fillId="0" borderId="2" xfId="0" applyFont="1" applyBorder="1" applyAlignment="1">
      <alignment horizontal="left" vertical="top"/>
    </xf>
    <xf numFmtId="0" fontId="18" fillId="0" borderId="3" xfId="0" applyFont="1" applyBorder="1" applyAlignment="1">
      <alignment horizontal="left" vertical="top"/>
    </xf>
    <xf numFmtId="0" fontId="18" fillId="0" borderId="4" xfId="0" applyFont="1" applyBorder="1" applyAlignment="1">
      <alignment horizontal="left" vertical="top"/>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39" fillId="0" borderId="12" xfId="0" applyFont="1" applyBorder="1" applyAlignment="1">
      <alignment horizontal="left" vertical="top" wrapText="1"/>
    </xf>
    <xf numFmtId="0" fontId="39" fillId="0" borderId="0" xfId="0" applyFont="1" applyAlignment="1">
      <alignment horizontal="left" vertical="top" wrapText="1"/>
    </xf>
    <xf numFmtId="0" fontId="39" fillId="0" borderId="13" xfId="0" applyFont="1" applyBorder="1" applyAlignment="1">
      <alignment horizontal="left" vertical="top" wrapText="1"/>
    </xf>
    <xf numFmtId="0" fontId="9" fillId="0" borderId="5" xfId="0" applyFont="1" applyBorder="1" applyAlignment="1">
      <alignment horizontal="center"/>
    </xf>
    <xf numFmtId="0" fontId="21" fillId="2" borderId="1" xfId="0" applyFont="1" applyFill="1" applyBorder="1" applyAlignment="1">
      <alignment horizontal="center" vertical="center"/>
    </xf>
    <xf numFmtId="44" fontId="22" fillId="3" borderId="10" xfId="1" applyFont="1" applyFill="1" applyBorder="1" applyAlignment="1">
      <alignment horizontal="left" vertical="center"/>
    </xf>
    <xf numFmtId="44" fontId="22" fillId="3" borderId="14" xfId="1" applyFont="1" applyFill="1" applyBorder="1" applyAlignment="1">
      <alignment horizontal="left" vertical="center"/>
    </xf>
    <xf numFmtId="44" fontId="22" fillId="3" borderId="15" xfId="1" applyFont="1" applyFill="1" applyBorder="1" applyAlignment="1">
      <alignment horizontal="left" vertical="center"/>
    </xf>
    <xf numFmtId="0" fontId="9" fillId="0" borderId="2" xfId="0" applyFont="1" applyBorder="1" applyAlignment="1">
      <alignment horizontal="right"/>
    </xf>
    <xf numFmtId="0" fontId="9" fillId="0" borderId="3" xfId="0" applyFont="1" applyBorder="1" applyAlignment="1">
      <alignment horizontal="right"/>
    </xf>
    <xf numFmtId="0" fontId="9" fillId="0" borderId="4" xfId="0" applyFont="1" applyBorder="1" applyAlignment="1">
      <alignment horizontal="right"/>
    </xf>
    <xf numFmtId="0" fontId="2" fillId="2" borderId="5" xfId="0" applyFont="1" applyFill="1" applyBorder="1" applyAlignment="1">
      <alignment horizontal="left" vertical="center"/>
    </xf>
    <xf numFmtId="0" fontId="2" fillId="2" borderId="7" xfId="0" applyFont="1" applyFill="1" applyBorder="1" applyAlignment="1">
      <alignment horizontal="left" vertical="center"/>
    </xf>
    <xf numFmtId="0" fontId="2" fillId="2" borderId="0" xfId="0" applyFont="1" applyFill="1" applyAlignment="1">
      <alignment horizontal="left" vertical="center"/>
    </xf>
    <xf numFmtId="0" fontId="2" fillId="2" borderId="13" xfId="0" applyFont="1" applyFill="1" applyBorder="1" applyAlignment="1">
      <alignment horizontal="left" vertical="center"/>
    </xf>
    <xf numFmtId="0" fontId="2" fillId="2" borderId="12" xfId="0" applyFont="1" applyFill="1" applyBorder="1" applyAlignment="1">
      <alignment horizontal="center" vertical="top"/>
    </xf>
    <xf numFmtId="0" fontId="2" fillId="2" borderId="13" xfId="0" applyFont="1" applyFill="1" applyBorder="1" applyAlignment="1">
      <alignment horizontal="center" vertical="top"/>
    </xf>
    <xf numFmtId="0" fontId="2" fillId="2" borderId="9" xfId="0" applyFont="1" applyFill="1" applyBorder="1" applyAlignment="1">
      <alignment horizontal="center" vertical="top"/>
    </xf>
    <xf numFmtId="0" fontId="2" fillId="2" borderId="8" xfId="0" applyFont="1" applyFill="1" applyBorder="1" applyAlignment="1">
      <alignment horizontal="center" vertical="top"/>
    </xf>
    <xf numFmtId="0" fontId="2" fillId="2" borderId="11"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46" fillId="0" borderId="2" xfId="0" applyFont="1" applyBorder="1" applyAlignment="1">
      <alignment horizontal="left"/>
    </xf>
    <xf numFmtId="0" fontId="46" fillId="0" borderId="3" xfId="0" applyFont="1" applyBorder="1" applyAlignment="1">
      <alignment horizontal="left"/>
    </xf>
    <xf numFmtId="0" fontId="38" fillId="2" borderId="2" xfId="0" applyFont="1" applyFill="1" applyBorder="1" applyAlignment="1">
      <alignment horizontal="right" vertical="top"/>
    </xf>
    <xf numFmtId="0" fontId="38" fillId="2" borderId="19" xfId="0" applyFont="1" applyFill="1" applyBorder="1" applyAlignment="1">
      <alignment horizontal="right" vertical="top"/>
    </xf>
    <xf numFmtId="0" fontId="17" fillId="5" borderId="16" xfId="0" applyFont="1" applyFill="1" applyBorder="1" applyAlignment="1" applyProtection="1">
      <alignment horizontal="center" vertical="top"/>
      <protection locked="0"/>
    </xf>
    <xf numFmtId="0" fontId="17" fillId="5" borderId="17" xfId="0" applyFont="1" applyFill="1" applyBorder="1" applyAlignment="1" applyProtection="1">
      <alignment horizontal="center" vertical="top"/>
      <protection locked="0"/>
    </xf>
    <xf numFmtId="0" fontId="17" fillId="5" borderId="18" xfId="0" applyFont="1" applyFill="1" applyBorder="1" applyAlignment="1" applyProtection="1">
      <alignment horizontal="center" vertical="top"/>
      <protection locked="0"/>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27" fillId="2" borderId="2" xfId="0" applyFont="1" applyFill="1" applyBorder="1" applyAlignment="1">
      <alignment horizontal="left" vertical="top"/>
    </xf>
    <xf numFmtId="0" fontId="2" fillId="2" borderId="4" xfId="0" applyFont="1" applyFill="1" applyBorder="1" applyAlignment="1">
      <alignment horizontal="left" vertical="top"/>
    </xf>
    <xf numFmtId="0" fontId="3" fillId="0" borderId="2" xfId="0" applyFont="1" applyBorder="1" applyAlignment="1">
      <alignment horizontal="left"/>
    </xf>
    <xf numFmtId="0" fontId="3" fillId="0" borderId="4" xfId="0" applyFont="1" applyBorder="1" applyAlignment="1">
      <alignment horizontal="left"/>
    </xf>
    <xf numFmtId="0" fontId="5" fillId="2" borderId="1" xfId="0" applyFont="1" applyFill="1" applyBorder="1" applyAlignment="1">
      <alignment horizontal="left" vertical="top"/>
    </xf>
    <xf numFmtId="0" fontId="21" fillId="0" borderId="2" xfId="0" applyFont="1" applyBorder="1" applyAlignment="1">
      <alignment horizontal="left"/>
    </xf>
    <xf numFmtId="0" fontId="21" fillId="0" borderId="3" xfId="0" applyFont="1" applyBorder="1" applyAlignment="1">
      <alignment horizontal="left"/>
    </xf>
    <xf numFmtId="0" fontId="47" fillId="0" borderId="2" xfId="0" applyFont="1" applyBorder="1" applyAlignment="1">
      <alignment horizontal="right"/>
    </xf>
    <xf numFmtId="0" fontId="47" fillId="0" borderId="3" xfId="0" applyFont="1" applyBorder="1" applyAlignment="1">
      <alignment horizontal="right"/>
    </xf>
    <xf numFmtId="0" fontId="47" fillId="0" borderId="4" xfId="0" applyFont="1" applyBorder="1" applyAlignment="1">
      <alignment horizontal="right"/>
    </xf>
    <xf numFmtId="0" fontId="6" fillId="0" borderId="0" xfId="0" applyFont="1" applyAlignment="1">
      <alignment horizontal="center" vertical="top"/>
    </xf>
    <xf numFmtId="0" fontId="6" fillId="0" borderId="13" xfId="0" applyFont="1" applyBorder="1" applyAlignment="1">
      <alignment horizontal="center" vertical="top"/>
    </xf>
    <xf numFmtId="0" fontId="6" fillId="0" borderId="6" xfId="0" applyFont="1" applyBorder="1" applyAlignment="1">
      <alignment horizontal="center" vertical="top"/>
    </xf>
    <xf numFmtId="0" fontId="6" fillId="0" borderId="8" xfId="0" applyFont="1" applyBorder="1" applyAlignment="1">
      <alignment horizontal="center" vertical="top"/>
    </xf>
    <xf numFmtId="0" fontId="6" fillId="5" borderId="0" xfId="0" applyFont="1" applyFill="1" applyAlignment="1" applyProtection="1">
      <alignment horizontal="left" vertical="top" wrapText="1"/>
      <protection locked="0"/>
    </xf>
    <xf numFmtId="0" fontId="30" fillId="0" borderId="2" xfId="0" applyFont="1" applyBorder="1" applyAlignment="1">
      <alignment horizontal="center" vertical="top"/>
    </xf>
    <xf numFmtId="0" fontId="30" fillId="0" borderId="3" xfId="0" applyFont="1" applyBorder="1" applyAlignment="1">
      <alignment horizontal="center" vertical="top"/>
    </xf>
    <xf numFmtId="0" fontId="30" fillId="0" borderId="4" xfId="0" applyFont="1" applyBorder="1" applyAlignment="1">
      <alignment horizontal="center" vertical="top"/>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2" fillId="0" borderId="2" xfId="0" applyFont="1" applyBorder="1" applyAlignment="1">
      <alignment horizontal="left"/>
    </xf>
    <xf numFmtId="0" fontId="22" fillId="0" borderId="3" xfId="0" applyFont="1" applyBorder="1" applyAlignment="1">
      <alignment horizontal="left"/>
    </xf>
    <xf numFmtId="0" fontId="2" fillId="2" borderId="2" xfId="0" applyFont="1" applyFill="1" applyBorder="1" applyAlignment="1">
      <alignment horizontal="left" vertical="top"/>
    </xf>
    <xf numFmtId="0" fontId="46" fillId="0" borderId="4" xfId="0" applyFont="1" applyBorder="1" applyAlignment="1">
      <alignment horizontal="left"/>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3" fillId="0" borderId="10" xfId="0" applyFont="1" applyBorder="1" applyAlignment="1">
      <alignment horizontal="left" wrapText="1" shrinkToFit="1"/>
    </xf>
    <xf numFmtId="0" fontId="0" fillId="0" borderId="15" xfId="0" applyBorder="1" applyAlignment="1">
      <alignment horizontal="left" wrapText="1" shrinkToFit="1"/>
    </xf>
    <xf numFmtId="0" fontId="18" fillId="0" borderId="2" xfId="0" applyFont="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23" fillId="2" borderId="6" xfId="0" applyFont="1" applyFill="1" applyBorder="1" applyAlignment="1">
      <alignment horizontal="center"/>
    </xf>
    <xf numFmtId="0" fontId="23" fillId="2" borderId="8" xfId="0" applyFont="1" applyFill="1" applyBorder="1" applyAlignment="1">
      <alignment horizontal="center"/>
    </xf>
    <xf numFmtId="0" fontId="8" fillId="0" borderId="0" xfId="0" applyFont="1" applyAlignment="1">
      <alignment horizontal="center" vertical="center" wrapText="1"/>
    </xf>
    <xf numFmtId="0" fontId="2" fillId="2" borderId="5" xfId="0" applyFont="1" applyFill="1" applyBorder="1" applyAlignment="1">
      <alignment horizontal="center" vertical="center" wrapText="1"/>
    </xf>
    <xf numFmtId="0" fontId="28" fillId="0" borderId="2" xfId="0" applyFont="1" applyBorder="1" applyAlignment="1">
      <alignment horizontal="center"/>
    </xf>
    <xf numFmtId="0" fontId="28" fillId="0" borderId="3" xfId="0" applyFont="1" applyBorder="1" applyAlignment="1">
      <alignment horizontal="center"/>
    </xf>
    <xf numFmtId="0" fontId="28" fillId="0" borderId="5" xfId="0" applyFont="1" applyBorder="1" applyAlignment="1">
      <alignment horizontal="center"/>
    </xf>
    <xf numFmtId="0" fontId="28" fillId="0" borderId="4" xfId="0" applyFont="1" applyBorder="1" applyAlignment="1">
      <alignment horizontal="center"/>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35" fillId="3" borderId="0" xfId="0" applyFont="1" applyFill="1" applyAlignment="1">
      <alignment horizontal="left" vertical="top" wrapText="1"/>
    </xf>
    <xf numFmtId="0" fontId="35" fillId="3" borderId="13" xfId="0" applyFont="1" applyFill="1" applyBorder="1" applyAlignment="1">
      <alignment horizontal="left" vertical="top" wrapText="1"/>
    </xf>
    <xf numFmtId="0" fontId="35" fillId="3" borderId="12" xfId="0" applyFont="1" applyFill="1" applyBorder="1" applyAlignment="1">
      <alignment horizontal="left" vertical="top" wrapText="1"/>
    </xf>
    <xf numFmtId="0" fontId="5" fillId="0" borderId="9"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7" fillId="3" borderId="9"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5" borderId="0" xfId="0" applyFont="1" applyFill="1" applyAlignment="1" applyProtection="1">
      <alignment horizontal="left" vertical="top" wrapText="1"/>
      <protection locked="0"/>
    </xf>
    <xf numFmtId="0" fontId="7" fillId="5" borderId="13" xfId="0" applyFont="1" applyFill="1" applyBorder="1" applyAlignment="1" applyProtection="1">
      <alignment horizontal="left" vertical="top" wrapText="1"/>
      <protection locked="0"/>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4" xfId="0" applyFont="1" applyFill="1" applyBorder="1" applyAlignment="1">
      <alignment horizontal="center" vertical="top" wrapText="1"/>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6" fillId="5" borderId="0" xfId="0" applyFont="1" applyFill="1" applyAlignment="1" applyProtection="1">
      <alignment horizontal="left" wrapText="1"/>
      <protection locked="0"/>
    </xf>
    <xf numFmtId="0" fontId="6" fillId="5" borderId="6" xfId="0" applyFont="1" applyFill="1" applyBorder="1" applyAlignment="1" applyProtection="1">
      <alignment horizontal="left" vertical="top" wrapText="1"/>
      <protection locked="0"/>
    </xf>
    <xf numFmtId="0" fontId="5" fillId="0" borderId="1" xfId="0" applyFont="1" applyBorder="1" applyAlignment="1">
      <alignment horizontal="left" vertical="top"/>
    </xf>
    <xf numFmtId="0" fontId="5" fillId="0" borderId="15" xfId="0" applyFont="1" applyBorder="1" applyAlignment="1">
      <alignment horizontal="left" vertical="top"/>
    </xf>
    <xf numFmtId="0" fontId="6" fillId="3" borderId="11"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7" xfId="0" applyFont="1" applyFill="1" applyBorder="1" applyAlignment="1">
      <alignment horizontal="left" vertical="top" wrapText="1"/>
    </xf>
    <xf numFmtId="0" fontId="22" fillId="0" borderId="32" xfId="0" applyFont="1" applyBorder="1" applyAlignment="1">
      <alignment horizontal="center"/>
    </xf>
    <xf numFmtId="0" fontId="22" fillId="0" borderId="34" xfId="0" applyFont="1" applyBorder="1" applyAlignment="1">
      <alignment horizontal="center"/>
    </xf>
    <xf numFmtId="0" fontId="22" fillId="0" borderId="35" xfId="0" applyFont="1" applyBorder="1" applyAlignment="1">
      <alignment horizontal="center"/>
    </xf>
    <xf numFmtId="0" fontId="0" fillId="0" borderId="0" xfId="0" applyAlignment="1">
      <alignment horizontal="center" vertical="center"/>
    </xf>
    <xf numFmtId="0" fontId="0" fillId="0" borderId="24" xfId="0" applyBorder="1" applyAlignment="1">
      <alignment horizontal="center" vertical="center"/>
    </xf>
    <xf numFmtId="0" fontId="0" fillId="9" borderId="16" xfId="0" applyFill="1" applyBorder="1" applyAlignment="1" applyProtection="1">
      <alignment horizontal="left"/>
      <protection locked="0"/>
    </xf>
    <xf numFmtId="0" fontId="0" fillId="9" borderId="17" xfId="0" applyFill="1" applyBorder="1" applyAlignment="1" applyProtection="1">
      <alignment horizontal="left"/>
      <protection locked="0"/>
    </xf>
    <xf numFmtId="0" fontId="0" fillId="9" borderId="18" xfId="0" applyFill="1" applyBorder="1" applyAlignment="1" applyProtection="1">
      <alignment horizontal="left"/>
      <protection locked="0"/>
    </xf>
    <xf numFmtId="0" fontId="0" fillId="9" borderId="20" xfId="0" applyFill="1" applyBorder="1" applyAlignment="1" applyProtection="1">
      <alignment horizontal="center" vertical="center"/>
      <protection locked="0"/>
    </xf>
    <xf numFmtId="0" fontId="0" fillId="9" borderId="21" xfId="0" applyFill="1" applyBorder="1" applyAlignment="1" applyProtection="1">
      <alignment horizontal="center" vertical="center"/>
      <protection locked="0"/>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xf>
    <xf numFmtId="166" fontId="0" fillId="9" borderId="20" xfId="0" applyNumberFormat="1" applyFill="1" applyBorder="1" applyAlignment="1" applyProtection="1">
      <alignment horizontal="center" vertical="center"/>
      <protection locked="0"/>
    </xf>
    <xf numFmtId="166" fontId="0" fillId="9" borderId="21" xfId="0" applyNumberFormat="1" applyFill="1" applyBorder="1" applyAlignment="1" applyProtection="1">
      <alignment horizontal="center" vertical="center"/>
      <protection locked="0"/>
    </xf>
    <xf numFmtId="0" fontId="0" fillId="9" borderId="16" xfId="0" applyFill="1" applyBorder="1" applyAlignment="1" applyProtection="1">
      <alignment horizontal="left" vertical="center" wrapText="1"/>
      <protection locked="0"/>
    </xf>
    <xf numFmtId="0" fontId="0" fillId="9" borderId="17" xfId="0" applyFill="1" applyBorder="1" applyAlignment="1" applyProtection="1">
      <alignment horizontal="left" vertical="center" wrapText="1"/>
      <protection locked="0"/>
    </xf>
    <xf numFmtId="0" fontId="0" fillId="9" borderId="18" xfId="0" applyFill="1" applyBorder="1" applyAlignment="1" applyProtection="1">
      <alignment horizontal="left" vertical="center" wrapText="1"/>
      <protection locked="0"/>
    </xf>
    <xf numFmtId="0" fontId="0" fillId="9" borderId="16" xfId="0" applyFill="1" applyBorder="1" applyAlignment="1" applyProtection="1">
      <alignment horizontal="left" wrapText="1"/>
      <protection locked="0"/>
    </xf>
    <xf numFmtId="0" fontId="0" fillId="9" borderId="17" xfId="0" applyFill="1" applyBorder="1" applyAlignment="1" applyProtection="1">
      <alignment horizontal="left" wrapText="1"/>
      <protection locked="0"/>
    </xf>
    <xf numFmtId="0" fontId="0" fillId="9" borderId="18" xfId="0" applyFill="1" applyBorder="1" applyAlignment="1" applyProtection="1">
      <alignment horizontal="left" wrapText="1"/>
      <protection locked="0"/>
    </xf>
    <xf numFmtId="0" fontId="0" fillId="0" borderId="0" xfId="0" applyAlignment="1">
      <alignment horizontal="center" wrapText="1"/>
    </xf>
    <xf numFmtId="0" fontId="0" fillId="9" borderId="23" xfId="0" applyFill="1" applyBorder="1" applyAlignment="1" applyProtection="1">
      <alignment horizontal="center" vertical="center"/>
      <protection locked="0"/>
    </xf>
  </cellXfs>
  <cellStyles count="3">
    <cellStyle name="Normal 2" xfId="2" xr:uid="{00000000-0005-0000-0000-000000000000}"/>
    <cellStyle name="Standaard" xfId="0" builtinId="0"/>
    <cellStyle name="Valuta" xfId="1" builtinId="4"/>
  </cellStyles>
  <dxfs count="70">
    <dxf>
      <font>
        <color theme="1"/>
      </font>
    </dxf>
    <dxf>
      <font>
        <color theme="1"/>
      </font>
    </dxf>
    <dxf>
      <font>
        <color theme="1"/>
      </font>
    </dxf>
    <dxf>
      <font>
        <color theme="1"/>
      </font>
    </dxf>
    <dxf>
      <font>
        <color theme="1"/>
      </font>
    </dxf>
    <dxf>
      <font>
        <color theme="1"/>
      </font>
      <fill>
        <patternFill>
          <bgColor rgb="FFFFFF00"/>
        </patternFill>
      </fill>
    </dxf>
    <dxf>
      <font>
        <color theme="1"/>
      </font>
      <fill>
        <patternFill>
          <bgColor rgb="FFFFFF00"/>
        </patternFill>
      </fill>
    </dxf>
    <dxf>
      <font>
        <color theme="1"/>
      </font>
    </dxf>
    <dxf>
      <font>
        <color theme="1"/>
      </font>
    </dxf>
    <dxf>
      <font>
        <color theme="1"/>
      </font>
    </dxf>
    <dxf>
      <font>
        <color theme="1"/>
      </font>
    </dxf>
    <dxf>
      <font>
        <color theme="1"/>
      </font>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b val="0"/>
        <i val="0"/>
        <color rgb="FF00B050"/>
      </font>
      <fill>
        <patternFill>
          <bgColor theme="0"/>
        </patternFill>
      </fill>
    </dxf>
    <dxf>
      <font>
        <color theme="1"/>
      </font>
    </dxf>
    <dxf>
      <font>
        <color theme="1"/>
      </font>
    </dxf>
    <dxf>
      <fill>
        <patternFill>
          <bgColor theme="9" tint="0.59996337778862885"/>
        </patternFill>
      </fill>
      <border>
        <left style="thin">
          <color rgb="FF00B050"/>
        </left>
        <right style="thin">
          <color rgb="FF00B050"/>
        </right>
        <top style="thin">
          <color rgb="FF00B050"/>
        </top>
        <bottom style="thin">
          <color rgb="FF00B050"/>
        </bottom>
      </border>
    </dxf>
    <dxf>
      <font>
        <color theme="1"/>
      </font>
    </dxf>
    <dxf>
      <font>
        <color theme="1"/>
      </font>
    </dxf>
    <dxf>
      <font>
        <color theme="0" tint="-0.499984740745262"/>
      </font>
    </dxf>
    <dxf>
      <font>
        <color theme="1"/>
      </font>
    </dxf>
    <dxf>
      <font>
        <color theme="1"/>
      </font>
    </dxf>
    <dxf>
      <font>
        <color theme="1"/>
      </font>
    </dxf>
    <dxf>
      <font>
        <color theme="1"/>
      </font>
    </dxf>
    <dxf>
      <font>
        <color theme="1"/>
      </font>
    </dxf>
    <dxf>
      <font>
        <b val="0"/>
        <i val="0"/>
        <color theme="1"/>
      </font>
      <fill>
        <patternFill>
          <bgColor theme="0"/>
        </patternFill>
      </fill>
    </dxf>
    <dxf>
      <font>
        <color theme="1"/>
      </font>
      <fill>
        <patternFill>
          <bgColor rgb="FFFFFF00"/>
        </patternFill>
      </fill>
    </dxf>
    <dxf>
      <font>
        <color theme="0" tint="-0.499984740745262"/>
      </font>
    </dxf>
    <dxf>
      <font>
        <color theme="1"/>
      </font>
    </dxf>
    <dxf>
      <font>
        <color theme="1"/>
      </font>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dxf>
    <dxf>
      <font>
        <color theme="0" tint="-0.499984740745262"/>
      </font>
    </dxf>
    <dxf>
      <font>
        <color theme="1"/>
      </font>
    </dxf>
    <dxf>
      <font>
        <color theme="1"/>
      </font>
    </dxf>
    <dxf>
      <font>
        <color theme="0" tint="-0.499984740745262"/>
      </font>
    </dxf>
    <dxf>
      <font>
        <color theme="1"/>
      </font>
    </dxf>
    <dxf>
      <font>
        <color theme="1"/>
      </font>
      <fill>
        <patternFill>
          <bgColor rgb="FFFFFF00"/>
        </patternFill>
      </fill>
    </dxf>
    <dxf>
      <font>
        <color theme="1"/>
      </font>
      <fill>
        <patternFill>
          <bgColor rgb="FFFFFF00"/>
        </patternFill>
      </fill>
    </dxf>
    <dxf>
      <font>
        <color theme="0" tint="-0.499984740745262"/>
      </font>
    </dxf>
    <dxf>
      <font>
        <color theme="1"/>
      </font>
    </dxf>
    <dxf>
      <font>
        <color theme="1"/>
      </font>
    </dxf>
    <dxf>
      <font>
        <color theme="0" tint="-0.499984740745262"/>
      </font>
    </dxf>
    <dxf>
      <font>
        <color theme="0" tint="-0.499984740745262"/>
      </font>
    </dxf>
    <dxf>
      <font>
        <color theme="1"/>
      </font>
    </dxf>
    <dxf>
      <font>
        <color theme="0"/>
      </font>
      <fill>
        <patternFill>
          <bgColor rgb="FFFF0000"/>
        </patternFill>
      </fill>
    </dxf>
    <dxf>
      <fill>
        <patternFill>
          <bgColor theme="9" tint="0.59996337778862885"/>
        </patternFill>
      </fill>
      <border>
        <left style="thin">
          <color rgb="FF00B050"/>
        </left>
        <right style="thin">
          <color rgb="FF00B050"/>
        </right>
        <top style="thin">
          <color rgb="FF00B050"/>
        </top>
        <bottom style="thin">
          <color rgb="FF00B050"/>
        </bottom>
      </border>
    </dxf>
    <dxf>
      <font>
        <color theme="0"/>
      </font>
      <fill>
        <patternFill>
          <bgColor rgb="FFFF0000"/>
        </patternFill>
      </fill>
    </dxf>
    <dxf>
      <font>
        <color theme="1"/>
      </font>
    </dxf>
    <dxf>
      <font>
        <b val="0"/>
        <i val="0"/>
        <color theme="1"/>
      </font>
      <fill>
        <patternFill>
          <bgColor theme="0"/>
        </patternFill>
      </fill>
    </dxf>
    <dxf>
      <font>
        <color theme="1"/>
      </font>
    </dxf>
    <dxf>
      <font>
        <b/>
        <i val="0"/>
      </font>
    </dxf>
    <dxf>
      <font>
        <color theme="1"/>
      </font>
    </dxf>
    <dxf>
      <font>
        <color theme="1"/>
      </font>
    </dxf>
    <dxf>
      <font>
        <color theme="1"/>
      </font>
    </dxf>
    <dxf>
      <font>
        <color theme="1"/>
      </font>
    </dxf>
    <dxf>
      <font>
        <color theme="1"/>
      </font>
    </dxf>
    <dxf>
      <font>
        <color theme="1"/>
      </font>
    </dxf>
  </dxfs>
  <tableStyles count="0" defaultTableStyle="TableStyleMedium2" defaultPivotStyle="PivotStyleLight16"/>
  <colors>
    <mruColors>
      <color rgb="FFFF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6</xdr:col>
      <xdr:colOff>1380908</xdr:colOff>
      <xdr:row>133</xdr:row>
      <xdr:rowOff>75013</xdr:rowOff>
    </xdr:from>
    <xdr:ext cx="6548588" cy="307777"/>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19C18512-2B71-9602-6A06-5AF88DE76B84}"/>
                </a:ext>
              </a:extLst>
            </xdr:cNvPr>
            <xdr:cNvSpPr txBox="1"/>
          </xdr:nvSpPr>
          <xdr:spPr>
            <a:xfrm>
              <a:off x="13613013" y="35367645"/>
              <a:ext cx="6548588" cy="3077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nl-NL" sz="890" i="1">
                            <a:solidFill>
                              <a:schemeClr val="tx1"/>
                            </a:solidFill>
                            <a:effectLst/>
                            <a:latin typeface="Cambria Math" panose="02040503050406030204" pitchFamily="18" charset="0"/>
                            <a:ea typeface="+mn-ea"/>
                            <a:cs typeface="+mn-cs"/>
                          </a:rPr>
                        </m:ctrlPr>
                      </m:dPr>
                      <m:e>
                        <m:f>
                          <m:fPr>
                            <m:ctrlPr>
                              <a:rPr lang="nl-NL" sz="890" i="1">
                                <a:solidFill>
                                  <a:schemeClr val="tx1"/>
                                </a:solidFill>
                                <a:effectLst/>
                                <a:latin typeface="Cambria Math" panose="02040503050406030204" pitchFamily="18" charset="0"/>
                                <a:ea typeface="+mn-ea"/>
                                <a:cs typeface="+mn-cs"/>
                              </a:rPr>
                            </m:ctrlPr>
                          </m:fPr>
                          <m:num>
                            <m:r>
                              <a:rPr lang="nl-NL" sz="890" i="1">
                                <a:solidFill>
                                  <a:schemeClr val="tx1"/>
                                </a:solidFill>
                                <a:effectLst/>
                                <a:latin typeface="Cambria Math" panose="02040503050406030204" pitchFamily="18" charset="0"/>
                                <a:ea typeface="+mn-ea"/>
                                <a:cs typeface="+mn-cs"/>
                              </a:rPr>
                              <m:t>1</m:t>
                            </m:r>
                          </m:num>
                          <m:den>
                            <m:r>
                              <a:rPr lang="nl-NL" sz="890" i="1">
                                <a:solidFill>
                                  <a:schemeClr val="tx1"/>
                                </a:solidFill>
                                <a:effectLst/>
                                <a:latin typeface="Cambria Math" panose="02040503050406030204" pitchFamily="18" charset="0"/>
                                <a:ea typeface="+mn-ea"/>
                                <a:cs typeface="+mn-cs"/>
                              </a:rPr>
                              <m:t>𝑀𝑇𝐵𝐹</m:t>
                            </m:r>
                            <m:d>
                              <m:dPr>
                                <m:begChr m:val="{"/>
                                <m:endChr m:val="}"/>
                                <m:ctrlPr>
                                  <a:rPr lang="nl-NL" sz="890" i="1">
                                    <a:solidFill>
                                      <a:schemeClr val="tx1"/>
                                    </a:solidFill>
                                    <a:effectLst/>
                                    <a:latin typeface="Cambria Math" panose="02040503050406030204" pitchFamily="18" charset="0"/>
                                    <a:ea typeface="+mn-ea"/>
                                    <a:cs typeface="+mn-cs"/>
                                  </a:rPr>
                                </m:ctrlPr>
                              </m:dPr>
                              <m:e>
                                <m:r>
                                  <a:rPr lang="nl-NL" sz="890" i="1">
                                    <a:solidFill>
                                      <a:schemeClr val="tx1"/>
                                    </a:solidFill>
                                    <a:effectLst/>
                                    <a:latin typeface="Cambria Math" panose="02040503050406030204" pitchFamily="18" charset="0"/>
                                    <a:ea typeface="+mn-ea"/>
                                    <a:cs typeface="+mn-cs"/>
                                  </a:rPr>
                                  <m:t>𝐷</m:t>
                                </m:r>
                                <m:r>
                                  <a:rPr lang="nl-NL" sz="890" i="1">
                                    <a:solidFill>
                                      <a:schemeClr val="tx1"/>
                                    </a:solidFill>
                                    <a:effectLst/>
                                    <a:latin typeface="Cambria Math" panose="02040503050406030204" pitchFamily="18" charset="0"/>
                                    <a:ea typeface="+mn-ea"/>
                                    <a:cs typeface="+mn-cs"/>
                                  </a:rPr>
                                  <m:t>91 </m:t>
                                </m:r>
                                <m:r>
                                  <a:rPr lang="nl-NL" sz="890" i="1">
                                    <a:solidFill>
                                      <a:schemeClr val="tx1"/>
                                    </a:solidFill>
                                    <a:effectLst/>
                                    <a:latin typeface="Cambria Math" panose="02040503050406030204" pitchFamily="18" charset="0"/>
                                    <a:ea typeface="+mn-ea"/>
                                    <a:cs typeface="+mn-cs"/>
                                  </a:rPr>
                                  <m:t>𝑡𝑜</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𝐷</m:t>
                                </m:r>
                                <m:r>
                                  <a:rPr lang="nl-NL" sz="890" i="1">
                                    <a:solidFill>
                                      <a:schemeClr val="tx1"/>
                                    </a:solidFill>
                                    <a:effectLst/>
                                    <a:latin typeface="Cambria Math" panose="02040503050406030204" pitchFamily="18" charset="0"/>
                                    <a:ea typeface="+mn-ea"/>
                                    <a:cs typeface="+mn-cs"/>
                                  </a:rPr>
                                  <m:t>95</m:t>
                                </m:r>
                              </m:e>
                            </m:d>
                          </m:den>
                        </m:f>
                      </m:e>
                    </m:d>
                    <m:r>
                      <a:rPr lang="nl-NL" sz="890" i="1">
                        <a:solidFill>
                          <a:schemeClr val="tx1"/>
                        </a:solidFill>
                        <a:effectLst/>
                        <a:latin typeface="Cambria Math" panose="02040503050406030204" pitchFamily="18" charset="0"/>
                        <a:ea typeface="+mn-ea"/>
                        <a:cs typeface="+mn-cs"/>
                      </a:rPr>
                      <m:t>𝑥</m:t>
                    </m:r>
                    <m:r>
                      <a:rPr lang="nl-NL" sz="890" i="1">
                        <a:solidFill>
                          <a:schemeClr val="tx1"/>
                        </a:solidFill>
                        <a:effectLst/>
                        <a:latin typeface="Cambria Math" panose="02040503050406030204" pitchFamily="18" charset="0"/>
                        <a:ea typeface="+mn-ea"/>
                        <a:cs typeface="+mn-cs"/>
                      </a:rPr>
                      <m:t> 24 </m:t>
                    </m:r>
                    <m:d>
                      <m:dPr>
                        <m:begChr m:val="{"/>
                        <m:endChr m:val="}"/>
                        <m:ctrlPr>
                          <a:rPr lang="nl-NL" sz="890" i="1">
                            <a:solidFill>
                              <a:schemeClr val="tx1"/>
                            </a:solidFill>
                            <a:effectLst/>
                            <a:latin typeface="Cambria Math" panose="02040503050406030204" pitchFamily="18" charset="0"/>
                            <a:ea typeface="+mn-ea"/>
                            <a:cs typeface="+mn-cs"/>
                          </a:rPr>
                        </m:ctrlPr>
                      </m:dPr>
                      <m:e>
                        <m:r>
                          <a:rPr lang="nl-NL" sz="890" i="1">
                            <a:solidFill>
                              <a:schemeClr val="tx1"/>
                            </a:solidFill>
                            <a:effectLst/>
                            <a:latin typeface="Cambria Math" panose="02040503050406030204" pitchFamily="18" charset="0"/>
                            <a:ea typeface="+mn-ea"/>
                            <a:cs typeface="+mn-cs"/>
                          </a:rPr>
                          <m:t>𝐻𝑜𝑢𝑟𝑠</m:t>
                        </m:r>
                      </m:e>
                    </m:d>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𝑥</m:t>
                    </m:r>
                    <m:r>
                      <a:rPr lang="nl-NL" sz="890" i="1">
                        <a:solidFill>
                          <a:schemeClr val="tx1"/>
                        </a:solidFill>
                        <a:effectLst/>
                        <a:latin typeface="Cambria Math" panose="02040503050406030204" pitchFamily="18" charset="0"/>
                        <a:ea typeface="+mn-ea"/>
                        <a:cs typeface="+mn-cs"/>
                      </a:rPr>
                      <m:t> 365,5 </m:t>
                    </m:r>
                    <m:d>
                      <m:dPr>
                        <m:begChr m:val="{"/>
                        <m:endChr m:val="}"/>
                        <m:ctrlPr>
                          <a:rPr lang="nl-NL" sz="890" i="1">
                            <a:solidFill>
                              <a:schemeClr val="tx1"/>
                            </a:solidFill>
                            <a:effectLst/>
                            <a:latin typeface="Cambria Math" panose="02040503050406030204" pitchFamily="18" charset="0"/>
                            <a:ea typeface="+mn-ea"/>
                            <a:cs typeface="+mn-cs"/>
                          </a:rPr>
                        </m:ctrlPr>
                      </m:dPr>
                      <m:e>
                        <m:r>
                          <a:rPr lang="nl-NL" sz="890" i="1">
                            <a:solidFill>
                              <a:schemeClr val="tx1"/>
                            </a:solidFill>
                            <a:effectLst/>
                            <a:latin typeface="Cambria Math" panose="02040503050406030204" pitchFamily="18" charset="0"/>
                            <a:ea typeface="+mn-ea"/>
                            <a:cs typeface="+mn-cs"/>
                          </a:rPr>
                          <m:t>𝐷𝑎𝑦𝑠</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𝑝𝑒𝑟</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𝑦𝑒𝑎𝑟</m:t>
                        </m:r>
                      </m:e>
                    </m:d>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𝑥</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𝐶𝑜𝑛𝑡𝑟𝑎𝑐𝑡</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𝑌𝑒𝑎𝑟𝑠</m:t>
                    </m:r>
                    <m:r>
                      <a:rPr lang="nl-NL" sz="890" i="1">
                        <a:solidFill>
                          <a:schemeClr val="tx1"/>
                        </a:solidFill>
                        <a:effectLst/>
                        <a:latin typeface="Cambria Math" panose="02040503050406030204" pitchFamily="18" charset="0"/>
                        <a:ea typeface="+mn-ea"/>
                        <a:cs typeface="+mn-cs"/>
                      </a:rPr>
                      <m:t> </m:t>
                    </m:r>
                    <m:d>
                      <m:dPr>
                        <m:begChr m:val="{"/>
                        <m:endChr m:val="}"/>
                        <m:ctrlPr>
                          <a:rPr lang="nl-NL" sz="890" i="1">
                            <a:solidFill>
                              <a:schemeClr val="tx1"/>
                            </a:solidFill>
                            <a:effectLst/>
                            <a:latin typeface="Cambria Math" panose="02040503050406030204" pitchFamily="18" charset="0"/>
                            <a:ea typeface="+mn-ea"/>
                            <a:cs typeface="+mn-cs"/>
                          </a:rPr>
                        </m:ctrlPr>
                      </m:dPr>
                      <m:e>
                        <m:r>
                          <a:rPr lang="nl-NL" sz="890" i="1">
                            <a:solidFill>
                              <a:schemeClr val="tx1"/>
                            </a:solidFill>
                            <a:effectLst/>
                            <a:latin typeface="Cambria Math" panose="02040503050406030204" pitchFamily="18" charset="0"/>
                            <a:ea typeface="+mn-ea"/>
                            <a:cs typeface="+mn-cs"/>
                          </a:rPr>
                          <m:t>𝐵</m:t>
                        </m:r>
                        <m:r>
                          <a:rPr lang="nl-NL" sz="890" i="1">
                            <a:solidFill>
                              <a:schemeClr val="tx1"/>
                            </a:solidFill>
                            <a:effectLst/>
                            <a:latin typeface="Cambria Math" panose="02040503050406030204" pitchFamily="18" charset="0"/>
                            <a:ea typeface="+mn-ea"/>
                            <a:cs typeface="+mn-cs"/>
                          </a:rPr>
                          <m:t>131 </m:t>
                        </m:r>
                        <m:r>
                          <a:rPr lang="nl-NL" sz="890" i="1">
                            <a:solidFill>
                              <a:schemeClr val="tx1"/>
                            </a:solidFill>
                            <a:effectLst/>
                            <a:latin typeface="Cambria Math" panose="02040503050406030204" pitchFamily="18" charset="0"/>
                            <a:ea typeface="+mn-ea"/>
                            <a:cs typeface="+mn-cs"/>
                          </a:rPr>
                          <m:t>𝑡𝑜</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𝐵</m:t>
                        </m:r>
                        <m:r>
                          <a:rPr lang="nl-NL" sz="890" i="1">
                            <a:solidFill>
                              <a:schemeClr val="tx1"/>
                            </a:solidFill>
                            <a:effectLst/>
                            <a:latin typeface="Cambria Math" panose="02040503050406030204" pitchFamily="18" charset="0"/>
                            <a:ea typeface="+mn-ea"/>
                            <a:cs typeface="+mn-cs"/>
                          </a:rPr>
                          <m:t>135</m:t>
                        </m:r>
                      </m:e>
                    </m:d>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𝑥</m:t>
                    </m:r>
                    <m:r>
                      <a:rPr lang="nl-NL" sz="890" i="1">
                        <a:solidFill>
                          <a:schemeClr val="tx1"/>
                        </a:solidFill>
                        <a:effectLst/>
                        <a:latin typeface="Cambria Math" panose="02040503050406030204" pitchFamily="18" charset="0"/>
                        <a:ea typeface="+mn-ea"/>
                        <a:cs typeface="+mn-cs"/>
                      </a:rPr>
                      <m:t> </m:t>
                    </m:r>
                    <m:r>
                      <a:rPr lang="nl-NL" sz="890" b="0" i="1">
                        <a:solidFill>
                          <a:schemeClr val="tx1"/>
                        </a:solidFill>
                        <a:effectLst/>
                        <a:latin typeface="Cambria Math" panose="02040503050406030204" pitchFamily="18" charset="0"/>
                        <a:ea typeface="+mn-ea"/>
                        <a:cs typeface="+mn-cs"/>
                      </a:rPr>
                      <m:t>𝐴</m:t>
                    </m:r>
                    <m:r>
                      <a:rPr lang="nl-NL" sz="890" i="1">
                        <a:solidFill>
                          <a:schemeClr val="tx1"/>
                        </a:solidFill>
                        <a:effectLst/>
                        <a:latin typeface="Cambria Math" panose="02040503050406030204" pitchFamily="18" charset="0"/>
                        <a:ea typeface="+mn-ea"/>
                        <a:cs typeface="+mn-cs"/>
                      </a:rPr>
                      <m:t>𝑚𝑜𝑢𝑛𝑡</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𝑜𝑓</m:t>
                    </m:r>
                    <m:r>
                      <a:rPr lang="nl-NL" sz="890" i="1">
                        <a:solidFill>
                          <a:schemeClr val="tx1"/>
                        </a:solidFill>
                        <a:effectLst/>
                        <a:latin typeface="Cambria Math" panose="02040503050406030204" pitchFamily="18" charset="0"/>
                        <a:ea typeface="+mn-ea"/>
                        <a:cs typeface="+mn-cs"/>
                      </a:rPr>
                      <m:t> </m:t>
                    </m:r>
                    <m:r>
                      <a:rPr lang="nl-NL" sz="890" b="0" i="1">
                        <a:solidFill>
                          <a:schemeClr val="tx1"/>
                        </a:solidFill>
                        <a:effectLst/>
                        <a:latin typeface="Cambria Math" panose="02040503050406030204" pitchFamily="18" charset="0"/>
                        <a:ea typeface="+mn-ea"/>
                        <a:cs typeface="+mn-cs"/>
                      </a:rPr>
                      <m:t>𝑃</m:t>
                    </m:r>
                    <m:r>
                      <a:rPr lang="nl-NL" sz="890" i="1">
                        <a:solidFill>
                          <a:schemeClr val="tx1"/>
                        </a:solidFill>
                        <a:effectLst/>
                        <a:latin typeface="Cambria Math" panose="02040503050406030204" pitchFamily="18" charset="0"/>
                        <a:ea typeface="+mn-ea"/>
                        <a:cs typeface="+mn-cs"/>
                      </a:rPr>
                      <m:t>𝑟𝑜𝑑𝑢𝑐𝑡𝑠</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𝐺</m:t>
                    </m:r>
                    <m:r>
                      <a:rPr lang="nl-NL" sz="890" i="1">
                        <a:solidFill>
                          <a:schemeClr val="tx1"/>
                        </a:solidFill>
                        <a:effectLst/>
                        <a:latin typeface="Cambria Math" panose="02040503050406030204" pitchFamily="18" charset="0"/>
                        <a:ea typeface="+mn-ea"/>
                        <a:cs typeface="+mn-cs"/>
                      </a:rPr>
                      <m:t>91 </m:t>
                    </m:r>
                    <m:r>
                      <a:rPr lang="nl-NL" sz="890" i="1">
                        <a:solidFill>
                          <a:schemeClr val="tx1"/>
                        </a:solidFill>
                        <a:effectLst/>
                        <a:latin typeface="Cambria Math" panose="02040503050406030204" pitchFamily="18" charset="0"/>
                        <a:ea typeface="+mn-ea"/>
                        <a:cs typeface="+mn-cs"/>
                      </a:rPr>
                      <m:t>𝑡𝑜</m:t>
                    </m:r>
                    <m:r>
                      <a:rPr lang="nl-NL" sz="890" i="1">
                        <a:solidFill>
                          <a:schemeClr val="tx1"/>
                        </a:solidFill>
                        <a:effectLst/>
                        <a:latin typeface="Cambria Math" panose="02040503050406030204" pitchFamily="18" charset="0"/>
                        <a:ea typeface="+mn-ea"/>
                        <a:cs typeface="+mn-cs"/>
                      </a:rPr>
                      <m:t> </m:t>
                    </m:r>
                    <m:r>
                      <a:rPr lang="nl-NL" sz="890" i="1">
                        <a:solidFill>
                          <a:schemeClr val="tx1"/>
                        </a:solidFill>
                        <a:effectLst/>
                        <a:latin typeface="Cambria Math" panose="02040503050406030204" pitchFamily="18" charset="0"/>
                        <a:ea typeface="+mn-ea"/>
                        <a:cs typeface="+mn-cs"/>
                      </a:rPr>
                      <m:t>𝐺</m:t>
                    </m:r>
                    <m:r>
                      <a:rPr lang="nl-NL" sz="890" i="1">
                        <a:solidFill>
                          <a:schemeClr val="tx1"/>
                        </a:solidFill>
                        <a:effectLst/>
                        <a:latin typeface="Cambria Math" panose="02040503050406030204" pitchFamily="18" charset="0"/>
                        <a:ea typeface="+mn-ea"/>
                        <a:cs typeface="+mn-cs"/>
                      </a:rPr>
                      <m:t>95}</m:t>
                    </m:r>
                  </m:oMath>
                </m:oMathPara>
              </a14:m>
              <a:endParaRPr lang="nl-NL" sz="890"/>
            </a:p>
          </xdr:txBody>
        </xdr:sp>
      </mc:Choice>
      <mc:Fallback xmlns="">
        <xdr:sp macro="" textlink="">
          <xdr:nvSpPr>
            <xdr:cNvPr id="2" name="Tekstvak 1">
              <a:extLst>
                <a:ext uri="{FF2B5EF4-FFF2-40B4-BE49-F238E27FC236}">
                  <a16:creationId xmlns:a16="http://schemas.microsoft.com/office/drawing/2014/main" id="{19C18512-2B71-9602-6A06-5AF88DE76B84}"/>
                </a:ext>
              </a:extLst>
            </xdr:cNvPr>
            <xdr:cNvSpPr txBox="1"/>
          </xdr:nvSpPr>
          <xdr:spPr>
            <a:xfrm>
              <a:off x="13613013" y="35367645"/>
              <a:ext cx="6548588" cy="3077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890" i="0">
                  <a:solidFill>
                    <a:schemeClr val="tx1"/>
                  </a:solidFill>
                  <a:effectLst/>
                  <a:latin typeface="Cambria Math" panose="02040503050406030204" pitchFamily="18" charset="0"/>
                  <a:ea typeface="+mn-ea"/>
                  <a:cs typeface="+mn-cs"/>
                </a:rPr>
                <a:t>(1/𝑀𝑇𝐵𝐹{𝐷91 𝑡𝑜 𝐷95} )𝑥 24 {𝐻𝑜𝑢𝑟𝑠}  𝑥 365,5 {𝐷𝑎𝑦𝑠 𝑝𝑒𝑟 𝑦𝑒𝑎𝑟}  𝑥 𝐶𝑜𝑛𝑡𝑟𝑎𝑐𝑡 𝑌𝑒𝑎𝑟𝑠 {𝐵131 𝑡𝑜 𝐵135}  𝑥 </a:t>
              </a:r>
              <a:r>
                <a:rPr lang="nl-NL" sz="890" b="0" i="0">
                  <a:solidFill>
                    <a:schemeClr val="tx1"/>
                  </a:solidFill>
                  <a:effectLst/>
                  <a:latin typeface="Cambria Math" panose="02040503050406030204" pitchFamily="18" charset="0"/>
                  <a:ea typeface="+mn-ea"/>
                  <a:cs typeface="+mn-cs"/>
                </a:rPr>
                <a:t>𝐴</a:t>
              </a:r>
              <a:r>
                <a:rPr lang="nl-NL" sz="890" i="0">
                  <a:solidFill>
                    <a:schemeClr val="tx1"/>
                  </a:solidFill>
                  <a:effectLst/>
                  <a:latin typeface="Cambria Math" panose="02040503050406030204" pitchFamily="18" charset="0"/>
                  <a:ea typeface="+mn-ea"/>
                  <a:cs typeface="+mn-cs"/>
                </a:rPr>
                <a:t>𝑚𝑜𝑢𝑛𝑡 𝑜𝑓 </a:t>
              </a:r>
              <a:r>
                <a:rPr lang="nl-NL" sz="890" b="0" i="0">
                  <a:solidFill>
                    <a:schemeClr val="tx1"/>
                  </a:solidFill>
                  <a:effectLst/>
                  <a:latin typeface="Cambria Math" panose="02040503050406030204" pitchFamily="18" charset="0"/>
                  <a:ea typeface="+mn-ea"/>
                  <a:cs typeface="+mn-cs"/>
                </a:rPr>
                <a:t>𝑃</a:t>
              </a:r>
              <a:r>
                <a:rPr lang="nl-NL" sz="890" i="0">
                  <a:solidFill>
                    <a:schemeClr val="tx1"/>
                  </a:solidFill>
                  <a:effectLst/>
                  <a:latin typeface="Cambria Math" panose="02040503050406030204" pitchFamily="18" charset="0"/>
                  <a:ea typeface="+mn-ea"/>
                  <a:cs typeface="+mn-cs"/>
                </a:rPr>
                <a:t>𝑟𝑜𝑑𝑢𝑐𝑡𝑠 {𝐺91 𝑡𝑜 𝐺95}</a:t>
              </a:r>
              <a:endParaRPr lang="nl-NL" sz="890"/>
            </a:p>
          </xdr:txBody>
        </xdr:sp>
      </mc:Fallback>
    </mc:AlternateContent>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35"/>
  <sheetViews>
    <sheetView topLeftCell="A5" zoomScale="70" zoomScaleNormal="70" workbookViewId="0">
      <selection activeCell="B19" sqref="B19"/>
    </sheetView>
  </sheetViews>
  <sheetFormatPr defaultColWidth="8.85546875" defaultRowHeight="15" x14ac:dyDescent="0.25"/>
  <cols>
    <col min="1" max="1" width="27.85546875" bestFit="1" customWidth="1"/>
    <col min="2" max="2" width="155.85546875" bestFit="1" customWidth="1"/>
    <col min="3" max="3" width="8.140625" bestFit="1" customWidth="1"/>
    <col min="4" max="4" width="18.85546875" customWidth="1"/>
  </cols>
  <sheetData>
    <row r="1" spans="1:4" ht="15" customHeight="1" x14ac:dyDescent="0.25">
      <c r="B1" s="3"/>
      <c r="D1" s="3"/>
    </row>
    <row r="2" spans="1:4" ht="21" x14ac:dyDescent="0.25">
      <c r="A2" s="231" t="s">
        <v>0</v>
      </c>
      <c r="B2" s="231"/>
      <c r="D2" s="3"/>
    </row>
    <row r="3" spans="1:4" ht="15.75" thickBot="1" x14ac:dyDescent="0.3">
      <c r="B3" s="3"/>
      <c r="D3" s="3"/>
    </row>
    <row r="4" spans="1:4" ht="15.75" thickBot="1" x14ac:dyDescent="0.3">
      <c r="A4" s="217" t="s">
        <v>1</v>
      </c>
      <c r="B4" s="218" t="s">
        <v>2</v>
      </c>
      <c r="D4" s="3"/>
    </row>
    <row r="5" spans="1:4" ht="28.5" x14ac:dyDescent="0.25">
      <c r="A5" s="219" t="s">
        <v>3</v>
      </c>
      <c r="B5" s="220" t="s">
        <v>4</v>
      </c>
      <c r="D5" s="3"/>
    </row>
    <row r="6" spans="1:4" x14ac:dyDescent="0.25">
      <c r="A6" s="221" t="s">
        <v>5</v>
      </c>
      <c r="B6" s="222" t="s">
        <v>6</v>
      </c>
      <c r="D6" s="3"/>
    </row>
    <row r="7" spans="1:4" x14ac:dyDescent="0.25">
      <c r="A7" s="221" t="s">
        <v>7</v>
      </c>
      <c r="B7" s="222" t="s">
        <v>8</v>
      </c>
      <c r="D7" s="3"/>
    </row>
    <row r="8" spans="1:4" x14ac:dyDescent="0.25">
      <c r="A8" s="221" t="s">
        <v>9</v>
      </c>
      <c r="B8" s="222" t="s">
        <v>10</v>
      </c>
      <c r="D8" s="3"/>
    </row>
    <row r="9" spans="1:4" ht="28.5" x14ac:dyDescent="0.25">
      <c r="A9" s="221" t="s">
        <v>11</v>
      </c>
      <c r="B9" s="222" t="s">
        <v>12</v>
      </c>
      <c r="D9" s="3"/>
    </row>
    <row r="10" spans="1:4" x14ac:dyDescent="0.25">
      <c r="A10" s="221" t="s">
        <v>13</v>
      </c>
      <c r="B10" s="222" t="s">
        <v>14</v>
      </c>
      <c r="D10" s="3"/>
    </row>
    <row r="11" spans="1:4" x14ac:dyDescent="0.25">
      <c r="A11" s="221" t="s">
        <v>15</v>
      </c>
      <c r="B11" s="222" t="s">
        <v>16</v>
      </c>
      <c r="D11" s="3"/>
    </row>
    <row r="12" spans="1:4" x14ac:dyDescent="0.25">
      <c r="A12" s="221" t="s">
        <v>17</v>
      </c>
      <c r="B12" s="222" t="s">
        <v>18</v>
      </c>
      <c r="D12" s="3"/>
    </row>
    <row r="13" spans="1:4" ht="15.75" thickBot="1" x14ac:dyDescent="0.3">
      <c r="A13" s="223" t="s">
        <v>19</v>
      </c>
      <c r="B13" s="224" t="s">
        <v>20</v>
      </c>
      <c r="D13" s="3"/>
    </row>
    <row r="14" spans="1:4" x14ac:dyDescent="0.25">
      <c r="B14" s="3"/>
      <c r="D14" s="3"/>
    </row>
    <row r="15" spans="1:4" ht="15.75" thickBot="1" x14ac:dyDescent="0.3">
      <c r="A15" s="200"/>
      <c r="B15" s="200"/>
      <c r="C15" s="200"/>
      <c r="D15" s="201"/>
    </row>
    <row r="16" spans="1:4" ht="29.25" thickBot="1" x14ac:dyDescent="0.3">
      <c r="A16" s="202" t="s">
        <v>21</v>
      </c>
      <c r="B16" s="202" t="s">
        <v>22</v>
      </c>
      <c r="C16" s="202" t="s">
        <v>23</v>
      </c>
      <c r="D16" s="198" t="s">
        <v>24</v>
      </c>
    </row>
    <row r="17" spans="1:4" ht="50.1" customHeight="1" thickBot="1" x14ac:dyDescent="0.3">
      <c r="A17" s="203" t="s">
        <v>25</v>
      </c>
      <c r="B17" s="203" t="s">
        <v>26</v>
      </c>
      <c r="C17" s="203"/>
      <c r="D17" s="199"/>
    </row>
    <row r="18" spans="1:4" ht="15.75" thickBot="1" x14ac:dyDescent="0.3">
      <c r="A18" s="204" t="s">
        <v>27</v>
      </c>
      <c r="B18" s="204"/>
      <c r="C18" s="204"/>
      <c r="D18" s="211"/>
    </row>
    <row r="19" spans="1:4" ht="43.5" thickBot="1" x14ac:dyDescent="0.3">
      <c r="A19" s="203" t="s">
        <v>28</v>
      </c>
      <c r="B19" s="203" t="s">
        <v>29</v>
      </c>
      <c r="C19" s="203" t="s">
        <v>30</v>
      </c>
      <c r="D19" s="199" t="s">
        <v>31</v>
      </c>
    </row>
    <row r="20" spans="1:4" ht="29.25" thickBot="1" x14ac:dyDescent="0.3">
      <c r="A20" s="203" t="s">
        <v>32</v>
      </c>
      <c r="B20" s="203" t="s">
        <v>33</v>
      </c>
      <c r="C20" s="203" t="s">
        <v>34</v>
      </c>
      <c r="D20" s="199" t="s">
        <v>35</v>
      </c>
    </row>
    <row r="21" spans="1:4" ht="25.5" customHeight="1" thickBot="1" x14ac:dyDescent="0.3">
      <c r="A21" s="203" t="s">
        <v>36</v>
      </c>
      <c r="B21" s="203" t="s">
        <v>37</v>
      </c>
      <c r="C21" s="203" t="s">
        <v>38</v>
      </c>
      <c r="D21" s="199"/>
    </row>
    <row r="22" spans="1:4" ht="30" customHeight="1" thickBot="1" x14ac:dyDescent="0.3">
      <c r="A22" s="205" t="s">
        <v>39</v>
      </c>
      <c r="B22" s="205"/>
      <c r="C22" s="205"/>
      <c r="D22" s="212"/>
    </row>
    <row r="23" spans="1:4" ht="54.6" customHeight="1" thickBot="1" x14ac:dyDescent="0.3">
      <c r="A23" s="203" t="s">
        <v>40</v>
      </c>
      <c r="B23" s="203" t="s">
        <v>41</v>
      </c>
      <c r="C23" s="203" t="s">
        <v>42</v>
      </c>
      <c r="D23" s="199" t="s">
        <v>43</v>
      </c>
    </row>
    <row r="24" spans="1:4" ht="29.25" thickBot="1" x14ac:dyDescent="0.3">
      <c r="A24" s="203" t="s">
        <v>44</v>
      </c>
      <c r="B24" s="203" t="s">
        <v>45</v>
      </c>
      <c r="C24" s="203" t="s">
        <v>46</v>
      </c>
      <c r="D24" s="199" t="s">
        <v>47</v>
      </c>
    </row>
    <row r="25" spans="1:4" ht="15.75" thickBot="1" x14ac:dyDescent="0.3">
      <c r="A25" s="203" t="s">
        <v>48</v>
      </c>
      <c r="B25" s="203" t="s">
        <v>49</v>
      </c>
      <c r="C25" s="203" t="s">
        <v>50</v>
      </c>
      <c r="D25" s="199"/>
    </row>
    <row r="26" spans="1:4" ht="15.75" thickBot="1" x14ac:dyDescent="0.3">
      <c r="A26" s="203" t="s">
        <v>51</v>
      </c>
      <c r="B26" s="203" t="s">
        <v>52</v>
      </c>
      <c r="C26" s="203" t="s">
        <v>53</v>
      </c>
      <c r="D26" s="199"/>
    </row>
    <row r="27" spans="1:4" ht="29.25" thickBot="1" x14ac:dyDescent="0.3">
      <c r="A27" s="203" t="s">
        <v>54</v>
      </c>
      <c r="B27" s="203" t="s">
        <v>55</v>
      </c>
      <c r="C27" s="203" t="s">
        <v>56</v>
      </c>
      <c r="D27" s="199" t="s">
        <v>57</v>
      </c>
    </row>
    <row r="28" spans="1:4" ht="15.75" thickBot="1" x14ac:dyDescent="0.3">
      <c r="A28" s="206" t="s">
        <v>58</v>
      </c>
      <c r="B28" s="206"/>
      <c r="C28" s="206"/>
      <c r="D28" s="213"/>
    </row>
    <row r="29" spans="1:4" ht="43.5" thickBot="1" x14ac:dyDescent="0.3">
      <c r="A29" s="203" t="s">
        <v>59</v>
      </c>
      <c r="B29" s="203" t="s">
        <v>60</v>
      </c>
      <c r="C29" s="203" t="s">
        <v>61</v>
      </c>
      <c r="D29" s="199" t="s">
        <v>62</v>
      </c>
    </row>
    <row r="30" spans="1:4" ht="15.75" thickBot="1" x14ac:dyDescent="0.3">
      <c r="A30" s="207" t="s">
        <v>63</v>
      </c>
      <c r="B30" s="207"/>
      <c r="C30" s="207"/>
      <c r="D30" s="214"/>
    </row>
    <row r="31" spans="1:4" ht="43.5" thickBot="1" x14ac:dyDescent="0.3">
      <c r="A31" s="203" t="s">
        <v>64</v>
      </c>
      <c r="B31" s="203" t="s">
        <v>65</v>
      </c>
      <c r="C31" s="203" t="s">
        <v>66</v>
      </c>
      <c r="D31" s="199" t="s">
        <v>62</v>
      </c>
    </row>
    <row r="32" spans="1:4" ht="42.6" customHeight="1" thickBot="1" x14ac:dyDescent="0.3">
      <c r="A32" s="203" t="s">
        <v>67</v>
      </c>
      <c r="B32" s="203" t="s">
        <v>68</v>
      </c>
      <c r="C32" s="203"/>
      <c r="D32" s="199" t="s">
        <v>69</v>
      </c>
    </row>
    <row r="33" spans="1:4" ht="15.75" thickBot="1" x14ac:dyDescent="0.3">
      <c r="A33" s="208" t="s">
        <v>70</v>
      </c>
      <c r="B33" s="208"/>
      <c r="C33" s="215"/>
      <c r="D33" s="216"/>
    </row>
    <row r="34" spans="1:4" ht="43.5" thickBot="1" x14ac:dyDescent="0.3">
      <c r="A34" s="203" t="s">
        <v>71</v>
      </c>
      <c r="B34" s="203" t="s">
        <v>72</v>
      </c>
      <c r="C34" s="203"/>
      <c r="D34" s="209" t="s">
        <v>73</v>
      </c>
    </row>
    <row r="35" spans="1:4" ht="15.75" thickBot="1" x14ac:dyDescent="0.3">
      <c r="A35" s="203" t="s">
        <v>74</v>
      </c>
      <c r="B35" s="203" t="s">
        <v>75</v>
      </c>
      <c r="C35" s="203"/>
      <c r="D35" s="210"/>
    </row>
  </sheetData>
  <sheetProtection algorithmName="SHA-512" hashValue="rUK4D0EJUjMeGHOWYvMnC5bAuC+Q3ATrBrsD43RqvFHhlCi4/sm8g4CxvTZDGzCP+FdnUmY7xjO/Et4wvoOy6w==" saltValue="jbJwEQhOXBh2+UfhGc/MMQ==" spinCount="100000" sheet="1" objects="1" scenarios="1"/>
  <customSheetViews>
    <customSheetView guid="{B5AC064D-419A-6848-AFB2-153F0700B23B}">
      <selection activeCell="A2" sqref="A2"/>
      <pageMargins left="0" right="0" top="0" bottom="0" header="0" footer="0"/>
    </customSheetView>
  </customSheetViews>
  <mergeCells count="1">
    <mergeCell ref="A2:B2"/>
  </mergeCell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A371"/>
  <sheetViews>
    <sheetView tabSelected="1" zoomScale="85" zoomScaleNormal="85" workbookViewId="0">
      <selection activeCell="C12" sqref="C12:E12"/>
    </sheetView>
  </sheetViews>
  <sheetFormatPr defaultColWidth="9.140625" defaultRowHeight="15" outlineLevelRow="1" x14ac:dyDescent="0.25"/>
  <cols>
    <col min="1" max="1" width="64.5703125" customWidth="1"/>
    <col min="2" max="2" width="28.140625" customWidth="1"/>
    <col min="3" max="3" width="20.42578125" customWidth="1"/>
    <col min="4" max="4" width="21.42578125" bestFit="1" customWidth="1"/>
    <col min="5" max="5" width="19.5703125" bestFit="1" customWidth="1"/>
    <col min="6" max="6" width="19.5703125" customWidth="1"/>
    <col min="7" max="7" width="20.140625" customWidth="1"/>
    <col min="8" max="8" width="94.42578125" customWidth="1"/>
    <col min="9" max="9" width="5.85546875" customWidth="1"/>
    <col min="10" max="10" width="14.140625" style="1" hidden="1" customWidth="1"/>
    <col min="11" max="11" width="14.42578125" style="25" hidden="1" customWidth="1"/>
    <col min="12" max="12" width="6" style="1" hidden="1" customWidth="1"/>
    <col min="13" max="13" width="17.85546875" hidden="1" customWidth="1"/>
    <col min="14" max="15" width="11.140625" hidden="1" customWidth="1"/>
    <col min="16" max="16" width="11.85546875" hidden="1" customWidth="1"/>
    <col min="17" max="17" width="13.140625" hidden="1" customWidth="1"/>
    <col min="18" max="23" width="9.140625" hidden="1" customWidth="1"/>
    <col min="24" max="25" width="9.140625" customWidth="1"/>
    <col min="26" max="26" width="7.85546875" customWidth="1"/>
  </cols>
  <sheetData>
    <row r="1" spans="1:27" x14ac:dyDescent="0.25">
      <c r="A1" s="21"/>
      <c r="B1" s="22"/>
      <c r="C1" s="22"/>
      <c r="D1" s="22"/>
      <c r="E1" s="22"/>
      <c r="F1" s="22"/>
      <c r="G1" s="22"/>
      <c r="H1" s="23"/>
      <c r="I1" s="24"/>
      <c r="M1" s="1"/>
      <c r="N1" s="1"/>
      <c r="O1" s="1"/>
      <c r="P1" s="1"/>
      <c r="Q1" s="1"/>
      <c r="R1" s="1"/>
      <c r="S1" s="1"/>
      <c r="T1" s="1"/>
      <c r="U1" s="1"/>
      <c r="V1" s="1"/>
      <c r="W1" s="1"/>
      <c r="X1" s="1"/>
      <c r="Y1" s="1"/>
      <c r="Z1" s="1"/>
      <c r="AA1" s="1"/>
    </row>
    <row r="2" spans="1:27" ht="38.25" customHeight="1" x14ac:dyDescent="0.25">
      <c r="A2" s="234" t="str">
        <f>_xlfn.CONCAT("Annex ",Invulblad!B4," - Pricing Sheet Acquisition and 3rd line Maintenance of ",Invulblad!B5)</f>
        <v>Annex 9 - Pricing Sheet Acquisition and 3rd line Maintenance of Precipitation gauges</v>
      </c>
      <c r="B2" s="235"/>
      <c r="C2" s="235"/>
      <c r="D2" s="235"/>
      <c r="E2" s="235"/>
      <c r="F2" s="235"/>
      <c r="G2" s="235"/>
      <c r="H2" s="236"/>
      <c r="I2" s="26"/>
      <c r="M2" s="1"/>
      <c r="N2" s="1"/>
      <c r="O2" s="1"/>
      <c r="P2" s="1"/>
      <c r="Q2" s="1"/>
      <c r="R2" s="1"/>
      <c r="S2" s="1"/>
      <c r="T2" s="1"/>
      <c r="U2" s="1"/>
      <c r="V2" s="1"/>
      <c r="W2" s="1"/>
      <c r="X2" s="1"/>
      <c r="Y2" s="1"/>
      <c r="Z2" s="1"/>
      <c r="AA2" s="1"/>
    </row>
    <row r="3" spans="1:27" ht="16.5" customHeight="1" x14ac:dyDescent="0.25">
      <c r="A3" s="27"/>
      <c r="B3" s="28"/>
      <c r="C3" s="28"/>
      <c r="D3" s="28"/>
      <c r="E3" s="28"/>
      <c r="F3" s="28"/>
      <c r="G3" s="28"/>
      <c r="H3" s="29"/>
      <c r="I3" s="26"/>
      <c r="M3" s="1"/>
      <c r="N3" s="1"/>
      <c r="O3" s="1"/>
      <c r="P3" s="1"/>
      <c r="Q3" s="1"/>
      <c r="R3" s="1"/>
      <c r="S3" s="1"/>
      <c r="T3" s="1"/>
      <c r="U3" s="1"/>
      <c r="V3" s="1"/>
      <c r="W3" s="1"/>
      <c r="X3" s="1"/>
      <c r="Y3" s="1"/>
      <c r="Z3" s="1"/>
      <c r="AA3" s="1"/>
    </row>
    <row r="4" spans="1:27" x14ac:dyDescent="0.25">
      <c r="A4" s="30"/>
      <c r="B4" s="31"/>
      <c r="C4" s="31"/>
      <c r="D4" s="31"/>
      <c r="E4" s="31"/>
      <c r="F4" s="31"/>
      <c r="G4" s="31"/>
      <c r="H4" s="32"/>
      <c r="I4" s="26"/>
      <c r="M4" s="1"/>
      <c r="N4" s="1"/>
      <c r="O4" s="1"/>
      <c r="P4" s="1"/>
      <c r="Q4" s="1"/>
      <c r="R4" s="1"/>
      <c r="S4" s="1"/>
      <c r="T4" s="1"/>
      <c r="U4" s="1"/>
      <c r="V4" s="1"/>
      <c r="W4" s="1"/>
      <c r="X4" s="1"/>
      <c r="Y4" s="1"/>
      <c r="Z4" s="1"/>
      <c r="AA4" s="1"/>
    </row>
    <row r="5" spans="1:27" x14ac:dyDescent="0.25">
      <c r="A5" s="33" t="s">
        <v>76</v>
      </c>
      <c r="B5" s="328" t="str">
        <f>Invulblad!B6</f>
        <v>TN-472117</v>
      </c>
      <c r="C5" s="328"/>
      <c r="D5" s="328"/>
      <c r="E5" s="328"/>
      <c r="F5" s="328"/>
      <c r="G5" s="328"/>
      <c r="H5" s="329"/>
      <c r="I5" s="26"/>
      <c r="M5" s="1"/>
      <c r="N5" s="1"/>
      <c r="O5" s="1"/>
      <c r="P5" s="1"/>
      <c r="Q5" s="1"/>
      <c r="R5" s="1"/>
      <c r="S5" s="1"/>
      <c r="T5" s="1"/>
      <c r="U5" s="1"/>
      <c r="V5" s="1"/>
      <c r="W5" s="1"/>
      <c r="X5" s="1"/>
      <c r="Y5" s="1"/>
      <c r="Z5" s="1"/>
      <c r="AA5" s="1"/>
    </row>
    <row r="6" spans="1:27" x14ac:dyDescent="0.25">
      <c r="A6" s="34" t="s">
        <v>77</v>
      </c>
      <c r="B6" s="337" t="s">
        <v>266</v>
      </c>
      <c r="C6" s="337"/>
      <c r="D6" s="337"/>
      <c r="E6" s="337"/>
      <c r="F6" s="337"/>
      <c r="G6" s="337"/>
      <c r="H6" s="338"/>
      <c r="I6" s="35">
        <f>IF(B6="……………………………………………….",0,1)</f>
        <v>0</v>
      </c>
      <c r="M6" s="1"/>
      <c r="N6" s="1"/>
      <c r="O6" s="1"/>
      <c r="P6" s="1"/>
      <c r="Q6" s="1"/>
      <c r="R6" s="1"/>
      <c r="S6" s="1"/>
      <c r="T6" s="1"/>
      <c r="U6" s="1"/>
      <c r="V6" s="1"/>
      <c r="W6" s="1"/>
      <c r="X6" s="1"/>
      <c r="Y6" s="1"/>
      <c r="Z6" s="1"/>
      <c r="AA6" s="1"/>
    </row>
    <row r="7" spans="1:27" x14ac:dyDescent="0.25">
      <c r="A7" s="34" t="s">
        <v>78</v>
      </c>
      <c r="B7" s="337" t="s">
        <v>266</v>
      </c>
      <c r="C7" s="337"/>
      <c r="D7" s="337"/>
      <c r="E7" s="337"/>
      <c r="F7" s="337"/>
      <c r="G7" s="337"/>
      <c r="H7" s="338"/>
      <c r="I7" s="35">
        <f>IF(B7="……………………………………………….",0,1)</f>
        <v>0</v>
      </c>
      <c r="M7" s="1"/>
      <c r="N7" s="1"/>
      <c r="O7" s="1"/>
      <c r="P7" s="1"/>
      <c r="Q7" s="1"/>
      <c r="R7" s="1"/>
      <c r="S7" s="1"/>
      <c r="T7" s="1"/>
      <c r="U7" s="1"/>
      <c r="V7" s="1"/>
      <c r="W7" s="1"/>
      <c r="X7" s="1"/>
      <c r="Y7" s="1"/>
      <c r="Z7" s="1"/>
      <c r="AA7" s="1"/>
    </row>
    <row r="8" spans="1:27" x14ac:dyDescent="0.25">
      <c r="A8" s="330" t="s">
        <v>79</v>
      </c>
      <c r="B8" s="328"/>
      <c r="C8" s="328"/>
      <c r="D8" s="328"/>
      <c r="E8" s="328"/>
      <c r="F8" s="328"/>
      <c r="G8" s="328"/>
      <c r="H8" s="329"/>
      <c r="I8" s="26"/>
      <c r="M8" s="1"/>
      <c r="N8" s="1"/>
      <c r="O8" s="1"/>
      <c r="P8" s="1"/>
      <c r="Q8" s="1"/>
      <c r="R8" s="1"/>
      <c r="S8" s="1"/>
      <c r="T8" s="1"/>
      <c r="U8" s="1"/>
      <c r="V8" s="1"/>
      <c r="W8" s="1"/>
      <c r="X8" s="1"/>
      <c r="Y8" s="1"/>
      <c r="Z8" s="1"/>
      <c r="AA8" s="1"/>
    </row>
    <row r="9" spans="1:27" x14ac:dyDescent="0.25">
      <c r="A9" s="334"/>
      <c r="B9" s="335"/>
      <c r="C9" s="335"/>
      <c r="D9" s="335"/>
      <c r="E9" s="335"/>
      <c r="F9" s="335"/>
      <c r="G9" s="335"/>
      <c r="H9" s="336"/>
      <c r="I9" s="26"/>
      <c r="M9" s="1"/>
      <c r="N9" s="1"/>
      <c r="O9" s="1"/>
      <c r="P9" s="1"/>
      <c r="Q9" s="1"/>
      <c r="R9" s="1"/>
      <c r="S9" s="1"/>
      <c r="T9" s="1"/>
      <c r="U9" s="1"/>
      <c r="V9" s="1"/>
      <c r="W9" s="1"/>
      <c r="X9" s="1"/>
      <c r="Y9" s="1"/>
      <c r="Z9" s="1"/>
      <c r="AA9" s="1"/>
    </row>
    <row r="10" spans="1:27" ht="18.75" x14ac:dyDescent="0.25">
      <c r="A10" s="331"/>
      <c r="B10" s="332"/>
      <c r="C10" s="332"/>
      <c r="D10" s="332"/>
      <c r="E10" s="332"/>
      <c r="F10" s="332"/>
      <c r="G10" s="332"/>
      <c r="H10" s="333"/>
      <c r="I10" s="26"/>
      <c r="J10" s="36"/>
      <c r="K10" s="37"/>
      <c r="M10" s="1"/>
      <c r="N10" s="1"/>
      <c r="O10" s="1"/>
      <c r="P10" s="1"/>
      <c r="Q10" s="1"/>
      <c r="R10" s="1"/>
      <c r="S10" s="1"/>
      <c r="T10" s="1"/>
      <c r="U10" s="1"/>
      <c r="V10" s="1"/>
      <c r="W10" s="1"/>
      <c r="X10" s="1"/>
      <c r="Y10" s="1"/>
      <c r="Z10" s="1"/>
      <c r="AA10" s="1"/>
    </row>
    <row r="11" spans="1:27" ht="19.5" thickBot="1" x14ac:dyDescent="0.3">
      <c r="A11" s="38" t="s">
        <v>80</v>
      </c>
      <c r="B11" s="39"/>
      <c r="C11" s="40"/>
      <c r="D11" s="40"/>
      <c r="E11" s="40"/>
      <c r="F11" s="39"/>
      <c r="G11" s="39"/>
      <c r="H11" s="41"/>
      <c r="I11" s="26"/>
      <c r="M11" s="1"/>
      <c r="N11" s="1"/>
      <c r="O11" s="1"/>
      <c r="P11" s="1"/>
      <c r="Q11" s="1"/>
      <c r="R11" s="1"/>
      <c r="S11" s="1"/>
      <c r="T11" s="1"/>
      <c r="U11" s="1"/>
      <c r="V11" s="1"/>
      <c r="W11" s="1"/>
      <c r="X11" s="1"/>
      <c r="Y11" s="1"/>
      <c r="Z11" s="1"/>
      <c r="AA11" s="1"/>
    </row>
    <row r="12" spans="1:27" ht="19.5" thickBot="1" x14ac:dyDescent="0.3">
      <c r="A12" s="274" t="str">
        <f>_xlfn.CONCAT("Type of offered ",Invulblad!B8," (*) ")</f>
        <v xml:space="preserve">Type of offered gauge (*) </v>
      </c>
      <c r="B12" s="275"/>
      <c r="C12" s="276" t="s">
        <v>81</v>
      </c>
      <c r="D12" s="277"/>
      <c r="E12" s="278"/>
      <c r="F12" s="42">
        <f>MATCH(C12,Invulblad!C10:C14,Invulblad!E10:E14)-1</f>
        <v>0</v>
      </c>
      <c r="G12" s="39"/>
      <c r="H12" s="41"/>
      <c r="I12" s="35">
        <f>IF(F12&gt;0,IF(SUM(I14:I17)=4,1,0),0)</f>
        <v>0</v>
      </c>
      <c r="M12" s="1"/>
      <c r="N12" s="1"/>
      <c r="O12" s="1"/>
      <c r="P12" s="1"/>
      <c r="Q12" s="1"/>
      <c r="R12" s="1"/>
      <c r="S12" s="1"/>
      <c r="T12" s="1"/>
      <c r="U12" s="1"/>
      <c r="V12" s="1"/>
      <c r="W12" s="1"/>
      <c r="X12" s="1"/>
      <c r="Y12" s="1"/>
      <c r="Z12" s="1"/>
      <c r="AA12" s="1"/>
    </row>
    <row r="13" spans="1:27" ht="23.25" customHeight="1" x14ac:dyDescent="0.25">
      <c r="A13" s="305" t="s">
        <v>82</v>
      </c>
      <c r="B13" s="283"/>
      <c r="C13" s="43" t="s">
        <v>83</v>
      </c>
      <c r="D13" s="44" t="s">
        <v>84</v>
      </c>
      <c r="E13" s="45" t="s">
        <v>85</v>
      </c>
      <c r="F13" s="46" t="s">
        <v>86</v>
      </c>
      <c r="G13" s="46" t="s">
        <v>87</v>
      </c>
      <c r="H13" s="46" t="s">
        <v>88</v>
      </c>
      <c r="I13" s="26"/>
      <c r="K13" s="47"/>
      <c r="M13" s="1"/>
      <c r="N13" s="1"/>
      <c r="O13" s="1"/>
      <c r="P13" s="1"/>
      <c r="Q13" s="1"/>
      <c r="R13" s="1"/>
      <c r="S13" s="1"/>
      <c r="T13" s="1"/>
      <c r="U13" s="1"/>
      <c r="V13" s="1"/>
      <c r="W13" s="1"/>
      <c r="X13" s="1"/>
      <c r="Y13" s="1"/>
      <c r="Z13" s="1"/>
      <c r="AA13" s="1"/>
    </row>
    <row r="14" spans="1:27" ht="30.6" customHeight="1" x14ac:dyDescent="0.25">
      <c r="A14" s="237" t="str">
        <f>IF($F$12=0,"",IF($F$12=1,Invulblad!D18&amp;CHAR(10)&amp;Invulblad!D19,IF($F$12=2,Invulblad!D27&amp;CHAR(10)&amp;Invulblad!D28,IF($F$12=3,Invulblad!D36&amp;CHAR(10)&amp;Invulblad!D37,IF($F$12=4,Invulblad!D45&amp;CHAR(10)&amp;Invulblad!D46,"")))))</f>
        <v/>
      </c>
      <c r="B14" s="238"/>
      <c r="C14" s="48" t="str">
        <f>IF($F$12=0,"",IF($F$12=1,Invulblad!E18,IF($F$12=2,Invulblad!E27,IF($F$12=3,Invulblad!E36,IF($F$12=4,Invulblad!E45,"")))))</f>
        <v/>
      </c>
      <c r="D14" s="49" t="str">
        <f>IF($F$12=0,"",IF($F$12=1,Invulblad!H18,IF($F$12=2,Invulblad!H27,IF($F$12=3,Invulblad!H36,IF($F$12=4,Invulblad!H45,"")))))</f>
        <v/>
      </c>
      <c r="E14" s="50" t="str">
        <f>IF($F$12=0,"",C14+D14)</f>
        <v/>
      </c>
      <c r="F14" s="8">
        <v>0</v>
      </c>
      <c r="G14" s="12">
        <f>IF($J14=1,E14*F14,0)</f>
        <v>0</v>
      </c>
      <c r="H14" s="279" t="str">
        <f>Invulblad!D57</f>
        <v>The price per unit is inclusive (including all costs such as insurance and shipment to KNMI location De Bilt) and applies to all eventual repeat orders.
The price to be quoted for an auxiliary device is capped at €1.000 each. Offering a higher price will lead to exclusion. 
The amount of units will be ordered in batches, please see Annex 1B for more information.
The surplus is required for research and development.</v>
      </c>
      <c r="I14" s="150">
        <f>IF(J14=0,1,IF(F14&gt;0,1,0))</f>
        <v>1</v>
      </c>
      <c r="J14" s="1">
        <f>IF(OR(C14=0,C14=""),0,1)</f>
        <v>0</v>
      </c>
      <c r="K14" s="185" t="str">
        <f>IF($F$12=0,"",IF($F$12=1,Invulblad!I18,IF($F$12=2,Invulblad!I27,IF($F$12=3,Invulblad!I36,IF($F$12=4,Invulblad!I45,"")))))</f>
        <v/>
      </c>
      <c r="M14" s="1"/>
      <c r="O14" s="1"/>
      <c r="P14" s="1"/>
      <c r="Q14" s="1"/>
      <c r="R14" s="1"/>
      <c r="S14" s="1"/>
      <c r="T14" s="1"/>
      <c r="U14" s="1"/>
      <c r="V14" s="1"/>
      <c r="W14" s="1"/>
      <c r="X14" s="1"/>
      <c r="Y14" s="1"/>
      <c r="Z14" s="1"/>
      <c r="AA14" s="1"/>
    </row>
    <row r="15" spans="1:27" ht="33" customHeight="1" x14ac:dyDescent="0.25">
      <c r="A15" s="237" t="str">
        <f>IF($F$12=0,"",IF($F$12=1,Invulblad!D20&amp;CHAR(10)&amp;Invulblad!D21,IF($F$12=2,Invulblad!D29&amp;CHAR(10)&amp;Invulblad!D30,IF($F$12=3,Invulblad!D38&amp;CHAR(10)&amp;Invulblad!D39,IF($F$12=4,Invulblad!D47&amp;CHAR(10)&amp;Invulblad!D48,"")))))</f>
        <v/>
      </c>
      <c r="B15" s="238"/>
      <c r="C15" s="48" t="str">
        <f>IF($F$12=0,"",IF($F$12=1,Invulblad!E20,IF($F$12=2,Invulblad!E29,IF($F$12=3,Invulblad!E38,IF($F$12=4,Invulblad!E47,"")))))</f>
        <v/>
      </c>
      <c r="D15" s="49" t="str">
        <f>IF($F$12=0,"",IF($F$12=1,Invulblad!H20,IF($F$12=2,Invulblad!H29,IF($F$12=3,Invulblad!H38,IF($F$12=4,Invulblad!H47,"")))))</f>
        <v/>
      </c>
      <c r="E15" s="50" t="str">
        <f t="shared" ref="E15:E17" si="0">IF($F$12=0,"",C15+D15)</f>
        <v/>
      </c>
      <c r="F15" s="8">
        <v>0</v>
      </c>
      <c r="G15" s="12">
        <f t="shared" ref="G15:G17" si="1">IF($J15=1,E15*F15,0)</f>
        <v>0</v>
      </c>
      <c r="H15" s="280"/>
      <c r="I15" s="150">
        <f>IF(J15=0,1,IF(F15&gt;0,1,0))</f>
        <v>1</v>
      </c>
      <c r="J15" s="1">
        <f t="shared" ref="J15:J17" si="2">IF(OR(C15=0,C15=""),0,1)</f>
        <v>0</v>
      </c>
      <c r="K15" s="51" t="str">
        <f>IF($F$12=0,"",IF($F$12=1,Invulblad!I20,IF($F$12=2,Invulblad!I29,IF($F$12=3,Invulblad!I38,IF($F$12=4,Invulblad!I47,"")))))</f>
        <v/>
      </c>
      <c r="M15" s="1"/>
      <c r="N15" s="1"/>
      <c r="O15" s="1"/>
      <c r="P15" s="1"/>
      <c r="Q15" s="1"/>
      <c r="R15" s="1"/>
      <c r="S15" s="1"/>
      <c r="T15" s="1"/>
      <c r="U15" s="1"/>
      <c r="V15" s="1"/>
      <c r="W15" s="1"/>
      <c r="X15" s="1"/>
      <c r="Y15" s="1"/>
      <c r="Z15" s="1"/>
      <c r="AA15" s="1"/>
    </row>
    <row r="16" spans="1:27" ht="33" customHeight="1" x14ac:dyDescent="0.25">
      <c r="A16" s="237" t="str">
        <f>IF($F$12=0,"",IF($F$12=1,Invulblad!D22&amp;CHAR(10)&amp;Invulblad!D23,IF($F$12=2,Invulblad!D31&amp;CHAR(10)&amp;Invulblad!D32,IF($F$12=3,Invulblad!D40&amp;CHAR(10)&amp;Invulblad!D41,IF($F$12=4,Invulblad!D49&amp;CHAR(10)&amp;Invulblad!D50,"")))))</f>
        <v/>
      </c>
      <c r="B16" s="238"/>
      <c r="C16" s="48" t="str">
        <f>IF($F$12=0,"",IF($F$12=1,Invulblad!E22,IF($F$12=2,Invulblad!E31,IF($F$12=3,Invulblad!E40,IF($F$12=4,Invulblad!E49,"")))))</f>
        <v/>
      </c>
      <c r="D16" s="49" t="str">
        <f>IF($F$12=0,"",IF($F$12=1,Invulblad!H22,IF($F$12=2,Invulblad!H31,IF($F$12=3,Invulblad!H40,IF($F$12=4,Invulblad!H49,"")))))</f>
        <v/>
      </c>
      <c r="E16" s="50" t="str">
        <f t="shared" si="0"/>
        <v/>
      </c>
      <c r="F16" s="8">
        <v>4</v>
      </c>
      <c r="G16" s="12">
        <f t="shared" si="1"/>
        <v>0</v>
      </c>
      <c r="H16" s="280"/>
      <c r="I16" s="150">
        <f t="shared" ref="I16:I17" si="3">IF(J16=0,1,IF(F16&gt;0,1,0))</f>
        <v>1</v>
      </c>
      <c r="J16" s="1">
        <f t="shared" si="2"/>
        <v>0</v>
      </c>
      <c r="K16" s="51" t="str">
        <f>IF($F$12=0,"",IF($F$12=1,Invulblad!I22,IF($F$12=2,Invulblad!I31,IF($F$12=3,Invulblad!I40,IF($F$12=4,Invulblad!I49,"")))))</f>
        <v/>
      </c>
      <c r="M16" s="1"/>
      <c r="N16" s="1"/>
      <c r="O16" s="1"/>
      <c r="P16" s="1"/>
      <c r="Q16" s="1"/>
      <c r="R16" s="1"/>
      <c r="S16" s="1"/>
      <c r="T16" s="1"/>
      <c r="U16" s="1"/>
      <c r="V16" s="1"/>
      <c r="W16" s="1"/>
      <c r="X16" s="1"/>
      <c r="Y16" s="1"/>
      <c r="Z16" s="1"/>
      <c r="AA16" s="1"/>
    </row>
    <row r="17" spans="1:27" ht="33" customHeight="1" thickBot="1" x14ac:dyDescent="0.3">
      <c r="A17" s="237" t="str">
        <f>IF($F$12=0,"",IF($F$12=1,Invulblad!D24&amp;CHAR(10)&amp;Invulblad!D25,IF($F$12=2,Invulblad!D33&amp;CHAR(10)&amp;Invulblad!D34,IF($F$12=3,Invulblad!D42&amp;CHAR(10)&amp;Invulblad!D43,IF($F$12=4,Invulblad!D51&amp;CHAR(10)&amp;Invulblad!D52,"")))))</f>
        <v/>
      </c>
      <c r="B17" s="238"/>
      <c r="C17" s="48" t="str">
        <f>IF($F$12=0,"",IF($F$12=1,Invulblad!E24,IF($F$12=2,Invulblad!E33,IF($F$12=3,Invulblad!E42,IF($F$12=4,Invulblad!E51,"")))))</f>
        <v/>
      </c>
      <c r="D17" s="49" t="str">
        <f>IF($F$12=0,"",IF($F$12=1,Invulblad!H24,IF($F$12=2,Invulblad!H33,IF($F$12=3,Invulblad!H42,IF($F$12=4,Invulblad!H51,"")))))</f>
        <v/>
      </c>
      <c r="E17" s="50" t="str">
        <f t="shared" si="0"/>
        <v/>
      </c>
      <c r="F17" s="8">
        <v>4</v>
      </c>
      <c r="G17" s="12">
        <f t="shared" si="1"/>
        <v>0</v>
      </c>
      <c r="H17" s="197"/>
      <c r="I17" s="150">
        <f t="shared" si="3"/>
        <v>1</v>
      </c>
      <c r="J17" s="1">
        <f t="shared" si="2"/>
        <v>0</v>
      </c>
      <c r="K17" s="51" t="str">
        <f>IF($F$12=0,"",IF($F$12=1,Invulblad!I24,IF($F$12=2,Invulblad!I33,IF($F$12=3,Invulblad!I42,IF($F$12=4,Invulblad!I51,"")))))</f>
        <v/>
      </c>
      <c r="M17" s="1"/>
      <c r="N17" s="1"/>
      <c r="O17" s="1"/>
      <c r="P17" s="1"/>
      <c r="Q17" s="1"/>
      <c r="R17" s="1"/>
      <c r="S17" s="1"/>
      <c r="T17" s="1"/>
      <c r="U17" s="1"/>
      <c r="V17" s="1"/>
      <c r="W17" s="1"/>
      <c r="X17" s="1"/>
      <c r="Y17" s="1"/>
      <c r="Z17" s="1"/>
      <c r="AA17" s="1"/>
    </row>
    <row r="18" spans="1:27" ht="19.5" thickBot="1" x14ac:dyDescent="0.3">
      <c r="A18" s="274" t="str">
        <f>_xlfn.CONCAT("Line-replaceable unit (LRU) or spare ",Invulblad!B8," for repair (**) ")</f>
        <v xml:space="preserve">Line-replaceable unit (LRU) or spare gauge for repair (**) </v>
      </c>
      <c r="B18" s="275"/>
      <c r="C18" s="276" t="s">
        <v>81</v>
      </c>
      <c r="D18" s="277"/>
      <c r="E18" s="278"/>
      <c r="F18" s="42">
        <f>IF(C18="LRU",1,IF(C18="Spare",2,IF(C18="None",3,0)))</f>
        <v>0</v>
      </c>
      <c r="G18" s="42" t="str">
        <f>IF(F18=1, "Set LRU for ",IF(F18=2, "Extra Spare ",""))</f>
        <v/>
      </c>
      <c r="H18" s="41"/>
      <c r="I18" s="35">
        <f>IF(AND(F12&gt;0,F18&gt;0),IF(SUM(I20:I23)=4,1,0),0)</f>
        <v>0</v>
      </c>
      <c r="M18" s="1"/>
      <c r="N18" s="1"/>
      <c r="O18" s="1"/>
      <c r="P18" s="1"/>
      <c r="Q18" s="1"/>
      <c r="R18" s="1"/>
      <c r="S18" s="1"/>
      <c r="T18" s="1"/>
      <c r="U18" s="1"/>
      <c r="V18" s="1"/>
      <c r="W18" s="1"/>
      <c r="X18" s="1"/>
      <c r="Y18" s="1"/>
      <c r="Z18" s="1"/>
      <c r="AA18" s="1"/>
    </row>
    <row r="19" spans="1:27" ht="26.85" customHeight="1" x14ac:dyDescent="0.25">
      <c r="A19" s="305" t="s">
        <v>82</v>
      </c>
      <c r="B19" s="283"/>
      <c r="C19" s="57" t="s">
        <v>89</v>
      </c>
      <c r="D19" s="44" t="s">
        <v>90</v>
      </c>
      <c r="E19" s="45"/>
      <c r="F19" s="46" t="s">
        <v>86</v>
      </c>
      <c r="G19" s="46" t="s">
        <v>87</v>
      </c>
      <c r="H19" s="46" t="s">
        <v>88</v>
      </c>
      <c r="I19" s="26"/>
      <c r="J19" s="1" t="s">
        <v>91</v>
      </c>
      <c r="K19" s="47" t="s">
        <v>92</v>
      </c>
      <c r="L19" s="1" t="s">
        <v>93</v>
      </c>
      <c r="M19" s="1"/>
      <c r="N19" s="1"/>
      <c r="O19" s="1"/>
      <c r="P19" s="1"/>
      <c r="Q19" s="1"/>
      <c r="R19" s="1"/>
      <c r="S19" s="1"/>
      <c r="T19" s="1"/>
      <c r="U19" s="1"/>
      <c r="V19" s="1"/>
      <c r="W19" s="1"/>
      <c r="X19" s="1"/>
      <c r="Y19" s="1"/>
      <c r="Z19" s="1"/>
      <c r="AA19" s="1"/>
    </row>
    <row r="20" spans="1:27" x14ac:dyDescent="0.25">
      <c r="A20" s="240" t="str">
        <f>IF($F$12=1, _xlfn.CONCAT($G$18,Invulblad!D18),IF($F$12=2, _xlfn.CONCAT($G$18,Invulblad!D27),IF($F$12=3, _xlfn.CONCAT($G$18,Invulblad!D36),IF($F$12=4, _xlfn.CONCAT($G$18,Invulblad!D45),""))))</f>
        <v/>
      </c>
      <c r="B20" s="241"/>
      <c r="C20" s="180" t="str">
        <f>Invulblad!M18</f>
        <v>No</v>
      </c>
      <c r="D20" s="9"/>
      <c r="E20" s="52"/>
      <c r="F20" s="10">
        <v>0</v>
      </c>
      <c r="G20" s="11">
        <f>MAX(M20:N20)</f>
        <v>0</v>
      </c>
      <c r="H20" s="279" t="str">
        <f>Invulblad!D59</f>
        <v>The application of LRU or spare gauge is described in Annex 4 Requirement 49. The Tenderer indicates the minimum stock required.
Note: The above mentioned surplus for research and development purposes cannot be taken into account. 
Tenderer is obliged to include the price for these items in the bid, but these costs are not included in the overall price comparison.</v>
      </c>
      <c r="I20" s="150">
        <f>IF(AND(J14=1,OR($F$18=1,$F$18=2)),IF(AND(F20&gt;0,D20&gt;0),1,0),1)</f>
        <v>1</v>
      </c>
      <c r="J20" s="1">
        <f>J14</f>
        <v>0</v>
      </c>
      <c r="K20" s="51">
        <f>IF(OR($F$18=1,$F$18=2),1,0)</f>
        <v>0</v>
      </c>
      <c r="L20" s="1">
        <f>IF(AND(J20=1,K20=1),1,0)</f>
        <v>0</v>
      </c>
      <c r="M20" s="187">
        <f>IF(C20="Yes",(D20*F20),0)*L20</f>
        <v>0</v>
      </c>
      <c r="N20" s="190">
        <f>IF(C20="No",(D20*F20),0)*L20</f>
        <v>0</v>
      </c>
      <c r="O20" s="1"/>
      <c r="Q20" s="1"/>
      <c r="R20" s="1"/>
      <c r="S20" s="1"/>
      <c r="T20" s="1"/>
      <c r="U20" s="1"/>
      <c r="V20" s="1"/>
      <c r="W20" s="1"/>
      <c r="X20" s="1"/>
      <c r="Y20" s="1"/>
      <c r="Z20" s="1"/>
      <c r="AA20" s="1"/>
    </row>
    <row r="21" spans="1:27" x14ac:dyDescent="0.25">
      <c r="A21" s="240" t="str">
        <f>IF($F$12=1, _xlfn.CONCAT($G$18,Invulblad!D20),IF($F$12=2, _xlfn.CONCAT($G$18,Invulblad!D29),IF($F$12=3, _xlfn.CONCAT($G$18,Invulblad!D38),IF($F$12=4, _xlfn.CONCAT($G$18,Invulblad!D47),""))))</f>
        <v/>
      </c>
      <c r="B21" s="241"/>
      <c r="C21" s="180" t="str">
        <f>Invulblad!M20</f>
        <v>No</v>
      </c>
      <c r="D21" s="9"/>
      <c r="E21" s="52"/>
      <c r="F21" s="10">
        <v>0</v>
      </c>
      <c r="G21" s="11">
        <f>MAX(M21:N21)</f>
        <v>0</v>
      </c>
      <c r="H21" s="280"/>
      <c r="I21" s="150">
        <f t="shared" ref="I21:I23" si="4">IF(AND(J15=1,OR($F$18=1,$F$18=2)),IF(AND(F21&gt;0,D21&gt;0),1,0),1)</f>
        <v>1</v>
      </c>
      <c r="J21" s="1">
        <f t="shared" ref="J21:J23" si="5">J15</f>
        <v>0</v>
      </c>
      <c r="K21" s="51">
        <f t="shared" ref="K21:K23" si="6">IF(OR($F$18=1,$F$18=2),1,0)</f>
        <v>0</v>
      </c>
      <c r="L21" s="1">
        <f t="shared" ref="L21:L23" si="7">IF(AND(J21=1,K21=1),1,0)</f>
        <v>0</v>
      </c>
      <c r="M21" s="187">
        <f>IF(C21="Yes",(D21*F21),0)*L21</f>
        <v>0</v>
      </c>
      <c r="N21" s="190">
        <f>IF(C21="No",(D21*F21),0)*L21</f>
        <v>0</v>
      </c>
      <c r="O21" s="1"/>
      <c r="P21" s="1"/>
      <c r="Q21" s="1"/>
      <c r="R21" s="1"/>
      <c r="S21" s="1"/>
      <c r="T21" s="1"/>
      <c r="U21" s="1"/>
      <c r="V21" s="1"/>
      <c r="W21" s="1"/>
      <c r="X21" s="1"/>
      <c r="Y21" s="1"/>
      <c r="Z21" s="1"/>
      <c r="AA21" s="1"/>
    </row>
    <row r="22" spans="1:27" x14ac:dyDescent="0.25">
      <c r="A22" s="242" t="str">
        <f>IF($F$12=1, _xlfn.CONCAT($G$18,Invulblad!D22),IF($F$12=2, _xlfn.CONCAT($G$18,Invulblad!D31),IF($F$12=3, _xlfn.CONCAT($G$18,Invulblad!D40),IF($F$12=4, _xlfn.CONCAT($G$18,Invulblad!D49),""))))</f>
        <v/>
      </c>
      <c r="B22" s="243"/>
      <c r="C22" s="180" t="str">
        <f>Invulblad!M22</f>
        <v>No</v>
      </c>
      <c r="D22" s="9"/>
      <c r="E22" s="52"/>
      <c r="F22" s="10"/>
      <c r="G22" s="11">
        <f>MAX(M22:N22)</f>
        <v>0</v>
      </c>
      <c r="H22" s="280"/>
      <c r="I22" s="150">
        <f t="shared" si="4"/>
        <v>1</v>
      </c>
      <c r="J22" s="1">
        <f t="shared" si="5"/>
        <v>0</v>
      </c>
      <c r="K22" s="51">
        <f t="shared" si="6"/>
        <v>0</v>
      </c>
      <c r="L22" s="1">
        <f t="shared" si="7"/>
        <v>0</v>
      </c>
      <c r="M22" s="187">
        <f>IF(C22="Yes",(D22*F22),0)*L22</f>
        <v>0</v>
      </c>
      <c r="N22" s="190">
        <f>IF(C22="No",(D22*F22),0)*L22</f>
        <v>0</v>
      </c>
      <c r="O22" s="1"/>
      <c r="P22" s="1"/>
      <c r="Q22" s="1"/>
      <c r="R22" s="1"/>
      <c r="S22" s="1"/>
      <c r="T22" s="1"/>
      <c r="U22" s="1"/>
      <c r="V22" s="1"/>
      <c r="W22" s="1"/>
      <c r="X22" s="1"/>
      <c r="Y22" s="1"/>
      <c r="Z22" s="1"/>
      <c r="AA22" s="1"/>
    </row>
    <row r="23" spans="1:27" ht="24" customHeight="1" x14ac:dyDescent="0.25">
      <c r="A23" s="242" t="str">
        <f>IF($F$12=1, _xlfn.CONCAT($G$18,Invulblad!D24),IF($F$12=2, _xlfn.CONCAT($G$18,Invulblad!D33),IF($F$12=3, _xlfn.CONCAT($G$18,Invulblad!D42),IF($F$12=4, _xlfn.CONCAT($G$18,Invulblad!D51),""))))</f>
        <v/>
      </c>
      <c r="B23" s="243"/>
      <c r="C23" s="180" t="str">
        <f>Invulblad!M24</f>
        <v>No</v>
      </c>
      <c r="D23" s="9"/>
      <c r="E23" s="52"/>
      <c r="F23" s="10"/>
      <c r="G23" s="11">
        <f>MAX(M23:N23)</f>
        <v>0</v>
      </c>
      <c r="H23" s="281"/>
      <c r="I23" s="150">
        <f t="shared" si="4"/>
        <v>1</v>
      </c>
      <c r="J23" s="1">
        <f t="shared" si="5"/>
        <v>0</v>
      </c>
      <c r="K23" s="51">
        <f t="shared" si="6"/>
        <v>0</v>
      </c>
      <c r="L23" s="1">
        <f t="shared" si="7"/>
        <v>0</v>
      </c>
      <c r="M23" s="187">
        <f>IF(C23="Yes",(D23*F23),0)*L23</f>
        <v>0</v>
      </c>
      <c r="N23" s="190">
        <f>IF(C23="No",(D23*F23),0)*L23</f>
        <v>0</v>
      </c>
      <c r="O23" s="1"/>
      <c r="P23" s="1"/>
      <c r="Q23" s="1"/>
      <c r="R23" s="1"/>
      <c r="S23" s="1"/>
      <c r="T23" s="1"/>
      <c r="U23" s="1"/>
      <c r="V23" s="1"/>
      <c r="W23" s="1"/>
      <c r="X23" s="1"/>
      <c r="Y23" s="1"/>
      <c r="Z23" s="1"/>
      <c r="AA23" s="1"/>
    </row>
    <row r="24" spans="1:27" x14ac:dyDescent="0.25">
      <c r="A24" s="244"/>
      <c r="B24" s="245"/>
      <c r="C24" s="245"/>
      <c r="D24" s="245"/>
      <c r="E24" s="245"/>
      <c r="F24" s="245"/>
      <c r="G24" s="245"/>
      <c r="H24" s="246"/>
      <c r="I24" s="26"/>
      <c r="K24" s="51"/>
      <c r="M24" s="1"/>
      <c r="N24" s="1"/>
      <c r="O24" s="1"/>
      <c r="P24" s="1"/>
      <c r="Q24" s="1"/>
      <c r="R24" s="1"/>
      <c r="S24" s="1"/>
      <c r="T24" s="1"/>
      <c r="U24" s="1"/>
      <c r="V24" s="1"/>
      <c r="W24" s="1"/>
      <c r="X24" s="1"/>
      <c r="Y24" s="1"/>
      <c r="Z24" s="1"/>
      <c r="AA24" s="1"/>
    </row>
    <row r="25" spans="1:27" ht="15.75" thickBot="1" x14ac:dyDescent="0.3">
      <c r="A25" s="232" t="s">
        <v>94</v>
      </c>
      <c r="B25" s="233"/>
      <c r="C25" s="297">
        <f>Invulblad!E55</f>
        <v>2</v>
      </c>
      <c r="D25" s="298"/>
      <c r="E25" s="299"/>
      <c r="F25" s="13">
        <v>0</v>
      </c>
      <c r="G25" s="14">
        <f>IF(C25&gt;0,C25*F25,0)</f>
        <v>0</v>
      </c>
      <c r="H25" s="54"/>
      <c r="I25" s="35">
        <f>IF(C25=0,1,IF(F25&gt;0,1,0))</f>
        <v>0</v>
      </c>
      <c r="K25" s="51"/>
      <c r="M25" s="191">
        <f>G25</f>
        <v>0</v>
      </c>
      <c r="N25" s="192"/>
      <c r="O25" s="1"/>
      <c r="P25" s="1"/>
      <c r="Q25" s="1"/>
      <c r="R25" s="1"/>
      <c r="S25" s="1"/>
      <c r="T25" s="1"/>
      <c r="U25" s="1"/>
      <c r="V25" s="1"/>
      <c r="W25" s="1"/>
      <c r="X25" s="1"/>
      <c r="Y25" s="1"/>
      <c r="Z25" s="1"/>
      <c r="AA25" s="1"/>
    </row>
    <row r="26" spans="1:27" ht="20.100000000000001" customHeight="1" x14ac:dyDescent="0.25">
      <c r="A26" s="258" t="s">
        <v>95</v>
      </c>
      <c r="B26" s="259"/>
      <c r="C26" s="259"/>
      <c r="D26" s="259"/>
      <c r="E26" s="259"/>
      <c r="F26" s="260"/>
      <c r="G26" s="80">
        <f>M26</f>
        <v>0</v>
      </c>
      <c r="H26" s="55"/>
      <c r="I26" s="26"/>
      <c r="K26" s="51"/>
      <c r="M26" s="193">
        <f>SUM(M20:M25)+SUM(G14:G17)</f>
        <v>0</v>
      </c>
      <c r="N26" s="190">
        <f>SUM(N20:N25)</f>
        <v>0</v>
      </c>
      <c r="O26" s="1"/>
      <c r="P26" s="1"/>
      <c r="Q26" s="1"/>
      <c r="R26" s="1"/>
      <c r="S26" s="1"/>
      <c r="T26" s="1"/>
      <c r="U26" s="1"/>
      <c r="V26" s="1"/>
      <c r="W26" s="1"/>
      <c r="X26" s="1"/>
      <c r="Y26" s="1"/>
      <c r="Z26" s="1"/>
      <c r="AA26" s="1"/>
    </row>
    <row r="27" spans="1:27" ht="20.100000000000001" customHeight="1" x14ac:dyDescent="0.25">
      <c r="A27" s="258" t="s">
        <v>96</v>
      </c>
      <c r="B27" s="259"/>
      <c r="C27" s="259"/>
      <c r="D27" s="259"/>
      <c r="E27" s="259"/>
      <c r="F27" s="260"/>
      <c r="G27" s="225">
        <f>N26</f>
        <v>0</v>
      </c>
      <c r="H27" s="181"/>
      <c r="I27" s="26"/>
      <c r="K27" s="51"/>
      <c r="M27" s="1"/>
      <c r="N27" s="1"/>
      <c r="O27" s="1"/>
      <c r="P27" s="1"/>
      <c r="Q27" s="1"/>
      <c r="R27" s="1"/>
      <c r="S27" s="1"/>
      <c r="T27" s="1"/>
      <c r="U27" s="1"/>
      <c r="V27" s="1"/>
      <c r="W27" s="1"/>
      <c r="X27" s="1"/>
      <c r="Y27" s="1"/>
      <c r="Z27" s="1"/>
      <c r="AA27" s="1"/>
    </row>
    <row r="28" spans="1:27" ht="20.100000000000001" customHeight="1" x14ac:dyDescent="0.25">
      <c r="A28" s="244"/>
      <c r="B28" s="245"/>
      <c r="C28" s="245"/>
      <c r="D28" s="245"/>
      <c r="E28" s="245"/>
      <c r="F28" s="245"/>
      <c r="G28" s="245"/>
      <c r="H28" s="246"/>
      <c r="I28" s="26"/>
      <c r="K28" s="56"/>
      <c r="M28" s="1"/>
      <c r="N28" s="1"/>
      <c r="O28" s="1"/>
      <c r="P28" s="1"/>
      <c r="Q28" s="1"/>
      <c r="R28" s="1"/>
      <c r="S28" s="1"/>
      <c r="T28" s="1"/>
      <c r="U28" s="1"/>
      <c r="V28" s="1"/>
      <c r="W28" s="1"/>
      <c r="X28" s="1"/>
      <c r="Y28" s="1"/>
      <c r="Z28" s="1"/>
      <c r="AA28" s="1"/>
    </row>
    <row r="29" spans="1:27" ht="20.100000000000001" customHeight="1" x14ac:dyDescent="0.25">
      <c r="A29" s="345" t="s">
        <v>97</v>
      </c>
      <c r="B29" s="346"/>
      <c r="C29" s="346"/>
      <c r="D29" s="346"/>
      <c r="E29" s="346"/>
      <c r="F29" s="346"/>
      <c r="G29" s="346"/>
      <c r="H29" s="347"/>
      <c r="I29" s="26"/>
      <c r="K29" s="56"/>
      <c r="M29" s="1"/>
      <c r="N29" s="1"/>
      <c r="O29" s="1"/>
      <c r="P29" s="1"/>
      <c r="Q29" s="1"/>
      <c r="R29" s="1"/>
      <c r="S29" s="1"/>
      <c r="T29" s="1"/>
      <c r="U29" s="1"/>
      <c r="V29" s="1"/>
      <c r="W29" s="1"/>
      <c r="X29" s="1"/>
      <c r="Y29" s="1"/>
      <c r="Z29" s="1"/>
      <c r="AA29" s="1"/>
    </row>
    <row r="30" spans="1:27" ht="27.6" customHeight="1" x14ac:dyDescent="0.25">
      <c r="A30" s="305" t="s">
        <v>98</v>
      </c>
      <c r="B30" s="283"/>
      <c r="C30" s="57" t="s">
        <v>89</v>
      </c>
      <c r="D30" s="57"/>
      <c r="E30" s="58" t="s">
        <v>90</v>
      </c>
      <c r="F30" s="46" t="s">
        <v>99</v>
      </c>
      <c r="G30" s="46" t="s">
        <v>87</v>
      </c>
      <c r="H30" s="46" t="s">
        <v>88</v>
      </c>
      <c r="I30" s="26"/>
      <c r="K30" s="56"/>
      <c r="L30" s="1" t="s">
        <v>100</v>
      </c>
      <c r="M30" s="1" t="s">
        <v>101</v>
      </c>
      <c r="N30" s="1" t="s">
        <v>102</v>
      </c>
      <c r="O30" s="1" t="s">
        <v>103</v>
      </c>
      <c r="P30" s="1"/>
      <c r="Q30" s="1"/>
      <c r="R30" s="1"/>
      <c r="S30" s="1"/>
      <c r="T30" s="1"/>
      <c r="U30" s="1"/>
      <c r="V30" s="1"/>
      <c r="W30" s="1"/>
      <c r="X30" s="1"/>
      <c r="Y30" s="1"/>
      <c r="Z30" s="1"/>
      <c r="AA30" s="1"/>
    </row>
    <row r="31" spans="1:27" ht="20.100000000000001" customHeight="1" x14ac:dyDescent="0.25">
      <c r="A31" s="272" t="str">
        <f>Invulblad!D62</f>
        <v>Standpoles for windscreen set-ups</v>
      </c>
      <c r="B31" s="306"/>
      <c r="C31" s="60" t="str">
        <f>Invulblad!F62</f>
        <v>No</v>
      </c>
      <c r="D31" s="152" t="s">
        <v>104</v>
      </c>
      <c r="E31" s="62">
        <f>Invulblad!E62</f>
        <v>22</v>
      </c>
      <c r="F31" s="18">
        <v>0</v>
      </c>
      <c r="G31" s="64">
        <f>MAX(P31:Q31)</f>
        <v>0</v>
      </c>
      <c r="H31" s="309" t="s">
        <v>105</v>
      </c>
      <c r="I31" s="35">
        <f>IF(AND(F31&gt;0,OR(D31&lt;&gt;"&lt;Enter Choice&gt;",K31=1)),1,IF(J31=1,1,0))</f>
        <v>0</v>
      </c>
      <c r="J31" s="1">
        <f>IF(OR(D31="Not Necessary",A31=0),1,0)</f>
        <v>0</v>
      </c>
      <c r="K31" s="56">
        <f>IF(Invulblad!G62="Nee", 1,0)</f>
        <v>1</v>
      </c>
      <c r="L31" s="1">
        <f>IF(A31=0,0,1)</f>
        <v>1</v>
      </c>
      <c r="M31" s="1">
        <f>IF(Invulblad!G62="Nee",0,1)</f>
        <v>0</v>
      </c>
      <c r="N31" s="1">
        <f>IF(D31="Necessary",1,0)</f>
        <v>0</v>
      </c>
      <c r="O31" s="1">
        <f>IF(M31=1,N31,1)</f>
        <v>1</v>
      </c>
      <c r="P31" s="187">
        <f>IF(C31="Yes",(E31*F31),0)*L31*O31</f>
        <v>0</v>
      </c>
      <c r="Q31" s="187">
        <f>IF(C31="No",(E31*F31),0)*L31*O31</f>
        <v>0</v>
      </c>
      <c r="R31" s="1"/>
      <c r="S31" s="1"/>
      <c r="T31" s="1"/>
      <c r="U31" s="1"/>
      <c r="V31" s="1"/>
      <c r="W31" s="1"/>
      <c r="X31" s="1"/>
      <c r="Y31" s="1"/>
      <c r="Z31" s="1"/>
      <c r="AA31" s="1"/>
    </row>
    <row r="32" spans="1:27" ht="20.100000000000001" customHeight="1" x14ac:dyDescent="0.25">
      <c r="A32" s="272" t="str">
        <f>Invulblad!D63</f>
        <v>Standpoles for english pit set-ups</v>
      </c>
      <c r="B32" s="306"/>
      <c r="C32" s="60" t="str">
        <f>Invulblad!F63</f>
        <v>No</v>
      </c>
      <c r="D32" s="152" t="s">
        <v>104</v>
      </c>
      <c r="E32" s="62">
        <f>Invulblad!E63</f>
        <v>15</v>
      </c>
      <c r="F32" s="18">
        <v>0</v>
      </c>
      <c r="G32" s="64">
        <f>MAX(P32:Q32)</f>
        <v>0</v>
      </c>
      <c r="H32" s="310"/>
      <c r="I32" s="35">
        <f t="shared" ref="I32:I35" si="8">IF(AND(F32&gt;0,OR(D32&lt;&gt;"&lt;Enter Choice&gt;",K32=1)),1,IF(J32=1,1,0))</f>
        <v>0</v>
      </c>
      <c r="J32" s="1">
        <f>IF(OR(D32="Not Necessary",A32=0),1,0)</f>
        <v>0</v>
      </c>
      <c r="K32" s="56">
        <f>IF(Invulblad!G63="Nee", 1,0)</f>
        <v>1</v>
      </c>
      <c r="L32" s="1">
        <f t="shared" ref="L32:L35" si="9">IF(A32=0,0,1)</f>
        <v>1</v>
      </c>
      <c r="M32" s="1">
        <f>IF(Invulblad!G63="Nee",0,1)</f>
        <v>0</v>
      </c>
      <c r="N32" s="1">
        <f>IF(D32="Necessary",1,0)</f>
        <v>0</v>
      </c>
      <c r="O32" s="1">
        <f t="shared" ref="O32:O35" si="10">IF(M32=1,N32,1)</f>
        <v>1</v>
      </c>
      <c r="P32" s="187">
        <f>IF(C32="Yes",(E32*F32),0)*L32*O32</f>
        <v>0</v>
      </c>
      <c r="Q32" s="187">
        <f>IF(C32="No",(E32*F32),0)*L32*O32</f>
        <v>0</v>
      </c>
      <c r="R32" s="1"/>
      <c r="S32" s="1"/>
      <c r="T32" s="1"/>
      <c r="U32" s="1"/>
      <c r="V32" s="1"/>
      <c r="W32" s="1"/>
      <c r="X32" s="1"/>
      <c r="Y32" s="1"/>
      <c r="Z32" s="1"/>
      <c r="AA32" s="1"/>
    </row>
    <row r="33" spans="1:27" ht="20.100000000000001" customHeight="1" x14ac:dyDescent="0.25">
      <c r="A33" s="272" t="str">
        <f>Invulblad!D64</f>
        <v>Windscreens (only when needed because of gauge dimensions, see Annex 4 requirement 58)</v>
      </c>
      <c r="B33" s="306"/>
      <c r="C33" s="60" t="str">
        <f>Invulblad!F64</f>
        <v>Yes</v>
      </c>
      <c r="D33" s="152" t="s">
        <v>104</v>
      </c>
      <c r="E33" s="62">
        <f>Invulblad!E64</f>
        <v>22</v>
      </c>
      <c r="F33" s="18">
        <v>0</v>
      </c>
      <c r="G33" s="64">
        <f>MAX(P33:Q33)</f>
        <v>0</v>
      </c>
      <c r="H33" s="65"/>
      <c r="I33" s="35">
        <f t="shared" si="8"/>
        <v>0</v>
      </c>
      <c r="J33" s="1">
        <f t="shared" ref="J33:J34" si="11">IF(OR(D33="Not Necessary",A33=0),1,0)</f>
        <v>0</v>
      </c>
      <c r="K33" s="56">
        <f>IF(Invulblad!G64="Nee", 1,0)</f>
        <v>0</v>
      </c>
      <c r="L33" s="1">
        <f t="shared" si="9"/>
        <v>1</v>
      </c>
      <c r="M33" s="1">
        <f>IF(Invulblad!G64="Nee",0,1)</f>
        <v>1</v>
      </c>
      <c r="N33" s="1">
        <f>IF(D33="Necessary",1,0)</f>
        <v>0</v>
      </c>
      <c r="O33" s="1">
        <f t="shared" si="10"/>
        <v>0</v>
      </c>
      <c r="P33" s="187">
        <f>IF(C33="Yes",(E33*F33),0)*L33*O33</f>
        <v>0</v>
      </c>
      <c r="Q33" s="187">
        <f>IF(C33="No",(E33*F33),0)*L33*O33</f>
        <v>0</v>
      </c>
      <c r="R33" s="1"/>
      <c r="S33" s="1"/>
      <c r="T33" s="1"/>
      <c r="U33" s="1"/>
      <c r="V33" s="1"/>
      <c r="W33" s="1"/>
      <c r="X33" s="1"/>
      <c r="Y33" s="1"/>
      <c r="Z33" s="1"/>
      <c r="AA33" s="1"/>
    </row>
    <row r="34" spans="1:27" ht="20.100000000000001" customHeight="1" x14ac:dyDescent="0.25">
      <c r="A34" s="272" t="str">
        <f>Invulblad!D65</f>
        <v>Field calibrators when applicable</v>
      </c>
      <c r="B34" s="306"/>
      <c r="C34" s="60" t="str">
        <f>Invulblad!F65</f>
        <v>No</v>
      </c>
      <c r="D34" s="61" t="s">
        <v>104</v>
      </c>
      <c r="E34" s="62">
        <v>8</v>
      </c>
      <c r="F34" s="18">
        <v>0</v>
      </c>
      <c r="G34" s="64">
        <f>MAX(P34:Q34)</f>
        <v>0</v>
      </c>
      <c r="H34" s="65"/>
      <c r="I34" s="35">
        <f t="shared" si="8"/>
        <v>0</v>
      </c>
      <c r="J34" s="1">
        <f t="shared" si="11"/>
        <v>0</v>
      </c>
      <c r="K34" s="56">
        <f>IF(Invulblad!G65="Nee", 1,0)</f>
        <v>1</v>
      </c>
      <c r="L34" s="1">
        <f t="shared" si="9"/>
        <v>1</v>
      </c>
      <c r="M34" s="1">
        <f>IF(Invulblad!G65="Nee",0,1)</f>
        <v>0</v>
      </c>
      <c r="N34" s="1">
        <f>IF(D34="Necessary",1,0)</f>
        <v>0</v>
      </c>
      <c r="O34" s="1">
        <f t="shared" si="10"/>
        <v>1</v>
      </c>
      <c r="P34" s="187">
        <f>IF(C34="Yes",(E34*F34),0)*L34*O34</f>
        <v>0</v>
      </c>
      <c r="Q34" s="187">
        <f>IF(C34="No",(E34*F34),0)*L34*O34</f>
        <v>0</v>
      </c>
      <c r="R34" s="1"/>
      <c r="S34" s="1"/>
      <c r="T34" s="1"/>
      <c r="U34" s="1"/>
      <c r="V34" s="1"/>
      <c r="W34" s="1"/>
      <c r="X34" s="1"/>
      <c r="Y34" s="1"/>
      <c r="Z34" s="1"/>
      <c r="AA34" s="1"/>
    </row>
    <row r="35" spans="1:27" ht="20.100000000000001" customHeight="1" x14ac:dyDescent="0.25">
      <c r="A35" s="272" t="str">
        <f>Invulblad!D66</f>
        <v>Maintenance sets and tools</v>
      </c>
      <c r="B35" s="306"/>
      <c r="C35" s="60" t="str">
        <f>Invulblad!F66</f>
        <v>Yes</v>
      </c>
      <c r="D35" s="152" t="s">
        <v>104</v>
      </c>
      <c r="E35" s="62">
        <f>Invulblad!E66</f>
        <v>8</v>
      </c>
      <c r="F35" s="18">
        <v>0</v>
      </c>
      <c r="G35" s="64">
        <f>MAX(P35:Q35)</f>
        <v>0</v>
      </c>
      <c r="H35" s="228" t="s">
        <v>106</v>
      </c>
      <c r="I35" s="35">
        <f t="shared" si="8"/>
        <v>0</v>
      </c>
      <c r="J35" s="1">
        <f>IF(OR(D35="Not Necessary",A35=0),1,0)</f>
        <v>0</v>
      </c>
      <c r="K35" s="56">
        <f>IF(Invulblad!G66="Nee", 1,0)</f>
        <v>0</v>
      </c>
      <c r="L35" s="1">
        <f t="shared" si="9"/>
        <v>1</v>
      </c>
      <c r="M35" s="1">
        <f>IF(Invulblad!G66="Nee",0,1)</f>
        <v>1</v>
      </c>
      <c r="N35" s="1">
        <f>IF(D35="Necessary",1,0)</f>
        <v>0</v>
      </c>
      <c r="O35" s="1">
        <f t="shared" si="10"/>
        <v>0</v>
      </c>
      <c r="P35" s="187">
        <f>IF(C35="Yes",(E35*F35),0)*L35*O35</f>
        <v>0</v>
      </c>
      <c r="Q35" s="187">
        <f>IF(C35="No",(E35*F35),0)*L35*O35</f>
        <v>0</v>
      </c>
      <c r="R35" s="1"/>
      <c r="S35" s="1"/>
      <c r="T35" s="1"/>
      <c r="U35" s="1"/>
      <c r="V35" s="1"/>
      <c r="W35" s="1"/>
      <c r="X35" s="1"/>
      <c r="Y35" s="1"/>
      <c r="Z35" s="1"/>
      <c r="AA35" s="1"/>
    </row>
    <row r="36" spans="1:27" ht="20.100000000000001" customHeight="1" x14ac:dyDescent="0.25">
      <c r="A36" s="66"/>
      <c r="B36" s="67"/>
      <c r="C36" s="68"/>
      <c r="D36" s="69"/>
      <c r="E36" s="70"/>
      <c r="F36" s="70"/>
      <c r="G36" s="71"/>
      <c r="H36" s="65"/>
      <c r="I36" s="26"/>
      <c r="K36" s="56"/>
      <c r="P36" s="1"/>
      <c r="Q36" s="1"/>
      <c r="R36" s="1"/>
      <c r="S36" s="1"/>
      <c r="T36" s="1"/>
      <c r="U36" s="1"/>
      <c r="V36" s="1"/>
      <c r="W36" s="1"/>
      <c r="X36" s="1"/>
      <c r="Y36" s="1"/>
      <c r="Z36" s="1"/>
      <c r="AA36" s="1"/>
    </row>
    <row r="37" spans="1:27" ht="20.100000000000001" customHeight="1" x14ac:dyDescent="0.25">
      <c r="A37" s="305" t="s">
        <v>98</v>
      </c>
      <c r="B37" s="283"/>
      <c r="C37" s="339" t="s">
        <v>107</v>
      </c>
      <c r="D37" s="340"/>
      <c r="E37" s="341"/>
      <c r="F37" s="75" t="s">
        <v>108</v>
      </c>
      <c r="G37" s="76"/>
      <c r="H37" s="77"/>
      <c r="I37" s="26"/>
      <c r="K37" s="56"/>
      <c r="P37" s="1"/>
      <c r="Q37" s="1"/>
      <c r="R37" s="1"/>
      <c r="S37" s="1"/>
      <c r="T37" s="1"/>
      <c r="U37" s="1"/>
      <c r="V37" s="1"/>
      <c r="W37" s="1"/>
      <c r="X37" s="1"/>
      <c r="Y37" s="1"/>
      <c r="Z37" s="1"/>
      <c r="AA37" s="1"/>
    </row>
    <row r="38" spans="1:27" ht="27" thickBot="1" x14ac:dyDescent="0.3">
      <c r="A38" s="307" t="s">
        <v>54</v>
      </c>
      <c r="B38" s="308"/>
      <c r="C38" s="342">
        <f>Invulblad!E68</f>
        <v>5</v>
      </c>
      <c r="D38" s="343"/>
      <c r="E38" s="344"/>
      <c r="F38" s="2">
        <v>0</v>
      </c>
      <c r="G38" s="78">
        <f t="shared" ref="G38" si="12">C38*F38</f>
        <v>0</v>
      </c>
      <c r="H38" s="79" t="str">
        <f>_xlfn.CONCAT("Training covers of all items stated in Annex ",Invulblad!F70," section ",Invulblad!F71," Training. The state number of training sessions is estimated and may vary.")</f>
        <v>Training covers of all items stated in Annex 4 section 6 Training. The state number of training sessions is estimated and may vary.</v>
      </c>
      <c r="I38" s="35">
        <f>IF(F38&gt;0,1,0)</f>
        <v>0</v>
      </c>
      <c r="K38" s="56"/>
      <c r="P38" s="188">
        <f>G38</f>
        <v>0</v>
      </c>
      <c r="Q38" s="189"/>
      <c r="R38" s="1"/>
      <c r="S38" s="1"/>
      <c r="T38" s="1"/>
      <c r="U38" s="1"/>
      <c r="V38" s="1"/>
      <c r="W38" s="1"/>
      <c r="X38" s="1"/>
      <c r="Y38" s="1"/>
      <c r="Z38" s="1"/>
      <c r="AA38" s="1"/>
    </row>
    <row r="39" spans="1:27" ht="20.100000000000001" customHeight="1" x14ac:dyDescent="0.25">
      <c r="A39" s="258" t="s">
        <v>95</v>
      </c>
      <c r="B39" s="259"/>
      <c r="C39" s="259"/>
      <c r="D39" s="259"/>
      <c r="E39" s="259"/>
      <c r="F39" s="260"/>
      <c r="G39" s="80">
        <f>P39</f>
        <v>0</v>
      </c>
      <c r="H39" s="65"/>
      <c r="I39" s="26"/>
      <c r="K39" s="56"/>
      <c r="P39" s="187">
        <f>SUM(P31:P38)</f>
        <v>0</v>
      </c>
      <c r="Q39" s="187">
        <f>SUM(Q31:Q38)</f>
        <v>0</v>
      </c>
      <c r="R39" s="1"/>
      <c r="S39" s="1"/>
      <c r="T39" s="1"/>
      <c r="U39" s="1"/>
      <c r="V39" s="1"/>
      <c r="W39" s="1"/>
      <c r="X39" s="1"/>
      <c r="Y39" s="1"/>
      <c r="Z39" s="1"/>
      <c r="AA39" s="1"/>
    </row>
    <row r="40" spans="1:27" ht="20.100000000000001" customHeight="1" x14ac:dyDescent="0.25">
      <c r="A40" s="258" t="s">
        <v>96</v>
      </c>
      <c r="B40" s="259"/>
      <c r="C40" s="259"/>
      <c r="D40" s="259"/>
      <c r="E40" s="259"/>
      <c r="F40" s="260"/>
      <c r="G40" s="80">
        <f>Q39</f>
        <v>0</v>
      </c>
      <c r="H40" s="65"/>
      <c r="I40" s="26"/>
      <c r="K40" s="56"/>
      <c r="M40" s="1"/>
      <c r="N40" s="1"/>
      <c r="O40" s="1"/>
      <c r="P40" s="1"/>
      <c r="Q40" s="1"/>
      <c r="R40" s="1"/>
      <c r="S40" s="1"/>
      <c r="T40" s="1"/>
      <c r="U40" s="1"/>
      <c r="V40" s="1"/>
      <c r="W40" s="1"/>
      <c r="X40" s="1"/>
      <c r="Y40" s="1"/>
      <c r="Z40" s="1"/>
      <c r="AA40" s="1"/>
    </row>
    <row r="41" spans="1:27" ht="20.100000000000001" customHeight="1" x14ac:dyDescent="0.25">
      <c r="A41" s="286" t="s">
        <v>109</v>
      </c>
      <c r="B41" s="286"/>
      <c r="C41" s="286"/>
      <c r="D41" s="286"/>
      <c r="E41" s="286"/>
      <c r="F41" s="286"/>
      <c r="G41" s="286"/>
      <c r="H41" s="286"/>
      <c r="I41" s="26"/>
      <c r="M41" s="1"/>
      <c r="N41" s="1"/>
      <c r="O41" s="1"/>
      <c r="P41" s="1"/>
      <c r="Q41" s="1"/>
      <c r="R41" s="1"/>
      <c r="S41" s="1"/>
      <c r="T41" s="1"/>
      <c r="U41" s="1"/>
      <c r="V41" s="1"/>
      <c r="W41" s="1"/>
      <c r="X41" s="1"/>
      <c r="Y41" s="1"/>
      <c r="Z41" s="1"/>
      <c r="AA41" s="1"/>
    </row>
    <row r="42" spans="1:27" ht="20.100000000000001" customHeight="1" x14ac:dyDescent="0.25">
      <c r="A42" s="305" t="s">
        <v>98</v>
      </c>
      <c r="B42" s="283"/>
      <c r="C42" s="300"/>
      <c r="D42" s="301"/>
      <c r="E42" s="302"/>
      <c r="F42" s="46"/>
      <c r="G42" s="46"/>
      <c r="H42" s="46" t="s">
        <v>88</v>
      </c>
      <c r="I42" s="26"/>
      <c r="K42" s="56"/>
      <c r="M42" s="1"/>
      <c r="N42" s="1"/>
      <c r="O42" s="1"/>
      <c r="P42" s="1"/>
      <c r="Q42" s="1"/>
      <c r="R42" s="1"/>
      <c r="S42" s="1"/>
      <c r="T42" s="1"/>
      <c r="U42" s="1"/>
      <c r="V42" s="1"/>
      <c r="W42" s="1"/>
      <c r="X42" s="1"/>
      <c r="Y42" s="1"/>
      <c r="Z42" s="1"/>
      <c r="AA42" s="1"/>
    </row>
    <row r="43" spans="1:27" ht="20.100000000000001" customHeight="1" x14ac:dyDescent="0.25">
      <c r="A43" s="272" t="s">
        <v>110</v>
      </c>
      <c r="B43" s="273"/>
      <c r="C43" s="81"/>
      <c r="D43" s="19" t="s">
        <v>81</v>
      </c>
      <c r="E43" s="82"/>
      <c r="F43" s="83" t="s">
        <v>111</v>
      </c>
      <c r="G43" s="84"/>
      <c r="H43" s="59" t="str">
        <f>_xlfn.CONCAT("Enter number from 1 to ",Invulblad!P78)</f>
        <v>Enter number from 1 to 2</v>
      </c>
      <c r="I43" s="35">
        <f>IF(J43=1,IF(D43="&lt;Enter Choice &gt;",0,IF(D43&gt;0,1,0)),1)</f>
        <v>0</v>
      </c>
      <c r="J43" s="1">
        <f>IF(Invulblad!E74="ja",1,0)</f>
        <v>1</v>
      </c>
      <c r="K43" s="56"/>
      <c r="M43" s="1"/>
      <c r="N43" s="1"/>
      <c r="O43" s="1"/>
      <c r="P43" s="1"/>
      <c r="Q43" s="1"/>
      <c r="R43" s="1"/>
      <c r="S43" s="1"/>
      <c r="T43" s="1"/>
      <c r="U43" s="1"/>
      <c r="V43" s="1"/>
      <c r="W43" s="1"/>
      <c r="X43" s="1"/>
      <c r="Y43" s="1"/>
      <c r="Z43" s="1"/>
      <c r="AA43" s="1"/>
    </row>
    <row r="44" spans="1:27" ht="20.100000000000001" customHeight="1" x14ac:dyDescent="0.25">
      <c r="A44" s="272" t="s">
        <v>112</v>
      </c>
      <c r="B44" s="273"/>
      <c r="C44" s="81"/>
      <c r="D44" s="19" t="s">
        <v>81</v>
      </c>
      <c r="E44" s="82"/>
      <c r="F44" s="83" t="s">
        <v>111</v>
      </c>
      <c r="G44" s="84"/>
      <c r="H44" s="59" t="str">
        <f>_xlfn.CONCAT("Enter number from 1 to ",Invulblad!P79)</f>
        <v>Enter number from 1 to 6</v>
      </c>
      <c r="I44" s="35">
        <f>IF(J44=1,IF(D44="&lt;Enter Choice &gt;",0,IF(D44&gt;0,1,0)),1)</f>
        <v>1</v>
      </c>
      <c r="J44" s="1">
        <f>IF(Invulblad!E75="ja",1,0)</f>
        <v>0</v>
      </c>
      <c r="K44" s="56"/>
      <c r="M44" s="1"/>
      <c r="N44" s="1"/>
      <c r="O44" s="1"/>
      <c r="P44" s="1"/>
      <c r="Q44" s="1"/>
      <c r="R44" s="1"/>
      <c r="S44" s="1"/>
      <c r="T44" s="1"/>
      <c r="U44" s="1"/>
      <c r="V44" s="1"/>
      <c r="W44" s="1"/>
      <c r="X44" s="1"/>
      <c r="Y44" s="1"/>
      <c r="Z44" s="1"/>
      <c r="AA44" s="1"/>
    </row>
    <row r="45" spans="1:27" ht="20.100000000000001" customHeight="1" x14ac:dyDescent="0.25">
      <c r="A45" s="272" t="s">
        <v>113</v>
      </c>
      <c r="B45" s="273"/>
      <c r="C45" s="81"/>
      <c r="D45" s="19" t="s">
        <v>81</v>
      </c>
      <c r="E45" s="82"/>
      <c r="F45" s="83" t="s">
        <v>111</v>
      </c>
      <c r="G45" s="84"/>
      <c r="H45" s="59" t="str">
        <f>_xlfn.CONCAT("Enter number from 1 to ",Invulblad!P80)</f>
        <v>Enter number from 1 to 6</v>
      </c>
      <c r="I45" s="35">
        <f>IF(J45=1,IF(D45="&lt;Enter Choice &gt;",0,IF(D45&gt;0,1,0)),1)</f>
        <v>1</v>
      </c>
      <c r="J45" s="1">
        <f>IF(Invulblad!E76="ja",1,0)</f>
        <v>0</v>
      </c>
      <c r="K45" s="56"/>
      <c r="M45" s="1"/>
      <c r="N45" s="1"/>
      <c r="O45" s="1"/>
      <c r="P45" s="1"/>
      <c r="Q45" s="1"/>
      <c r="R45" s="1"/>
      <c r="S45" s="1"/>
      <c r="T45" s="1"/>
      <c r="U45" s="1"/>
      <c r="V45" s="1"/>
      <c r="W45" s="1"/>
      <c r="X45" s="1"/>
      <c r="Y45" s="1"/>
      <c r="Z45" s="1"/>
      <c r="AA45" s="1"/>
    </row>
    <row r="46" spans="1:27" ht="20.100000000000001" customHeight="1" x14ac:dyDescent="0.25">
      <c r="A46" s="287" t="s">
        <v>114</v>
      </c>
      <c r="B46" s="288"/>
      <c r="C46" s="254">
        <f>Invulblad!E81</f>
        <v>150</v>
      </c>
      <c r="D46" s="254"/>
      <c r="E46" s="254"/>
      <c r="F46" s="46" t="s">
        <v>115</v>
      </c>
      <c r="G46" s="84"/>
      <c r="H46" s="85" t="s">
        <v>116</v>
      </c>
      <c r="I46" s="26"/>
      <c r="K46" s="56"/>
      <c r="M46" s="1"/>
      <c r="N46" s="1"/>
      <c r="O46" s="1"/>
      <c r="P46" s="1"/>
      <c r="Q46" s="1"/>
      <c r="R46" s="1"/>
      <c r="S46" s="1"/>
      <c r="T46" s="1"/>
      <c r="U46" s="1"/>
      <c r="V46" s="1"/>
      <c r="W46" s="1"/>
      <c r="X46" s="1"/>
      <c r="Y46" s="1"/>
      <c r="Z46" s="1"/>
      <c r="AA46" s="1"/>
    </row>
    <row r="47" spans="1:27" ht="25.5" customHeight="1" x14ac:dyDescent="0.25">
      <c r="A47" s="261" t="s">
        <v>117</v>
      </c>
      <c r="B47" s="261"/>
      <c r="C47" s="261"/>
      <c r="D47" s="261"/>
      <c r="E47" s="261"/>
      <c r="F47" s="261"/>
      <c r="G47" s="261"/>
      <c r="H47" s="262"/>
      <c r="I47" s="26"/>
      <c r="M47" s="1"/>
      <c r="N47" s="1"/>
      <c r="O47" s="1"/>
      <c r="P47" s="1"/>
      <c r="Q47" s="1"/>
      <c r="R47" s="1"/>
      <c r="S47" s="1"/>
      <c r="T47" s="1"/>
      <c r="U47" s="1"/>
      <c r="V47" s="1"/>
      <c r="W47" s="1"/>
      <c r="X47" s="1"/>
      <c r="Y47" s="1"/>
      <c r="Z47" s="1"/>
      <c r="AA47" s="1"/>
    </row>
    <row r="48" spans="1:27" x14ac:dyDescent="0.25">
      <c r="A48" s="263"/>
      <c r="B48" s="263"/>
      <c r="C48" s="263"/>
      <c r="D48" s="263"/>
      <c r="E48" s="263"/>
      <c r="F48" s="263"/>
      <c r="G48" s="263"/>
      <c r="H48" s="264"/>
      <c r="I48" s="26"/>
      <c r="M48" s="1"/>
      <c r="N48" s="1"/>
      <c r="O48" s="1"/>
      <c r="P48" s="1"/>
      <c r="Q48" s="1"/>
      <c r="R48" s="1"/>
      <c r="S48" s="1"/>
      <c r="T48" s="1"/>
      <c r="U48" s="1"/>
      <c r="V48" s="1"/>
      <c r="W48" s="1"/>
      <c r="X48" s="1"/>
      <c r="Y48" s="1"/>
      <c r="Z48" s="1"/>
      <c r="AA48" s="1"/>
    </row>
    <row r="49" spans="1:27" ht="32.1" hidden="1" customHeight="1" outlineLevel="1" x14ac:dyDescent="0.25">
      <c r="A49" s="265"/>
      <c r="B49" s="266"/>
      <c r="C49" s="86" t="s">
        <v>118</v>
      </c>
      <c r="D49" s="87" t="s">
        <v>119</v>
      </c>
      <c r="E49" s="87" t="s">
        <v>120</v>
      </c>
      <c r="F49" s="88"/>
      <c r="G49" s="46" t="s">
        <v>121</v>
      </c>
      <c r="H49" s="75" t="s">
        <v>88</v>
      </c>
      <c r="I49" s="26"/>
      <c r="M49" s="1"/>
      <c r="N49" s="1"/>
      <c r="O49" s="1"/>
      <c r="P49" s="1"/>
      <c r="Q49" s="1"/>
      <c r="R49" s="1"/>
      <c r="S49" s="1"/>
      <c r="T49" s="1"/>
      <c r="U49" s="1"/>
      <c r="V49" s="1"/>
      <c r="W49" s="1"/>
      <c r="X49" s="1"/>
      <c r="Y49" s="1"/>
      <c r="Z49" s="1"/>
      <c r="AA49" s="1"/>
    </row>
    <row r="50" spans="1:27" hidden="1" outlineLevel="1" x14ac:dyDescent="0.25">
      <c r="A50" s="267"/>
      <c r="B50" s="268"/>
      <c r="C50" s="89">
        <f>IF(Invulblad!F74=1,Invulblad!E84,0)</f>
        <v>1</v>
      </c>
      <c r="D50" s="90">
        <f>IF(Invulblad!F75=1,Invulblad!E85,0)</f>
        <v>0</v>
      </c>
      <c r="E50" s="91">
        <f>IF(Invulblad!F76=1,Invulblad!E86,0)</f>
        <v>0</v>
      </c>
      <c r="F50" s="88"/>
      <c r="G50" s="46"/>
      <c r="H50" s="85" t="s">
        <v>122</v>
      </c>
      <c r="I50" s="26"/>
      <c r="M50" s="1"/>
      <c r="N50" s="1"/>
      <c r="O50" s="1"/>
      <c r="P50" s="1"/>
      <c r="Q50" s="1"/>
      <c r="R50" s="1"/>
      <c r="S50" s="1"/>
      <c r="T50" s="1"/>
      <c r="U50" s="1"/>
      <c r="V50" s="1"/>
      <c r="W50" s="1"/>
      <c r="X50" s="1"/>
      <c r="Y50" s="1"/>
      <c r="Z50" s="1"/>
      <c r="AA50" s="1"/>
    </row>
    <row r="51" spans="1:27" ht="20.100000000000001" hidden="1" customHeight="1" outlineLevel="1" x14ac:dyDescent="0.25">
      <c r="A51" s="232" t="s">
        <v>123</v>
      </c>
      <c r="B51" s="233"/>
      <c r="C51" s="92">
        <f>Invulblad!F88</f>
        <v>9</v>
      </c>
      <c r="D51" s="92">
        <f>Invulblad!G88</f>
        <v>0</v>
      </c>
      <c r="E51" s="92">
        <f>Invulblad!H88</f>
        <v>0</v>
      </c>
      <c r="F51" s="92">
        <v>0</v>
      </c>
      <c r="G51" s="63">
        <f>IFERROR((C51*IF($D$43="&lt;Enter Choice &gt;",0,$D$43)*$C$46*$C$50)+(D51*IF($D$44="&lt;Enter Choice &gt;",0,$D$44)*$C$46*$D$50)+(E51*IF($D$45="&lt;Enter Choice &gt;",0,$D$45)*$C$46*$E$50),0)</f>
        <v>0</v>
      </c>
      <c r="H51" s="255" t="s">
        <v>124</v>
      </c>
      <c r="I51" s="26"/>
      <c r="J51" s="1">
        <v>1</v>
      </c>
      <c r="K51" s="51"/>
      <c r="M51" s="1"/>
      <c r="N51" s="1"/>
      <c r="O51" s="1"/>
      <c r="P51" s="1"/>
      <c r="Q51" s="1"/>
      <c r="R51" s="1"/>
      <c r="S51" s="1">
        <f>IF(J51&lt;=Invulblad!$G$115,G51,0)</f>
        <v>0</v>
      </c>
      <c r="T51" s="1">
        <f>IF(J51&lt;=Invulblad!$G$116,G51,0)</f>
        <v>0</v>
      </c>
      <c r="U51" s="1">
        <f>IF(J51&lt;=Invulblad!$G$117,G51,0)</f>
        <v>0</v>
      </c>
      <c r="V51" s="1">
        <f>IF(J51&lt;=Invulblad!$G$118,G51,0)</f>
        <v>0</v>
      </c>
      <c r="W51" s="1">
        <f>IF(J51&lt;=Invulblad!$G$119,G51,0)</f>
        <v>0</v>
      </c>
      <c r="X51" s="1"/>
      <c r="Y51" s="1"/>
      <c r="Z51" s="1"/>
      <c r="AA51" s="1"/>
    </row>
    <row r="52" spans="1:27" ht="20.100000000000001" hidden="1" customHeight="1" outlineLevel="1" x14ac:dyDescent="0.25">
      <c r="A52" s="232" t="str">
        <f>IF(J52&lt;=Invulblad!$G$115,_xlfn.CONCAT("Year ",J52),IF(J52&lt;=Invulblad!$G$116,_xlfn.CONCAT("Year ",J52,Invulblad!$H$116),IF(J52&lt;=Invulblad!$G$117,_xlfn.CONCAT("Year ",J52,Invulblad!$H$117),IF(J52&lt;=Invulblad!$G$118,_xlfn.CONCAT("Year ",J52,Invulblad!$H$118),IF(J52&lt;=Invulblad!$G$119,_xlfn.CONCAT("Year ",J52,Invulblad!$H$119),0)))))</f>
        <v>Year 2</v>
      </c>
      <c r="B52" s="233"/>
      <c r="C52" s="92">
        <f>IF(A52&lt;&gt;0,C51+Invulblad!F89,0)</f>
        <v>45</v>
      </c>
      <c r="D52" s="92">
        <f>IF(A52&lt;&gt;0,D51+Invulblad!G89,0)</f>
        <v>0</v>
      </c>
      <c r="E52" s="92">
        <f>IF(A52&lt;&gt;0,E51+Invulblad!H89,0)</f>
        <v>0</v>
      </c>
      <c r="F52" s="92">
        <v>3</v>
      </c>
      <c r="G52" s="63">
        <f t="shared" ref="G52:G80" si="13">IFERROR((C52*IF($D$43="&lt;Enter Choice &gt;",0,$D$43)*$C$46*$C$50)+(D52*IF($D$44="&lt;Enter Choice &gt;",0,$D$44)*$C$46*$D$50)+(E52*IF($D$45="&lt;Enter Choice &gt;",0,$D$45)*$C$46*$E$50),0)</f>
        <v>0</v>
      </c>
      <c r="H52" s="256"/>
      <c r="I52" s="26"/>
      <c r="J52" s="1">
        <f>J51+1</f>
        <v>2</v>
      </c>
      <c r="K52" s="51"/>
      <c r="M52" s="1"/>
      <c r="N52" s="1"/>
      <c r="O52" s="1"/>
      <c r="P52" s="1"/>
      <c r="Q52" s="1"/>
      <c r="R52" s="1"/>
      <c r="S52" s="1">
        <f>IF(J52&lt;=Invulblad!$G$115,G52,0)</f>
        <v>0</v>
      </c>
      <c r="T52" s="1">
        <f>IF(J52&lt;=Invulblad!$G$116,G52,0)</f>
        <v>0</v>
      </c>
      <c r="U52" s="1">
        <f>IF(J52&lt;=Invulblad!$G$117,G52,0)</f>
        <v>0</v>
      </c>
      <c r="V52" s="1">
        <f>IF(J52&lt;=Invulblad!$G$118,G52,0)</f>
        <v>0</v>
      </c>
      <c r="W52" s="1">
        <f>IF(J52&lt;=Invulblad!$G$119,G52,0)</f>
        <v>0</v>
      </c>
      <c r="X52" s="1"/>
      <c r="Y52" s="1"/>
      <c r="Z52" s="1"/>
      <c r="AA52" s="1"/>
    </row>
    <row r="53" spans="1:27" ht="20.100000000000001" hidden="1" customHeight="1" outlineLevel="1" x14ac:dyDescent="0.25">
      <c r="A53" s="232" t="str">
        <f>IF(J53&lt;=Invulblad!$G$115,_xlfn.CONCAT("Year ",J53),IF(J53&lt;=Invulblad!$G$116,_xlfn.CONCAT("Year ",J53,Invulblad!$H$116),IF(J53&lt;=Invulblad!$G$117,_xlfn.CONCAT("Year ",J53,Invulblad!$H$117),IF(J53&lt;=Invulblad!$G$118,_xlfn.CONCAT("Year ",J53,Invulblad!$H$118),IF(J53&lt;=Invulblad!$G$119,_xlfn.CONCAT("Year ",J53,Invulblad!$H$119),0)))))</f>
        <v>Year 3</v>
      </c>
      <c r="B53" s="233"/>
      <c r="C53" s="92">
        <f>IF(A53&lt;&gt;0,C52+Invulblad!F90,0)</f>
        <v>45</v>
      </c>
      <c r="D53" s="92">
        <f>IF(A53&lt;&gt;0,D52+Invulblad!G90,0)</f>
        <v>0</v>
      </c>
      <c r="E53" s="92">
        <f>IF(A53&lt;&gt;0,E52+Invulblad!H90,0)</f>
        <v>0</v>
      </c>
      <c r="F53" s="92">
        <v>9</v>
      </c>
      <c r="G53" s="63">
        <f t="shared" si="13"/>
        <v>0</v>
      </c>
      <c r="H53" s="256"/>
      <c r="I53" s="26"/>
      <c r="J53" s="1">
        <f t="shared" ref="J53:J80" si="14">J52+1</f>
        <v>3</v>
      </c>
      <c r="K53" s="51"/>
      <c r="M53" s="1"/>
      <c r="N53" s="1"/>
      <c r="O53" s="1"/>
      <c r="P53" s="1"/>
      <c r="Q53" s="1"/>
      <c r="R53" s="1"/>
      <c r="S53" s="1">
        <f>IF(J53&lt;=Invulblad!$G$115,G53,0)</f>
        <v>0</v>
      </c>
      <c r="T53" s="1">
        <f>IF(J53&lt;=Invulblad!$G$116,G53,0)</f>
        <v>0</v>
      </c>
      <c r="U53" s="1">
        <f>IF(J53&lt;=Invulblad!$G$117,G53,0)</f>
        <v>0</v>
      </c>
      <c r="V53" s="1">
        <f>IF(J53&lt;=Invulblad!$G$118,G53,0)</f>
        <v>0</v>
      </c>
      <c r="W53" s="1">
        <f>IF(J53&lt;=Invulblad!$G$119,G53,0)</f>
        <v>0</v>
      </c>
      <c r="X53" s="1"/>
      <c r="Y53" s="1"/>
      <c r="Z53" s="1"/>
      <c r="AA53" s="1"/>
    </row>
    <row r="54" spans="1:27" ht="20.100000000000001" hidden="1" customHeight="1" outlineLevel="1" x14ac:dyDescent="0.25">
      <c r="A54" s="232" t="str">
        <f>IF(J54&lt;=Invulblad!$G$115,_xlfn.CONCAT("Year ",J54),IF(J54&lt;=Invulblad!$G$116,_xlfn.CONCAT("Year ",J54,Invulblad!$H$116),IF(J54&lt;=Invulblad!$G$117,_xlfn.CONCAT("Year ",J54,Invulblad!$H$117),IF(J54&lt;=Invulblad!$G$118,_xlfn.CONCAT("Year ",J54,Invulblad!$H$118),IF(J54&lt;=Invulblad!$G$119,_xlfn.CONCAT("Year ",J54,Invulblad!$H$119),0)))))</f>
        <v>Year 4</v>
      </c>
      <c r="B54" s="233"/>
      <c r="C54" s="92">
        <f>IF(A54&lt;&gt;0,C53+Invulblad!F91,0)</f>
        <v>45</v>
      </c>
      <c r="D54" s="92">
        <f>IF(A54&lt;&gt;0,D53+Invulblad!G91,0)</f>
        <v>0</v>
      </c>
      <c r="E54" s="92">
        <f>IF(A54&lt;&gt;0,E53+Invulblad!H91,0)</f>
        <v>0</v>
      </c>
      <c r="F54" s="92">
        <v>9</v>
      </c>
      <c r="G54" s="63">
        <f t="shared" si="13"/>
        <v>0</v>
      </c>
      <c r="H54" s="256"/>
      <c r="I54" s="26"/>
      <c r="J54" s="1">
        <f t="shared" si="14"/>
        <v>4</v>
      </c>
      <c r="K54" s="51"/>
      <c r="M54" s="1"/>
      <c r="N54" s="1"/>
      <c r="O54" s="1"/>
      <c r="P54" s="1"/>
      <c r="Q54" s="1"/>
      <c r="R54" s="1"/>
      <c r="S54" s="1">
        <f>IF(J54&lt;=Invulblad!$G$115,G54,0)</f>
        <v>0</v>
      </c>
      <c r="T54" s="1">
        <f>IF(J54&lt;=Invulblad!$G$116,G54,0)</f>
        <v>0</v>
      </c>
      <c r="U54" s="1">
        <f>IF(J54&lt;=Invulblad!$G$117,G54,0)</f>
        <v>0</v>
      </c>
      <c r="V54" s="1">
        <f>IF(J54&lt;=Invulblad!$G$118,G54,0)</f>
        <v>0</v>
      </c>
      <c r="W54" s="1">
        <f>IF(J54&lt;=Invulblad!$G$119,G54,0)</f>
        <v>0</v>
      </c>
      <c r="X54" s="1"/>
      <c r="Y54" s="1"/>
      <c r="Z54" s="1"/>
      <c r="AA54" s="1"/>
    </row>
    <row r="55" spans="1:27" ht="20.100000000000001" hidden="1" customHeight="1" outlineLevel="1" x14ac:dyDescent="0.25">
      <c r="A55" s="232" t="str">
        <f>IF(J55&lt;=Invulblad!$G$115,_xlfn.CONCAT("Year ",J55),IF(J55&lt;=Invulblad!$G$116,_xlfn.CONCAT("Year ",J55,Invulblad!$H$116),IF(J55&lt;=Invulblad!$G$117,_xlfn.CONCAT("Year ",J55,Invulblad!$H$117),IF(J55&lt;=Invulblad!$G$118,_xlfn.CONCAT("Year ",J55,Invulblad!$H$118),IF(J55&lt;=Invulblad!$G$119,_xlfn.CONCAT("Year ",J55,Invulblad!$H$119),0)))))</f>
        <v>Year 5</v>
      </c>
      <c r="B55" s="233"/>
      <c r="C55" s="92">
        <f>IF(A55&lt;&gt;0,C54+Invulblad!F92,0)</f>
        <v>45</v>
      </c>
      <c r="D55" s="92">
        <f>IF(A55&lt;&gt;0,D54+Invulblad!G92,0)</f>
        <v>0</v>
      </c>
      <c r="E55" s="92">
        <f>IF(A55&lt;&gt;0,E54+Invulblad!I92,0)</f>
        <v>0</v>
      </c>
      <c r="F55" s="92">
        <v>9</v>
      </c>
      <c r="G55" s="63">
        <f t="shared" si="13"/>
        <v>0</v>
      </c>
      <c r="H55" s="256"/>
      <c r="I55" s="26"/>
      <c r="J55" s="1">
        <f t="shared" si="14"/>
        <v>5</v>
      </c>
      <c r="K55" s="51"/>
      <c r="M55" s="1"/>
      <c r="N55" s="1"/>
      <c r="O55" s="1"/>
      <c r="P55" s="1"/>
      <c r="Q55" s="1"/>
      <c r="R55" s="1"/>
      <c r="S55" s="1">
        <f>IF(J55&lt;=Invulblad!$G$115,G55,0)</f>
        <v>0</v>
      </c>
      <c r="T55" s="1">
        <f>IF(J55&lt;=Invulblad!$G$116,G55,0)</f>
        <v>0</v>
      </c>
      <c r="U55" s="1">
        <f>IF(J55&lt;=Invulblad!$G$117,G55,0)</f>
        <v>0</v>
      </c>
      <c r="V55" s="1">
        <f>IF(J55&lt;=Invulblad!$G$118,G55,0)</f>
        <v>0</v>
      </c>
      <c r="W55" s="1">
        <f>IF(J55&lt;=Invulblad!$G$119,G55,0)</f>
        <v>0</v>
      </c>
      <c r="X55" s="1"/>
      <c r="Y55" s="1"/>
      <c r="Z55" s="1"/>
      <c r="AA55" s="1"/>
    </row>
    <row r="56" spans="1:27" ht="21" hidden="1" customHeight="1" outlineLevel="1" x14ac:dyDescent="0.25">
      <c r="A56" s="232" t="str">
        <f>IF(J56&lt;=Invulblad!$G$115,_xlfn.CONCAT("Year ",J56),IF(J56&lt;=Invulblad!$G$116,_xlfn.CONCAT("Year ",J56,Invulblad!$H$116),IF(J56&lt;=Invulblad!$G$117,_xlfn.CONCAT("Year ",J56,Invulblad!$H$117),IF(J56&lt;=Invulblad!$G$118,_xlfn.CONCAT("Year ",J56,Invulblad!$H$118),IF(J56&lt;=Invulblad!$G$119,_xlfn.CONCAT("Year ",J56,Invulblad!$H$119),0)))))</f>
        <v>Year 6</v>
      </c>
      <c r="B56" s="233"/>
      <c r="C56" s="92">
        <f>IF(A56&lt;&gt;0,C52,0)</f>
        <v>45</v>
      </c>
      <c r="D56" s="92">
        <f>IF(A56&lt;&gt;0,D52,0)</f>
        <v>0</v>
      </c>
      <c r="E56" s="92">
        <f>IF(A56&lt;&gt;0,E52,0)</f>
        <v>0</v>
      </c>
      <c r="F56" s="92">
        <v>9</v>
      </c>
      <c r="G56" s="63">
        <f t="shared" si="13"/>
        <v>0</v>
      </c>
      <c r="H56" s="256"/>
      <c r="I56" s="26"/>
      <c r="J56" s="1">
        <f t="shared" si="14"/>
        <v>6</v>
      </c>
      <c r="K56" s="51"/>
      <c r="M56" s="1"/>
      <c r="N56" s="1"/>
      <c r="O56" s="1"/>
      <c r="P56" s="1"/>
      <c r="Q56" s="1"/>
      <c r="R56" s="1"/>
      <c r="S56" s="1">
        <f>IF(J56&lt;=Invulblad!$G$115,G56,0)</f>
        <v>0</v>
      </c>
      <c r="T56" s="1">
        <f>IF(J56&lt;=Invulblad!$G$116,G56,0)</f>
        <v>0</v>
      </c>
      <c r="U56" s="1">
        <f>IF(J56&lt;=Invulblad!$G$117,G56,0)</f>
        <v>0</v>
      </c>
      <c r="V56" s="1">
        <f>IF(J56&lt;=Invulblad!$G$118,G56,0)</f>
        <v>0</v>
      </c>
      <c r="W56" s="1">
        <f>IF(J56&lt;=Invulblad!$G$119,G56,0)</f>
        <v>0</v>
      </c>
      <c r="X56" s="1"/>
      <c r="Y56" s="1"/>
      <c r="Z56" s="1"/>
      <c r="AA56" s="1"/>
    </row>
    <row r="57" spans="1:27" ht="21" hidden="1" customHeight="1" outlineLevel="1" x14ac:dyDescent="0.25">
      <c r="A57" s="232" t="str">
        <f>IF(J57&lt;=Invulblad!$G$115,_xlfn.CONCAT("Year ",J57),IF(J57&lt;=Invulblad!$G$116,_xlfn.CONCAT("Year ",J57,Invulblad!$H$116),IF(J57&lt;=Invulblad!$G$117,_xlfn.CONCAT("Year ",J57,Invulblad!$H$117),IF(J57&lt;=Invulblad!$G$118,_xlfn.CONCAT("Year ",J57,Invulblad!$H$118),IF(J57&lt;=Invulblad!$G$119,_xlfn.CONCAT("Year ",J57,Invulblad!$H$119),0)))))</f>
        <v>Year 7</v>
      </c>
      <c r="B57" s="233"/>
      <c r="C57" s="92">
        <f>IF(A57&lt;&gt;0,C52,0)</f>
        <v>45</v>
      </c>
      <c r="D57" s="92">
        <f>IF(A57&lt;&gt;0,D52,0)</f>
        <v>0</v>
      </c>
      <c r="E57" s="92">
        <f>IF(A57&lt;&gt;0,E52,0)</f>
        <v>0</v>
      </c>
      <c r="F57" s="92">
        <v>9</v>
      </c>
      <c r="G57" s="63">
        <f t="shared" si="13"/>
        <v>0</v>
      </c>
      <c r="H57" s="256"/>
      <c r="I57" s="26"/>
      <c r="J57" s="1">
        <f t="shared" si="14"/>
        <v>7</v>
      </c>
      <c r="K57" s="51"/>
      <c r="M57" s="1"/>
      <c r="N57" s="1"/>
      <c r="O57" s="1"/>
      <c r="P57" s="1"/>
      <c r="Q57" s="1"/>
      <c r="R57" s="1"/>
      <c r="S57" s="1">
        <f>IF(J57&lt;=Invulblad!$G$115,G57,0)</f>
        <v>0</v>
      </c>
      <c r="T57" s="1">
        <f>IF(J57&lt;=Invulblad!$G$116,G57,0)</f>
        <v>0</v>
      </c>
      <c r="U57" s="1">
        <f>IF(J57&lt;=Invulblad!$G$117,G57,0)</f>
        <v>0</v>
      </c>
      <c r="V57" s="1">
        <f>IF(J57&lt;=Invulblad!$G$118,G57,0)</f>
        <v>0</v>
      </c>
      <c r="W57" s="1">
        <f>IF(J57&lt;=Invulblad!$G$119,G57,0)</f>
        <v>0</v>
      </c>
      <c r="X57" s="1"/>
      <c r="Y57" s="1"/>
      <c r="Z57" s="1"/>
      <c r="AA57" s="1"/>
    </row>
    <row r="58" spans="1:27" ht="21" hidden="1" customHeight="1" outlineLevel="1" x14ac:dyDescent="0.25">
      <c r="A58" s="232" t="str">
        <f>IF(J58&lt;=Invulblad!$G$115,_xlfn.CONCAT("Year ",J58),IF(J58&lt;=Invulblad!$G$116,_xlfn.CONCAT("Year ",J58,Invulblad!$H$116),IF(J58&lt;=Invulblad!$G$117,_xlfn.CONCAT("Year ",J58,Invulblad!$H$117),IF(J58&lt;=Invulblad!$G$118,_xlfn.CONCAT("Year ",J58,Invulblad!$H$118),IF(J58&lt;=Invulblad!$G$119,_xlfn.CONCAT("Year ",J58,Invulblad!$H$119),0)))))</f>
        <v>Year 8 (extension 1)</v>
      </c>
      <c r="B58" s="233"/>
      <c r="C58" s="92">
        <f>IF(A58&lt;&gt;0,C53,0)</f>
        <v>45</v>
      </c>
      <c r="D58" s="92">
        <f>IF(A58&lt;&gt;0,D53,0)</f>
        <v>0</v>
      </c>
      <c r="E58" s="92">
        <f>IF(A58&lt;&gt;0,E53,0)</f>
        <v>0</v>
      </c>
      <c r="F58" s="92">
        <v>9</v>
      </c>
      <c r="G58" s="63">
        <f t="shared" si="13"/>
        <v>0</v>
      </c>
      <c r="H58" s="256"/>
      <c r="I58" s="26"/>
      <c r="J58" s="1">
        <f t="shared" si="14"/>
        <v>8</v>
      </c>
      <c r="K58" s="51"/>
      <c r="M58" s="1"/>
      <c r="N58" s="1"/>
      <c r="O58" s="1"/>
      <c r="P58" s="1"/>
      <c r="Q58" s="1"/>
      <c r="R58" s="1"/>
      <c r="S58" s="1">
        <f>IF(J58&lt;=Invulblad!$G$115,G58,0)</f>
        <v>0</v>
      </c>
      <c r="T58" s="1">
        <f>IF(J58&lt;=Invulblad!$G$116,G58,0)</f>
        <v>0</v>
      </c>
      <c r="U58" s="1">
        <f>IF(J58&lt;=Invulblad!$G$117,G58,0)</f>
        <v>0</v>
      </c>
      <c r="V58" s="1">
        <f>IF(J58&lt;=Invulblad!$G$118,G58,0)</f>
        <v>0</v>
      </c>
      <c r="W58" s="1">
        <f>IF(J58&lt;=Invulblad!$G$119,G58,0)</f>
        <v>0</v>
      </c>
      <c r="X58" s="1"/>
      <c r="Y58" s="1"/>
      <c r="Z58" s="1"/>
      <c r="AA58" s="1"/>
    </row>
    <row r="59" spans="1:27" ht="21" hidden="1" customHeight="1" outlineLevel="1" x14ac:dyDescent="0.25">
      <c r="A59" s="232" t="str">
        <f>IF(J59&lt;=Invulblad!$G$115,_xlfn.CONCAT("Year ",J59),IF(J59&lt;=Invulblad!$G$116,_xlfn.CONCAT("Year ",J59,Invulblad!$H$116),IF(J59&lt;=Invulblad!$G$117,_xlfn.CONCAT("Year ",J59,Invulblad!$H$117),IF(J59&lt;=Invulblad!$G$118,_xlfn.CONCAT("Year ",J59,Invulblad!$H$118),IF(J59&lt;=Invulblad!$G$119,_xlfn.CONCAT("Year ",J59,Invulblad!$H$119),0)))))</f>
        <v>Year 9 (extension 1)</v>
      </c>
      <c r="B59" s="233"/>
      <c r="C59" s="92">
        <f>IF(A59&lt;&gt;0,C53,0)</f>
        <v>45</v>
      </c>
      <c r="D59" s="92">
        <f>IF(A59&lt;&gt;0,D53,0)</f>
        <v>0</v>
      </c>
      <c r="E59" s="92">
        <f>IF(A59&lt;&gt;0,E53,0)</f>
        <v>0</v>
      </c>
      <c r="F59" s="92">
        <v>9</v>
      </c>
      <c r="G59" s="63">
        <f t="shared" si="13"/>
        <v>0</v>
      </c>
      <c r="H59" s="256"/>
      <c r="I59" s="26"/>
      <c r="J59" s="1">
        <f t="shared" si="14"/>
        <v>9</v>
      </c>
      <c r="K59" s="51"/>
      <c r="M59" s="1"/>
      <c r="N59" s="1"/>
      <c r="O59" s="1"/>
      <c r="P59" s="1"/>
      <c r="Q59" s="1"/>
      <c r="R59" s="1"/>
      <c r="S59" s="1">
        <f>IF(J59&lt;=Invulblad!$G$115,G59,0)</f>
        <v>0</v>
      </c>
      <c r="T59" s="1">
        <f>IF(J59&lt;=Invulblad!$G$116,G59,0)</f>
        <v>0</v>
      </c>
      <c r="U59" s="1">
        <f>IF(J59&lt;=Invulblad!$G$117,G59,0)</f>
        <v>0</v>
      </c>
      <c r="V59" s="1">
        <f>IF(J59&lt;=Invulblad!$G$118,G59,0)</f>
        <v>0</v>
      </c>
      <c r="W59" s="1">
        <f>IF(J59&lt;=Invulblad!$G$119,G59,0)</f>
        <v>0</v>
      </c>
      <c r="X59" s="1"/>
      <c r="Y59" s="1"/>
      <c r="Z59" s="1"/>
      <c r="AA59" s="1"/>
    </row>
    <row r="60" spans="1:27" ht="20.100000000000001" hidden="1" customHeight="1" outlineLevel="1" x14ac:dyDescent="0.25">
      <c r="A60" s="232" t="str">
        <f>IF(J60&lt;=Invulblad!$G$115,_xlfn.CONCAT("Year ",J60),IF(J60&lt;=Invulblad!$G$116,_xlfn.CONCAT("Year ",J60,Invulblad!$H$116),IF(J60&lt;=Invulblad!$G$117,_xlfn.CONCAT("Year ",J60,Invulblad!$H$117),IF(J60&lt;=Invulblad!$G$118,_xlfn.CONCAT("Year ",J60,Invulblad!$H$118),IF(J60&lt;=Invulblad!$G$119,_xlfn.CONCAT("Year ",J60,Invulblad!$H$119),0)))))</f>
        <v>Year 10 (extension 1)</v>
      </c>
      <c r="B60" s="233"/>
      <c r="C60" s="92">
        <f>IF(A60&lt;&gt;0,C55,0)</f>
        <v>45</v>
      </c>
      <c r="D60" s="92">
        <f>IF(A60&lt;&gt;0,D55,0)</f>
        <v>0</v>
      </c>
      <c r="E60" s="92">
        <f>IF(A60&lt;&gt;0,E55,0)</f>
        <v>0</v>
      </c>
      <c r="F60" s="92">
        <v>9</v>
      </c>
      <c r="G60" s="63">
        <f t="shared" si="13"/>
        <v>0</v>
      </c>
      <c r="H60" s="256"/>
      <c r="I60" s="26"/>
      <c r="J60" s="1">
        <f t="shared" si="14"/>
        <v>10</v>
      </c>
      <c r="K60" s="51"/>
      <c r="M60" s="1"/>
      <c r="N60" s="1"/>
      <c r="O60" s="1"/>
      <c r="P60" s="1"/>
      <c r="Q60" s="1"/>
      <c r="R60" s="1"/>
      <c r="S60" s="1">
        <f>IF(J60&lt;=Invulblad!$G$115,G60,0)</f>
        <v>0</v>
      </c>
      <c r="T60" s="1">
        <f>IF(J60&lt;=Invulblad!$G$116,G60,0)</f>
        <v>0</v>
      </c>
      <c r="U60" s="1">
        <f>IF(J60&lt;=Invulblad!$G$117,G60,0)</f>
        <v>0</v>
      </c>
      <c r="V60" s="1">
        <f>IF(J60&lt;=Invulblad!$G$118,G60,0)</f>
        <v>0</v>
      </c>
      <c r="W60" s="1">
        <f>IF(J60&lt;=Invulblad!$G$119,G60,0)</f>
        <v>0</v>
      </c>
      <c r="X60" s="1"/>
      <c r="Y60" s="1"/>
      <c r="Z60" s="1"/>
      <c r="AA60" s="1"/>
    </row>
    <row r="61" spans="1:27" ht="21" hidden="1" customHeight="1" outlineLevel="1" x14ac:dyDescent="0.25">
      <c r="A61" s="232">
        <f>IF(J61&lt;=Invulblad!$G$115,_xlfn.CONCAT("Year ",J61),IF(J61&lt;=Invulblad!$G$116,_xlfn.CONCAT("Year ",J61,Invulblad!$H$116),IF(J61&lt;=Invulblad!$G$117,_xlfn.CONCAT("Year ",J61,Invulblad!$H$117),IF(J61&lt;=Invulblad!$G$118,_xlfn.CONCAT("Year ",J61,Invulblad!$H$118),IF(J61&lt;=Invulblad!$G$119,_xlfn.CONCAT("Year ",J61,Invulblad!$H$119),0)))))</f>
        <v>0</v>
      </c>
      <c r="B61" s="233"/>
      <c r="C61" s="92">
        <f>IF(A61&lt;&gt;0,C54,0)</f>
        <v>0</v>
      </c>
      <c r="D61" s="92">
        <f>IF(A61&lt;&gt;0,D54,0)</f>
        <v>0</v>
      </c>
      <c r="E61" s="92">
        <f>IF(A61&lt;&gt;0,E54,0)</f>
        <v>0</v>
      </c>
      <c r="F61" s="92">
        <v>9</v>
      </c>
      <c r="G61" s="63">
        <f t="shared" si="13"/>
        <v>0</v>
      </c>
      <c r="H61" s="256"/>
      <c r="I61" s="26"/>
      <c r="J61" s="1">
        <f t="shared" si="14"/>
        <v>11</v>
      </c>
      <c r="K61" s="51"/>
      <c r="M61" s="1"/>
      <c r="N61" s="1"/>
      <c r="O61" s="1"/>
      <c r="P61" s="1"/>
      <c r="Q61" s="1"/>
      <c r="R61" s="1"/>
      <c r="S61" s="1">
        <f>IF(J61&lt;=Invulblad!$G$115,G61,0)</f>
        <v>0</v>
      </c>
      <c r="T61" s="1">
        <f>IF(J61&lt;=Invulblad!$G$116,G61,0)</f>
        <v>0</v>
      </c>
      <c r="U61" s="1">
        <f>IF(J61&lt;=Invulblad!$G$117,G61,0)</f>
        <v>0</v>
      </c>
      <c r="V61" s="1">
        <f>IF(J61&lt;=Invulblad!$G$118,G61,0)</f>
        <v>0</v>
      </c>
      <c r="W61" s="1">
        <f>IF(J61&lt;=Invulblad!$G$119,G61,0)</f>
        <v>0</v>
      </c>
      <c r="X61" s="1"/>
      <c r="Y61" s="1"/>
      <c r="Z61" s="1"/>
      <c r="AA61" s="1"/>
    </row>
    <row r="62" spans="1:27" ht="21" hidden="1" customHeight="1" outlineLevel="1" x14ac:dyDescent="0.25">
      <c r="A62" s="232">
        <f>IF(J62&lt;=Invulblad!$G$115,_xlfn.CONCAT("Year ",J62),IF(J62&lt;=Invulblad!$G$116,_xlfn.CONCAT("Year ",J62,Invulblad!$H$116),IF(J62&lt;=Invulblad!$G$117,_xlfn.CONCAT("Year ",J62,Invulblad!$H$117),IF(J62&lt;=Invulblad!$G$118,_xlfn.CONCAT("Year ",J62,Invulblad!$H$118),IF(J62&lt;=Invulblad!$G$119,_xlfn.CONCAT("Year ",J62,Invulblad!$H$119),0)))))</f>
        <v>0</v>
      </c>
      <c r="B62" s="233"/>
      <c r="C62" s="92">
        <f>IF(A62&lt;&gt;0,C55,0)</f>
        <v>0</v>
      </c>
      <c r="D62" s="92">
        <f>IF(A62&lt;&gt;0,D55,0)</f>
        <v>0</v>
      </c>
      <c r="E62" s="92">
        <f>IF(A62&lt;&gt;0,E55,0)</f>
        <v>0</v>
      </c>
      <c r="F62" s="92">
        <v>9</v>
      </c>
      <c r="G62" s="63">
        <f t="shared" si="13"/>
        <v>0</v>
      </c>
      <c r="H62" s="256"/>
      <c r="I62" s="26"/>
      <c r="J62" s="1">
        <f t="shared" si="14"/>
        <v>12</v>
      </c>
      <c r="K62" s="51"/>
      <c r="M62" s="1"/>
      <c r="N62" s="1"/>
      <c r="O62" s="1"/>
      <c r="P62" s="1"/>
      <c r="Q62" s="1"/>
      <c r="R62" s="1"/>
      <c r="S62" s="1">
        <f>IF(J62&lt;=Invulblad!$G$115,G62,0)</f>
        <v>0</v>
      </c>
      <c r="T62" s="1">
        <f>IF(J62&lt;=Invulblad!$G$116,G62,0)</f>
        <v>0</v>
      </c>
      <c r="U62" s="1">
        <f>IF(J62&lt;=Invulblad!$G$117,G62,0)</f>
        <v>0</v>
      </c>
      <c r="V62" s="1">
        <f>IF(J62&lt;=Invulblad!$G$118,G62,0)</f>
        <v>0</v>
      </c>
      <c r="W62" s="1">
        <f>IF(J62&lt;=Invulblad!$G$119,G62,0)</f>
        <v>0</v>
      </c>
      <c r="X62" s="1"/>
      <c r="Y62" s="1"/>
      <c r="Z62" s="1"/>
      <c r="AA62" s="1"/>
    </row>
    <row r="63" spans="1:27" ht="21" hidden="1" customHeight="1" outlineLevel="1" x14ac:dyDescent="0.25">
      <c r="A63" s="232">
        <f>IF(J63&lt;=Invulblad!$G$115,_xlfn.CONCAT("Year ",J63),IF(J63&lt;=Invulblad!$G$116,_xlfn.CONCAT("Year ",J63,Invulblad!$H$116),IF(J63&lt;=Invulblad!$G$117,_xlfn.CONCAT("Year ",J63,Invulblad!$H$117),IF(J63&lt;=Invulblad!$G$118,_xlfn.CONCAT("Year ",J63,Invulblad!$H$118),IF(J63&lt;=Invulblad!$G$119,_xlfn.CONCAT("Year ",J63,Invulblad!$H$119),0)))))</f>
        <v>0</v>
      </c>
      <c r="B63" s="233"/>
      <c r="C63" s="92">
        <f>IF(A63&lt;&gt;0,C53,0)</f>
        <v>0</v>
      </c>
      <c r="D63" s="92">
        <f>IF(A63&lt;&gt;0,D53,0)</f>
        <v>0</v>
      </c>
      <c r="E63" s="92">
        <f>IF(A63&lt;&gt;0,E53,0)</f>
        <v>0</v>
      </c>
      <c r="F63" s="92">
        <v>9</v>
      </c>
      <c r="G63" s="63">
        <f t="shared" si="13"/>
        <v>0</v>
      </c>
      <c r="H63" s="256"/>
      <c r="I63" s="26"/>
      <c r="J63" s="1">
        <f t="shared" si="14"/>
        <v>13</v>
      </c>
      <c r="K63" s="51"/>
      <c r="M63" s="1"/>
      <c r="N63" s="1"/>
      <c r="O63" s="1"/>
      <c r="P63" s="1"/>
      <c r="Q63" s="1"/>
      <c r="R63" s="1"/>
      <c r="S63" s="1">
        <f>IF(J63&lt;=Invulblad!$G$115,G63,0)</f>
        <v>0</v>
      </c>
      <c r="T63" s="1">
        <f>IF(J63&lt;=Invulblad!$G$116,G63,0)</f>
        <v>0</v>
      </c>
      <c r="U63" s="1">
        <f>IF(J63&lt;=Invulblad!$G$117,G63,0)</f>
        <v>0</v>
      </c>
      <c r="V63" s="1">
        <f>IF(J63&lt;=Invulblad!$G$118,G63,0)</f>
        <v>0</v>
      </c>
      <c r="W63" s="1">
        <f>IF(J63&lt;=Invulblad!$G$119,G63,0)</f>
        <v>0</v>
      </c>
      <c r="X63" s="1"/>
      <c r="Y63" s="1"/>
      <c r="Z63" s="1"/>
      <c r="AA63" s="1"/>
    </row>
    <row r="64" spans="1:27" ht="21" hidden="1" customHeight="1" outlineLevel="1" x14ac:dyDescent="0.25">
      <c r="A64" s="232">
        <f>IF(J64&lt;=Invulblad!$G$115,_xlfn.CONCAT("Year ",J64),IF(J64&lt;=Invulblad!$G$116,_xlfn.CONCAT("Year ",J64,Invulblad!$H$116),IF(J64&lt;=Invulblad!$G$117,_xlfn.CONCAT("Year ",J64,Invulblad!$H$117),IF(J64&lt;=Invulblad!$G$118,_xlfn.CONCAT("Year ",J64,Invulblad!$H$118),IF(J64&lt;=Invulblad!$G$119,_xlfn.CONCAT("Year ",J64,Invulblad!$H$119),0)))))</f>
        <v>0</v>
      </c>
      <c r="B64" s="233"/>
      <c r="C64" s="92">
        <f>IF(A64&lt;&gt;0,C53,0)</f>
        <v>0</v>
      </c>
      <c r="D64" s="92">
        <f>IF(A64&lt;&gt;0,D53,0)</f>
        <v>0</v>
      </c>
      <c r="E64" s="92">
        <f>IF(A64&lt;&gt;0,E53,0)</f>
        <v>0</v>
      </c>
      <c r="F64" s="92">
        <v>9</v>
      </c>
      <c r="G64" s="63">
        <f t="shared" si="13"/>
        <v>0</v>
      </c>
      <c r="H64" s="256"/>
      <c r="I64" s="26"/>
      <c r="J64" s="1">
        <f t="shared" si="14"/>
        <v>14</v>
      </c>
      <c r="K64" s="51"/>
      <c r="M64" s="1"/>
      <c r="N64" s="1"/>
      <c r="O64" s="1"/>
      <c r="P64" s="1"/>
      <c r="Q64" s="1"/>
      <c r="R64" s="1"/>
      <c r="S64" s="1">
        <f>IF(J64&lt;=Invulblad!$G$115,G64,0)</f>
        <v>0</v>
      </c>
      <c r="T64" s="1">
        <f>IF(J64&lt;=Invulblad!$G$116,G64,0)</f>
        <v>0</v>
      </c>
      <c r="U64" s="1">
        <f>IF(J64&lt;=Invulblad!$G$117,G64,0)</f>
        <v>0</v>
      </c>
      <c r="V64" s="1">
        <f>IF(J64&lt;=Invulblad!$G$118,G64,0)</f>
        <v>0</v>
      </c>
      <c r="W64" s="1">
        <f>IF(J64&lt;=Invulblad!$G$119,G64,0)</f>
        <v>0</v>
      </c>
      <c r="X64" s="1"/>
      <c r="Y64" s="1"/>
      <c r="Z64" s="1"/>
      <c r="AA64" s="1"/>
    </row>
    <row r="65" spans="1:27" ht="21" hidden="1" customHeight="1" outlineLevel="1" x14ac:dyDescent="0.25">
      <c r="A65" s="232">
        <f>IF(J65&lt;=Invulblad!$G$115,_xlfn.CONCAT("Year ",J65),IF(J65&lt;=Invulblad!$G$116,_xlfn.CONCAT("Year ",J65,Invulblad!$H$116),IF(J65&lt;=Invulblad!$G$117,_xlfn.CONCAT("Year ",J65,Invulblad!$H$117),IF(J65&lt;=Invulblad!$G$118,_xlfn.CONCAT("Year ",J65,Invulblad!$H$118),IF(J65&lt;=Invulblad!$G$119,_xlfn.CONCAT("Year ",J65,Invulblad!$H$119),0)))))</f>
        <v>0</v>
      </c>
      <c r="B65" s="233"/>
      <c r="C65" s="92">
        <f>IF(A65&lt;&gt;0,C54,0)</f>
        <v>0</v>
      </c>
      <c r="D65" s="92">
        <f>IF(A65&lt;&gt;0,D54,0)</f>
        <v>0</v>
      </c>
      <c r="E65" s="92">
        <f>IF(A65&lt;&gt;0,E54,0)</f>
        <v>0</v>
      </c>
      <c r="F65" s="92">
        <v>9</v>
      </c>
      <c r="G65" s="63">
        <f t="shared" si="13"/>
        <v>0</v>
      </c>
      <c r="H65" s="256"/>
      <c r="I65" s="26"/>
      <c r="J65" s="1">
        <f t="shared" si="14"/>
        <v>15</v>
      </c>
      <c r="K65" s="51"/>
      <c r="M65" s="1"/>
      <c r="N65" s="1"/>
      <c r="O65" s="1"/>
      <c r="P65" s="1"/>
      <c r="Q65" s="1"/>
      <c r="R65" s="1"/>
      <c r="S65" s="1">
        <f>IF(J65&lt;=Invulblad!$G$115,G65,0)</f>
        <v>0</v>
      </c>
      <c r="T65" s="1">
        <f>IF(J65&lt;=Invulblad!$G$116,G65,0)</f>
        <v>0</v>
      </c>
      <c r="U65" s="1">
        <f>IF(J65&lt;=Invulblad!$G$117,G65,0)</f>
        <v>0</v>
      </c>
      <c r="V65" s="1">
        <f>IF(J65&lt;=Invulblad!$G$118,G65,0)</f>
        <v>0</v>
      </c>
      <c r="W65" s="1">
        <f>IF(J65&lt;=Invulblad!$G$119,G65,0)</f>
        <v>0</v>
      </c>
      <c r="X65" s="1"/>
      <c r="Y65" s="1"/>
      <c r="Z65" s="1"/>
      <c r="AA65" s="1"/>
    </row>
    <row r="66" spans="1:27" ht="21" hidden="1" customHeight="1" outlineLevel="1" x14ac:dyDescent="0.25">
      <c r="A66" s="232">
        <f>IF(J66&lt;=Invulblad!$G$115,_xlfn.CONCAT("Year ",J66),IF(J66&lt;=Invulblad!$G$116,_xlfn.CONCAT("Year ",J66,Invulblad!$H$116),IF(J66&lt;=Invulblad!$G$117,_xlfn.CONCAT("Year ",J66,Invulblad!$H$117),IF(J66&lt;=Invulblad!$G$118,_xlfn.CONCAT("Year ",J66,Invulblad!$H$118),IF(J66&lt;=Invulblad!$G$119,_xlfn.CONCAT("Year ",J66,Invulblad!$H$119),0)))))</f>
        <v>0</v>
      </c>
      <c r="B66" s="233"/>
      <c r="C66" s="92">
        <f>IF(A66&lt;&gt;0,C54,0)</f>
        <v>0</v>
      </c>
      <c r="D66" s="92">
        <f>IF(A66&lt;&gt;0,D54,0)</f>
        <v>0</v>
      </c>
      <c r="E66" s="92">
        <f>IF(A66&lt;&gt;0,E54,0)</f>
        <v>0</v>
      </c>
      <c r="F66" s="92">
        <v>9</v>
      </c>
      <c r="G66" s="63">
        <f t="shared" si="13"/>
        <v>0</v>
      </c>
      <c r="H66" s="256"/>
      <c r="I66" s="26"/>
      <c r="J66" s="1">
        <f t="shared" si="14"/>
        <v>16</v>
      </c>
      <c r="K66" s="51"/>
      <c r="M66" s="1"/>
      <c r="N66" s="1"/>
      <c r="O66" s="1"/>
      <c r="P66" s="1"/>
      <c r="Q66" s="1"/>
      <c r="R66" s="1"/>
      <c r="S66" s="1">
        <f>IF(J66&lt;=Invulblad!$G$115,G66,0)</f>
        <v>0</v>
      </c>
      <c r="T66" s="1">
        <f>IF(J66&lt;=Invulblad!$G$116,G66,0)</f>
        <v>0</v>
      </c>
      <c r="U66" s="1">
        <f>IF(J66&lt;=Invulblad!$G$117,G66,0)</f>
        <v>0</v>
      </c>
      <c r="V66" s="1">
        <f>IF(J66&lt;=Invulblad!$G$118,G66,0)</f>
        <v>0</v>
      </c>
      <c r="W66" s="1">
        <f>IF(J66&lt;=Invulblad!$G$119,G66,0)</f>
        <v>0</v>
      </c>
      <c r="X66" s="1"/>
      <c r="Y66" s="1"/>
      <c r="Z66" s="1"/>
      <c r="AA66" s="1"/>
    </row>
    <row r="67" spans="1:27" ht="21" hidden="1" customHeight="1" outlineLevel="1" x14ac:dyDescent="0.25">
      <c r="A67" s="232">
        <f>IF(J67&lt;=Invulblad!$G$115,_xlfn.CONCAT("Year ",J67),IF(J67&lt;=Invulblad!$G$116,_xlfn.CONCAT("Year ",J67,Invulblad!$H$116),IF(J67&lt;=Invulblad!$G$117,_xlfn.CONCAT("Year ",J67,Invulblad!$H$117),IF(J67&lt;=Invulblad!$G$118,_xlfn.CONCAT("Year ",J67,Invulblad!$H$118),IF(J67&lt;=Invulblad!$G$119,_xlfn.CONCAT("Year ",J67,Invulblad!$H$119),0)))))</f>
        <v>0</v>
      </c>
      <c r="B67" s="233"/>
      <c r="C67" s="92">
        <f>IF(A67&lt;&gt;0,C55,0)</f>
        <v>0</v>
      </c>
      <c r="D67" s="92">
        <f>IF(A67&lt;&gt;0,D55,0)</f>
        <v>0</v>
      </c>
      <c r="E67" s="92">
        <f>IF(A67&lt;&gt;0,E55,0)</f>
        <v>0</v>
      </c>
      <c r="F67" s="92">
        <v>9</v>
      </c>
      <c r="G67" s="63">
        <f t="shared" si="13"/>
        <v>0</v>
      </c>
      <c r="H67" s="256"/>
      <c r="I67" s="26"/>
      <c r="J67" s="1">
        <f t="shared" si="14"/>
        <v>17</v>
      </c>
      <c r="K67" s="51"/>
      <c r="M67" s="1"/>
      <c r="N67" s="1"/>
      <c r="O67" s="1"/>
      <c r="P67" s="1"/>
      <c r="Q67" s="1"/>
      <c r="R67" s="1"/>
      <c r="S67" s="1">
        <f>IF(J67&lt;=Invulblad!$G$115,G67,0)</f>
        <v>0</v>
      </c>
      <c r="T67" s="1">
        <f>IF(J67&lt;=Invulblad!$G$116,G67,0)</f>
        <v>0</v>
      </c>
      <c r="U67" s="1">
        <f>IF(J67&lt;=Invulblad!$G$117,G67,0)</f>
        <v>0</v>
      </c>
      <c r="V67" s="1">
        <f>IF(J67&lt;=Invulblad!$G$118,G67,0)</f>
        <v>0</v>
      </c>
      <c r="W67" s="1">
        <f>IF(J67&lt;=Invulblad!$G$119,G67,0)</f>
        <v>0</v>
      </c>
      <c r="X67" s="1"/>
      <c r="Y67" s="1"/>
      <c r="Z67" s="1"/>
      <c r="AA67" s="1"/>
    </row>
    <row r="68" spans="1:27" ht="21" hidden="1" customHeight="1" outlineLevel="1" x14ac:dyDescent="0.25">
      <c r="A68" s="232">
        <f>IF(J68&lt;=Invulblad!$G$115,_xlfn.CONCAT("Year ",J68),IF(J68&lt;=Invulblad!$G$116,_xlfn.CONCAT("Year ",J68,Invulblad!$H$116),IF(J68&lt;=Invulblad!$G$117,_xlfn.CONCAT("Year ",J68,Invulblad!$H$117),IF(J68&lt;=Invulblad!$G$118,_xlfn.CONCAT("Year ",J68,Invulblad!$H$118),IF(J68&lt;=Invulblad!$G$119,_xlfn.CONCAT("Year ",J68,Invulblad!$H$119),0)))))</f>
        <v>0</v>
      </c>
      <c r="B68" s="233"/>
      <c r="C68" s="92">
        <f>IF(A68&lt;&gt;0,C55,0)</f>
        <v>0</v>
      </c>
      <c r="D68" s="92">
        <f>IF(A68&lt;&gt;0,D55,0)</f>
        <v>0</v>
      </c>
      <c r="E68" s="92">
        <f>IF(A68&lt;&gt;0,E55,0)</f>
        <v>0</v>
      </c>
      <c r="F68" s="92">
        <v>9</v>
      </c>
      <c r="G68" s="63">
        <f t="shared" si="13"/>
        <v>0</v>
      </c>
      <c r="H68" s="256"/>
      <c r="I68" s="26"/>
      <c r="J68" s="1">
        <f t="shared" si="14"/>
        <v>18</v>
      </c>
      <c r="K68" s="51"/>
      <c r="M68" s="1"/>
      <c r="N68" s="1"/>
      <c r="O68" s="1"/>
      <c r="P68" s="1"/>
      <c r="Q68" s="1"/>
      <c r="R68" s="1"/>
      <c r="S68" s="1">
        <f>IF(J68&lt;=Invulblad!$G$115,G68,0)</f>
        <v>0</v>
      </c>
      <c r="T68" s="1">
        <f>IF(J68&lt;=Invulblad!$G$116,G68,0)</f>
        <v>0</v>
      </c>
      <c r="U68" s="1">
        <f>IF(J68&lt;=Invulblad!$G$117,G68,0)</f>
        <v>0</v>
      </c>
      <c r="V68" s="1">
        <f>IF(J68&lt;=Invulblad!$G$118,G68,0)</f>
        <v>0</v>
      </c>
      <c r="W68" s="1">
        <f>IF(J68&lt;=Invulblad!$G$119,G68,0)</f>
        <v>0</v>
      </c>
      <c r="X68" s="1"/>
      <c r="Y68" s="1"/>
      <c r="Z68" s="1"/>
      <c r="AA68" s="1"/>
    </row>
    <row r="69" spans="1:27" ht="21" hidden="1" customHeight="1" outlineLevel="1" x14ac:dyDescent="0.25">
      <c r="A69" s="232">
        <f>IF(J69&lt;=Invulblad!$G$115,_xlfn.CONCAT("Year ",J69),IF(J69&lt;=Invulblad!$G$116,_xlfn.CONCAT("Year ",J69,Invulblad!$H$116),IF(J69&lt;=Invulblad!$G$117,_xlfn.CONCAT("Year ",J69,Invulblad!$H$117),IF(J69&lt;=Invulblad!$G$118,_xlfn.CONCAT("Year ",J69,Invulblad!$H$118),IF(J69&lt;=Invulblad!$G$119,_xlfn.CONCAT("Year ",J69,Invulblad!$H$119),0)))))</f>
        <v>0</v>
      </c>
      <c r="B69" s="233"/>
      <c r="C69" s="92">
        <f>IF(A69&lt;&gt;0,C60,0)</f>
        <v>0</v>
      </c>
      <c r="D69" s="92">
        <f>IF(A69&lt;&gt;0,D60,0)</f>
        <v>0</v>
      </c>
      <c r="E69" s="92">
        <f>IF(A69&lt;&gt;0,E60,0)</f>
        <v>0</v>
      </c>
      <c r="F69" s="92">
        <v>9</v>
      </c>
      <c r="G69" s="63">
        <f t="shared" si="13"/>
        <v>0</v>
      </c>
      <c r="H69" s="256"/>
      <c r="I69" s="26"/>
      <c r="J69" s="1">
        <f t="shared" si="14"/>
        <v>19</v>
      </c>
      <c r="K69" s="51"/>
      <c r="M69" s="1"/>
      <c r="N69" s="1"/>
      <c r="O69" s="1"/>
      <c r="P69" s="1"/>
      <c r="Q69" s="1"/>
      <c r="R69" s="1"/>
      <c r="S69" s="1">
        <f>IF(J69&lt;=Invulblad!$G$115,G69,0)</f>
        <v>0</v>
      </c>
      <c r="T69" s="1">
        <f>IF(J69&lt;=Invulblad!$G$116,G69,0)</f>
        <v>0</v>
      </c>
      <c r="U69" s="1">
        <f>IF(J69&lt;=Invulblad!$G$117,G69,0)</f>
        <v>0</v>
      </c>
      <c r="V69" s="1">
        <f>IF(J69&lt;=Invulblad!$G$118,G69,0)</f>
        <v>0</v>
      </c>
      <c r="W69" s="1">
        <f>IF(J69&lt;=Invulblad!$G$119,G69,0)</f>
        <v>0</v>
      </c>
      <c r="X69" s="1"/>
      <c r="Y69" s="1"/>
      <c r="Z69" s="1"/>
      <c r="AA69" s="1"/>
    </row>
    <row r="70" spans="1:27" ht="21" hidden="1" customHeight="1" outlineLevel="1" x14ac:dyDescent="0.25">
      <c r="A70" s="232">
        <f>IF(J70&lt;=Invulblad!$G$115,_xlfn.CONCAT("Year ",J70),IF(J70&lt;=Invulblad!$G$116,_xlfn.CONCAT("Year ",J70,Invulblad!$H$116),IF(J70&lt;=Invulblad!$G$117,_xlfn.CONCAT("Year ",J70,Invulblad!$H$117),IF(J70&lt;=Invulblad!$G$118,_xlfn.CONCAT("Year ",J70,Invulblad!$H$118),IF(J70&lt;=Invulblad!$G$119,_xlfn.CONCAT("Year ",J70,Invulblad!$H$119),0)))))</f>
        <v>0</v>
      </c>
      <c r="B70" s="233"/>
      <c r="C70" s="92">
        <f>IF(A70&lt;&gt;0,C55,0)</f>
        <v>0</v>
      </c>
      <c r="D70" s="92">
        <f>IF(A70&lt;&gt;0,D55,0)</f>
        <v>0</v>
      </c>
      <c r="E70" s="92">
        <f>IF(A70&lt;&gt;0,E55,0)</f>
        <v>0</v>
      </c>
      <c r="F70" s="92">
        <v>9</v>
      </c>
      <c r="G70" s="63">
        <f t="shared" si="13"/>
        <v>0</v>
      </c>
      <c r="H70" s="256"/>
      <c r="I70" s="26"/>
      <c r="J70" s="1">
        <f t="shared" si="14"/>
        <v>20</v>
      </c>
      <c r="K70" s="51"/>
      <c r="M70" s="1"/>
      <c r="N70" s="1"/>
      <c r="O70" s="1"/>
      <c r="P70" s="1"/>
      <c r="Q70" s="1"/>
      <c r="R70" s="1"/>
      <c r="S70" s="1">
        <f>IF(J70&lt;=Invulblad!$G$115,G70,0)</f>
        <v>0</v>
      </c>
      <c r="T70" s="1">
        <f>IF(J70&lt;=Invulblad!$G$116,G70,0)</f>
        <v>0</v>
      </c>
      <c r="U70" s="1">
        <f>IF(J70&lt;=Invulblad!$G$117,G70,0)</f>
        <v>0</v>
      </c>
      <c r="V70" s="1">
        <f>IF(J70&lt;=Invulblad!$G$118,G70,0)</f>
        <v>0</v>
      </c>
      <c r="W70" s="1">
        <f>IF(J70&lt;=Invulblad!$G$119,G70,0)</f>
        <v>0</v>
      </c>
      <c r="X70" s="1"/>
      <c r="Y70" s="1"/>
      <c r="Z70" s="1"/>
      <c r="AA70" s="1"/>
    </row>
    <row r="71" spans="1:27" ht="21" hidden="1" customHeight="1" outlineLevel="1" x14ac:dyDescent="0.25">
      <c r="A71" s="232">
        <f>IF(J71&lt;=Invulblad!$G$115,_xlfn.CONCAT("Year ",J71),IF(J71&lt;=Invulblad!$G$116,_xlfn.CONCAT("Year ",J71,Invulblad!$H$116),IF(J71&lt;=Invulblad!$G$117,_xlfn.CONCAT("Year ",J71,Invulblad!$H$117),IF(J71&lt;=Invulblad!$G$118,_xlfn.CONCAT("Year ",J71,Invulblad!$H$118),IF(J71&lt;=Invulblad!$G$119,_xlfn.CONCAT("Year ",J71,Invulblad!$H$119),0)))))</f>
        <v>0</v>
      </c>
      <c r="B71" s="233"/>
      <c r="C71" s="92">
        <f>IF(A71&lt;&gt;0,C60,0)</f>
        <v>0</v>
      </c>
      <c r="D71" s="92">
        <f>IF(A71&lt;&gt;0,D60,0)</f>
        <v>0</v>
      </c>
      <c r="E71" s="92">
        <f>IF(A71&lt;&gt;0,E60,0)</f>
        <v>0</v>
      </c>
      <c r="F71" s="92">
        <v>9</v>
      </c>
      <c r="G71" s="63">
        <f t="shared" si="13"/>
        <v>0</v>
      </c>
      <c r="H71" s="256"/>
      <c r="I71" s="26"/>
      <c r="J71" s="1">
        <f t="shared" si="14"/>
        <v>21</v>
      </c>
      <c r="K71" s="51"/>
      <c r="M71" s="1"/>
      <c r="N71" s="1"/>
      <c r="O71" s="1"/>
      <c r="P71" s="1"/>
      <c r="Q71" s="1"/>
      <c r="R71" s="1"/>
      <c r="S71" s="1">
        <f>IF(J71&lt;=Invulblad!$G$115,G71,0)</f>
        <v>0</v>
      </c>
      <c r="T71" s="1">
        <f>IF(J71&lt;=Invulblad!$G$116,G71,0)</f>
        <v>0</v>
      </c>
      <c r="U71" s="1">
        <f>IF(J71&lt;=Invulblad!$G$117,G71,0)</f>
        <v>0</v>
      </c>
      <c r="V71" s="1">
        <f>IF(J71&lt;=Invulblad!$G$118,G71,0)</f>
        <v>0</v>
      </c>
      <c r="W71" s="1">
        <f>IF(J71&lt;=Invulblad!$G$119,G71,0)</f>
        <v>0</v>
      </c>
      <c r="X71" s="1"/>
      <c r="Y71" s="1"/>
      <c r="Z71" s="1"/>
      <c r="AA71" s="1"/>
    </row>
    <row r="72" spans="1:27" ht="20.100000000000001" hidden="1" customHeight="1" outlineLevel="1" x14ac:dyDescent="0.25">
      <c r="A72" s="232">
        <f>IF(J72&lt;=Invulblad!$G$115,_xlfn.CONCAT("Year ",J72),IF(J72&lt;=Invulblad!$G$116,_xlfn.CONCAT("Year ",J72,Invulblad!$H$116),IF(J72&lt;=Invulblad!$G$117,_xlfn.CONCAT("Year ",J72,Invulblad!$H$117),IF(J72&lt;=Invulblad!$G$118,_xlfn.CONCAT("Year ",J72,Invulblad!$H$118),IF(J72&lt;=Invulblad!$G$119,_xlfn.CONCAT("Year ",J72,Invulblad!$H$119),0)))))</f>
        <v>0</v>
      </c>
      <c r="B72" s="233"/>
      <c r="C72" s="92">
        <f t="shared" ref="C72:C80" si="15">IF(A72&lt;&gt;0,C71,0)</f>
        <v>0</v>
      </c>
      <c r="D72" s="92">
        <f t="shared" ref="D72:D80" si="16">IF(A72&lt;&gt;0,D71,0)</f>
        <v>0</v>
      </c>
      <c r="E72" s="92">
        <f t="shared" ref="E72:E80" si="17">IF(A72&lt;&gt;0,E71,0)</f>
        <v>0</v>
      </c>
      <c r="F72" s="92">
        <v>9</v>
      </c>
      <c r="G72" s="63">
        <f t="shared" si="13"/>
        <v>0</v>
      </c>
      <c r="H72" s="256"/>
      <c r="I72" s="26"/>
      <c r="J72" s="1">
        <f t="shared" si="14"/>
        <v>22</v>
      </c>
      <c r="K72" s="51"/>
      <c r="M72" s="1"/>
      <c r="N72" s="1"/>
      <c r="O72" s="1"/>
      <c r="P72" s="1"/>
      <c r="Q72" s="1"/>
      <c r="R72" s="1"/>
      <c r="S72" s="1">
        <f>IF(J72&lt;=Invulblad!$G$115,G72,0)</f>
        <v>0</v>
      </c>
      <c r="T72" s="1">
        <f>IF(J72&lt;=Invulblad!$G$116,G72,0)</f>
        <v>0</v>
      </c>
      <c r="U72" s="1">
        <f>IF(J72&lt;=Invulblad!$G$117,G72,0)</f>
        <v>0</v>
      </c>
      <c r="V72" s="1">
        <f>IF(J72&lt;=Invulblad!$G$118,G72,0)</f>
        <v>0</v>
      </c>
      <c r="W72" s="1">
        <f>IF(J72&lt;=Invulblad!$G$119,G72,0)</f>
        <v>0</v>
      </c>
      <c r="X72" s="1"/>
      <c r="Y72" s="1"/>
      <c r="Z72" s="1"/>
      <c r="AA72" s="1"/>
    </row>
    <row r="73" spans="1:27" ht="20.100000000000001" hidden="1" customHeight="1" outlineLevel="1" x14ac:dyDescent="0.25">
      <c r="A73" s="232">
        <f>IF(J73&lt;=Invulblad!$G$115,_xlfn.CONCAT("Year ",J73),IF(J73&lt;=Invulblad!$G$116,_xlfn.CONCAT("Year ",J73,Invulblad!$H$116),IF(J73&lt;=Invulblad!$G$117,_xlfn.CONCAT("Year ",J73,Invulblad!$H$117),IF(J73&lt;=Invulblad!$G$118,_xlfn.CONCAT("Year ",J73,Invulblad!$H$118),IF(J73&lt;=Invulblad!$G$119,_xlfn.CONCAT("Year ",J73,Invulblad!$H$119),0)))))</f>
        <v>0</v>
      </c>
      <c r="B73" s="233"/>
      <c r="C73" s="92">
        <f t="shared" si="15"/>
        <v>0</v>
      </c>
      <c r="D73" s="92">
        <f t="shared" si="16"/>
        <v>0</v>
      </c>
      <c r="E73" s="92">
        <f t="shared" si="17"/>
        <v>0</v>
      </c>
      <c r="F73" s="92">
        <v>9</v>
      </c>
      <c r="G73" s="63">
        <f t="shared" si="13"/>
        <v>0</v>
      </c>
      <c r="H73" s="256"/>
      <c r="I73" s="26"/>
      <c r="J73" s="1">
        <f t="shared" si="14"/>
        <v>23</v>
      </c>
      <c r="K73" s="51"/>
      <c r="M73" s="1"/>
      <c r="N73" s="1"/>
      <c r="O73" s="1"/>
      <c r="P73" s="1"/>
      <c r="Q73" s="1"/>
      <c r="R73" s="1"/>
      <c r="S73" s="1">
        <f>IF(J73&lt;=Invulblad!$G$115,G73,0)</f>
        <v>0</v>
      </c>
      <c r="T73" s="1">
        <f>IF(J73&lt;=Invulblad!$G$116,G73,0)</f>
        <v>0</v>
      </c>
      <c r="U73" s="1">
        <f>IF(J73&lt;=Invulblad!$G$117,G73,0)</f>
        <v>0</v>
      </c>
      <c r="V73" s="1">
        <f>IF(J73&lt;=Invulblad!$G$118,G73,0)</f>
        <v>0</v>
      </c>
      <c r="W73" s="1">
        <f>IF(J73&lt;=Invulblad!$G$119,G73,0)</f>
        <v>0</v>
      </c>
      <c r="X73" s="1"/>
      <c r="Y73" s="1"/>
      <c r="Z73" s="1"/>
      <c r="AA73" s="1"/>
    </row>
    <row r="74" spans="1:27" ht="20.100000000000001" hidden="1" customHeight="1" outlineLevel="1" x14ac:dyDescent="0.25">
      <c r="A74" s="232">
        <f>IF(J74&lt;=Invulblad!$G$115,_xlfn.CONCAT("Year ",J74),IF(J74&lt;=Invulblad!$G$116,_xlfn.CONCAT("Year ",J74,Invulblad!$H$116),IF(J74&lt;=Invulblad!$G$117,_xlfn.CONCAT("Year ",J74,Invulblad!$H$117),IF(J74&lt;=Invulblad!$G$118,_xlfn.CONCAT("Year ",J74,Invulblad!$H$118),IF(J74&lt;=Invulblad!$G$119,_xlfn.CONCAT("Year ",J74,Invulblad!$H$119),0)))))</f>
        <v>0</v>
      </c>
      <c r="B74" s="233"/>
      <c r="C74" s="92">
        <f t="shared" si="15"/>
        <v>0</v>
      </c>
      <c r="D74" s="92">
        <f t="shared" si="16"/>
        <v>0</v>
      </c>
      <c r="E74" s="92">
        <f t="shared" si="17"/>
        <v>0</v>
      </c>
      <c r="F74" s="92">
        <v>9</v>
      </c>
      <c r="G74" s="63">
        <f t="shared" si="13"/>
        <v>0</v>
      </c>
      <c r="H74" s="256"/>
      <c r="I74" s="26"/>
      <c r="J74" s="1">
        <f t="shared" si="14"/>
        <v>24</v>
      </c>
      <c r="K74" s="51"/>
      <c r="M74" s="1"/>
      <c r="N74" s="1"/>
      <c r="O74" s="1"/>
      <c r="P74" s="1"/>
      <c r="Q74" s="1"/>
      <c r="R74" s="1"/>
      <c r="S74" s="1">
        <f>IF(J74&lt;=Invulblad!$G$115,G74,0)</f>
        <v>0</v>
      </c>
      <c r="T74" s="1">
        <f>IF(J74&lt;=Invulblad!$G$116,G74,0)</f>
        <v>0</v>
      </c>
      <c r="U74" s="1">
        <f>IF(J74&lt;=Invulblad!$G$117,G74,0)</f>
        <v>0</v>
      </c>
      <c r="V74" s="1">
        <f>IF(J74&lt;=Invulblad!$G$118,G74,0)</f>
        <v>0</v>
      </c>
      <c r="W74" s="1">
        <f>IF(J74&lt;=Invulblad!$G$119,G74,0)</f>
        <v>0</v>
      </c>
      <c r="X74" s="1"/>
      <c r="Y74" s="1"/>
      <c r="Z74" s="1"/>
      <c r="AA74" s="1"/>
    </row>
    <row r="75" spans="1:27" ht="20.100000000000001" hidden="1" customHeight="1" outlineLevel="1" x14ac:dyDescent="0.25">
      <c r="A75" s="232">
        <f>IF(J75&lt;=Invulblad!$G$115,_xlfn.CONCAT("Year ",J75),IF(J75&lt;=Invulblad!$G$116,_xlfn.CONCAT("Year ",J75,Invulblad!$H$116),IF(J75&lt;=Invulblad!$G$117,_xlfn.CONCAT("Year ",J75,Invulblad!$H$117),IF(J75&lt;=Invulblad!$G$118,_xlfn.CONCAT("Year ",J75,Invulblad!$H$118),IF(J75&lt;=Invulblad!$G$119,_xlfn.CONCAT("Year ",J75,Invulblad!$H$119),0)))))</f>
        <v>0</v>
      </c>
      <c r="B75" s="233"/>
      <c r="C75" s="92">
        <f t="shared" si="15"/>
        <v>0</v>
      </c>
      <c r="D75" s="92">
        <f t="shared" si="16"/>
        <v>0</v>
      </c>
      <c r="E75" s="92">
        <f t="shared" si="17"/>
        <v>0</v>
      </c>
      <c r="F75" s="92">
        <v>9</v>
      </c>
      <c r="G75" s="63">
        <f t="shared" si="13"/>
        <v>0</v>
      </c>
      <c r="H75" s="256"/>
      <c r="I75" s="26"/>
      <c r="J75" s="1">
        <f t="shared" si="14"/>
        <v>25</v>
      </c>
      <c r="K75" s="51"/>
      <c r="M75" s="1"/>
      <c r="N75" s="1"/>
      <c r="O75" s="1"/>
      <c r="P75" s="1"/>
      <c r="Q75" s="1"/>
      <c r="R75" s="1"/>
      <c r="S75" s="1">
        <f>IF(J75&lt;=Invulblad!$G$115,G75,0)</f>
        <v>0</v>
      </c>
      <c r="T75" s="1">
        <f>IF(J75&lt;=Invulblad!$G$116,G75,0)</f>
        <v>0</v>
      </c>
      <c r="U75" s="1">
        <f>IF(J75&lt;=Invulblad!$G$117,G75,0)</f>
        <v>0</v>
      </c>
      <c r="V75" s="1">
        <f>IF(J75&lt;=Invulblad!$G$118,G75,0)</f>
        <v>0</v>
      </c>
      <c r="W75" s="1">
        <f>IF(J75&lt;=Invulblad!$G$119,G75,0)</f>
        <v>0</v>
      </c>
      <c r="X75" s="1"/>
      <c r="Y75" s="1"/>
      <c r="Z75" s="1"/>
      <c r="AA75" s="1"/>
    </row>
    <row r="76" spans="1:27" ht="20.100000000000001" hidden="1" customHeight="1" outlineLevel="1" x14ac:dyDescent="0.25">
      <c r="A76" s="232">
        <f>IF(J76&lt;=Invulblad!$G$115,_xlfn.CONCAT("Year ",J76),IF(J76&lt;=Invulblad!$G$116,_xlfn.CONCAT("Year ",J76,Invulblad!$H$116),IF(J76&lt;=Invulblad!$G$117,_xlfn.CONCAT("Year ",J76,Invulblad!$H$117),IF(J76&lt;=Invulblad!$G$118,_xlfn.CONCAT("Year ",J76,Invulblad!$H$118),IF(J76&lt;=Invulblad!$G$119,_xlfn.CONCAT("Year ",J76,Invulblad!$H$119),0)))))</f>
        <v>0</v>
      </c>
      <c r="B76" s="233"/>
      <c r="C76" s="92">
        <f t="shared" si="15"/>
        <v>0</v>
      </c>
      <c r="D76" s="92">
        <f t="shared" si="16"/>
        <v>0</v>
      </c>
      <c r="E76" s="92">
        <f t="shared" si="17"/>
        <v>0</v>
      </c>
      <c r="F76" s="92">
        <v>9</v>
      </c>
      <c r="G76" s="63">
        <f t="shared" si="13"/>
        <v>0</v>
      </c>
      <c r="H76" s="256"/>
      <c r="I76" s="26"/>
      <c r="J76" s="1">
        <f t="shared" si="14"/>
        <v>26</v>
      </c>
      <c r="K76" s="51"/>
      <c r="M76" s="1"/>
      <c r="N76" s="1"/>
      <c r="O76" s="1"/>
      <c r="P76" s="1"/>
      <c r="Q76" s="1"/>
      <c r="R76" s="1"/>
      <c r="S76" s="1">
        <f>IF(J76&lt;=Invulblad!$G$115,G76,0)</f>
        <v>0</v>
      </c>
      <c r="T76" s="1">
        <f>IF(J76&lt;=Invulblad!$G$116,G76,0)</f>
        <v>0</v>
      </c>
      <c r="U76" s="1">
        <f>IF(J76&lt;=Invulblad!$G$117,G76,0)</f>
        <v>0</v>
      </c>
      <c r="V76" s="1">
        <f>IF(J76&lt;=Invulblad!$G$118,G76,0)</f>
        <v>0</v>
      </c>
      <c r="W76" s="1">
        <f>IF(J76&lt;=Invulblad!$G$119,G76,0)</f>
        <v>0</v>
      </c>
      <c r="X76" s="1"/>
      <c r="Y76" s="1"/>
      <c r="Z76" s="1"/>
      <c r="AA76" s="1"/>
    </row>
    <row r="77" spans="1:27" ht="20.100000000000001" hidden="1" customHeight="1" outlineLevel="1" x14ac:dyDescent="0.25">
      <c r="A77" s="232">
        <f>IF(J77&lt;=Invulblad!$G$115,_xlfn.CONCAT("Year ",J77),IF(J77&lt;=Invulblad!$G$116,_xlfn.CONCAT("Year ",J77,Invulblad!$H$116),IF(J77&lt;=Invulblad!$G$117,_xlfn.CONCAT("Year ",J77,Invulblad!$H$117),IF(J77&lt;=Invulblad!$G$118,_xlfn.CONCAT("Year ",J77,Invulblad!$H$118),IF(J77&lt;=Invulblad!$G$119,_xlfn.CONCAT("Year ",J77,Invulblad!$H$119),0)))))</f>
        <v>0</v>
      </c>
      <c r="B77" s="233"/>
      <c r="C77" s="92">
        <f t="shared" si="15"/>
        <v>0</v>
      </c>
      <c r="D77" s="92">
        <f t="shared" si="16"/>
        <v>0</v>
      </c>
      <c r="E77" s="92">
        <f t="shared" si="17"/>
        <v>0</v>
      </c>
      <c r="F77" s="92">
        <v>9</v>
      </c>
      <c r="G77" s="63">
        <f t="shared" si="13"/>
        <v>0</v>
      </c>
      <c r="H77" s="256"/>
      <c r="I77" s="26"/>
      <c r="J77" s="1">
        <f t="shared" si="14"/>
        <v>27</v>
      </c>
      <c r="K77" s="51"/>
      <c r="M77" s="1"/>
      <c r="N77" s="1"/>
      <c r="O77" s="1"/>
      <c r="P77" s="1"/>
      <c r="Q77" s="1"/>
      <c r="R77" s="1"/>
      <c r="S77" s="1">
        <f>IF(J77&lt;=Invulblad!$G$115,G77,0)</f>
        <v>0</v>
      </c>
      <c r="T77" s="1">
        <f>IF(J77&lt;=Invulblad!$G$116,G77,0)</f>
        <v>0</v>
      </c>
      <c r="U77" s="1">
        <f>IF(J77&lt;=Invulblad!$G$117,G77,0)</f>
        <v>0</v>
      </c>
      <c r="V77" s="1">
        <f>IF(J77&lt;=Invulblad!$G$118,G77,0)</f>
        <v>0</v>
      </c>
      <c r="W77" s="1">
        <f>IF(J77&lt;=Invulblad!$G$119,G77,0)</f>
        <v>0</v>
      </c>
      <c r="X77" s="1"/>
      <c r="Y77" s="1"/>
      <c r="Z77" s="1"/>
      <c r="AA77" s="1"/>
    </row>
    <row r="78" spans="1:27" ht="20.100000000000001" hidden="1" customHeight="1" outlineLevel="1" x14ac:dyDescent="0.25">
      <c r="A78" s="232">
        <f>IF(J78&lt;=Invulblad!$G$115,_xlfn.CONCAT("Year ",J78),IF(J78&lt;=Invulblad!$G$116,_xlfn.CONCAT("Year ",J78,Invulblad!$H$116),IF(J78&lt;=Invulblad!$G$117,_xlfn.CONCAT("Year ",J78,Invulblad!$H$117),IF(J78&lt;=Invulblad!$G$118,_xlfn.CONCAT("Year ",J78,Invulblad!$H$118),IF(J78&lt;=Invulblad!$G$119,_xlfn.CONCAT("Year ",J78,Invulblad!$H$119),0)))))</f>
        <v>0</v>
      </c>
      <c r="B78" s="233"/>
      <c r="C78" s="92">
        <f t="shared" si="15"/>
        <v>0</v>
      </c>
      <c r="D78" s="92">
        <f t="shared" si="16"/>
        <v>0</v>
      </c>
      <c r="E78" s="92">
        <f t="shared" si="17"/>
        <v>0</v>
      </c>
      <c r="F78" s="92">
        <v>9</v>
      </c>
      <c r="G78" s="63">
        <f t="shared" si="13"/>
        <v>0</v>
      </c>
      <c r="H78" s="256"/>
      <c r="I78" s="26"/>
      <c r="J78" s="1">
        <f t="shared" si="14"/>
        <v>28</v>
      </c>
      <c r="K78" s="51"/>
      <c r="M78" s="1"/>
      <c r="N78" s="1"/>
      <c r="O78" s="1"/>
      <c r="P78" s="1"/>
      <c r="Q78" s="1"/>
      <c r="R78" s="1"/>
      <c r="S78" s="1">
        <f>IF(J78&lt;=Invulblad!$G$115,G78,0)</f>
        <v>0</v>
      </c>
      <c r="T78" s="1">
        <f>IF(J78&lt;=Invulblad!$G$116,G78,0)</f>
        <v>0</v>
      </c>
      <c r="U78" s="1">
        <f>IF(J78&lt;=Invulblad!$G$117,G78,0)</f>
        <v>0</v>
      </c>
      <c r="V78" s="1">
        <f>IF(J78&lt;=Invulblad!$G$118,G78,0)</f>
        <v>0</v>
      </c>
      <c r="W78" s="1">
        <f>IF(J78&lt;=Invulblad!$G$119,G78,0)</f>
        <v>0</v>
      </c>
      <c r="X78" s="1"/>
      <c r="Y78" s="1"/>
      <c r="Z78" s="1"/>
      <c r="AA78" s="1"/>
    </row>
    <row r="79" spans="1:27" ht="20.100000000000001" hidden="1" customHeight="1" outlineLevel="1" x14ac:dyDescent="0.25">
      <c r="A79" s="232">
        <f>IF(J79&lt;=Invulblad!$G$115,_xlfn.CONCAT("Year ",J79),IF(J79&lt;=Invulblad!$G$116,_xlfn.CONCAT("Year ",J79,Invulblad!$H$116),IF(J79&lt;=Invulblad!$G$117,_xlfn.CONCAT("Year ",J79,Invulblad!$H$117),IF(J79&lt;=Invulblad!$G$118,_xlfn.CONCAT("Year ",J79,Invulblad!$H$118),IF(J79&lt;=Invulblad!$G$119,_xlfn.CONCAT("Year ",J79,Invulblad!$H$119),0)))))</f>
        <v>0</v>
      </c>
      <c r="B79" s="233"/>
      <c r="C79" s="92">
        <f t="shared" si="15"/>
        <v>0</v>
      </c>
      <c r="D79" s="92">
        <f t="shared" si="16"/>
        <v>0</v>
      </c>
      <c r="E79" s="92">
        <f t="shared" si="17"/>
        <v>0</v>
      </c>
      <c r="F79" s="92">
        <v>9</v>
      </c>
      <c r="G79" s="63">
        <f t="shared" si="13"/>
        <v>0</v>
      </c>
      <c r="H79" s="256"/>
      <c r="I79" s="26"/>
      <c r="J79" s="1">
        <f t="shared" si="14"/>
        <v>29</v>
      </c>
      <c r="K79" s="51"/>
      <c r="M79" s="1"/>
      <c r="N79" s="1"/>
      <c r="O79" s="1"/>
      <c r="P79" s="1"/>
      <c r="Q79" s="1"/>
      <c r="R79" s="1"/>
      <c r="S79" s="1">
        <f>IF(J79&lt;=Invulblad!$G$115,G79,0)</f>
        <v>0</v>
      </c>
      <c r="T79" s="1">
        <f>IF(J79&lt;=Invulblad!$G$116,G79,0)</f>
        <v>0</v>
      </c>
      <c r="U79" s="1">
        <f>IF(J79&lt;=Invulblad!$G$117,G79,0)</f>
        <v>0</v>
      </c>
      <c r="V79" s="1">
        <f>IF(J79&lt;=Invulblad!$G$118,G79,0)</f>
        <v>0</v>
      </c>
      <c r="W79" s="1">
        <f>IF(J79&lt;=Invulblad!$G$119,G79,0)</f>
        <v>0</v>
      </c>
      <c r="X79" s="1"/>
      <c r="Y79" s="1"/>
      <c r="Z79" s="1"/>
      <c r="AA79" s="1"/>
    </row>
    <row r="80" spans="1:27" ht="20.100000000000001" hidden="1" customHeight="1" outlineLevel="1" x14ac:dyDescent="0.25">
      <c r="A80" s="232">
        <f>IF(J80&lt;=Invulblad!$G$115,_xlfn.CONCAT("Year ",J80),IF(J80&lt;=Invulblad!$G$116,_xlfn.CONCAT("Year ",J80,Invulblad!$H$116),IF(J80&lt;=Invulblad!$G$117,_xlfn.CONCAT("Year ",J80,Invulblad!$H$117),IF(J80&lt;=Invulblad!$G$118,_xlfn.CONCAT("Year ",J80,Invulblad!$H$118),IF(J80&lt;=Invulblad!$G$119,_xlfn.CONCAT("Year ",J80,Invulblad!$H$119),0)))))</f>
        <v>0</v>
      </c>
      <c r="B80" s="233"/>
      <c r="C80" s="92">
        <f t="shared" si="15"/>
        <v>0</v>
      </c>
      <c r="D80" s="92">
        <f t="shared" si="16"/>
        <v>0</v>
      </c>
      <c r="E80" s="92">
        <f t="shared" si="17"/>
        <v>0</v>
      </c>
      <c r="F80" s="92">
        <v>9</v>
      </c>
      <c r="G80" s="63">
        <f t="shared" si="13"/>
        <v>0</v>
      </c>
      <c r="H80" s="257"/>
      <c r="I80" s="26"/>
      <c r="J80" s="1">
        <f t="shared" si="14"/>
        <v>30</v>
      </c>
      <c r="K80" s="51"/>
      <c r="M80" s="1"/>
      <c r="N80" s="1"/>
      <c r="O80" s="1"/>
      <c r="P80" s="1"/>
      <c r="Q80" s="1"/>
      <c r="R80" s="1"/>
      <c r="S80" s="1">
        <f>IF(J80&lt;=Invulblad!$G$115,G80,0)</f>
        <v>0</v>
      </c>
      <c r="T80" s="1">
        <f>IF(J80&lt;=Invulblad!$G$116,G80,0)</f>
        <v>0</v>
      </c>
      <c r="U80" s="1">
        <f>IF(J80&lt;=Invulblad!$G$117,G80,0)</f>
        <v>0</v>
      </c>
      <c r="V80" s="1">
        <f>IF(J80&lt;=Invulblad!$G$118,G80,0)</f>
        <v>0</v>
      </c>
      <c r="W80" s="1">
        <f>IF(J80&lt;=Invulblad!$G$119,G80,0)</f>
        <v>0</v>
      </c>
      <c r="X80" s="1"/>
      <c r="Y80" s="1"/>
      <c r="Z80" s="1"/>
      <c r="AA80" s="1"/>
    </row>
    <row r="81" spans="1:27" ht="20.100000000000001" customHeight="1" collapsed="1" x14ac:dyDescent="0.25">
      <c r="A81" s="247"/>
      <c r="B81" s="248"/>
      <c r="C81" s="248"/>
      <c r="D81" s="248"/>
      <c r="E81" s="248"/>
      <c r="F81" s="248"/>
      <c r="G81" s="248"/>
      <c r="H81" s="249"/>
      <c r="I81" s="26"/>
      <c r="K81" s="56"/>
      <c r="M81" s="1"/>
      <c r="N81" s="1"/>
      <c r="O81" s="1"/>
      <c r="P81" s="1"/>
      <c r="Q81" s="1"/>
      <c r="R81" s="1"/>
      <c r="S81" s="1"/>
      <c r="T81" s="1"/>
      <c r="U81" s="1"/>
      <c r="V81" s="1"/>
      <c r="W81" s="1"/>
      <c r="X81" s="1"/>
      <c r="Y81" s="1"/>
      <c r="Z81" s="1"/>
      <c r="AA81" s="1"/>
    </row>
    <row r="82" spans="1:27" ht="20.100000000000001" customHeight="1" x14ac:dyDescent="0.25">
      <c r="A82" s="258" t="str">
        <f>_xlfn.CONCAT("Total ",Invulblad!$G$115," Years")</f>
        <v>Total 7 Years</v>
      </c>
      <c r="B82" s="259"/>
      <c r="C82" s="259"/>
      <c r="D82" s="259"/>
      <c r="E82" s="259"/>
      <c r="F82" s="260"/>
      <c r="G82" s="93">
        <f>SUM(S51:S80)</f>
        <v>0</v>
      </c>
      <c r="H82" s="65"/>
      <c r="I82" s="26"/>
      <c r="K82" s="94"/>
      <c r="M82" s="1"/>
      <c r="N82" s="1"/>
      <c r="O82" s="1"/>
      <c r="P82" s="1"/>
      <c r="Q82" s="1"/>
      <c r="R82" s="1"/>
      <c r="S82" s="1"/>
      <c r="T82" s="1"/>
      <c r="U82" s="1"/>
      <c r="V82" s="1"/>
      <c r="W82" s="1"/>
      <c r="X82" s="1"/>
      <c r="Y82" s="1"/>
      <c r="Z82" s="1"/>
      <c r="AA82" s="1"/>
    </row>
    <row r="83" spans="1:27" ht="20.100000000000001" customHeight="1" x14ac:dyDescent="0.25">
      <c r="A83" s="289" t="str">
        <f>CONCATENATE("Total ",Invulblad!$G$116," Years (extension 1)")</f>
        <v>Total 10 Years (extension 1)</v>
      </c>
      <c r="B83" s="290"/>
      <c r="C83" s="290"/>
      <c r="D83" s="290"/>
      <c r="E83" s="290"/>
      <c r="F83" s="291"/>
      <c r="G83" s="95">
        <f>IF(Invulblad!$E$116&gt;0,SUM(T51:T80),0)</f>
        <v>0</v>
      </c>
      <c r="H83" s="65"/>
      <c r="I83" s="26"/>
      <c r="K83" s="56"/>
      <c r="M83" s="1"/>
      <c r="N83" s="1"/>
      <c r="O83" s="1"/>
      <c r="P83" s="1"/>
      <c r="Q83" s="1"/>
      <c r="R83" s="1"/>
      <c r="S83" s="1"/>
      <c r="T83" s="1"/>
      <c r="U83" s="1"/>
      <c r="V83" s="1"/>
      <c r="W83" s="1"/>
      <c r="X83" s="1"/>
      <c r="Y83" s="1"/>
      <c r="Z83" s="1"/>
      <c r="AA83" s="1"/>
    </row>
    <row r="84" spans="1:27" ht="20.100000000000001" hidden="1" customHeight="1" x14ac:dyDescent="0.25">
      <c r="A84" s="289" t="str">
        <f>CONCATENATE("Total ",Invulblad!$G$117," Years (extension 2)")</f>
        <v>Total 0 Years (extension 2)</v>
      </c>
      <c r="B84" s="290"/>
      <c r="C84" s="290"/>
      <c r="D84" s="290"/>
      <c r="E84" s="290"/>
      <c r="F84" s="291"/>
      <c r="G84" s="95">
        <f>IF(Invulblad!$E$117&gt;0,SUM(U51:U80),0)</f>
        <v>0</v>
      </c>
      <c r="H84" s="65"/>
      <c r="I84" s="26"/>
      <c r="K84" s="56"/>
      <c r="M84" s="1"/>
      <c r="N84" s="1"/>
      <c r="O84" s="1"/>
      <c r="P84" s="1"/>
      <c r="Q84" s="1"/>
      <c r="R84" s="1"/>
      <c r="S84" s="1"/>
      <c r="T84" s="1"/>
      <c r="U84" s="1"/>
      <c r="V84" s="1"/>
      <c r="W84" s="1"/>
      <c r="X84" s="1"/>
      <c r="Y84" s="1"/>
      <c r="Z84" s="1"/>
      <c r="AA84" s="1"/>
    </row>
    <row r="85" spans="1:27" ht="20.100000000000001" hidden="1" customHeight="1" x14ac:dyDescent="0.25">
      <c r="A85" s="289" t="str">
        <f>CONCATENATE("Total ",Invulblad!$G$118," Years (extension 3)")</f>
        <v>Total 0 Years (extension 3)</v>
      </c>
      <c r="B85" s="290"/>
      <c r="C85" s="290"/>
      <c r="D85" s="290"/>
      <c r="E85" s="290"/>
      <c r="F85" s="291"/>
      <c r="G85" s="95">
        <f>IF(Invulblad!$E$118&gt;0,SUM(V51:V80),0)</f>
        <v>0</v>
      </c>
      <c r="H85" s="65"/>
      <c r="I85" s="26"/>
      <c r="K85" s="56"/>
      <c r="M85" s="1"/>
      <c r="N85" s="1"/>
      <c r="O85" s="1"/>
      <c r="P85" s="1"/>
      <c r="Q85" s="1"/>
      <c r="R85" s="1"/>
      <c r="S85" s="1"/>
      <c r="T85" s="1"/>
      <c r="U85" s="1"/>
      <c r="V85" s="1"/>
      <c r="W85" s="1"/>
      <c r="X85" s="1"/>
      <c r="Y85" s="1"/>
      <c r="Z85" s="1"/>
      <c r="AA85" s="1"/>
    </row>
    <row r="86" spans="1:27" ht="20.100000000000001" hidden="1" customHeight="1" x14ac:dyDescent="0.25">
      <c r="A86" s="289" t="str">
        <f>CONCATENATE("Total ",Invulblad!$G$119," Years (extension 4)")</f>
        <v>Total 0 Years (extension 4)</v>
      </c>
      <c r="B86" s="290"/>
      <c r="C86" s="290"/>
      <c r="D86" s="290"/>
      <c r="E86" s="290"/>
      <c r="F86" s="291"/>
      <c r="G86" s="95">
        <f>IF(Invulblad!$E$119&gt;0,SUM(W51:W80),0)</f>
        <v>0</v>
      </c>
      <c r="H86" s="65"/>
      <c r="I86" s="26"/>
      <c r="K86" s="56"/>
      <c r="M86" s="1"/>
      <c r="N86" s="1"/>
      <c r="O86" s="1"/>
      <c r="P86" s="1"/>
      <c r="Q86" s="1"/>
      <c r="R86" s="1"/>
      <c r="S86" s="1"/>
      <c r="T86" s="1"/>
      <c r="U86" s="1"/>
      <c r="V86" s="1"/>
      <c r="W86" s="1"/>
      <c r="X86" s="1"/>
      <c r="Y86" s="1"/>
      <c r="Z86" s="1"/>
      <c r="AA86" s="1"/>
    </row>
    <row r="87" spans="1:27" ht="20.100000000000001" customHeight="1" x14ac:dyDescent="0.25">
      <c r="A87" s="311"/>
      <c r="B87" s="312"/>
      <c r="C87" s="312"/>
      <c r="D87" s="312"/>
      <c r="E87" s="312"/>
      <c r="F87" s="312"/>
      <c r="G87" s="312"/>
      <c r="H87" s="313"/>
      <c r="I87" s="26"/>
      <c r="K87" s="56"/>
      <c r="M87" s="1"/>
      <c r="N87" s="1"/>
      <c r="O87" s="1"/>
      <c r="P87" s="1"/>
      <c r="Q87" s="1"/>
      <c r="R87" s="1"/>
      <c r="S87" s="1"/>
      <c r="T87" s="1"/>
      <c r="U87" s="1"/>
      <c r="V87" s="1"/>
      <c r="W87" s="1"/>
      <c r="X87" s="1"/>
      <c r="Y87" s="1"/>
      <c r="Z87" s="1"/>
      <c r="AA87" s="1"/>
    </row>
    <row r="88" spans="1:27" ht="20.100000000000001" customHeight="1" x14ac:dyDescent="0.25">
      <c r="A88" s="286" t="s">
        <v>125</v>
      </c>
      <c r="B88" s="286"/>
      <c r="C88" s="286"/>
      <c r="D88" s="286"/>
      <c r="E88" s="286"/>
      <c r="F88" s="286"/>
      <c r="G88" s="286"/>
      <c r="H88" s="286"/>
      <c r="I88" s="26"/>
      <c r="M88" s="1"/>
      <c r="N88" s="1"/>
      <c r="O88" s="1"/>
      <c r="P88" s="1"/>
      <c r="Q88" s="1"/>
      <c r="R88" s="1"/>
      <c r="S88" s="1"/>
      <c r="T88" s="1"/>
      <c r="U88" s="1"/>
      <c r="V88" s="1"/>
      <c r="W88" s="1"/>
      <c r="X88" s="1"/>
      <c r="Y88" s="1"/>
      <c r="Z88" s="1"/>
      <c r="AA88" s="1"/>
    </row>
    <row r="89" spans="1:27" ht="20.100000000000001" customHeight="1" x14ac:dyDescent="0.25">
      <c r="A89" s="305" t="s">
        <v>98</v>
      </c>
      <c r="B89" s="283"/>
      <c r="C89" s="300" t="s">
        <v>126</v>
      </c>
      <c r="D89" s="301"/>
      <c r="E89" s="302"/>
      <c r="F89" s="46"/>
      <c r="G89" s="96" t="s">
        <v>127</v>
      </c>
      <c r="H89" s="46" t="s">
        <v>88</v>
      </c>
      <c r="I89" s="26"/>
      <c r="K89" s="56"/>
      <c r="M89" s="1"/>
      <c r="N89" s="1"/>
      <c r="O89" s="1"/>
      <c r="P89" s="1"/>
      <c r="Q89" s="1"/>
      <c r="R89" s="1"/>
      <c r="S89" s="1"/>
      <c r="T89" s="1"/>
      <c r="U89" s="1"/>
      <c r="V89" s="1"/>
      <c r="W89" s="1"/>
      <c r="X89" s="1"/>
      <c r="Y89" s="1"/>
      <c r="Z89" s="1"/>
      <c r="AA89" s="1"/>
    </row>
    <row r="90" spans="1:27" ht="20.100000000000001" customHeight="1" x14ac:dyDescent="0.25">
      <c r="A90" s="303" t="s">
        <v>128</v>
      </c>
      <c r="B90" s="304"/>
      <c r="C90" s="97"/>
      <c r="D90" s="17" t="s">
        <v>81</v>
      </c>
      <c r="E90" s="98"/>
      <c r="F90" s="46" t="s">
        <v>129</v>
      </c>
      <c r="G90" s="99"/>
      <c r="H90" s="67" t="str">
        <f>_xlfn.CONCAT("Enter number from 1 to ",Invulblad!P96," in years, see also Annex ",Invulblad!F98," req. ",Invulblad!F99,".")</f>
        <v>Enter number from 1 to 3 in years, see also Annex 4 req. 102.</v>
      </c>
      <c r="I90" s="35">
        <f t="shared" ref="I90:I91" si="18">IF(D90="&lt;Enter Choice &gt;",0,IF(D90&gt;0,1,0))</f>
        <v>0</v>
      </c>
      <c r="K90" s="56"/>
      <c r="M90" s="1"/>
      <c r="N90" s="1"/>
      <c r="O90" s="1"/>
      <c r="P90" s="1"/>
      <c r="Q90" s="1"/>
      <c r="R90" s="1"/>
      <c r="S90" s="1"/>
      <c r="T90" s="1"/>
      <c r="U90" s="1"/>
      <c r="V90" s="1"/>
      <c r="W90" s="1"/>
      <c r="X90" s="1"/>
      <c r="Y90" s="1"/>
      <c r="Z90" s="1"/>
      <c r="AA90" s="1"/>
    </row>
    <row r="91" spans="1:27" ht="27" customHeight="1" x14ac:dyDescent="0.25">
      <c r="A91" s="240" t="str">
        <f>IF($F$12=1, _xlfn.CONCAT("Mean time between failures (MTBF) of ",Invulblad!D18),IF($F$12=2, _xlfn.CONCAT("Mean time between failures (MTBF) of ",Invulblad!D27),IF($F$12=3, _xlfn.CONCAT("Mean time between failures (MTBF) of ",Invulblad!D36),IF($F$12=4, _xlfn.CONCAT("Mean time between failures (MTBF) of ",Invulblad!D45),""))))</f>
        <v/>
      </c>
      <c r="B91" s="241"/>
      <c r="C91" s="97"/>
      <c r="D91" s="194"/>
      <c r="E91" s="98"/>
      <c r="F91" s="100" t="s">
        <v>130</v>
      </c>
      <c r="G91" s="101" t="str">
        <f>C14</f>
        <v/>
      </c>
      <c r="H91" s="59" t="str">
        <f>_xlfn.CONCAT("Enter number between ",Invulblad!E110," and ",Invulblad!E111," in hours (",Invulblad!E110," hour = ",Invulblad!H110," months, ",Invulblad!E111," = ",Invulblad!H111," months), see also Annex ",Invulblad!$F$101," req. ",Invulblad!$F$102,".")</f>
        <v>Enter number between 43830 and 87660 in hours (43830 hour = 60 months, 87660 = 120 months), see also Annex 4 req. x.</v>
      </c>
      <c r="I91" s="35">
        <f t="shared" si="18"/>
        <v>0</v>
      </c>
      <c r="K91" s="56"/>
      <c r="M91" s="1"/>
      <c r="N91" s="1"/>
      <c r="O91" s="1"/>
      <c r="P91" s="1"/>
      <c r="Q91" s="1"/>
      <c r="R91" s="1"/>
      <c r="S91" s="1"/>
      <c r="T91" s="1"/>
      <c r="U91" s="1"/>
      <c r="V91" s="1"/>
      <c r="W91" s="1"/>
      <c r="X91" s="1"/>
      <c r="Y91" s="1"/>
      <c r="Z91" s="1"/>
      <c r="AA91" s="1"/>
    </row>
    <row r="92" spans="1:27" ht="27" customHeight="1" x14ac:dyDescent="0.25">
      <c r="A92" s="240" t="str">
        <f>IF($F$12=1, _xlfn.CONCAT("Mean time between failures (MTBF) of ",Invulblad!D20),IF($F$12=2, _xlfn.CONCAT("Mean time between failures (MTBF) of ",Invulblad!D29),IF($F$12=3, _xlfn.CONCAT("Mean time between failures (MTBF) of ",Invulblad!D38),IF($F$12=4, _xlfn.CONCAT("Mean time between failures (MTBF) of ",Invulblad!D47),""))))</f>
        <v/>
      </c>
      <c r="B92" s="241"/>
      <c r="C92" s="81"/>
      <c r="D92" s="194"/>
      <c r="E92" s="82"/>
      <c r="F92" s="100" t="s">
        <v>130</v>
      </c>
      <c r="G92" s="101" t="str">
        <f>C15</f>
        <v/>
      </c>
      <c r="H92" s="59" t="str">
        <f>_xlfn.CONCAT("Enter number between ",Invulblad!E110," and ",Invulblad!E111," in hours (",Invulblad!E110," hour = ",Invulblad!H110," months, ",Invulblad!E111," = ",Invulblad!H111," months), see also Annex ",Invulblad!$F$101," req. ",Invulblad!$F$102,".")</f>
        <v>Enter number between 43830 and 87660 in hours (43830 hour = 60 months, 87660 = 120 months), see also Annex 4 req. x.</v>
      </c>
      <c r="I92" s="35">
        <f>IF(D92="&lt;Enter Choice &gt;",0,IF(D92&gt;0,1,IF(G92&gt;0,0,1)))</f>
        <v>0</v>
      </c>
      <c r="K92" s="56"/>
      <c r="M92" s="1"/>
      <c r="N92" s="1"/>
      <c r="O92" s="1"/>
      <c r="P92" s="1"/>
      <c r="Q92" s="1"/>
      <c r="R92" s="1"/>
      <c r="S92" s="1"/>
      <c r="T92" s="1"/>
      <c r="U92" s="1"/>
      <c r="V92" s="1"/>
      <c r="W92" s="1"/>
      <c r="X92" s="1"/>
      <c r="Y92" s="1"/>
      <c r="Z92" s="1"/>
      <c r="AA92" s="1"/>
    </row>
    <row r="93" spans="1:27" ht="27" hidden="1" customHeight="1" x14ac:dyDescent="0.25">
      <c r="A93" s="242" t="str">
        <f>IF($F$12=1, _xlfn.CONCAT("Mean time between failures (MTBF) of ",Invulblad!D22),IF($F$12=2, _xlfn.CONCAT("Mean time between failures (MTBF) of ",Invulblad!D31),IF($F$12=3, _xlfn.CONCAT("Mean time between failures (MTBF) of ",Invulblad!D40),IF($F$12=4, _xlfn.CONCAT("Mean time between failures (MTBF) of ",Invulblad!D49),""))))</f>
        <v/>
      </c>
      <c r="B93" s="243"/>
      <c r="C93" s="81"/>
      <c r="D93" s="195"/>
      <c r="E93" s="82"/>
      <c r="F93" s="100" t="s">
        <v>130</v>
      </c>
      <c r="G93" s="101" t="str">
        <f>C16</f>
        <v/>
      </c>
      <c r="H93" s="59" t="str">
        <f>_xlfn.CONCAT("Enter number  43830 or higher in hours (43830 hour = 60 months), see also Annex ",Invulblad!$F$101," req. ",Invulblad!$F$102,".")</f>
        <v>Enter number  43830 or higher in hours (43830 hour = 60 months), see also Annex 4 req. x.</v>
      </c>
      <c r="I93" s="35">
        <f>IF(D93="&lt;Enter Choice &gt;",0,IF(D93&gt;0,1,IF(G93&gt;0,0,1)))</f>
        <v>0</v>
      </c>
      <c r="K93" s="56"/>
      <c r="M93" s="1"/>
      <c r="N93" s="1"/>
      <c r="O93" s="1"/>
      <c r="P93" s="1"/>
      <c r="Q93" s="1"/>
      <c r="R93" s="1"/>
      <c r="S93" s="1"/>
      <c r="T93" s="1"/>
      <c r="U93" s="1"/>
      <c r="V93" s="1"/>
      <c r="W93" s="1"/>
      <c r="X93" s="1"/>
      <c r="Y93" s="1"/>
      <c r="Z93" s="1"/>
      <c r="AA93" s="1"/>
    </row>
    <row r="94" spans="1:27" ht="27" hidden="1" customHeight="1" x14ac:dyDescent="0.25">
      <c r="A94" s="242" t="str">
        <f>IF($F$12=1, _xlfn.CONCAT("Mean time between failures (MTBF) of ",Invulblad!D24),IF($F$12=2, _xlfn.CONCAT("Mean time between failures (MTBF) of ",Invulblad!D33),IF($F$12=3, _xlfn.CONCAT("Mean time between failures (MTBF) of ",Invulblad!D42),IF($F$12=4, _xlfn.CONCAT("Mean time between failures (MTBF) of ",Invulblad!D51),""))))</f>
        <v/>
      </c>
      <c r="B94" s="243"/>
      <c r="C94" s="81"/>
      <c r="D94" s="195"/>
      <c r="E94" s="82"/>
      <c r="F94" s="100" t="s">
        <v>130</v>
      </c>
      <c r="G94" s="101" t="str">
        <f>C17</f>
        <v/>
      </c>
      <c r="H94" s="59" t="str">
        <f>_xlfn.CONCAT("Enter number  43830 or higher in hours (43830 hour = 60 months), see also Annex ",Invulblad!$F$101," req. ",Invulblad!$F$102,".")</f>
        <v>Enter number  43830 or higher in hours (43830 hour = 60 months), see also Annex 4 req. x.</v>
      </c>
      <c r="I94" s="35">
        <f>IF(D94="&lt;Enter Choice &gt;",0,IF(D94&gt;0,1,IF(G94&gt;0,0,1)))</f>
        <v>0</v>
      </c>
      <c r="K94" s="56"/>
      <c r="M94" s="1"/>
      <c r="N94" s="1"/>
      <c r="O94" s="1"/>
      <c r="P94" s="1"/>
      <c r="Q94" s="1"/>
      <c r="R94" s="1"/>
      <c r="S94" s="1"/>
      <c r="T94" s="1"/>
      <c r="U94" s="1"/>
      <c r="V94" s="1"/>
      <c r="W94" s="1"/>
      <c r="X94" s="1"/>
      <c r="Y94" s="1"/>
      <c r="Z94" s="1"/>
      <c r="AA94" s="1"/>
    </row>
    <row r="95" spans="1:27" ht="20.100000000000001" hidden="1" customHeight="1" outlineLevel="1" x14ac:dyDescent="0.25">
      <c r="A95" s="287" t="s">
        <v>114</v>
      </c>
      <c r="B95" s="288"/>
      <c r="C95" s="314">
        <f>Invulblad!E81</f>
        <v>150</v>
      </c>
      <c r="D95" s="314"/>
      <c r="E95" s="315"/>
      <c r="F95" s="46" t="s">
        <v>115</v>
      </c>
      <c r="G95" s="99"/>
      <c r="H95" s="67" t="s">
        <v>116</v>
      </c>
      <c r="I95" s="26"/>
      <c r="K95" s="56"/>
      <c r="M95" s="1"/>
      <c r="N95" s="1"/>
      <c r="O95" s="1"/>
      <c r="P95" s="1"/>
      <c r="Q95" s="1"/>
      <c r="R95" s="1"/>
      <c r="S95" s="1"/>
      <c r="T95" s="1"/>
      <c r="U95" s="1"/>
      <c r="V95" s="1"/>
      <c r="W95" s="1"/>
      <c r="X95" s="1"/>
      <c r="Y95" s="1"/>
      <c r="Z95" s="1"/>
      <c r="AA95" s="1"/>
    </row>
    <row r="96" spans="1:27" ht="25.5" hidden="1" customHeight="1" outlineLevel="1" x14ac:dyDescent="0.25">
      <c r="A96" s="282"/>
      <c r="B96" s="283"/>
      <c r="C96" s="322" t="s">
        <v>131</v>
      </c>
      <c r="D96" s="322" t="s">
        <v>132</v>
      </c>
      <c r="E96" s="102"/>
      <c r="F96" s="103"/>
      <c r="G96" s="324" t="s">
        <v>133</v>
      </c>
      <c r="H96" s="326" t="s">
        <v>88</v>
      </c>
      <c r="I96" s="26"/>
      <c r="J96" s="316" t="s">
        <v>134</v>
      </c>
      <c r="K96" s="316"/>
      <c r="L96" s="316"/>
      <c r="M96" s="316"/>
      <c r="N96" s="316"/>
      <c r="O96" s="316"/>
      <c r="P96" s="316"/>
      <c r="Q96" s="316"/>
      <c r="R96" s="1"/>
      <c r="S96" s="1"/>
      <c r="T96" s="1"/>
      <c r="U96" s="1"/>
      <c r="V96" s="1"/>
      <c r="W96" s="1"/>
      <c r="X96" s="1"/>
      <c r="Y96" s="1"/>
      <c r="Z96" s="1"/>
      <c r="AA96" s="1"/>
    </row>
    <row r="97" spans="1:27" hidden="1" outlineLevel="1" x14ac:dyDescent="0.25">
      <c r="A97" s="104" t="str">
        <f>_xlfn.CONCAT("Duration of 2nd line maintenance (calibration) per ",Invulblad!B8," arrangement in hours")</f>
        <v>Duration of 2nd line maintenance (calibration) per gauge arrangement in hours</v>
      </c>
      <c r="B97" s="105">
        <f>Invulblad!E104</f>
        <v>8</v>
      </c>
      <c r="C97" s="323"/>
      <c r="D97" s="323"/>
      <c r="E97" s="106"/>
      <c r="F97" s="107"/>
      <c r="G97" s="325"/>
      <c r="H97" s="327"/>
      <c r="I97" s="26"/>
      <c r="J97" s="316"/>
      <c r="K97" s="316"/>
      <c r="L97" s="316"/>
      <c r="M97" s="316"/>
      <c r="N97" s="316"/>
      <c r="O97" s="316"/>
      <c r="P97" s="316"/>
      <c r="Q97" s="316"/>
      <c r="R97" s="1"/>
      <c r="S97" s="1"/>
      <c r="T97" s="1"/>
      <c r="U97" s="1"/>
      <c r="V97" s="1"/>
      <c r="W97" s="1"/>
      <c r="X97" s="1"/>
      <c r="Y97" s="1"/>
      <c r="Z97" s="1"/>
      <c r="AA97" s="1"/>
    </row>
    <row r="98" spans="1:27" ht="20.100000000000001" hidden="1" customHeight="1" outlineLevel="1" x14ac:dyDescent="0.25">
      <c r="A98" s="284" t="s">
        <v>123</v>
      </c>
      <c r="B98" s="285"/>
      <c r="C98" s="108">
        <f>C51+D51+E51</f>
        <v>9</v>
      </c>
      <c r="D98" s="108">
        <f>IFERROR((O98+P98+Q98),0)</f>
        <v>0</v>
      </c>
      <c r="E98" s="109"/>
      <c r="F98" s="110"/>
      <c r="G98" s="111">
        <f>IFERROR((D98*$B$97*$C$95),0)</f>
        <v>0</v>
      </c>
      <c r="H98" s="255" t="str">
        <f>_xlfn.CONCAT("Will be automatically calculated from calibration interval and ",Invulblad!B8," in use")</f>
        <v>Will be automatically calculated from calibration interval and gauge in use</v>
      </c>
      <c r="I98" s="26"/>
      <c r="J98" s="112" t="e">
        <f>1/$D$90</f>
        <v>#VALUE!</v>
      </c>
      <c r="K98" s="113" t="e">
        <f>TRUNC(J98)</f>
        <v>#VALUE!</v>
      </c>
      <c r="L98" s="1" t="e">
        <f>IF(J98=K98,1,0)</f>
        <v>#VALUE!</v>
      </c>
      <c r="M98" s="1">
        <v>0</v>
      </c>
      <c r="N98" s="1">
        <v>0</v>
      </c>
      <c r="O98" s="1">
        <v>0</v>
      </c>
      <c r="P98" s="1">
        <f>M98*$C$99</f>
        <v>0</v>
      </c>
      <c r="Q98" s="1">
        <f>N98*$C$100</f>
        <v>0</v>
      </c>
      <c r="R98" s="1"/>
      <c r="S98" s="1">
        <f>IF(J51&lt;=Invulblad!$G$115,G98,0)</f>
        <v>0</v>
      </c>
      <c r="T98" s="1">
        <f>IF(J51&lt;=Invulblad!$G$116,G98,0)</f>
        <v>0</v>
      </c>
      <c r="U98" s="1">
        <f>IF(J51&lt;=Invulblad!$G$117,G98,0)</f>
        <v>0</v>
      </c>
      <c r="V98" s="1">
        <f>IF(J51&lt;=Invulblad!$G$118,G98,0)</f>
        <v>0</v>
      </c>
      <c r="W98" s="1">
        <f>IF(J51&lt;=Invulblad!$G$119,G98,0)</f>
        <v>0</v>
      </c>
      <c r="X98" s="1"/>
      <c r="Y98" s="1"/>
      <c r="Z98" s="1"/>
      <c r="AA98" s="1"/>
    </row>
    <row r="99" spans="1:27" ht="20.100000000000001" hidden="1" customHeight="1" outlineLevel="1" x14ac:dyDescent="0.25">
      <c r="A99" s="232" t="str">
        <f>IF(J52&lt;=Invulblad!$G$115,_xlfn.CONCAT("Year ",J52),IF(J52&lt;=Invulblad!$G$116,_xlfn.CONCAT("Year ",J52,Invulblad!$H$116),IF(J52&lt;=Invulblad!$G$117,_xlfn.CONCAT("Year ",J52,Invulblad!$H$117),IF(J52&lt;=Invulblad!$G$118,_xlfn.CONCAT("Year ",J52,Invulblad!$H$118),IF(J52&lt;=Invulblad!$G$119,_xlfn.CONCAT("Year ",J52,Invulblad!$H$119),0)))))</f>
        <v>Year 2</v>
      </c>
      <c r="B99" s="233"/>
      <c r="C99" s="92">
        <f>C52+D52+E52-C98</f>
        <v>36</v>
      </c>
      <c r="D99" s="92">
        <f t="shared" ref="D99:D127" si="19">IFERROR((O99+P99+Q99),0)</f>
        <v>0</v>
      </c>
      <c r="E99" s="114"/>
      <c r="F99" s="115"/>
      <c r="G99" s="63">
        <f t="shared" ref="G99:G127" si="20">IFERROR((D99*$B$97*$C$95),0)</f>
        <v>0</v>
      </c>
      <c r="H99" s="256"/>
      <c r="I99" s="26"/>
      <c r="J99" s="112" t="e">
        <f>J98+(1/$D$90)</f>
        <v>#VALUE!</v>
      </c>
      <c r="K99" s="113" t="e">
        <f t="shared" ref="K99:K127" si="21">TRUNC(J99)</f>
        <v>#VALUE!</v>
      </c>
      <c r="L99" s="1" t="e">
        <f t="shared" ref="L99:L127" si="22">IF(J99=K99,1,0)</f>
        <v>#VALUE!</v>
      </c>
      <c r="M99" s="1" t="e">
        <f>L98</f>
        <v>#VALUE!</v>
      </c>
      <c r="N99" s="1">
        <v>0</v>
      </c>
      <c r="O99" s="1" t="e">
        <f>L99*$C$98</f>
        <v>#VALUE!</v>
      </c>
      <c r="P99" s="1">
        <v>0</v>
      </c>
      <c r="Q99" s="1">
        <f>N99*$C$100</f>
        <v>0</v>
      </c>
      <c r="R99" s="1"/>
      <c r="S99" s="1">
        <f>IF(J52&lt;=Invulblad!$G$115,G99,0)</f>
        <v>0</v>
      </c>
      <c r="T99" s="1">
        <f>IF(J52&lt;=Invulblad!$G$116,G99,0)</f>
        <v>0</v>
      </c>
      <c r="U99" s="1">
        <f>IF(J52&lt;=Invulblad!$G$117,G99,0)</f>
        <v>0</v>
      </c>
      <c r="V99" s="1">
        <f>IF(J52&lt;=Invulblad!$G$118,G99,0)</f>
        <v>0</v>
      </c>
      <c r="W99" s="1">
        <f>IF(J52&lt;=Invulblad!$G$119,G99,0)</f>
        <v>0</v>
      </c>
      <c r="X99" s="1"/>
      <c r="Y99" s="1"/>
      <c r="Z99" s="1"/>
      <c r="AA99" s="1"/>
    </row>
    <row r="100" spans="1:27" ht="20.100000000000001" hidden="1" customHeight="1" outlineLevel="1" x14ac:dyDescent="0.25">
      <c r="A100" s="232" t="str">
        <f>IF(J53&lt;=Invulblad!$G$115,_xlfn.CONCAT("Year ",J53),IF(J53&lt;=Invulblad!$G$116,_xlfn.CONCAT("Year ",J53,Invulblad!$H$116),IF(J53&lt;=Invulblad!$G$117,_xlfn.CONCAT("Year ",J53,Invulblad!$H$117),IF(J53&lt;=Invulblad!$G$118,_xlfn.CONCAT("Year ",J53,Invulblad!$H$118),IF(J53&lt;=Invulblad!$G$119,_xlfn.CONCAT("Year ",J53,Invulblad!$H$119),0)))))</f>
        <v>Year 3</v>
      </c>
      <c r="B100" s="233"/>
      <c r="C100" s="92">
        <f>C53+D53+E53-C99-C98</f>
        <v>0</v>
      </c>
      <c r="D100" s="92">
        <f t="shared" si="19"/>
        <v>0</v>
      </c>
      <c r="E100" s="116"/>
      <c r="F100" s="115"/>
      <c r="G100" s="63">
        <f t="shared" si="20"/>
        <v>0</v>
      </c>
      <c r="H100" s="256"/>
      <c r="I100" s="26"/>
      <c r="J100" s="112" t="e">
        <f t="shared" ref="J100:J127" si="23">J99+(1/$D$90)</f>
        <v>#VALUE!</v>
      </c>
      <c r="K100" s="113" t="e">
        <f t="shared" si="21"/>
        <v>#VALUE!</v>
      </c>
      <c r="L100" s="1" t="e">
        <f t="shared" si="22"/>
        <v>#VALUE!</v>
      </c>
      <c r="M100" s="1" t="e">
        <f t="shared" ref="M100:M127" si="24">L99</f>
        <v>#VALUE!</v>
      </c>
      <c r="N100" s="1" t="e">
        <f>M99</f>
        <v>#VALUE!</v>
      </c>
      <c r="O100" s="1" t="e">
        <f t="shared" ref="O100:O127" si="25">L100*$C$98</f>
        <v>#VALUE!</v>
      </c>
      <c r="P100" s="1" t="e">
        <f t="shared" ref="P100:P127" si="26">M100*$C$99</f>
        <v>#VALUE!</v>
      </c>
      <c r="Q100" s="1">
        <v>0</v>
      </c>
      <c r="R100" s="1"/>
      <c r="S100" s="1">
        <f>IF(J53&lt;=Invulblad!$G$115,G100,0)</f>
        <v>0</v>
      </c>
      <c r="T100" s="1">
        <f>IF(J53&lt;=Invulblad!$G$116,G100,0)</f>
        <v>0</v>
      </c>
      <c r="U100" s="1">
        <f>IF(J53&lt;=Invulblad!$G$117,G100,0)</f>
        <v>0</v>
      </c>
      <c r="V100" s="1">
        <f>IF(J53&lt;=Invulblad!$G$118,G100,0)</f>
        <v>0</v>
      </c>
      <c r="W100" s="1">
        <f>IF(J53&lt;=Invulblad!$G$119,G100,0)</f>
        <v>0</v>
      </c>
      <c r="X100" s="1"/>
      <c r="Y100" s="1"/>
      <c r="Z100" s="1"/>
      <c r="AA100" s="1"/>
    </row>
    <row r="101" spans="1:27" ht="20.100000000000001" hidden="1" customHeight="1" outlineLevel="1" x14ac:dyDescent="0.25">
      <c r="A101" s="232" t="str">
        <f>IF(J54&lt;=Invulblad!$G$115,_xlfn.CONCAT("Year ",J54),IF(J54&lt;=Invulblad!$G$116,_xlfn.CONCAT("Year ",J54,Invulblad!$H$116),IF(J54&lt;=Invulblad!$G$117,_xlfn.CONCAT("Year ",J54,Invulblad!$H$117),IF(J54&lt;=Invulblad!$G$118,_xlfn.CONCAT("Year ",J54,Invulblad!$H$118),IF(J54&lt;=Invulblad!$G$119,_xlfn.CONCAT("Year ",J54,Invulblad!$H$119),0)))))</f>
        <v>Year 4</v>
      </c>
      <c r="B101" s="233"/>
      <c r="C101" s="92">
        <v>0</v>
      </c>
      <c r="D101" s="92">
        <f t="shared" si="19"/>
        <v>0</v>
      </c>
      <c r="E101" s="114"/>
      <c r="F101" s="115"/>
      <c r="G101" s="63">
        <f t="shared" si="20"/>
        <v>0</v>
      </c>
      <c r="H101" s="256"/>
      <c r="I101" s="26"/>
      <c r="J101" s="112" t="e">
        <f t="shared" si="23"/>
        <v>#VALUE!</v>
      </c>
      <c r="K101" s="113" t="e">
        <f t="shared" si="21"/>
        <v>#VALUE!</v>
      </c>
      <c r="L101" s="1" t="e">
        <f t="shared" si="22"/>
        <v>#VALUE!</v>
      </c>
      <c r="M101" s="1" t="e">
        <f t="shared" si="24"/>
        <v>#VALUE!</v>
      </c>
      <c r="N101" s="1" t="e">
        <f t="shared" ref="N101:N127" si="27">M100</f>
        <v>#VALUE!</v>
      </c>
      <c r="O101" s="1" t="e">
        <f t="shared" si="25"/>
        <v>#VALUE!</v>
      </c>
      <c r="P101" s="1" t="e">
        <f t="shared" si="26"/>
        <v>#VALUE!</v>
      </c>
      <c r="Q101" s="1" t="e">
        <f t="shared" ref="Q101:Q127" si="28">N101*$C$100</f>
        <v>#VALUE!</v>
      </c>
      <c r="R101" s="1"/>
      <c r="S101" s="1">
        <f>IF(J54&lt;=Invulblad!$G$115,G101,0)</f>
        <v>0</v>
      </c>
      <c r="T101" s="1">
        <f>IF(J54&lt;=Invulblad!$G$116,G101,0)</f>
        <v>0</v>
      </c>
      <c r="U101" s="1">
        <f>IF(J54&lt;=Invulblad!$G$117,G101,0)</f>
        <v>0</v>
      </c>
      <c r="V101" s="1">
        <f>IF(J54&lt;=Invulblad!$G$118,G101,0)</f>
        <v>0</v>
      </c>
      <c r="W101" s="1">
        <f>IF(J54&lt;=Invulblad!$G$119,G101,0)</f>
        <v>0</v>
      </c>
      <c r="X101" s="1"/>
      <c r="Y101" s="1"/>
      <c r="Z101" s="1"/>
      <c r="AA101" s="1"/>
    </row>
    <row r="102" spans="1:27" ht="20.100000000000001" hidden="1" customHeight="1" outlineLevel="1" x14ac:dyDescent="0.25">
      <c r="A102" s="232" t="str">
        <f>IF(J55&lt;=Invulblad!$G$115,_xlfn.CONCAT("Year ",J55),IF(J55&lt;=Invulblad!$G$116,_xlfn.CONCAT("Year ",J55,Invulblad!$H$116),IF(J55&lt;=Invulblad!$G$117,_xlfn.CONCAT("Year ",J55,Invulblad!$H$117),IF(J55&lt;=Invulblad!$G$118,_xlfn.CONCAT("Year ",J55,Invulblad!$H$118),IF(J55&lt;=Invulblad!$G$119,_xlfn.CONCAT("Year ",J55,Invulblad!$H$119),0)))))</f>
        <v>Year 5</v>
      </c>
      <c r="B102" s="233"/>
      <c r="C102" s="92">
        <v>0</v>
      </c>
      <c r="D102" s="92">
        <f t="shared" si="19"/>
        <v>0</v>
      </c>
      <c r="E102" s="114"/>
      <c r="F102" s="115"/>
      <c r="G102" s="63">
        <f t="shared" si="20"/>
        <v>0</v>
      </c>
      <c r="H102" s="256"/>
      <c r="I102" s="26"/>
      <c r="J102" s="112" t="e">
        <f t="shared" si="23"/>
        <v>#VALUE!</v>
      </c>
      <c r="K102" s="113" t="e">
        <f t="shared" si="21"/>
        <v>#VALUE!</v>
      </c>
      <c r="L102" s="1" t="e">
        <f t="shared" si="22"/>
        <v>#VALUE!</v>
      </c>
      <c r="M102" s="1" t="e">
        <f t="shared" si="24"/>
        <v>#VALUE!</v>
      </c>
      <c r="N102" s="1" t="e">
        <f t="shared" si="27"/>
        <v>#VALUE!</v>
      </c>
      <c r="O102" s="1" t="e">
        <f t="shared" si="25"/>
        <v>#VALUE!</v>
      </c>
      <c r="P102" s="1" t="e">
        <f t="shared" si="26"/>
        <v>#VALUE!</v>
      </c>
      <c r="Q102" s="1" t="e">
        <f t="shared" si="28"/>
        <v>#VALUE!</v>
      </c>
      <c r="R102" s="1"/>
      <c r="S102" s="1">
        <f>IF(J55&lt;=Invulblad!$G$115,G102,0)</f>
        <v>0</v>
      </c>
      <c r="T102" s="1">
        <f>IF(J55&lt;=Invulblad!$G$116,G102,0)</f>
        <v>0</v>
      </c>
      <c r="U102" s="1">
        <f>IF(J55&lt;=Invulblad!$G$117,G102,0)</f>
        <v>0</v>
      </c>
      <c r="V102" s="1">
        <f>IF(J55&lt;=Invulblad!$G$118,G102,0)</f>
        <v>0</v>
      </c>
      <c r="W102" s="1">
        <f>IF(J55&lt;=Invulblad!$G$119,G102,0)</f>
        <v>0</v>
      </c>
      <c r="X102" s="1"/>
      <c r="Y102" s="1"/>
      <c r="Z102" s="1"/>
      <c r="AA102" s="1"/>
    </row>
    <row r="103" spans="1:27" ht="20.100000000000001" hidden="1" customHeight="1" outlineLevel="1" x14ac:dyDescent="0.25">
      <c r="A103" s="232" t="str">
        <f>IF(J56&lt;=Invulblad!$G$115,_xlfn.CONCAT("Year ",J56),IF(J56&lt;=Invulblad!$G$116,_xlfn.CONCAT("Year ",J56,Invulblad!$H$116),IF(J56&lt;=Invulblad!$G$117,_xlfn.CONCAT("Year ",J56,Invulblad!$H$117),IF(J56&lt;=Invulblad!$G$118,_xlfn.CONCAT("Year ",J56,Invulblad!$H$118),IF(J56&lt;=Invulblad!$G$119,_xlfn.CONCAT("Year ",J56,Invulblad!$H$119),0)))))</f>
        <v>Year 6</v>
      </c>
      <c r="B103" s="233"/>
      <c r="C103" s="92">
        <v>0</v>
      </c>
      <c r="D103" s="92">
        <f t="shared" si="19"/>
        <v>0</v>
      </c>
      <c r="E103" s="114"/>
      <c r="F103" s="115"/>
      <c r="G103" s="63">
        <f t="shared" si="20"/>
        <v>0</v>
      </c>
      <c r="H103" s="256"/>
      <c r="I103" s="26"/>
      <c r="J103" s="112" t="e">
        <f t="shared" si="23"/>
        <v>#VALUE!</v>
      </c>
      <c r="K103" s="113" t="e">
        <f t="shared" si="21"/>
        <v>#VALUE!</v>
      </c>
      <c r="L103" s="1" t="e">
        <f t="shared" si="22"/>
        <v>#VALUE!</v>
      </c>
      <c r="M103" s="1" t="e">
        <f t="shared" si="24"/>
        <v>#VALUE!</v>
      </c>
      <c r="N103" s="1" t="e">
        <f t="shared" si="27"/>
        <v>#VALUE!</v>
      </c>
      <c r="O103" s="1" t="e">
        <f t="shared" si="25"/>
        <v>#VALUE!</v>
      </c>
      <c r="P103" s="1" t="e">
        <f t="shared" si="26"/>
        <v>#VALUE!</v>
      </c>
      <c r="Q103" s="1" t="e">
        <f t="shared" si="28"/>
        <v>#VALUE!</v>
      </c>
      <c r="R103" s="1"/>
      <c r="S103" s="1">
        <f>IF(J56&lt;=Invulblad!$G$115,G103,0)</f>
        <v>0</v>
      </c>
      <c r="T103" s="1">
        <f>IF(J56&lt;=Invulblad!$G$116,G103,0)</f>
        <v>0</v>
      </c>
      <c r="U103" s="1">
        <f>IF(J56&lt;=Invulblad!$G$117,G103,0)</f>
        <v>0</v>
      </c>
      <c r="V103" s="1">
        <f>IF(J56&lt;=Invulblad!$G$118,G103,0)</f>
        <v>0</v>
      </c>
      <c r="W103" s="1">
        <f>IF(J56&lt;=Invulblad!$G$119,G103,0)</f>
        <v>0</v>
      </c>
      <c r="X103" s="1"/>
      <c r="Y103" s="1"/>
      <c r="Z103" s="1"/>
      <c r="AA103" s="1"/>
    </row>
    <row r="104" spans="1:27" ht="20.100000000000001" hidden="1" customHeight="1" outlineLevel="1" x14ac:dyDescent="0.25">
      <c r="A104" s="232" t="str">
        <f>IF(J57&lt;=Invulblad!$G$115,_xlfn.CONCAT("Year ",J57),IF(J57&lt;=Invulblad!$G$116,_xlfn.CONCAT("Year ",J57,Invulblad!$H$116),IF(J57&lt;=Invulblad!$G$117,_xlfn.CONCAT("Year ",J57,Invulblad!$H$117),IF(J57&lt;=Invulblad!$G$118,_xlfn.CONCAT("Year ",J57,Invulblad!$H$118),IF(J57&lt;=Invulblad!$G$119,_xlfn.CONCAT("Year ",J57,Invulblad!$H$119),0)))))</f>
        <v>Year 7</v>
      </c>
      <c r="B104" s="233"/>
      <c r="C104" s="92">
        <v>0</v>
      </c>
      <c r="D104" s="92">
        <f t="shared" si="19"/>
        <v>0</v>
      </c>
      <c r="E104" s="114"/>
      <c r="F104" s="115"/>
      <c r="G104" s="63">
        <f t="shared" si="20"/>
        <v>0</v>
      </c>
      <c r="H104" s="256"/>
      <c r="I104" s="26"/>
      <c r="J104" s="112" t="e">
        <f t="shared" si="23"/>
        <v>#VALUE!</v>
      </c>
      <c r="K104" s="113" t="e">
        <f t="shared" si="21"/>
        <v>#VALUE!</v>
      </c>
      <c r="L104" s="1" t="e">
        <f t="shared" si="22"/>
        <v>#VALUE!</v>
      </c>
      <c r="M104" s="1" t="e">
        <f t="shared" si="24"/>
        <v>#VALUE!</v>
      </c>
      <c r="N104" s="1" t="e">
        <f t="shared" si="27"/>
        <v>#VALUE!</v>
      </c>
      <c r="O104" s="1" t="e">
        <f t="shared" si="25"/>
        <v>#VALUE!</v>
      </c>
      <c r="P104" s="1" t="e">
        <f t="shared" si="26"/>
        <v>#VALUE!</v>
      </c>
      <c r="Q104" s="1" t="e">
        <f t="shared" si="28"/>
        <v>#VALUE!</v>
      </c>
      <c r="R104" s="1"/>
      <c r="S104" s="1">
        <f>IF(J57&lt;=Invulblad!$G$115,G104,0)</f>
        <v>0</v>
      </c>
      <c r="T104" s="1">
        <f>IF(J57&lt;=Invulblad!$G$116,G104,0)</f>
        <v>0</v>
      </c>
      <c r="U104" s="1">
        <f>IF(J57&lt;=Invulblad!$G$117,G104,0)</f>
        <v>0</v>
      </c>
      <c r="V104" s="1">
        <f>IF(J57&lt;=Invulblad!$G$118,G104,0)</f>
        <v>0</v>
      </c>
      <c r="W104" s="1">
        <f>IF(J57&lt;=Invulblad!$G$119,G104,0)</f>
        <v>0</v>
      </c>
      <c r="X104" s="1"/>
      <c r="Y104" s="1"/>
      <c r="Z104" s="1"/>
      <c r="AA104" s="1"/>
    </row>
    <row r="105" spans="1:27" ht="20.100000000000001" hidden="1" customHeight="1" outlineLevel="1" x14ac:dyDescent="0.25">
      <c r="A105" s="232" t="str">
        <f>IF(J58&lt;=Invulblad!$G$115,_xlfn.CONCAT("Year ",J58),IF(J58&lt;=Invulblad!$G$116,_xlfn.CONCAT("Year ",J58,Invulblad!$H$116),IF(J58&lt;=Invulblad!$G$117,_xlfn.CONCAT("Year ",J58,Invulblad!$H$117),IF(J58&lt;=Invulblad!$G$118,_xlfn.CONCAT("Year ",J58,Invulblad!$H$118),IF(J58&lt;=Invulblad!$G$119,_xlfn.CONCAT("Year ",J58,Invulblad!$H$119),0)))))</f>
        <v>Year 8 (extension 1)</v>
      </c>
      <c r="B105" s="233"/>
      <c r="C105" s="92">
        <v>0</v>
      </c>
      <c r="D105" s="92">
        <f t="shared" si="19"/>
        <v>0</v>
      </c>
      <c r="E105" s="114"/>
      <c r="F105" s="115"/>
      <c r="G105" s="63">
        <f t="shared" si="20"/>
        <v>0</v>
      </c>
      <c r="H105" s="256"/>
      <c r="I105" s="26"/>
      <c r="J105" s="112" t="e">
        <f t="shared" si="23"/>
        <v>#VALUE!</v>
      </c>
      <c r="K105" s="113" t="e">
        <f t="shared" si="21"/>
        <v>#VALUE!</v>
      </c>
      <c r="L105" s="1" t="e">
        <f t="shared" si="22"/>
        <v>#VALUE!</v>
      </c>
      <c r="M105" s="1" t="e">
        <f t="shared" si="24"/>
        <v>#VALUE!</v>
      </c>
      <c r="N105" s="1" t="e">
        <f t="shared" si="27"/>
        <v>#VALUE!</v>
      </c>
      <c r="O105" s="1" t="e">
        <f t="shared" si="25"/>
        <v>#VALUE!</v>
      </c>
      <c r="P105" s="1" t="e">
        <f t="shared" si="26"/>
        <v>#VALUE!</v>
      </c>
      <c r="Q105" s="1" t="e">
        <f t="shared" si="28"/>
        <v>#VALUE!</v>
      </c>
      <c r="R105" s="1"/>
      <c r="S105" s="1">
        <f>IF(J58&lt;=Invulblad!$G$115,G105,0)</f>
        <v>0</v>
      </c>
      <c r="T105" s="1">
        <f>IF(J58&lt;=Invulblad!$G$116,G105,0)</f>
        <v>0</v>
      </c>
      <c r="U105" s="1">
        <f>IF(J58&lt;=Invulblad!$G$117,G105,0)</f>
        <v>0</v>
      </c>
      <c r="V105" s="1">
        <f>IF(J58&lt;=Invulblad!$G$118,G105,0)</f>
        <v>0</v>
      </c>
      <c r="W105" s="1">
        <f>IF(J58&lt;=Invulblad!$G$119,G105,0)</f>
        <v>0</v>
      </c>
      <c r="X105" s="1"/>
      <c r="Y105" s="1"/>
      <c r="Z105" s="1"/>
      <c r="AA105" s="1"/>
    </row>
    <row r="106" spans="1:27" ht="20.100000000000001" hidden="1" customHeight="1" outlineLevel="1" x14ac:dyDescent="0.25">
      <c r="A106" s="232" t="str">
        <f>IF(J59&lt;=Invulblad!$G$115,_xlfn.CONCAT("Year ",J59),IF(J59&lt;=Invulblad!$G$116,_xlfn.CONCAT("Year ",J59,Invulblad!$H$116),IF(J59&lt;=Invulblad!$G$117,_xlfn.CONCAT("Year ",J59,Invulblad!$H$117),IF(J59&lt;=Invulblad!$G$118,_xlfn.CONCAT("Year ",J59,Invulblad!$H$118),IF(J59&lt;=Invulblad!$G$119,_xlfn.CONCAT("Year ",J59,Invulblad!$H$119),0)))))</f>
        <v>Year 9 (extension 1)</v>
      </c>
      <c r="B106" s="233"/>
      <c r="C106" s="92">
        <v>0</v>
      </c>
      <c r="D106" s="92">
        <f t="shared" si="19"/>
        <v>0</v>
      </c>
      <c r="E106" s="114"/>
      <c r="F106" s="115"/>
      <c r="G106" s="63">
        <f t="shared" si="20"/>
        <v>0</v>
      </c>
      <c r="H106" s="256"/>
      <c r="I106" s="26"/>
      <c r="J106" s="112" t="e">
        <f t="shared" si="23"/>
        <v>#VALUE!</v>
      </c>
      <c r="K106" s="113" t="e">
        <f t="shared" si="21"/>
        <v>#VALUE!</v>
      </c>
      <c r="L106" s="1" t="e">
        <f t="shared" si="22"/>
        <v>#VALUE!</v>
      </c>
      <c r="M106" s="1" t="e">
        <f t="shared" si="24"/>
        <v>#VALUE!</v>
      </c>
      <c r="N106" s="1" t="e">
        <f t="shared" si="27"/>
        <v>#VALUE!</v>
      </c>
      <c r="O106" s="1" t="e">
        <f t="shared" si="25"/>
        <v>#VALUE!</v>
      </c>
      <c r="P106" s="1" t="e">
        <f t="shared" si="26"/>
        <v>#VALUE!</v>
      </c>
      <c r="Q106" s="1" t="e">
        <f t="shared" si="28"/>
        <v>#VALUE!</v>
      </c>
      <c r="R106" s="1"/>
      <c r="S106" s="1">
        <f>IF(J59&lt;=Invulblad!$G$115,G106,0)</f>
        <v>0</v>
      </c>
      <c r="T106" s="1">
        <f>IF(J59&lt;=Invulblad!$G$116,G106,0)</f>
        <v>0</v>
      </c>
      <c r="U106" s="1">
        <f>IF(J59&lt;=Invulblad!$G$117,G106,0)</f>
        <v>0</v>
      </c>
      <c r="V106" s="1">
        <f>IF(J59&lt;=Invulblad!$G$118,G106,0)</f>
        <v>0</v>
      </c>
      <c r="W106" s="1">
        <f>IF(J59&lt;=Invulblad!$G$119,G106,0)</f>
        <v>0</v>
      </c>
      <c r="X106" s="1"/>
      <c r="Y106" s="1"/>
      <c r="Z106" s="1"/>
      <c r="AA106" s="1"/>
    </row>
    <row r="107" spans="1:27" ht="20.100000000000001" hidden="1" customHeight="1" outlineLevel="1" x14ac:dyDescent="0.25">
      <c r="A107" s="232" t="str">
        <f>IF(J60&lt;=Invulblad!$G$115,_xlfn.CONCAT("Year ",J60),IF(J60&lt;=Invulblad!$G$116,_xlfn.CONCAT("Year ",J60,Invulblad!$H$116),IF(J60&lt;=Invulblad!$G$117,_xlfn.CONCAT("Year ",J60,Invulblad!$H$117),IF(J60&lt;=Invulblad!$G$118,_xlfn.CONCAT("Year ",J60,Invulblad!$H$118),IF(J60&lt;=Invulblad!$G$119,_xlfn.CONCAT("Year ",J60,Invulblad!$H$119),0)))))</f>
        <v>Year 10 (extension 1)</v>
      </c>
      <c r="B107" s="233"/>
      <c r="C107" s="92">
        <v>0</v>
      </c>
      <c r="D107" s="92">
        <f t="shared" si="19"/>
        <v>0</v>
      </c>
      <c r="E107" s="114"/>
      <c r="F107" s="115"/>
      <c r="G107" s="63">
        <f t="shared" si="20"/>
        <v>0</v>
      </c>
      <c r="H107" s="256"/>
      <c r="I107" s="26"/>
      <c r="J107" s="112" t="e">
        <f t="shared" si="23"/>
        <v>#VALUE!</v>
      </c>
      <c r="K107" s="113" t="e">
        <f t="shared" si="21"/>
        <v>#VALUE!</v>
      </c>
      <c r="L107" s="1" t="e">
        <f t="shared" si="22"/>
        <v>#VALUE!</v>
      </c>
      <c r="M107" s="1" t="e">
        <f t="shared" si="24"/>
        <v>#VALUE!</v>
      </c>
      <c r="N107" s="1" t="e">
        <f t="shared" si="27"/>
        <v>#VALUE!</v>
      </c>
      <c r="O107" s="1" t="e">
        <f t="shared" si="25"/>
        <v>#VALUE!</v>
      </c>
      <c r="P107" s="1" t="e">
        <f t="shared" si="26"/>
        <v>#VALUE!</v>
      </c>
      <c r="Q107" s="1" t="e">
        <f t="shared" si="28"/>
        <v>#VALUE!</v>
      </c>
      <c r="R107" s="1"/>
      <c r="S107" s="1">
        <f>IF(J60&lt;=Invulblad!$G$115,G107,0)</f>
        <v>0</v>
      </c>
      <c r="T107" s="1">
        <f>IF(J60&lt;=Invulblad!$G$116,G107,0)</f>
        <v>0</v>
      </c>
      <c r="U107" s="1">
        <f>IF(J60&lt;=Invulblad!$G$117,G107,0)</f>
        <v>0</v>
      </c>
      <c r="V107" s="1">
        <f>IF(J60&lt;=Invulblad!$G$118,G107,0)</f>
        <v>0</v>
      </c>
      <c r="W107" s="1">
        <f>IF(J60&lt;=Invulblad!$G$119,G107,0)</f>
        <v>0</v>
      </c>
      <c r="X107" s="1"/>
      <c r="Y107" s="1"/>
      <c r="Z107" s="1"/>
      <c r="AA107" s="1"/>
    </row>
    <row r="108" spans="1:27" ht="20.100000000000001" hidden="1" customHeight="1" outlineLevel="1" x14ac:dyDescent="0.25">
      <c r="A108" s="232">
        <f>IF(J61&lt;=Invulblad!$G$115,_xlfn.CONCAT("Year ",J61),IF(J61&lt;=Invulblad!$G$116,_xlfn.CONCAT("Year ",J61,Invulblad!$H$116),IF(J61&lt;=Invulblad!$G$117,_xlfn.CONCAT("Year ",J61,Invulblad!$H$117),IF(J61&lt;=Invulblad!$G$118,_xlfn.CONCAT("Year ",J61,Invulblad!$H$118),IF(J61&lt;=Invulblad!$G$119,_xlfn.CONCAT("Year ",J61,Invulblad!$H$119),0)))))</f>
        <v>0</v>
      </c>
      <c r="B108" s="233"/>
      <c r="C108" s="92">
        <v>0</v>
      </c>
      <c r="D108" s="92">
        <f t="shared" si="19"/>
        <v>0</v>
      </c>
      <c r="E108" s="114"/>
      <c r="F108" s="115"/>
      <c r="G108" s="63">
        <f t="shared" si="20"/>
        <v>0</v>
      </c>
      <c r="H108" s="256"/>
      <c r="I108" s="26"/>
      <c r="J108" s="112" t="e">
        <f>J102+(1/$D$90)</f>
        <v>#VALUE!</v>
      </c>
      <c r="K108" s="113" t="e">
        <f t="shared" si="21"/>
        <v>#VALUE!</v>
      </c>
      <c r="L108" s="1" t="e">
        <f t="shared" si="22"/>
        <v>#VALUE!</v>
      </c>
      <c r="M108" s="1" t="e">
        <f>L102</f>
        <v>#VALUE!</v>
      </c>
      <c r="N108" s="1" t="e">
        <f>M102</f>
        <v>#VALUE!</v>
      </c>
      <c r="O108" s="1" t="e">
        <f t="shared" si="25"/>
        <v>#VALUE!</v>
      </c>
      <c r="P108" s="1" t="e">
        <f t="shared" si="26"/>
        <v>#VALUE!</v>
      </c>
      <c r="Q108" s="1" t="e">
        <f t="shared" si="28"/>
        <v>#VALUE!</v>
      </c>
      <c r="R108" s="1"/>
      <c r="S108" s="1">
        <f>IF(J61&lt;=Invulblad!$G$115,G108,0)</f>
        <v>0</v>
      </c>
      <c r="T108" s="1">
        <f>IF(J61&lt;=Invulblad!$G$116,G108,0)</f>
        <v>0</v>
      </c>
      <c r="U108" s="1">
        <f>IF(J61&lt;=Invulblad!$G$117,G108,0)</f>
        <v>0</v>
      </c>
      <c r="V108" s="1">
        <f>IF(J61&lt;=Invulblad!$G$118,G108,0)</f>
        <v>0</v>
      </c>
      <c r="W108" s="1">
        <f>IF(J61&lt;=Invulblad!$G$119,G108,0)</f>
        <v>0</v>
      </c>
      <c r="X108" s="1"/>
      <c r="Y108" s="1"/>
      <c r="Z108" s="1"/>
      <c r="AA108" s="1"/>
    </row>
    <row r="109" spans="1:27" ht="20.100000000000001" hidden="1" customHeight="1" outlineLevel="1" x14ac:dyDescent="0.25">
      <c r="A109" s="232">
        <f>IF(J62&lt;=Invulblad!$G$115,_xlfn.CONCAT("Year ",J62),IF(J62&lt;=Invulblad!$G$116,_xlfn.CONCAT("Year ",J62,Invulblad!$H$116),IF(J62&lt;=Invulblad!$G$117,_xlfn.CONCAT("Year ",J62,Invulblad!$H$117),IF(J62&lt;=Invulblad!$G$118,_xlfn.CONCAT("Year ",J62,Invulblad!$H$118),IF(J62&lt;=Invulblad!$G$119,_xlfn.CONCAT("Year ",J62,Invulblad!$H$119),0)))))</f>
        <v>0</v>
      </c>
      <c r="B109" s="233"/>
      <c r="C109" s="92">
        <v>0</v>
      </c>
      <c r="D109" s="92">
        <f t="shared" si="19"/>
        <v>0</v>
      </c>
      <c r="E109" s="114"/>
      <c r="F109" s="115"/>
      <c r="G109" s="63">
        <f t="shared" si="20"/>
        <v>0</v>
      </c>
      <c r="H109" s="256"/>
      <c r="I109" s="26"/>
      <c r="J109" s="112" t="e">
        <f>J103+(1/$D$90)</f>
        <v>#VALUE!</v>
      </c>
      <c r="K109" s="113" t="e">
        <f t="shared" si="21"/>
        <v>#VALUE!</v>
      </c>
      <c r="L109" s="1" t="e">
        <f t="shared" si="22"/>
        <v>#VALUE!</v>
      </c>
      <c r="M109" s="1" t="e">
        <f>L103</f>
        <v>#VALUE!</v>
      </c>
      <c r="N109" s="1" t="e">
        <f>M103</f>
        <v>#VALUE!</v>
      </c>
      <c r="O109" s="1" t="e">
        <f t="shared" si="25"/>
        <v>#VALUE!</v>
      </c>
      <c r="P109" s="1" t="e">
        <f t="shared" si="26"/>
        <v>#VALUE!</v>
      </c>
      <c r="Q109" s="1" t="e">
        <f t="shared" si="28"/>
        <v>#VALUE!</v>
      </c>
      <c r="R109" s="1"/>
      <c r="S109" s="1">
        <f>IF(J62&lt;=Invulblad!$G$115,G109,0)</f>
        <v>0</v>
      </c>
      <c r="T109" s="1">
        <f>IF(J62&lt;=Invulblad!$G$116,G109,0)</f>
        <v>0</v>
      </c>
      <c r="U109" s="1">
        <f>IF(J62&lt;=Invulblad!$G$117,G109,0)</f>
        <v>0</v>
      </c>
      <c r="V109" s="1">
        <f>IF(J62&lt;=Invulblad!$G$118,G109,0)</f>
        <v>0</v>
      </c>
      <c r="W109" s="1">
        <f>IF(J62&lt;=Invulblad!$G$119,G109,0)</f>
        <v>0</v>
      </c>
      <c r="X109" s="1"/>
      <c r="Y109" s="1"/>
      <c r="Z109" s="1"/>
      <c r="AA109" s="1"/>
    </row>
    <row r="110" spans="1:27" ht="20.100000000000001" hidden="1" customHeight="1" outlineLevel="1" x14ac:dyDescent="0.25">
      <c r="A110" s="232">
        <f>IF(J63&lt;=Invulblad!$G$115,_xlfn.CONCAT("Year ",J63),IF(J63&lt;=Invulblad!$G$116,_xlfn.CONCAT("Year ",J63,Invulblad!$H$116),IF(J63&lt;=Invulblad!$G$117,_xlfn.CONCAT("Year ",J63,Invulblad!$H$117),IF(J63&lt;=Invulblad!$G$118,_xlfn.CONCAT("Year ",J63,Invulblad!$H$118),IF(J63&lt;=Invulblad!$G$119,_xlfn.CONCAT("Year ",J63,Invulblad!$H$119),0)))))</f>
        <v>0</v>
      </c>
      <c r="B110" s="233"/>
      <c r="C110" s="92">
        <v>0</v>
      </c>
      <c r="D110" s="92">
        <f t="shared" si="19"/>
        <v>0</v>
      </c>
      <c r="E110" s="114"/>
      <c r="F110" s="115"/>
      <c r="G110" s="63">
        <f t="shared" si="20"/>
        <v>0</v>
      </c>
      <c r="H110" s="256"/>
      <c r="I110" s="26"/>
      <c r="J110" s="112" t="e">
        <f t="shared" ref="J110:J115" si="29">J99+(1/$D$90)</f>
        <v>#VALUE!</v>
      </c>
      <c r="K110" s="113" t="e">
        <f t="shared" si="21"/>
        <v>#VALUE!</v>
      </c>
      <c r="L110" s="1" t="e">
        <f t="shared" si="22"/>
        <v>#VALUE!</v>
      </c>
      <c r="M110" s="1" t="e">
        <f t="shared" ref="M110:N115" si="30">L99</f>
        <v>#VALUE!</v>
      </c>
      <c r="N110" s="1" t="e">
        <f t="shared" si="30"/>
        <v>#VALUE!</v>
      </c>
      <c r="O110" s="1" t="e">
        <f t="shared" si="25"/>
        <v>#VALUE!</v>
      </c>
      <c r="P110" s="1" t="e">
        <f t="shared" si="26"/>
        <v>#VALUE!</v>
      </c>
      <c r="Q110" s="1" t="e">
        <f t="shared" si="28"/>
        <v>#VALUE!</v>
      </c>
      <c r="R110" s="1"/>
      <c r="S110" s="1">
        <f>IF(J63&lt;=Invulblad!$G$115,G110,0)</f>
        <v>0</v>
      </c>
      <c r="T110" s="1">
        <f>IF(J63&lt;=Invulblad!$G$116,G110,0)</f>
        <v>0</v>
      </c>
      <c r="U110" s="1">
        <f>IF(J63&lt;=Invulblad!$G$117,G110,0)</f>
        <v>0</v>
      </c>
      <c r="V110" s="1">
        <f>IF(J63&lt;=Invulblad!$G$118,G110,0)</f>
        <v>0</v>
      </c>
      <c r="W110" s="1">
        <f>IF(J63&lt;=Invulblad!$G$119,G110,0)</f>
        <v>0</v>
      </c>
      <c r="X110" s="1"/>
      <c r="Y110" s="1"/>
      <c r="Z110" s="1"/>
      <c r="AA110" s="1"/>
    </row>
    <row r="111" spans="1:27" ht="20.100000000000001" hidden="1" customHeight="1" outlineLevel="1" x14ac:dyDescent="0.25">
      <c r="A111" s="232">
        <f>IF(J64&lt;=Invulblad!$G$115,_xlfn.CONCAT("Year ",J64),IF(J64&lt;=Invulblad!$G$116,_xlfn.CONCAT("Year ",J64,Invulblad!$H$116),IF(J64&lt;=Invulblad!$G$117,_xlfn.CONCAT("Year ",J64,Invulblad!$H$117),IF(J64&lt;=Invulblad!$G$118,_xlfn.CONCAT("Year ",J64,Invulblad!$H$118),IF(J64&lt;=Invulblad!$G$119,_xlfn.CONCAT("Year ",J64,Invulblad!$H$119),0)))))</f>
        <v>0</v>
      </c>
      <c r="B111" s="233"/>
      <c r="C111" s="92">
        <v>0</v>
      </c>
      <c r="D111" s="92">
        <f t="shared" ref="D111" si="31">IFERROR((O111+P111+Q111),0)</f>
        <v>0</v>
      </c>
      <c r="E111" s="114"/>
      <c r="F111" s="115"/>
      <c r="G111" s="63">
        <f t="shared" ref="G111" si="32">IFERROR((D111*$B$97*$C$95),0)</f>
        <v>0</v>
      </c>
      <c r="H111" s="256"/>
      <c r="I111" s="26"/>
      <c r="J111" s="112" t="e">
        <f t="shared" si="29"/>
        <v>#VALUE!</v>
      </c>
      <c r="K111" s="113" t="e">
        <f t="shared" ref="K111" si="33">TRUNC(J111)</f>
        <v>#VALUE!</v>
      </c>
      <c r="L111" s="1" t="e">
        <f t="shared" ref="L111" si="34">IF(J111=K111,1,0)</f>
        <v>#VALUE!</v>
      </c>
      <c r="M111" s="1" t="e">
        <f t="shared" si="30"/>
        <v>#VALUE!</v>
      </c>
      <c r="N111" s="1" t="e">
        <f t="shared" si="30"/>
        <v>#VALUE!</v>
      </c>
      <c r="O111" s="1" t="e">
        <f t="shared" ref="O111" si="35">L111*$C$98</f>
        <v>#VALUE!</v>
      </c>
      <c r="P111" s="1" t="e">
        <f t="shared" ref="P111" si="36">M111*$C$99</f>
        <v>#VALUE!</v>
      </c>
      <c r="Q111" s="1" t="e">
        <f t="shared" ref="Q111" si="37">N111*$C$100</f>
        <v>#VALUE!</v>
      </c>
      <c r="R111" s="1"/>
      <c r="S111" s="1">
        <f>IF(J64&lt;=Invulblad!$G$115,G111,0)</f>
        <v>0</v>
      </c>
      <c r="T111" s="1">
        <f>IF(J64&lt;=Invulblad!$G$116,G111,0)</f>
        <v>0</v>
      </c>
      <c r="U111" s="1">
        <f>IF(J64&lt;=Invulblad!$G$117,G111,0)</f>
        <v>0</v>
      </c>
      <c r="V111" s="1">
        <f>IF(J64&lt;=Invulblad!$G$118,G111,0)</f>
        <v>0</v>
      </c>
      <c r="W111" s="1">
        <f>IF(J64&lt;=Invulblad!$G$119,G111,0)</f>
        <v>0</v>
      </c>
      <c r="X111" s="1"/>
      <c r="Y111" s="1"/>
      <c r="Z111" s="1"/>
      <c r="AA111" s="1"/>
    </row>
    <row r="112" spans="1:27" ht="20.100000000000001" hidden="1" customHeight="1" outlineLevel="1" x14ac:dyDescent="0.25">
      <c r="A112" s="232">
        <f>IF(J65&lt;=Invulblad!$G$115,_xlfn.CONCAT("Year ",J65),IF(J65&lt;=Invulblad!$G$116,_xlfn.CONCAT("Year ",J65,Invulblad!$H$116),IF(J65&lt;=Invulblad!$G$117,_xlfn.CONCAT("Year ",J65,Invulblad!$H$117),IF(J65&lt;=Invulblad!$G$118,_xlfn.CONCAT("Year ",J65,Invulblad!$H$118),IF(J65&lt;=Invulblad!$G$119,_xlfn.CONCAT("Year ",J65,Invulblad!$H$119),0)))))</f>
        <v>0</v>
      </c>
      <c r="B112" s="233"/>
      <c r="C112" s="92">
        <v>0</v>
      </c>
      <c r="D112" s="92">
        <f t="shared" si="19"/>
        <v>0</v>
      </c>
      <c r="E112" s="114"/>
      <c r="F112" s="115"/>
      <c r="G112" s="63">
        <f t="shared" si="20"/>
        <v>0</v>
      </c>
      <c r="H112" s="256"/>
      <c r="I112" s="26"/>
      <c r="J112" s="112" t="e">
        <f t="shared" si="29"/>
        <v>#VALUE!</v>
      </c>
      <c r="K112" s="113" t="e">
        <f t="shared" si="21"/>
        <v>#VALUE!</v>
      </c>
      <c r="L112" s="1" t="e">
        <f t="shared" si="22"/>
        <v>#VALUE!</v>
      </c>
      <c r="M112" s="1" t="e">
        <f t="shared" si="30"/>
        <v>#VALUE!</v>
      </c>
      <c r="N112" s="1" t="e">
        <f t="shared" si="30"/>
        <v>#VALUE!</v>
      </c>
      <c r="O112" s="1" t="e">
        <f t="shared" si="25"/>
        <v>#VALUE!</v>
      </c>
      <c r="P112" s="1" t="e">
        <f t="shared" si="26"/>
        <v>#VALUE!</v>
      </c>
      <c r="Q112" s="1" t="e">
        <f t="shared" si="28"/>
        <v>#VALUE!</v>
      </c>
      <c r="R112" s="1"/>
      <c r="S112" s="1">
        <f>IF(J65&lt;=Invulblad!$G$115,G112,0)</f>
        <v>0</v>
      </c>
      <c r="T112" s="1">
        <f>IF(J65&lt;=Invulblad!$G$116,G112,0)</f>
        <v>0</v>
      </c>
      <c r="U112" s="1">
        <f>IF(J65&lt;=Invulblad!$G$117,G112,0)</f>
        <v>0</v>
      </c>
      <c r="V112" s="1">
        <f>IF(J65&lt;=Invulblad!$G$118,G112,0)</f>
        <v>0</v>
      </c>
      <c r="W112" s="1">
        <f>IF(J65&lt;=Invulblad!$G$119,G112,0)</f>
        <v>0</v>
      </c>
      <c r="X112" s="1"/>
      <c r="Y112" s="1"/>
      <c r="Z112" s="1"/>
      <c r="AA112" s="1"/>
    </row>
    <row r="113" spans="1:27" ht="20.100000000000001" hidden="1" customHeight="1" outlineLevel="1" x14ac:dyDescent="0.25">
      <c r="A113" s="232">
        <f>IF(J66&lt;=Invulblad!$G$115,_xlfn.CONCAT("Year ",J66),IF(J66&lt;=Invulblad!$G$116,_xlfn.CONCAT("Year ",J66,Invulblad!$H$116),IF(J66&lt;=Invulblad!$G$117,_xlfn.CONCAT("Year ",J66,Invulblad!$H$117),IF(J66&lt;=Invulblad!$G$118,_xlfn.CONCAT("Year ",J66,Invulblad!$H$118),IF(J66&lt;=Invulblad!$G$119,_xlfn.CONCAT("Year ",J66,Invulblad!$H$119),0)))))</f>
        <v>0</v>
      </c>
      <c r="B113" s="233"/>
      <c r="C113" s="92">
        <v>0</v>
      </c>
      <c r="D113" s="92">
        <f t="shared" ref="D113" si="38">IFERROR((O113+P113+Q113),0)</f>
        <v>0</v>
      </c>
      <c r="E113" s="114"/>
      <c r="F113" s="115"/>
      <c r="G113" s="63">
        <f t="shared" ref="G113" si="39">IFERROR((D113*$B$97*$C$95),0)</f>
        <v>0</v>
      </c>
      <c r="H113" s="256"/>
      <c r="I113" s="26"/>
      <c r="J113" s="112" t="e">
        <f t="shared" si="29"/>
        <v>#VALUE!</v>
      </c>
      <c r="K113" s="113" t="e">
        <f t="shared" ref="K113" si="40">TRUNC(J113)</f>
        <v>#VALUE!</v>
      </c>
      <c r="L113" s="1" t="e">
        <f t="shared" ref="L113" si="41">IF(J113=K113,1,0)</f>
        <v>#VALUE!</v>
      </c>
      <c r="M113" s="1" t="e">
        <f t="shared" si="30"/>
        <v>#VALUE!</v>
      </c>
      <c r="N113" s="1" t="e">
        <f t="shared" si="30"/>
        <v>#VALUE!</v>
      </c>
      <c r="O113" s="1" t="e">
        <f t="shared" ref="O113" si="42">L113*$C$98</f>
        <v>#VALUE!</v>
      </c>
      <c r="P113" s="1" t="e">
        <f t="shared" ref="P113" si="43">M113*$C$99</f>
        <v>#VALUE!</v>
      </c>
      <c r="Q113" s="1" t="e">
        <f t="shared" ref="Q113" si="44">N113*$C$100</f>
        <v>#VALUE!</v>
      </c>
      <c r="R113" s="1"/>
      <c r="S113" s="1">
        <f>IF(J66&lt;=Invulblad!$G$115,G113,0)</f>
        <v>0</v>
      </c>
      <c r="T113" s="1">
        <f>IF(J66&lt;=Invulblad!$G$116,G113,0)</f>
        <v>0</v>
      </c>
      <c r="U113" s="1">
        <f>IF(J66&lt;=Invulblad!$G$117,G113,0)</f>
        <v>0</v>
      </c>
      <c r="V113" s="1">
        <f>IF(J66&lt;=Invulblad!$G$118,G113,0)</f>
        <v>0</v>
      </c>
      <c r="W113" s="1">
        <f>IF(J66&lt;=Invulblad!$G$119,G113,0)</f>
        <v>0</v>
      </c>
      <c r="X113" s="1"/>
      <c r="Y113" s="1"/>
      <c r="Z113" s="1"/>
      <c r="AA113" s="1"/>
    </row>
    <row r="114" spans="1:27" ht="20.100000000000001" hidden="1" customHeight="1" outlineLevel="1" x14ac:dyDescent="0.25">
      <c r="A114" s="232">
        <f>IF(J67&lt;=Invulblad!$G$115,_xlfn.CONCAT("Year ",J67),IF(J67&lt;=Invulblad!$G$116,_xlfn.CONCAT("Year ",J67,Invulblad!$H$116),IF(J67&lt;=Invulblad!$G$117,_xlfn.CONCAT("Year ",J67,Invulblad!$H$117),IF(J67&lt;=Invulblad!$G$118,_xlfn.CONCAT("Year ",J67,Invulblad!$H$118),IF(J67&lt;=Invulblad!$G$119,_xlfn.CONCAT("Year ",J67,Invulblad!$H$119),0)))))</f>
        <v>0</v>
      </c>
      <c r="B114" s="233"/>
      <c r="C114" s="92">
        <v>0</v>
      </c>
      <c r="D114" s="92">
        <f t="shared" si="19"/>
        <v>0</v>
      </c>
      <c r="E114" s="114"/>
      <c r="F114" s="115"/>
      <c r="G114" s="63">
        <f t="shared" si="20"/>
        <v>0</v>
      </c>
      <c r="H114" s="256"/>
      <c r="I114" s="26"/>
      <c r="J114" s="112" t="e">
        <f t="shared" si="29"/>
        <v>#VALUE!</v>
      </c>
      <c r="K114" s="113" t="e">
        <f t="shared" si="21"/>
        <v>#VALUE!</v>
      </c>
      <c r="L114" s="1" t="e">
        <f t="shared" si="22"/>
        <v>#VALUE!</v>
      </c>
      <c r="M114" s="1" t="e">
        <f t="shared" si="30"/>
        <v>#VALUE!</v>
      </c>
      <c r="N114" s="1" t="e">
        <f t="shared" si="30"/>
        <v>#VALUE!</v>
      </c>
      <c r="O114" s="1" t="e">
        <f t="shared" si="25"/>
        <v>#VALUE!</v>
      </c>
      <c r="P114" s="1" t="e">
        <f t="shared" si="26"/>
        <v>#VALUE!</v>
      </c>
      <c r="Q114" s="1" t="e">
        <f t="shared" si="28"/>
        <v>#VALUE!</v>
      </c>
      <c r="R114" s="1"/>
      <c r="S114" s="1">
        <f>IF(J67&lt;=Invulblad!$G$115,G114,0)</f>
        <v>0</v>
      </c>
      <c r="T114" s="1">
        <f>IF(J67&lt;=Invulblad!$G$116,G114,0)</f>
        <v>0</v>
      </c>
      <c r="U114" s="1">
        <f>IF(J67&lt;=Invulblad!$G$117,G114,0)</f>
        <v>0</v>
      </c>
      <c r="V114" s="1">
        <f>IF(J67&lt;=Invulblad!$G$118,G114,0)</f>
        <v>0</v>
      </c>
      <c r="W114" s="1">
        <f>IF(J67&lt;=Invulblad!$G$119,G114,0)</f>
        <v>0</v>
      </c>
      <c r="X114" s="1"/>
      <c r="Y114" s="1"/>
      <c r="Z114" s="1"/>
      <c r="AA114" s="1"/>
    </row>
    <row r="115" spans="1:27" ht="20.100000000000001" hidden="1" customHeight="1" outlineLevel="1" x14ac:dyDescent="0.25">
      <c r="A115" s="232">
        <f>IF(J68&lt;=Invulblad!$G$115,_xlfn.CONCAT("Year ",J68),IF(J68&lt;=Invulblad!$G$116,_xlfn.CONCAT("Year ",J68,Invulblad!$H$116),IF(J68&lt;=Invulblad!$G$117,_xlfn.CONCAT("Year ",J68,Invulblad!$H$117),IF(J68&lt;=Invulblad!$G$118,_xlfn.CONCAT("Year ",J68,Invulblad!$H$118),IF(J68&lt;=Invulblad!$G$119,_xlfn.CONCAT("Year ",J68,Invulblad!$H$119),0)))))</f>
        <v>0</v>
      </c>
      <c r="B115" s="233"/>
      <c r="C115" s="92">
        <v>0</v>
      </c>
      <c r="D115" s="92">
        <f t="shared" ref="D115" si="45">IFERROR((O115+P115+Q115),0)</f>
        <v>0</v>
      </c>
      <c r="E115" s="114"/>
      <c r="F115" s="115"/>
      <c r="G115" s="63">
        <f t="shared" ref="G115" si="46">IFERROR((D115*$B$97*$C$95),0)</f>
        <v>0</v>
      </c>
      <c r="H115" s="256"/>
      <c r="I115" s="26"/>
      <c r="J115" s="112" t="e">
        <f t="shared" si="29"/>
        <v>#VALUE!</v>
      </c>
      <c r="K115" s="113" t="e">
        <f t="shared" ref="K115" si="47">TRUNC(J115)</f>
        <v>#VALUE!</v>
      </c>
      <c r="L115" s="1" t="e">
        <f t="shared" ref="L115" si="48">IF(J115=K115,1,0)</f>
        <v>#VALUE!</v>
      </c>
      <c r="M115" s="1" t="e">
        <f t="shared" si="30"/>
        <v>#VALUE!</v>
      </c>
      <c r="N115" s="1" t="e">
        <f t="shared" si="30"/>
        <v>#VALUE!</v>
      </c>
      <c r="O115" s="1" t="e">
        <f t="shared" ref="O115" si="49">L115*$C$98</f>
        <v>#VALUE!</v>
      </c>
      <c r="P115" s="1" t="e">
        <f t="shared" ref="P115" si="50">M115*$C$99</f>
        <v>#VALUE!</v>
      </c>
      <c r="Q115" s="1" t="e">
        <f t="shared" ref="Q115" si="51">N115*$C$100</f>
        <v>#VALUE!</v>
      </c>
      <c r="R115" s="1"/>
      <c r="S115" s="1">
        <f>IF(J68&lt;=Invulblad!$G$115,G115,0)</f>
        <v>0</v>
      </c>
      <c r="T115" s="1">
        <f>IF(J68&lt;=Invulblad!$G$116,G115,0)</f>
        <v>0</v>
      </c>
      <c r="U115" s="1">
        <f>IF(J68&lt;=Invulblad!$G$117,G115,0)</f>
        <v>0</v>
      </c>
      <c r="V115" s="1">
        <f>IF(J68&lt;=Invulblad!$G$118,G115,0)</f>
        <v>0</v>
      </c>
      <c r="W115" s="1">
        <f>IF(J68&lt;=Invulblad!$G$119,G115,0)</f>
        <v>0</v>
      </c>
      <c r="X115" s="1"/>
      <c r="Y115" s="1"/>
      <c r="Z115" s="1"/>
      <c r="AA115" s="1"/>
    </row>
    <row r="116" spans="1:27" ht="20.100000000000001" hidden="1" customHeight="1" outlineLevel="1" x14ac:dyDescent="0.25">
      <c r="A116" s="232">
        <f>IF(J69&lt;=Invulblad!$G$115,_xlfn.CONCAT("Year ",J69),IF(J69&lt;=Invulblad!$G$116,_xlfn.CONCAT("Year ",J69,Invulblad!$H$116),IF(J69&lt;=Invulblad!$G$117,_xlfn.CONCAT("Year ",J69,Invulblad!$H$117),IF(J69&lt;=Invulblad!$G$118,_xlfn.CONCAT("Year ",J69,Invulblad!$H$118),IF(J69&lt;=Invulblad!$G$119,_xlfn.CONCAT("Year ",J69,Invulblad!$H$119),0)))))</f>
        <v>0</v>
      </c>
      <c r="B116" s="233"/>
      <c r="C116" s="92">
        <v>0</v>
      </c>
      <c r="D116" s="92">
        <f t="shared" ref="D116" si="52">IFERROR((O116+P116+Q116),0)</f>
        <v>0</v>
      </c>
      <c r="E116" s="114"/>
      <c r="F116" s="115"/>
      <c r="G116" s="63">
        <f t="shared" ref="G116" si="53">IFERROR((D116*$B$97*$C$95),0)</f>
        <v>0</v>
      </c>
      <c r="H116" s="256"/>
      <c r="I116" s="26"/>
      <c r="J116" s="112" t="e">
        <f>J104+(1/$D$90)</f>
        <v>#VALUE!</v>
      </c>
      <c r="K116" s="113" t="e">
        <f t="shared" ref="K116" si="54">TRUNC(J116)</f>
        <v>#VALUE!</v>
      </c>
      <c r="L116" s="1" t="e">
        <f t="shared" ref="L116" si="55">IF(J116=K116,1,0)</f>
        <v>#VALUE!</v>
      </c>
      <c r="M116" s="1" t="e">
        <f>L104</f>
        <v>#VALUE!</v>
      </c>
      <c r="N116" s="1" t="e">
        <f>M104</f>
        <v>#VALUE!</v>
      </c>
      <c r="O116" s="1" t="e">
        <f t="shared" ref="O116" si="56">L116*$C$98</f>
        <v>#VALUE!</v>
      </c>
      <c r="P116" s="1" t="e">
        <f t="shared" ref="P116" si="57">M116*$C$99</f>
        <v>#VALUE!</v>
      </c>
      <c r="Q116" s="1" t="e">
        <f t="shared" ref="Q116" si="58">N116*$C$100</f>
        <v>#VALUE!</v>
      </c>
      <c r="R116" s="1"/>
      <c r="S116" s="1">
        <f>IF(J69&lt;=Invulblad!$G$115,G116,0)</f>
        <v>0</v>
      </c>
      <c r="T116" s="1">
        <f>IF(J69&lt;=Invulblad!$G$116,G116,0)</f>
        <v>0</v>
      </c>
      <c r="U116" s="1">
        <f>IF(J69&lt;=Invulblad!$G$117,G116,0)</f>
        <v>0</v>
      </c>
      <c r="V116" s="1">
        <f>IF(J69&lt;=Invulblad!$G$118,G116,0)</f>
        <v>0</v>
      </c>
      <c r="W116" s="1">
        <f>IF(J69&lt;=Invulblad!$G$119,G116,0)</f>
        <v>0</v>
      </c>
      <c r="X116" s="1"/>
      <c r="Y116" s="1"/>
      <c r="Z116" s="1"/>
      <c r="AA116" s="1"/>
    </row>
    <row r="117" spans="1:27" ht="20.100000000000001" hidden="1" customHeight="1" outlineLevel="1" x14ac:dyDescent="0.25">
      <c r="A117" s="232">
        <f>IF(J70&lt;=Invulblad!$G$115,_xlfn.CONCAT("Year ",J70),IF(J70&lt;=Invulblad!$G$116,_xlfn.CONCAT("Year ",J70,Invulblad!$H$116),IF(J70&lt;=Invulblad!$G$117,_xlfn.CONCAT("Year ",J70,Invulblad!$H$117),IF(J70&lt;=Invulblad!$G$118,_xlfn.CONCAT("Year ",J70,Invulblad!$H$118),IF(J70&lt;=Invulblad!$G$119,_xlfn.CONCAT("Year ",J70,Invulblad!$H$119),0)))))</f>
        <v>0</v>
      </c>
      <c r="B117" s="233"/>
      <c r="C117" s="92">
        <v>0</v>
      </c>
      <c r="D117" s="92">
        <f t="shared" si="19"/>
        <v>0</v>
      </c>
      <c r="E117" s="114"/>
      <c r="F117" s="115"/>
      <c r="G117" s="63">
        <f t="shared" si="20"/>
        <v>0</v>
      </c>
      <c r="H117" s="256"/>
      <c r="I117" s="26"/>
      <c r="J117" s="112" t="e">
        <f>J105+(1/$D$90)</f>
        <v>#VALUE!</v>
      </c>
      <c r="K117" s="113" t="e">
        <f t="shared" si="21"/>
        <v>#VALUE!</v>
      </c>
      <c r="L117" s="1" t="e">
        <f t="shared" si="22"/>
        <v>#VALUE!</v>
      </c>
      <c r="M117" s="1" t="e">
        <f>L105</f>
        <v>#VALUE!</v>
      </c>
      <c r="N117" s="1" t="e">
        <f>M105</f>
        <v>#VALUE!</v>
      </c>
      <c r="O117" s="1" t="e">
        <f t="shared" si="25"/>
        <v>#VALUE!</v>
      </c>
      <c r="P117" s="1" t="e">
        <f t="shared" si="26"/>
        <v>#VALUE!</v>
      </c>
      <c r="Q117" s="1" t="e">
        <f t="shared" si="28"/>
        <v>#VALUE!</v>
      </c>
      <c r="R117" s="1"/>
      <c r="S117" s="1">
        <f>IF(J70&lt;=Invulblad!$G$115,G117,0)</f>
        <v>0</v>
      </c>
      <c r="T117" s="1">
        <f>IF(J70&lt;=Invulblad!$G$116,G117,0)</f>
        <v>0</v>
      </c>
      <c r="U117" s="1">
        <f>IF(J70&lt;=Invulblad!$G$117,G117,0)</f>
        <v>0</v>
      </c>
      <c r="V117" s="1">
        <f>IF(J70&lt;=Invulblad!$G$118,G117,0)</f>
        <v>0</v>
      </c>
      <c r="W117" s="1">
        <f>IF(J70&lt;=Invulblad!$G$119,G117,0)</f>
        <v>0</v>
      </c>
      <c r="X117" s="1"/>
      <c r="Y117" s="1"/>
      <c r="Z117" s="1"/>
      <c r="AA117" s="1"/>
    </row>
    <row r="118" spans="1:27" ht="20.100000000000001" hidden="1" customHeight="1" outlineLevel="1" x14ac:dyDescent="0.25">
      <c r="A118" s="232">
        <f>IF(J71&lt;=Invulblad!$G$115,_xlfn.CONCAT("Year ",J71),IF(J71&lt;=Invulblad!$G$116,_xlfn.CONCAT("Year ",J71,Invulblad!$H$116),IF(J71&lt;=Invulblad!$G$117,_xlfn.CONCAT("Year ",J71,Invulblad!$H$117),IF(J71&lt;=Invulblad!$G$118,_xlfn.CONCAT("Year ",J71,Invulblad!$H$118),IF(J71&lt;=Invulblad!$G$119,_xlfn.CONCAT("Year ",J71,Invulblad!$H$119),0)))))</f>
        <v>0</v>
      </c>
      <c r="B118" s="233"/>
      <c r="C118" s="92">
        <v>0</v>
      </c>
      <c r="D118" s="92">
        <f t="shared" ref="D118" si="59">IFERROR((O118+P118+Q118),0)</f>
        <v>0</v>
      </c>
      <c r="E118" s="114"/>
      <c r="F118" s="115"/>
      <c r="G118" s="63">
        <f t="shared" ref="G118" si="60">IFERROR((D118*$B$97*$C$95),0)</f>
        <v>0</v>
      </c>
      <c r="H118" s="256"/>
      <c r="I118" s="26"/>
      <c r="J118" s="112" t="e">
        <f>J104+(1/$D$90)</f>
        <v>#VALUE!</v>
      </c>
      <c r="K118" s="113" t="e">
        <f t="shared" ref="K118" si="61">TRUNC(J118)</f>
        <v>#VALUE!</v>
      </c>
      <c r="L118" s="1" t="e">
        <f t="shared" ref="L118" si="62">IF(J118=K118,1,0)</f>
        <v>#VALUE!</v>
      </c>
      <c r="M118" s="1" t="e">
        <f t="shared" ref="M118:N120" si="63">L104</f>
        <v>#VALUE!</v>
      </c>
      <c r="N118" s="1" t="e">
        <f t="shared" si="63"/>
        <v>#VALUE!</v>
      </c>
      <c r="O118" s="1" t="e">
        <f t="shared" ref="O118" si="64">L118*$C$98</f>
        <v>#VALUE!</v>
      </c>
      <c r="P118" s="1" t="e">
        <f t="shared" ref="P118" si="65">M118*$C$99</f>
        <v>#VALUE!</v>
      </c>
      <c r="Q118" s="1" t="e">
        <f t="shared" ref="Q118" si="66">N118*$C$100</f>
        <v>#VALUE!</v>
      </c>
      <c r="R118" s="1"/>
      <c r="S118" s="1">
        <f>IF(J71&lt;=Invulblad!$G$115,G118,0)</f>
        <v>0</v>
      </c>
      <c r="T118" s="1">
        <f>IF(J71&lt;=Invulblad!$G$116,G118,0)</f>
        <v>0</v>
      </c>
      <c r="U118" s="1">
        <f>IF(J71&lt;=Invulblad!$G$117,G118,0)</f>
        <v>0</v>
      </c>
      <c r="V118" s="1">
        <f>IF(J71&lt;=Invulblad!$G$118,G118,0)</f>
        <v>0</v>
      </c>
      <c r="W118" s="1">
        <f>IF(J71&lt;=Invulblad!$G$119,G118,0)</f>
        <v>0</v>
      </c>
      <c r="X118" s="1"/>
      <c r="Y118" s="1"/>
      <c r="Z118" s="1"/>
      <c r="AA118" s="1"/>
    </row>
    <row r="119" spans="1:27" ht="20.100000000000001" hidden="1" customHeight="1" outlineLevel="1" x14ac:dyDescent="0.25">
      <c r="A119" s="232">
        <f>IF(J72&lt;=Invulblad!$G$115,_xlfn.CONCAT("Year ",J72),IF(J72&lt;=Invulblad!$G$116,_xlfn.CONCAT("Year ",J72,Invulblad!$H$116),IF(J72&lt;=Invulblad!$G$117,_xlfn.CONCAT("Year ",J72,Invulblad!$H$117),IF(J72&lt;=Invulblad!$G$118,_xlfn.CONCAT("Year ",J72,Invulblad!$H$118),IF(J72&lt;=Invulblad!$G$119,_xlfn.CONCAT("Year ",J72,Invulblad!$H$119),0)))))</f>
        <v>0</v>
      </c>
      <c r="B119" s="233"/>
      <c r="C119" s="92">
        <v>0</v>
      </c>
      <c r="D119" s="92">
        <f t="shared" si="19"/>
        <v>0</v>
      </c>
      <c r="E119" s="114"/>
      <c r="F119" s="115"/>
      <c r="G119" s="63">
        <f t="shared" si="20"/>
        <v>0</v>
      </c>
      <c r="H119" s="256"/>
      <c r="I119" s="26"/>
      <c r="J119" s="112" t="e">
        <f>J105+(1/$D$90)</f>
        <v>#VALUE!</v>
      </c>
      <c r="K119" s="113" t="e">
        <f t="shared" si="21"/>
        <v>#VALUE!</v>
      </c>
      <c r="L119" s="1" t="e">
        <f t="shared" si="22"/>
        <v>#VALUE!</v>
      </c>
      <c r="M119" s="1" t="e">
        <f t="shared" si="63"/>
        <v>#VALUE!</v>
      </c>
      <c r="N119" s="1" t="e">
        <f t="shared" si="63"/>
        <v>#VALUE!</v>
      </c>
      <c r="O119" s="1" t="e">
        <f t="shared" si="25"/>
        <v>#VALUE!</v>
      </c>
      <c r="P119" s="1" t="e">
        <f t="shared" si="26"/>
        <v>#VALUE!</v>
      </c>
      <c r="Q119" s="1" t="e">
        <f t="shared" si="28"/>
        <v>#VALUE!</v>
      </c>
      <c r="R119" s="1"/>
      <c r="S119" s="1">
        <f>IF(J72&lt;=Invulblad!$G$115,G119,0)</f>
        <v>0</v>
      </c>
      <c r="T119" s="1">
        <f>IF(J72&lt;=Invulblad!$G$116,G119,0)</f>
        <v>0</v>
      </c>
      <c r="U119" s="1">
        <f>IF(J72&lt;=Invulblad!$G$117,G119,0)</f>
        <v>0</v>
      </c>
      <c r="V119" s="1">
        <f>IF(J72&lt;=Invulblad!$G$118,G119,0)</f>
        <v>0</v>
      </c>
      <c r="W119" s="1">
        <f>IF(J72&lt;=Invulblad!$G$119,G119,0)</f>
        <v>0</v>
      </c>
      <c r="X119" s="1"/>
      <c r="Y119" s="1"/>
      <c r="Z119" s="1"/>
      <c r="AA119" s="1"/>
    </row>
    <row r="120" spans="1:27" ht="20.100000000000001" hidden="1" customHeight="1" outlineLevel="1" x14ac:dyDescent="0.25">
      <c r="A120" s="232">
        <f>IF(J73&lt;=Invulblad!$G$115,_xlfn.CONCAT("Year ",J73),IF(J73&lt;=Invulblad!$G$116,_xlfn.CONCAT("Year ",J73,Invulblad!$H$116),IF(J73&lt;=Invulblad!$G$117,_xlfn.CONCAT("Year ",J73,Invulblad!$H$117),IF(J73&lt;=Invulblad!$G$118,_xlfn.CONCAT("Year ",J73,Invulblad!$H$118),IF(J73&lt;=Invulblad!$G$119,_xlfn.CONCAT("Year ",J73,Invulblad!$H$119),0)))))</f>
        <v>0</v>
      </c>
      <c r="B120" s="233"/>
      <c r="C120" s="92">
        <v>0</v>
      </c>
      <c r="D120" s="92">
        <f t="shared" ref="D120" si="67">IFERROR((O120+P120+Q120),0)</f>
        <v>0</v>
      </c>
      <c r="E120" s="114"/>
      <c r="F120" s="115"/>
      <c r="G120" s="63">
        <f t="shared" ref="G120" si="68">IFERROR((D120*$B$97*$C$95),0)</f>
        <v>0</v>
      </c>
      <c r="H120" s="256"/>
      <c r="I120" s="26"/>
      <c r="J120" s="112" t="e">
        <f>J106+(1/$D$90)</f>
        <v>#VALUE!</v>
      </c>
      <c r="K120" s="113" t="e">
        <f t="shared" ref="K120" si="69">TRUNC(J120)</f>
        <v>#VALUE!</v>
      </c>
      <c r="L120" s="1" t="e">
        <f t="shared" ref="L120" si="70">IF(J120=K120,1,0)</f>
        <v>#VALUE!</v>
      </c>
      <c r="M120" s="1" t="e">
        <f t="shared" si="63"/>
        <v>#VALUE!</v>
      </c>
      <c r="N120" s="1" t="e">
        <f t="shared" si="63"/>
        <v>#VALUE!</v>
      </c>
      <c r="O120" s="1" t="e">
        <f t="shared" ref="O120" si="71">L120*$C$98</f>
        <v>#VALUE!</v>
      </c>
      <c r="P120" s="1" t="e">
        <f t="shared" ref="P120" si="72">M120*$C$99</f>
        <v>#VALUE!</v>
      </c>
      <c r="Q120" s="1" t="e">
        <f t="shared" ref="Q120" si="73">N120*$C$100</f>
        <v>#VALUE!</v>
      </c>
      <c r="R120" s="1"/>
      <c r="S120" s="1">
        <f>IF(J73&lt;=Invulblad!$G$115,G120,0)</f>
        <v>0</v>
      </c>
      <c r="T120" s="1">
        <f>IF(J73&lt;=Invulblad!$G$116,G120,0)</f>
        <v>0</v>
      </c>
      <c r="U120" s="1">
        <f>IF(J73&lt;=Invulblad!$G$117,G120,0)</f>
        <v>0</v>
      </c>
      <c r="V120" s="1">
        <f>IF(J73&lt;=Invulblad!$G$118,G120,0)</f>
        <v>0</v>
      </c>
      <c r="W120" s="1">
        <f>IF(J73&lt;=Invulblad!$G$119,G120,0)</f>
        <v>0</v>
      </c>
      <c r="X120" s="1"/>
      <c r="Y120" s="1"/>
      <c r="Z120" s="1"/>
      <c r="AA120" s="1"/>
    </row>
    <row r="121" spans="1:27" ht="20.100000000000001" hidden="1" customHeight="1" outlineLevel="1" x14ac:dyDescent="0.25">
      <c r="A121" s="232">
        <f>IF(J74&lt;=Invulblad!$G$115,_xlfn.CONCAT("Year ",J74),IF(J74&lt;=Invulblad!$G$116,_xlfn.CONCAT("Year ",J74,Invulblad!$H$116),IF(J74&lt;=Invulblad!$G$117,_xlfn.CONCAT("Year ",J74,Invulblad!$H$117),IF(J74&lt;=Invulblad!$G$118,_xlfn.CONCAT("Year ",J74,Invulblad!$H$118),IF(J74&lt;=Invulblad!$G$119,_xlfn.CONCAT("Year ",J74,Invulblad!$H$119),0)))))</f>
        <v>0</v>
      </c>
      <c r="B121" s="233"/>
      <c r="C121" s="92">
        <v>0</v>
      </c>
      <c r="D121" s="92">
        <f t="shared" ref="D121" si="74">IFERROR((O121+P121+Q121),0)</f>
        <v>0</v>
      </c>
      <c r="E121" s="114"/>
      <c r="F121" s="115"/>
      <c r="G121" s="63">
        <f t="shared" ref="G121" si="75">IFERROR((D121*$B$97*$C$95),0)</f>
        <v>0</v>
      </c>
      <c r="H121" s="256"/>
      <c r="I121" s="26"/>
      <c r="J121" s="112" t="e">
        <f>J106+(1/$D$90)</f>
        <v>#VALUE!</v>
      </c>
      <c r="K121" s="113" t="e">
        <f t="shared" ref="K121" si="76">TRUNC(J121)</f>
        <v>#VALUE!</v>
      </c>
      <c r="L121" s="1" t="e">
        <f t="shared" ref="L121" si="77">IF(J121=K121,1,0)</f>
        <v>#VALUE!</v>
      </c>
      <c r="M121" s="1" t="e">
        <f>L106</f>
        <v>#VALUE!</v>
      </c>
      <c r="N121" s="1" t="e">
        <f>M106</f>
        <v>#VALUE!</v>
      </c>
      <c r="O121" s="1" t="e">
        <f t="shared" ref="O121" si="78">L121*$C$98</f>
        <v>#VALUE!</v>
      </c>
      <c r="P121" s="1" t="e">
        <f t="shared" ref="P121" si="79">M121*$C$99</f>
        <v>#VALUE!</v>
      </c>
      <c r="Q121" s="1" t="e">
        <f t="shared" ref="Q121" si="80">N121*$C$100</f>
        <v>#VALUE!</v>
      </c>
      <c r="R121" s="1"/>
      <c r="S121" s="1">
        <f>IF(J74&lt;=Invulblad!$G$115,G121,0)</f>
        <v>0</v>
      </c>
      <c r="T121" s="1">
        <f>IF(J74&lt;=Invulblad!$G$116,G121,0)</f>
        <v>0</v>
      </c>
      <c r="U121" s="1">
        <f>IF(J74&lt;=Invulblad!$G$117,G121,0)</f>
        <v>0</v>
      </c>
      <c r="V121" s="1">
        <f>IF(J74&lt;=Invulblad!$G$118,G121,0)</f>
        <v>0</v>
      </c>
      <c r="W121" s="1">
        <f>IF(J74&lt;=Invulblad!$G$119,G121,0)</f>
        <v>0</v>
      </c>
      <c r="X121" s="1"/>
      <c r="Y121" s="1"/>
      <c r="Z121" s="1"/>
      <c r="AA121" s="1"/>
    </row>
    <row r="122" spans="1:27" ht="20.100000000000001" hidden="1" customHeight="1" outlineLevel="1" x14ac:dyDescent="0.25">
      <c r="A122" s="232">
        <f>IF(J75&lt;=Invulblad!$G$115,_xlfn.CONCAT("Year ",J75),IF(J75&lt;=Invulblad!$G$116,_xlfn.CONCAT("Year ",J75,Invulblad!$H$116),IF(J75&lt;=Invulblad!$G$117,_xlfn.CONCAT("Year ",J75,Invulblad!$H$117),IF(J75&lt;=Invulblad!$G$118,_xlfn.CONCAT("Year ",J75,Invulblad!$H$118),IF(J75&lt;=Invulblad!$G$119,_xlfn.CONCAT("Year ",J75,Invulblad!$H$119),0)))))</f>
        <v>0</v>
      </c>
      <c r="B122" s="233"/>
      <c r="C122" s="92">
        <v>0</v>
      </c>
      <c r="D122" s="92">
        <f t="shared" si="19"/>
        <v>0</v>
      </c>
      <c r="E122" s="114"/>
      <c r="F122" s="115"/>
      <c r="G122" s="63">
        <f t="shared" si="20"/>
        <v>0</v>
      </c>
      <c r="H122" s="256"/>
      <c r="I122" s="26"/>
      <c r="J122" s="112" t="e">
        <f>J107+(1/$D$90)</f>
        <v>#VALUE!</v>
      </c>
      <c r="K122" s="113" t="e">
        <f t="shared" si="21"/>
        <v>#VALUE!</v>
      </c>
      <c r="L122" s="1" t="e">
        <f t="shared" si="22"/>
        <v>#VALUE!</v>
      </c>
      <c r="M122" s="1" t="e">
        <f>L107</f>
        <v>#VALUE!</v>
      </c>
      <c r="N122" s="1" t="e">
        <f>M107</f>
        <v>#VALUE!</v>
      </c>
      <c r="O122" s="1" t="e">
        <f t="shared" si="25"/>
        <v>#VALUE!</v>
      </c>
      <c r="P122" s="1" t="e">
        <f t="shared" si="26"/>
        <v>#VALUE!</v>
      </c>
      <c r="Q122" s="1" t="e">
        <f t="shared" si="28"/>
        <v>#VALUE!</v>
      </c>
      <c r="R122" s="1"/>
      <c r="S122" s="1">
        <f>IF(J75&lt;=Invulblad!$G$115,G122,0)</f>
        <v>0</v>
      </c>
      <c r="T122" s="1">
        <f>IF(J75&lt;=Invulblad!$G$116,G122,0)</f>
        <v>0</v>
      </c>
      <c r="U122" s="1">
        <f>IF(J75&lt;=Invulblad!$G$117,G122,0)</f>
        <v>0</v>
      </c>
      <c r="V122" s="1">
        <f>IF(J75&lt;=Invulblad!$G$118,G122,0)</f>
        <v>0</v>
      </c>
      <c r="W122" s="1">
        <f>IF(J75&lt;=Invulblad!$G$119,G122,0)</f>
        <v>0</v>
      </c>
      <c r="X122" s="1"/>
      <c r="Y122" s="1"/>
      <c r="Z122" s="1"/>
      <c r="AA122" s="1"/>
    </row>
    <row r="123" spans="1:27" ht="20.100000000000001" hidden="1" customHeight="1" outlineLevel="1" x14ac:dyDescent="0.25">
      <c r="A123" s="232">
        <f>IF(J76&lt;=Invulblad!$G$115,_xlfn.CONCAT("Year ",J76),IF(J76&lt;=Invulblad!$G$116,_xlfn.CONCAT("Year ",J76,Invulblad!$H$116),IF(J76&lt;=Invulblad!$G$117,_xlfn.CONCAT("Year ",J76,Invulblad!$H$117),IF(J76&lt;=Invulblad!$G$118,_xlfn.CONCAT("Year ",J76,Invulblad!$H$118),IF(J76&lt;=Invulblad!$G$119,_xlfn.CONCAT("Year ",J76,Invulblad!$H$119),0)))))</f>
        <v>0</v>
      </c>
      <c r="B123" s="233"/>
      <c r="C123" s="92">
        <v>0</v>
      </c>
      <c r="D123" s="92">
        <f t="shared" si="19"/>
        <v>0</v>
      </c>
      <c r="E123" s="114"/>
      <c r="F123" s="115"/>
      <c r="G123" s="63">
        <f t="shared" si="20"/>
        <v>0</v>
      </c>
      <c r="H123" s="256"/>
      <c r="I123" s="26"/>
      <c r="J123" s="112" t="e">
        <f t="shared" si="23"/>
        <v>#VALUE!</v>
      </c>
      <c r="K123" s="113" t="e">
        <f t="shared" si="21"/>
        <v>#VALUE!</v>
      </c>
      <c r="L123" s="1" t="e">
        <f t="shared" si="22"/>
        <v>#VALUE!</v>
      </c>
      <c r="M123" s="1" t="e">
        <f t="shared" si="24"/>
        <v>#VALUE!</v>
      </c>
      <c r="N123" s="1" t="e">
        <f t="shared" si="27"/>
        <v>#VALUE!</v>
      </c>
      <c r="O123" s="1" t="e">
        <f t="shared" si="25"/>
        <v>#VALUE!</v>
      </c>
      <c r="P123" s="1" t="e">
        <f t="shared" si="26"/>
        <v>#VALUE!</v>
      </c>
      <c r="Q123" s="1" t="e">
        <f t="shared" si="28"/>
        <v>#VALUE!</v>
      </c>
      <c r="R123" s="1"/>
      <c r="S123" s="1">
        <f>IF(J76&lt;=Invulblad!$G$115,G123,0)</f>
        <v>0</v>
      </c>
      <c r="T123" s="1">
        <f>IF(J76&lt;=Invulblad!$G$116,G123,0)</f>
        <v>0</v>
      </c>
      <c r="U123" s="1">
        <f>IF(J76&lt;=Invulblad!$G$117,G123,0)</f>
        <v>0</v>
      </c>
      <c r="V123" s="1">
        <f>IF(J76&lt;=Invulblad!$G$118,G123,0)</f>
        <v>0</v>
      </c>
      <c r="W123" s="1">
        <f>IF(J76&lt;=Invulblad!$G$119,G123,0)</f>
        <v>0</v>
      </c>
      <c r="X123" s="1"/>
      <c r="Y123" s="1"/>
      <c r="Z123" s="1"/>
      <c r="AA123" s="1"/>
    </row>
    <row r="124" spans="1:27" ht="20.100000000000001" hidden="1" customHeight="1" outlineLevel="1" x14ac:dyDescent="0.25">
      <c r="A124" s="232">
        <f>IF(J77&lt;=Invulblad!$G$115,_xlfn.CONCAT("Year ",J77),IF(J77&lt;=Invulblad!$G$116,_xlfn.CONCAT("Year ",J77,Invulblad!$H$116),IF(J77&lt;=Invulblad!$G$117,_xlfn.CONCAT("Year ",J77,Invulblad!$H$117),IF(J77&lt;=Invulblad!$G$118,_xlfn.CONCAT("Year ",J77,Invulblad!$H$118),IF(J77&lt;=Invulblad!$G$119,_xlfn.CONCAT("Year ",J77,Invulblad!$H$119),0)))))</f>
        <v>0</v>
      </c>
      <c r="B124" s="233"/>
      <c r="C124" s="92">
        <v>0</v>
      </c>
      <c r="D124" s="92">
        <f t="shared" si="19"/>
        <v>0</v>
      </c>
      <c r="E124" s="114"/>
      <c r="F124" s="115"/>
      <c r="G124" s="63">
        <f t="shared" si="20"/>
        <v>0</v>
      </c>
      <c r="H124" s="256"/>
      <c r="I124" s="26"/>
      <c r="J124" s="112" t="e">
        <f t="shared" si="23"/>
        <v>#VALUE!</v>
      </c>
      <c r="K124" s="113" t="e">
        <f t="shared" si="21"/>
        <v>#VALUE!</v>
      </c>
      <c r="L124" s="1" t="e">
        <f t="shared" si="22"/>
        <v>#VALUE!</v>
      </c>
      <c r="M124" s="1" t="e">
        <f t="shared" si="24"/>
        <v>#VALUE!</v>
      </c>
      <c r="N124" s="1" t="e">
        <f t="shared" si="27"/>
        <v>#VALUE!</v>
      </c>
      <c r="O124" s="1" t="e">
        <f t="shared" si="25"/>
        <v>#VALUE!</v>
      </c>
      <c r="P124" s="1" t="e">
        <f t="shared" si="26"/>
        <v>#VALUE!</v>
      </c>
      <c r="Q124" s="1" t="e">
        <f t="shared" si="28"/>
        <v>#VALUE!</v>
      </c>
      <c r="R124" s="1"/>
      <c r="S124" s="1">
        <f>IF(J77&lt;=Invulblad!$G$115,G124,0)</f>
        <v>0</v>
      </c>
      <c r="T124" s="1">
        <f>IF(J77&lt;=Invulblad!$G$116,G124,0)</f>
        <v>0</v>
      </c>
      <c r="U124" s="1">
        <f>IF(J77&lt;=Invulblad!$G$117,G124,0)</f>
        <v>0</v>
      </c>
      <c r="V124" s="1">
        <f>IF(J77&lt;=Invulblad!$G$118,G124,0)</f>
        <v>0</v>
      </c>
      <c r="W124" s="1">
        <f>IF(J77&lt;=Invulblad!$G$119,G124,0)</f>
        <v>0</v>
      </c>
      <c r="X124" s="1"/>
      <c r="Y124" s="1"/>
      <c r="Z124" s="1"/>
      <c r="AA124" s="1"/>
    </row>
    <row r="125" spans="1:27" ht="20.100000000000001" hidden="1" customHeight="1" outlineLevel="1" x14ac:dyDescent="0.25">
      <c r="A125" s="232">
        <f>IF(J78&lt;=Invulblad!$G$115,_xlfn.CONCAT("Year ",J78),IF(J78&lt;=Invulblad!$G$116,_xlfn.CONCAT("Year ",J78,Invulblad!$H$116),IF(J78&lt;=Invulblad!$G$117,_xlfn.CONCAT("Year ",J78,Invulblad!$H$117),IF(J78&lt;=Invulblad!$G$118,_xlfn.CONCAT("Year ",J78,Invulblad!$H$118),IF(J78&lt;=Invulblad!$G$119,_xlfn.CONCAT("Year ",J78,Invulblad!$H$119),0)))))</f>
        <v>0</v>
      </c>
      <c r="B125" s="233"/>
      <c r="C125" s="92">
        <v>0</v>
      </c>
      <c r="D125" s="92">
        <f t="shared" si="19"/>
        <v>0</v>
      </c>
      <c r="E125" s="114"/>
      <c r="F125" s="115"/>
      <c r="G125" s="63">
        <f t="shared" si="20"/>
        <v>0</v>
      </c>
      <c r="H125" s="256"/>
      <c r="I125" s="26"/>
      <c r="J125" s="112" t="e">
        <f t="shared" si="23"/>
        <v>#VALUE!</v>
      </c>
      <c r="K125" s="113" t="e">
        <f t="shared" si="21"/>
        <v>#VALUE!</v>
      </c>
      <c r="L125" s="1" t="e">
        <f t="shared" si="22"/>
        <v>#VALUE!</v>
      </c>
      <c r="M125" s="1" t="e">
        <f t="shared" si="24"/>
        <v>#VALUE!</v>
      </c>
      <c r="N125" s="1" t="e">
        <f t="shared" si="27"/>
        <v>#VALUE!</v>
      </c>
      <c r="O125" s="1" t="e">
        <f t="shared" si="25"/>
        <v>#VALUE!</v>
      </c>
      <c r="P125" s="1" t="e">
        <f t="shared" si="26"/>
        <v>#VALUE!</v>
      </c>
      <c r="Q125" s="1" t="e">
        <f t="shared" si="28"/>
        <v>#VALUE!</v>
      </c>
      <c r="R125" s="1"/>
      <c r="S125" s="1">
        <f>IF(J78&lt;=Invulblad!$G$115,G125,0)</f>
        <v>0</v>
      </c>
      <c r="T125" s="1">
        <f>IF(J78&lt;=Invulblad!$G$116,G125,0)</f>
        <v>0</v>
      </c>
      <c r="U125" s="1">
        <f>IF(J78&lt;=Invulblad!$G$117,G125,0)</f>
        <v>0</v>
      </c>
      <c r="V125" s="1">
        <f>IF(J78&lt;=Invulblad!$G$118,G125,0)</f>
        <v>0</v>
      </c>
      <c r="W125" s="1">
        <f>IF(J78&lt;=Invulblad!$G$119,G125,0)</f>
        <v>0</v>
      </c>
      <c r="X125" s="1"/>
      <c r="Y125" s="1"/>
      <c r="Z125" s="1"/>
      <c r="AA125" s="1"/>
    </row>
    <row r="126" spans="1:27" ht="20.100000000000001" hidden="1" customHeight="1" outlineLevel="1" x14ac:dyDescent="0.25">
      <c r="A126" s="232">
        <f>IF(J79&lt;=Invulblad!$G$115,_xlfn.CONCAT("Year ",J79),IF(J79&lt;=Invulblad!$G$116,_xlfn.CONCAT("Year ",J79,Invulblad!$H$116),IF(J79&lt;=Invulblad!$G$117,_xlfn.CONCAT("Year ",J79,Invulblad!$H$117),IF(J79&lt;=Invulblad!$G$118,_xlfn.CONCAT("Year ",J79,Invulblad!$H$118),IF(J79&lt;=Invulblad!$G$119,_xlfn.CONCAT("Year ",J79,Invulblad!$H$119),0)))))</f>
        <v>0</v>
      </c>
      <c r="B126" s="233"/>
      <c r="C126" s="92">
        <v>0</v>
      </c>
      <c r="D126" s="92">
        <f t="shared" si="19"/>
        <v>0</v>
      </c>
      <c r="E126" s="114"/>
      <c r="F126" s="115"/>
      <c r="G126" s="63">
        <f t="shared" si="20"/>
        <v>0</v>
      </c>
      <c r="H126" s="256"/>
      <c r="I126" s="26"/>
      <c r="J126" s="112" t="e">
        <f t="shared" si="23"/>
        <v>#VALUE!</v>
      </c>
      <c r="K126" s="113" t="e">
        <f t="shared" si="21"/>
        <v>#VALUE!</v>
      </c>
      <c r="L126" s="1" t="e">
        <f t="shared" si="22"/>
        <v>#VALUE!</v>
      </c>
      <c r="M126" s="1" t="e">
        <f t="shared" si="24"/>
        <v>#VALUE!</v>
      </c>
      <c r="N126" s="1" t="e">
        <f t="shared" si="27"/>
        <v>#VALUE!</v>
      </c>
      <c r="O126" s="1" t="e">
        <f t="shared" si="25"/>
        <v>#VALUE!</v>
      </c>
      <c r="P126" s="1" t="e">
        <f t="shared" si="26"/>
        <v>#VALUE!</v>
      </c>
      <c r="Q126" s="1" t="e">
        <f t="shared" si="28"/>
        <v>#VALUE!</v>
      </c>
      <c r="R126" s="1"/>
      <c r="S126" s="1">
        <f>IF(J79&lt;=Invulblad!$G$115,G126,0)</f>
        <v>0</v>
      </c>
      <c r="T126" s="1">
        <f>IF(J79&lt;=Invulblad!$G$116,G126,0)</f>
        <v>0</v>
      </c>
      <c r="U126" s="1">
        <f>IF(J79&lt;=Invulblad!$G$117,G126,0)</f>
        <v>0</v>
      </c>
      <c r="V126" s="1">
        <f>IF(J79&lt;=Invulblad!$G$118,G126,0)</f>
        <v>0</v>
      </c>
      <c r="W126" s="1">
        <f>IF(J79&lt;=Invulblad!$G$119,G126,0)</f>
        <v>0</v>
      </c>
      <c r="X126" s="1"/>
      <c r="Y126" s="1"/>
      <c r="Z126" s="1"/>
      <c r="AA126" s="1"/>
    </row>
    <row r="127" spans="1:27" ht="20.100000000000001" hidden="1" customHeight="1" outlineLevel="1" x14ac:dyDescent="0.25">
      <c r="A127" s="232">
        <f>IF(J80&lt;=Invulblad!$G$115,_xlfn.CONCAT("Year ",J80),IF(J80&lt;=Invulblad!$G$116,_xlfn.CONCAT("Year ",J80,Invulblad!$H$116),IF(J80&lt;=Invulblad!$G$117,_xlfn.CONCAT("Year ",J80,Invulblad!$H$117),IF(J80&lt;=Invulblad!$G$118,_xlfn.CONCAT("Year ",J80,Invulblad!$H$118),IF(J80&lt;=Invulblad!$G$119,_xlfn.CONCAT("Year ",J80,Invulblad!$H$119),0)))))</f>
        <v>0</v>
      </c>
      <c r="B127" s="233"/>
      <c r="C127" s="92">
        <v>0</v>
      </c>
      <c r="D127" s="92">
        <f t="shared" si="19"/>
        <v>0</v>
      </c>
      <c r="E127" s="114"/>
      <c r="F127" s="115"/>
      <c r="G127" s="63">
        <f t="shared" si="20"/>
        <v>0</v>
      </c>
      <c r="H127" s="257"/>
      <c r="I127" s="26"/>
      <c r="J127" s="112" t="e">
        <f t="shared" si="23"/>
        <v>#VALUE!</v>
      </c>
      <c r="K127" s="113" t="e">
        <f t="shared" si="21"/>
        <v>#VALUE!</v>
      </c>
      <c r="L127" s="1" t="e">
        <f t="shared" si="22"/>
        <v>#VALUE!</v>
      </c>
      <c r="M127" s="1" t="e">
        <f t="shared" si="24"/>
        <v>#VALUE!</v>
      </c>
      <c r="N127" s="1" t="e">
        <f t="shared" si="27"/>
        <v>#VALUE!</v>
      </c>
      <c r="O127" s="1" t="e">
        <f t="shared" si="25"/>
        <v>#VALUE!</v>
      </c>
      <c r="P127" s="1" t="e">
        <f t="shared" si="26"/>
        <v>#VALUE!</v>
      </c>
      <c r="Q127" s="1" t="e">
        <f t="shared" si="28"/>
        <v>#VALUE!</v>
      </c>
      <c r="R127" s="1"/>
      <c r="S127" s="1">
        <f>IF(J80&lt;=Invulblad!$G$115,G127,0)</f>
        <v>0</v>
      </c>
      <c r="T127" s="1">
        <f>IF(J80&lt;=Invulblad!$G$116,G127,0)</f>
        <v>0</v>
      </c>
      <c r="U127" s="1">
        <f>IF(J80&lt;=Invulblad!$G$117,G127,0)</f>
        <v>0</v>
      </c>
      <c r="V127" s="1">
        <f>IF(J80&lt;=Invulblad!$G$118,G127,0)</f>
        <v>0</v>
      </c>
      <c r="W127" s="1">
        <f>IF(J80&lt;=Invulblad!$G$119,G127,0)</f>
        <v>0</v>
      </c>
      <c r="X127" s="1"/>
      <c r="Y127" s="1"/>
      <c r="Z127" s="1"/>
      <c r="AA127" s="1"/>
    </row>
    <row r="128" spans="1:27" ht="20.100000000000001" customHeight="1" collapsed="1" x14ac:dyDescent="0.25">
      <c r="A128" s="247"/>
      <c r="B128" s="248"/>
      <c r="C128" s="248"/>
      <c r="D128" s="248"/>
      <c r="E128" s="248"/>
      <c r="F128" s="248"/>
      <c r="G128" s="248"/>
      <c r="H128" s="249"/>
      <c r="I128" s="26"/>
      <c r="K128" s="56"/>
      <c r="M128" s="1"/>
      <c r="N128" s="1"/>
      <c r="O128" s="1"/>
      <c r="P128" s="1"/>
      <c r="Q128" s="1"/>
      <c r="R128" s="1"/>
      <c r="S128" s="1"/>
      <c r="T128" s="1"/>
      <c r="U128" s="1"/>
      <c r="V128" s="1"/>
      <c r="W128" s="1"/>
      <c r="X128" s="1"/>
      <c r="Y128" s="1"/>
      <c r="Z128" s="1"/>
      <c r="AA128" s="1"/>
    </row>
    <row r="129" spans="1:27" ht="20.100000000000001" customHeight="1" x14ac:dyDescent="0.25">
      <c r="A129" s="117" t="str">
        <f>_xlfn.CONCAT("Duration corrective maintenance (",Invulblad!F107,") and travel time (",Invulblad!F108,")  in hours")</f>
        <v>Duration corrective maintenance (1) and travel time (2)  in hours</v>
      </c>
      <c r="B129" s="118">
        <f>Invulblad!F107+Invulblad!F108</f>
        <v>3</v>
      </c>
      <c r="C129" s="317"/>
      <c r="D129" s="317"/>
      <c r="E129" s="119"/>
      <c r="F129" s="120"/>
      <c r="G129" s="121"/>
      <c r="H129" s="122"/>
      <c r="I129" s="26"/>
      <c r="K129" s="56"/>
      <c r="M129" s="1"/>
      <c r="N129" s="1"/>
      <c r="O129" s="1"/>
      <c r="P129" s="1"/>
      <c r="Q129" s="1"/>
      <c r="R129" s="1"/>
      <c r="S129" s="1"/>
      <c r="T129" s="1"/>
      <c r="U129" s="1"/>
      <c r="V129" s="1"/>
      <c r="W129" s="1"/>
      <c r="X129" s="1"/>
      <c r="Y129" s="1"/>
      <c r="Z129" s="1"/>
      <c r="AA129" s="1"/>
    </row>
    <row r="130" spans="1:27" ht="45.6" customHeight="1" x14ac:dyDescent="0.25">
      <c r="A130" s="123"/>
      <c r="B130" s="124" t="s">
        <v>135</v>
      </c>
      <c r="C130" s="87" t="str">
        <f>IF($F$12=1, _xlfn.CONCAT("# failures of ",Invulblad!D18),IF($F$12=2, _xlfn.CONCAT("# failures of ",Invulblad!D27),IF($F$12=3, _xlfn.CONCAT("# failures of ",Invulblad!D36),IF($F$12=4, _xlfn.CONCAT("M# failures of ",Invulblad!D45),""))))</f>
        <v/>
      </c>
      <c r="D130" s="87" t="str">
        <f>IF($F$12=1, _xlfn.CONCAT("# failures of ",Invulblad!D20),IF($F$12=2, _xlfn.CONCAT("# failures of ",Invulblad!D29),IF($F$12=3, _xlfn.CONCAT("# failures of ",Invulblad!D38),IF($F$12=4, _xlfn.CONCAT("# failures of ",Invulblad!D47),""))))</f>
        <v/>
      </c>
      <c r="E130" s="87" t="str">
        <f>IF($F$12=1, _xlfn.CONCAT("# failures of ",Invulblad!D22),IF($F$12=2, _xlfn.CONCAT("# failures of ",Invulblad!D31),IF($F$12=3, _xlfn.CONCAT("# failures of ",Invulblad!D40),IF($F$12=4, _xlfn.CONCAT("# failures of ",Invulblad!D49),""))))</f>
        <v/>
      </c>
      <c r="F130" s="87" t="str">
        <f>IF($F$12=1, _xlfn.CONCAT("# failures of ",Invulblad!D24),IF($F$12=2, _xlfn.CONCAT("# failures of ",Invulblad!D33),IF($F$12=3, _xlfn.CONCAT("# failures of ",Invulblad!D42),IF($F$12=4, _xlfn.CONCAT("# failures of ",Invulblad!D51),""))))</f>
        <v/>
      </c>
      <c r="G130" s="125" t="s">
        <v>133</v>
      </c>
      <c r="H130" s="126"/>
      <c r="I130" s="26"/>
      <c r="K130" s="56"/>
      <c r="M130" s="1"/>
      <c r="N130" s="1"/>
      <c r="O130" s="1"/>
      <c r="P130" s="1"/>
      <c r="Q130" s="1"/>
      <c r="R130" s="1"/>
      <c r="S130" s="1"/>
      <c r="T130" s="1"/>
      <c r="U130" s="1"/>
      <c r="V130" s="1"/>
      <c r="W130" s="1"/>
      <c r="X130" s="1"/>
      <c r="Y130" s="1"/>
      <c r="Z130" s="1"/>
      <c r="AA130" s="1"/>
    </row>
    <row r="131" spans="1:27" ht="20.100000000000001" customHeight="1" x14ac:dyDescent="0.25">
      <c r="A131" s="127" t="s">
        <v>136</v>
      </c>
      <c r="B131" s="128">
        <f>Invulblad!E115</f>
        <v>7</v>
      </c>
      <c r="C131" s="128">
        <f>IFERROR(ROUNDUP(((1/$D$91)*(24*365.25*B131))*$G$91,0.1),0)</f>
        <v>0</v>
      </c>
      <c r="D131" s="129">
        <f>IFERROR(ROUNDUP(((1/$D$92)*(24*365.25*B131))*$G$92,0.1),0)</f>
        <v>0</v>
      </c>
      <c r="E131" s="130">
        <f>IFERROR(ROUNDUP(((1/$D$93)*(24*365.25*B131))*$G$93,0.1),0)</f>
        <v>0</v>
      </c>
      <c r="F131" s="131">
        <f>IFERROR(ROUNDUP(((1/$D$94)*(24*365.25*B131))*$G$94,0.1),0)</f>
        <v>0</v>
      </c>
      <c r="G131" s="132">
        <f>SUM(C131:F131)*$B$129*$C$95</f>
        <v>0</v>
      </c>
      <c r="H131" s="226" t="str">
        <f>_xlfn.CONCAT("Will be automatically calculated from MTBF and ",Invulblad!B8," in use.")</f>
        <v>Will be automatically calculated from MTBF and gauge in use.</v>
      </c>
      <c r="I131" s="26"/>
      <c r="K131" s="56"/>
      <c r="M131" s="1"/>
      <c r="N131" s="1"/>
      <c r="O131" s="1"/>
      <c r="P131" s="1"/>
      <c r="Q131" s="1"/>
      <c r="R131" s="1"/>
      <c r="S131" s="1"/>
      <c r="T131" s="1"/>
      <c r="U131" s="1"/>
      <c r="V131" s="1"/>
      <c r="W131" s="1"/>
      <c r="X131" s="1"/>
      <c r="Y131" s="1"/>
      <c r="Z131" s="1"/>
      <c r="AA131" s="1"/>
    </row>
    <row r="132" spans="1:27" ht="20.100000000000001" customHeight="1" x14ac:dyDescent="0.25">
      <c r="A132" s="53" t="s">
        <v>136</v>
      </c>
      <c r="B132" s="131">
        <f>IF(Invulblad!E116&gt;0,Invulblad!E115+Invulblad!E116,0)</f>
        <v>10</v>
      </c>
      <c r="C132" s="131">
        <f>IFERROR(ROUNDUP(((1/$D$91)*(24*365.25*B132))*$G$91,0.1),0)</f>
        <v>0</v>
      </c>
      <c r="D132" s="129">
        <f t="shared" ref="D132:D135" si="81">IFERROR(ROUNDUP(((1/$D$92)*(24*365.25*B132))*$G$92,0.1),0)</f>
        <v>0</v>
      </c>
      <c r="E132" s="130">
        <f t="shared" ref="E132:E135" si="82">IFERROR(ROUNDUP(((1/$D$93)*(24*365.25*B132))*$G$93,0.1),0)</f>
        <v>0</v>
      </c>
      <c r="F132" s="131">
        <f t="shared" ref="F132:F135" si="83">IFERROR(ROUNDUP(((1/$D$94)*(24*365.25*B132))*$G$94,0.1),0)</f>
        <v>0</v>
      </c>
      <c r="G132" s="132">
        <f>SUM(C132:F132)*$B$129*$C$95</f>
        <v>0</v>
      </c>
      <c r="H132" s="227"/>
      <c r="I132" s="26"/>
      <c r="K132" s="56"/>
      <c r="M132" s="1"/>
      <c r="N132" s="1"/>
      <c r="O132" s="1"/>
      <c r="P132" s="1"/>
      <c r="Q132" s="1"/>
      <c r="R132" s="1"/>
      <c r="S132" s="1"/>
      <c r="T132" s="1"/>
      <c r="U132" s="1"/>
      <c r="V132" s="1"/>
      <c r="W132" s="1"/>
      <c r="X132" s="1"/>
      <c r="Y132" s="1"/>
      <c r="Z132" s="1"/>
      <c r="AA132" s="1"/>
    </row>
    <row r="133" spans="1:27" ht="20.100000000000001" customHeight="1" x14ac:dyDescent="0.25">
      <c r="A133" s="53" t="s">
        <v>136</v>
      </c>
      <c r="B133" s="131">
        <f>IF(Invulblad!E117&gt;0,Invulblad!E115+Invulblad!E116+Invulblad!E117,0)</f>
        <v>0</v>
      </c>
      <c r="C133" s="131">
        <f t="shared" ref="C133:C135" si="84">IFERROR(ROUNDUP(((1/$D$91)*(24*365.25*B133))*$G$91,0.1),0)</f>
        <v>0</v>
      </c>
      <c r="D133" s="129">
        <f t="shared" ref="D133" si="85">IFERROR(ROUNDUP(((1/$D$92)*(24*365.25*B133))*$G$92,0.1),0)</f>
        <v>0</v>
      </c>
      <c r="E133" s="130">
        <f t="shared" ref="E133" si="86">IFERROR(ROUNDUP(((1/$D$93)*(24*365.25*B133))*$G$93,0.1),0)</f>
        <v>0</v>
      </c>
      <c r="F133" s="131">
        <f t="shared" ref="F133" si="87">IFERROR(ROUNDUP(((1/$D$94)*(24*365.25*B133))*$G$94,0.1),0)</f>
        <v>0</v>
      </c>
      <c r="G133" s="132">
        <f>SUM(C133:F133)*$B$129*$C$95</f>
        <v>0</v>
      </c>
      <c r="H133" s="227" t="s">
        <v>137</v>
      </c>
      <c r="I133" s="26"/>
      <c r="K133" s="56"/>
      <c r="M133" s="1"/>
      <c r="N133" s="1"/>
      <c r="O133" s="1"/>
      <c r="P133" s="1"/>
      <c r="Q133" s="1"/>
      <c r="R133" s="1"/>
      <c r="S133" s="1"/>
      <c r="T133" s="1"/>
      <c r="U133" s="1"/>
      <c r="V133" s="1"/>
      <c r="W133" s="1"/>
      <c r="X133" s="1"/>
      <c r="Y133" s="1"/>
      <c r="Z133" s="1"/>
      <c r="AA133" s="1"/>
    </row>
    <row r="134" spans="1:27" ht="20.100000000000001" customHeight="1" x14ac:dyDescent="0.25">
      <c r="A134" s="53" t="s">
        <v>136</v>
      </c>
      <c r="B134" s="131">
        <f>IF(Invulblad!E118&gt;0,Invulblad!E115+Invulblad!E116+Invulblad!E117+Invulblad!E118,0)</f>
        <v>0</v>
      </c>
      <c r="C134" s="131">
        <f t="shared" si="84"/>
        <v>0</v>
      </c>
      <c r="D134" s="129">
        <f t="shared" ref="D134" si="88">IFERROR(ROUNDUP(((1/$D$92)*(24*365.25*B134))*$G$92,0.1),0)</f>
        <v>0</v>
      </c>
      <c r="E134" s="130">
        <f t="shared" ref="E134" si="89">IFERROR(ROUNDUP(((1/$D$93)*(24*365.25*B134))*$G$93,0.1),0)</f>
        <v>0</v>
      </c>
      <c r="F134" s="131">
        <f t="shared" ref="F134" si="90">IFERROR(ROUNDUP(((1/$D$94)*(24*365.25*B134))*$G$94,0.1),0)</f>
        <v>0</v>
      </c>
      <c r="G134" s="132">
        <f>SUM(C134:F134)*$B$129*$C$95</f>
        <v>0</v>
      </c>
      <c r="H134" s="280"/>
      <c r="I134" s="26"/>
      <c r="K134" s="56"/>
      <c r="M134" s="1"/>
      <c r="N134" s="1"/>
      <c r="O134" s="1"/>
      <c r="P134" s="1"/>
      <c r="Q134" s="1"/>
      <c r="R134" s="1"/>
      <c r="S134" s="1"/>
      <c r="T134" s="1"/>
      <c r="U134" s="1"/>
      <c r="V134" s="1"/>
      <c r="W134" s="1"/>
      <c r="X134" s="1"/>
      <c r="Y134" s="1"/>
      <c r="Z134" s="1"/>
      <c r="AA134" s="1"/>
    </row>
    <row r="135" spans="1:27" ht="20.100000000000001" customHeight="1" x14ac:dyDescent="0.25">
      <c r="A135" s="53" t="s">
        <v>136</v>
      </c>
      <c r="B135" s="131">
        <f>IF(Invulblad!E119&gt;0,Invulblad!E115+Invulblad!E116+Invulblad!E117+Invulblad!E118+Invulblad!E119,0)</f>
        <v>0</v>
      </c>
      <c r="C135" s="131">
        <f t="shared" si="84"/>
        <v>0</v>
      </c>
      <c r="D135" s="129">
        <f t="shared" si="81"/>
        <v>0</v>
      </c>
      <c r="E135" s="130">
        <f t="shared" si="82"/>
        <v>0</v>
      </c>
      <c r="F135" s="131">
        <f t="shared" si="83"/>
        <v>0</v>
      </c>
      <c r="G135" s="132">
        <f>SUM(C135:F135)*$B$129*$C$95</f>
        <v>0</v>
      </c>
      <c r="H135" s="281"/>
      <c r="I135" s="26"/>
      <c r="K135" s="56"/>
      <c r="M135" s="1"/>
      <c r="N135" s="1"/>
      <c r="O135" s="1"/>
      <c r="P135" s="1"/>
      <c r="Q135" s="1"/>
      <c r="R135" s="1"/>
      <c r="S135" s="1"/>
      <c r="T135" s="1"/>
      <c r="U135" s="1"/>
      <c r="V135" s="1"/>
      <c r="W135" s="1"/>
      <c r="X135" s="1"/>
      <c r="Y135" s="1"/>
      <c r="Z135" s="1"/>
      <c r="AA135" s="1"/>
    </row>
    <row r="136" spans="1:27" ht="20.100000000000001" customHeight="1" x14ac:dyDescent="0.25">
      <c r="A136" s="318"/>
      <c r="B136" s="319"/>
      <c r="C136" s="319"/>
      <c r="D136" s="319"/>
      <c r="E136" s="320"/>
      <c r="F136" s="319"/>
      <c r="G136" s="319"/>
      <c r="H136" s="321"/>
      <c r="I136" s="26"/>
      <c r="K136" s="56"/>
      <c r="M136" s="1"/>
      <c r="N136" s="1"/>
      <c r="O136" s="1"/>
      <c r="P136" s="1"/>
      <c r="Q136" s="1"/>
      <c r="R136" s="1"/>
      <c r="S136" s="1"/>
      <c r="T136" s="1"/>
      <c r="U136" s="1"/>
      <c r="V136" s="1"/>
      <c r="W136" s="1"/>
      <c r="X136" s="1"/>
      <c r="Y136" s="1"/>
      <c r="Z136" s="1"/>
      <c r="AA136" s="1"/>
    </row>
    <row r="137" spans="1:27" ht="20.100000000000001" customHeight="1" x14ac:dyDescent="0.25">
      <c r="A137" s="258" t="str">
        <f>_xlfn.CONCAT("Total ",Invulblad!$G$115," Years")</f>
        <v>Total 7 Years</v>
      </c>
      <c r="B137" s="259"/>
      <c r="C137" s="259"/>
      <c r="D137" s="259"/>
      <c r="E137" s="259"/>
      <c r="F137" s="260"/>
      <c r="G137" s="93">
        <f>SUM(S98:S127)+G131</f>
        <v>0</v>
      </c>
      <c r="H137" s="65"/>
      <c r="I137" s="26"/>
      <c r="K137" s="56"/>
      <c r="M137" s="1"/>
      <c r="N137" s="1"/>
      <c r="O137" s="1"/>
      <c r="P137" s="1"/>
      <c r="Q137" s="1"/>
      <c r="R137" s="1"/>
      <c r="S137" s="1"/>
      <c r="T137" s="1"/>
      <c r="U137" s="1"/>
      <c r="V137" s="1"/>
      <c r="W137" s="1"/>
      <c r="X137" s="1"/>
      <c r="Y137" s="1"/>
      <c r="Z137" s="1"/>
      <c r="AA137" s="1"/>
    </row>
    <row r="138" spans="1:27" ht="20.100000000000001" customHeight="1" x14ac:dyDescent="0.25">
      <c r="A138" s="289" t="str">
        <f>CONCATENATE("Total ",Invulblad!$G$116," Years (extension 1)")</f>
        <v>Total 10 Years (extension 1)</v>
      </c>
      <c r="B138" s="290"/>
      <c r="C138" s="290"/>
      <c r="D138" s="290"/>
      <c r="E138" s="290"/>
      <c r="F138" s="291"/>
      <c r="G138" s="186">
        <f>IF(Invulblad!$E$116&gt;0,SUM(T98:T127)+G132,0)</f>
        <v>0</v>
      </c>
      <c r="H138" s="65"/>
      <c r="I138" s="26"/>
      <c r="K138" s="56"/>
      <c r="M138" s="1"/>
      <c r="N138" s="1"/>
      <c r="O138" s="1"/>
      <c r="P138" s="1"/>
      <c r="Q138" s="1"/>
      <c r="R138" s="1"/>
      <c r="S138" s="1"/>
      <c r="T138" s="1"/>
      <c r="U138" s="1"/>
      <c r="V138" s="1"/>
      <c r="W138" s="1"/>
      <c r="X138" s="1"/>
      <c r="Y138" s="1"/>
      <c r="Z138" s="1"/>
      <c r="AA138" s="1"/>
    </row>
    <row r="139" spans="1:27" ht="20.100000000000001" hidden="1" customHeight="1" x14ac:dyDescent="0.25">
      <c r="A139" s="289" t="str">
        <f>CONCATENATE("Total ",Invulblad!$G$117," Years (extension 2)")</f>
        <v>Total 0 Years (extension 2)</v>
      </c>
      <c r="B139" s="290"/>
      <c r="C139" s="290"/>
      <c r="D139" s="290"/>
      <c r="E139" s="290"/>
      <c r="F139" s="291"/>
      <c r="G139" s="95">
        <f>IF(Invulblad!$E$117&gt;0,SUM(U98:U127)+G133,0)</f>
        <v>0</v>
      </c>
      <c r="H139" s="65"/>
      <c r="I139" s="26"/>
      <c r="K139" s="56"/>
      <c r="M139" s="1"/>
      <c r="N139" s="1"/>
      <c r="O139" s="1"/>
      <c r="P139" s="1"/>
      <c r="Q139" s="1"/>
      <c r="R139" s="1"/>
      <c r="S139" s="1"/>
      <c r="T139" s="1"/>
      <c r="U139" s="1"/>
      <c r="V139" s="1"/>
      <c r="W139" s="1"/>
      <c r="X139" s="1"/>
      <c r="Y139" s="1"/>
      <c r="Z139" s="1"/>
      <c r="AA139" s="1"/>
    </row>
    <row r="140" spans="1:27" ht="20.100000000000001" hidden="1" customHeight="1" x14ac:dyDescent="0.25">
      <c r="A140" s="289" t="str">
        <f>CONCATENATE("Total ",Invulblad!$G$118," Years (extension 3)")</f>
        <v>Total 0 Years (extension 3)</v>
      </c>
      <c r="B140" s="290"/>
      <c r="C140" s="290"/>
      <c r="D140" s="290"/>
      <c r="E140" s="290"/>
      <c r="F140" s="291"/>
      <c r="G140" s="95">
        <f>IF(Invulblad!$E$118&gt;0,SUM(V98:V127)+G134,0)</f>
        <v>0</v>
      </c>
      <c r="H140" s="65"/>
      <c r="I140" s="26"/>
      <c r="K140" s="56"/>
      <c r="M140" s="1"/>
      <c r="N140" s="1"/>
      <c r="O140" s="1"/>
      <c r="P140" s="1"/>
      <c r="Q140" s="1"/>
      <c r="R140" s="1"/>
      <c r="S140" s="1"/>
      <c r="T140" s="1"/>
      <c r="U140" s="1"/>
      <c r="V140" s="1"/>
      <c r="W140" s="1"/>
      <c r="X140" s="1"/>
      <c r="Y140" s="1"/>
      <c r="Z140" s="1"/>
      <c r="AA140" s="1"/>
    </row>
    <row r="141" spans="1:27" ht="20.100000000000001" hidden="1" customHeight="1" x14ac:dyDescent="0.25">
      <c r="A141" s="289" t="str">
        <f>CONCATENATE("Total ",Invulblad!$G$119," Years (extension 4)")</f>
        <v>Total 0 Years (extension 4)</v>
      </c>
      <c r="B141" s="290"/>
      <c r="C141" s="290"/>
      <c r="D141" s="290"/>
      <c r="E141" s="290"/>
      <c r="F141" s="291"/>
      <c r="G141" s="95">
        <f>IF(Invulblad!$E$119&gt;0,SUM(W98:W127)+G135,0)</f>
        <v>0</v>
      </c>
      <c r="H141" s="65"/>
      <c r="I141" s="26"/>
      <c r="K141" s="56"/>
      <c r="M141" s="1"/>
      <c r="N141" s="1"/>
      <c r="O141" s="1"/>
      <c r="P141" s="1"/>
      <c r="Q141" s="1"/>
      <c r="R141" s="1"/>
      <c r="S141" s="1"/>
      <c r="T141" s="1"/>
      <c r="U141" s="1"/>
      <c r="V141" s="1"/>
      <c r="W141" s="1"/>
      <c r="X141" s="1"/>
      <c r="Y141" s="1"/>
      <c r="Z141" s="1"/>
      <c r="AA141" s="1"/>
    </row>
    <row r="142" spans="1:27" ht="20.100000000000001" customHeight="1" x14ac:dyDescent="0.25">
      <c r="A142" s="247"/>
      <c r="B142" s="248"/>
      <c r="C142" s="248"/>
      <c r="D142" s="248"/>
      <c r="E142" s="248"/>
      <c r="F142" s="248"/>
      <c r="G142" s="248"/>
      <c r="H142" s="249"/>
      <c r="I142" s="26"/>
      <c r="K142" s="56"/>
      <c r="M142" s="1"/>
      <c r="N142" s="1"/>
      <c r="O142" s="1"/>
      <c r="P142" s="1"/>
      <c r="Q142" s="1"/>
      <c r="R142" s="1"/>
      <c r="S142" s="1"/>
      <c r="T142" s="1"/>
      <c r="U142" s="1"/>
      <c r="V142" s="1"/>
      <c r="W142" s="1"/>
      <c r="X142" s="1"/>
      <c r="Y142" s="1"/>
      <c r="Z142" s="1"/>
      <c r="AA142" s="1"/>
    </row>
    <row r="143" spans="1:27" ht="20.100000000000001" customHeight="1" x14ac:dyDescent="0.25">
      <c r="A143" s="286" t="s">
        <v>138</v>
      </c>
      <c r="B143" s="286"/>
      <c r="C143" s="286"/>
      <c r="D143" s="286"/>
      <c r="E143" s="286"/>
      <c r="F143" s="286"/>
      <c r="G143" s="286"/>
      <c r="H143" s="286"/>
      <c r="I143" s="26"/>
      <c r="M143" s="1"/>
      <c r="N143" s="1"/>
      <c r="O143" s="1"/>
      <c r="P143" s="1"/>
      <c r="Q143" s="1"/>
      <c r="R143" s="1"/>
      <c r="S143" s="1"/>
      <c r="T143" s="1"/>
      <c r="U143" s="1"/>
      <c r="V143" s="1"/>
      <c r="W143" s="1"/>
      <c r="X143" s="1"/>
      <c r="Y143" s="1"/>
      <c r="Z143" s="1"/>
      <c r="AA143" s="1"/>
    </row>
    <row r="144" spans="1:27" ht="18" customHeight="1" x14ac:dyDescent="0.25">
      <c r="A144" s="269" t="s">
        <v>139</v>
      </c>
      <c r="B144" s="262"/>
      <c r="C144" s="339" t="str">
        <f>_xlfn.CONCAT("Amount of ",Invulblad!B8,"s deployed and spares")</f>
        <v>Amount of gauges deployed and spares</v>
      </c>
      <c r="D144" s="340"/>
      <c r="E144" s="341"/>
      <c r="F144" s="46" t="str">
        <f>_xlfn.CONCAT("Price per ",Invulblad!B8," per year")</f>
        <v>Price per gauge per year</v>
      </c>
      <c r="G144" s="46" t="s">
        <v>121</v>
      </c>
      <c r="H144" s="75" t="s">
        <v>88</v>
      </c>
      <c r="I144" s="26"/>
      <c r="M144" s="1"/>
      <c r="N144" s="1"/>
      <c r="O144" s="1"/>
      <c r="P144" s="1"/>
      <c r="Q144" s="1"/>
      <c r="R144" s="1"/>
      <c r="S144" s="1"/>
      <c r="T144" s="1"/>
      <c r="U144" s="1"/>
      <c r="V144" s="1"/>
      <c r="W144" s="1"/>
      <c r="X144" s="1"/>
      <c r="Y144" s="1"/>
      <c r="Z144" s="1"/>
      <c r="AA144" s="1"/>
    </row>
    <row r="145" spans="1:27" ht="18" customHeight="1" x14ac:dyDescent="0.25">
      <c r="A145" s="270"/>
      <c r="B145" s="271"/>
      <c r="C145" s="72" t="s">
        <v>140</v>
      </c>
      <c r="D145" s="73"/>
      <c r="E145" s="74" t="s">
        <v>141</v>
      </c>
      <c r="F145" s="46"/>
      <c r="G145" s="46"/>
      <c r="H145" s="75"/>
      <c r="I145" s="26"/>
      <c r="M145" s="1"/>
      <c r="N145" s="1"/>
      <c r="O145" s="1"/>
      <c r="P145" s="1"/>
      <c r="Q145" s="1"/>
      <c r="R145" s="1"/>
      <c r="S145" s="1"/>
      <c r="T145" s="1"/>
      <c r="U145" s="1"/>
      <c r="V145" s="1"/>
      <c r="W145" s="1"/>
      <c r="X145" s="1"/>
      <c r="Y145" s="1"/>
      <c r="Z145" s="1"/>
      <c r="AA145" s="1"/>
    </row>
    <row r="146" spans="1:27" ht="20.100000000000001" customHeight="1" x14ac:dyDescent="0.25">
      <c r="A146" s="232" t="s">
        <v>123</v>
      </c>
      <c r="B146" s="233"/>
      <c r="C146" s="114">
        <f>SUM(Invulblad!F88:I88)</f>
        <v>9</v>
      </c>
      <c r="D146" s="133"/>
      <c r="E146" s="134">
        <v>0</v>
      </c>
      <c r="F146" s="111" t="s">
        <v>142</v>
      </c>
      <c r="G146" s="111"/>
      <c r="H146" s="135" t="s">
        <v>143</v>
      </c>
      <c r="I146" s="26"/>
      <c r="J146" s="1">
        <v>1</v>
      </c>
      <c r="K146" s="51"/>
      <c r="M146" s="1"/>
      <c r="N146" s="1"/>
      <c r="O146" s="1"/>
      <c r="P146" s="1"/>
      <c r="Q146" s="1"/>
      <c r="R146" s="1"/>
      <c r="S146" s="1">
        <f>IF(J146&lt;=Invulblad!$G$115,G146,0)</f>
        <v>0</v>
      </c>
      <c r="T146" s="1">
        <f>IF(J146&lt;=Invulblad!$G$116,G146,0)</f>
        <v>0</v>
      </c>
      <c r="U146" s="1">
        <f>IF(J146&lt;=Invulblad!$G$117,G146,0)</f>
        <v>0</v>
      </c>
      <c r="V146" s="1">
        <f>IF(J146&lt;=Invulblad!$G$118,G146,0)</f>
        <v>0</v>
      </c>
      <c r="W146" s="1">
        <f>IF(J146&lt;=Invulblad!$G$119,G146,0)</f>
        <v>0</v>
      </c>
      <c r="X146" s="1"/>
      <c r="Y146" s="1"/>
      <c r="Z146" s="1"/>
      <c r="AA146" s="1"/>
    </row>
    <row r="147" spans="1:27" ht="20.100000000000001" customHeight="1" x14ac:dyDescent="0.25">
      <c r="A147" s="232" t="str">
        <f>IF(J52&lt;=Invulblad!$G$115,_xlfn.CONCAT("Year ",J52),IF(J52&lt;=Invulblad!$G$116,_xlfn.CONCAT("Year ",J52,Invulblad!$H$116),IF(J52&lt;=Invulblad!$G$117,_xlfn.CONCAT("Year ",J52,Invulblad!$H$117),IF(J52&lt;=Invulblad!$G$118,_xlfn.CONCAT("Year ",J52,Invulblad!$H$118),IF(J52&lt;=Invulblad!$G$119,_xlfn.CONCAT("Year ",J52,Invulblad!$H$119),0)))))</f>
        <v>Year 2</v>
      </c>
      <c r="B147" s="233"/>
      <c r="C147" s="114">
        <f>SUM(Invulblad!F89:I89)</f>
        <v>41</v>
      </c>
      <c r="D147" s="133"/>
      <c r="E147" s="134">
        <f>D146</f>
        <v>0</v>
      </c>
      <c r="F147" s="111" t="s">
        <v>142</v>
      </c>
      <c r="G147" s="111"/>
      <c r="H147" s="135" t="s">
        <v>143</v>
      </c>
      <c r="I147" s="26"/>
      <c r="J147" s="1">
        <v>2</v>
      </c>
      <c r="K147" s="51"/>
      <c r="M147" s="1"/>
      <c r="N147" s="1"/>
      <c r="O147" s="1"/>
      <c r="P147" s="1"/>
      <c r="Q147" s="1"/>
      <c r="R147" s="1"/>
      <c r="S147" s="1">
        <f>IF(J147&lt;=Invulblad!$G$115,G147,0)</f>
        <v>0</v>
      </c>
      <c r="T147" s="1">
        <f>IF(J147&lt;=Invulblad!$G$116,G147,0)</f>
        <v>0</v>
      </c>
      <c r="U147" s="1">
        <f>IF(J147&lt;=Invulblad!$G$117,G147,0)</f>
        <v>0</v>
      </c>
      <c r="V147" s="1">
        <f>IF(J147&lt;=Invulblad!$G$118,G147,0)</f>
        <v>0</v>
      </c>
      <c r="W147" s="1">
        <f>IF(J147&lt;=Invulblad!$G$119,G147,0)</f>
        <v>0</v>
      </c>
      <c r="X147" s="1"/>
      <c r="Y147" s="1"/>
      <c r="Z147" s="1"/>
      <c r="AA147" s="1"/>
    </row>
    <row r="148" spans="1:27" ht="20.100000000000001" customHeight="1" x14ac:dyDescent="0.25">
      <c r="A148" s="232" t="str">
        <f>IF(J53&lt;=Invulblad!$G$115,_xlfn.CONCAT("Year ",J53),IF(J53&lt;=Invulblad!$G$116,_xlfn.CONCAT("Year ",J53,Invulblad!$H$116),IF(J53&lt;=Invulblad!$G$117,_xlfn.CONCAT("Year ",J53,Invulblad!$H$117),IF(J53&lt;=Invulblad!$G$118,_xlfn.CONCAT("Year ",J53,Invulblad!$H$118),IF(J53&lt;=Invulblad!$G$119,_xlfn.CONCAT("Year ",J53,Invulblad!$H$119),0)))))</f>
        <v>Year 3</v>
      </c>
      <c r="B148" s="233"/>
      <c r="C148" s="114">
        <f>SUM(Invulblad!F90:I90)</f>
        <v>0</v>
      </c>
      <c r="D148" s="133"/>
      <c r="E148" s="134">
        <f>C146</f>
        <v>9</v>
      </c>
      <c r="F148" s="13">
        <v>0</v>
      </c>
      <c r="G148" s="63">
        <f>IF(A148&lt;&gt;0,F148*E148,0)</f>
        <v>0</v>
      </c>
      <c r="H148" s="20" t="str">
        <f>_xlfn.CONCAT("Price for 3rd line maintenance of ",Invulblad!$B$8,"s in year ",J53)</f>
        <v>Price for 3rd line maintenance of gauges in year 3</v>
      </c>
      <c r="I148" s="35">
        <f>IF(A148=0,1,IF(F148&gt;0,1,0))</f>
        <v>0</v>
      </c>
      <c r="J148" s="1">
        <v>3</v>
      </c>
      <c r="K148" s="51"/>
      <c r="M148" s="1"/>
      <c r="N148" s="1"/>
      <c r="O148" s="1"/>
      <c r="P148" s="1"/>
      <c r="Q148" s="1"/>
      <c r="R148" s="1"/>
      <c r="S148" s="1">
        <f>IF(J148&lt;=Invulblad!$G$115,G148,0)</f>
        <v>0</v>
      </c>
      <c r="T148" s="1">
        <f>IF(J148&lt;=Invulblad!$G$116,G148,0)</f>
        <v>0</v>
      </c>
      <c r="U148" s="1">
        <f>IF(J148&lt;=Invulblad!$G$117,G148,0)</f>
        <v>0</v>
      </c>
      <c r="V148" s="1">
        <f>IF(J148&lt;=Invulblad!$G$118,G148,0)</f>
        <v>0</v>
      </c>
      <c r="W148" s="1">
        <f>IF(J148&lt;=Invulblad!$G$119,G148,0)</f>
        <v>0</v>
      </c>
      <c r="X148" s="1"/>
      <c r="Y148" s="1"/>
      <c r="Z148" s="1"/>
      <c r="AA148" s="1"/>
    </row>
    <row r="149" spans="1:27" ht="20.100000000000001" customHeight="1" x14ac:dyDescent="0.25">
      <c r="A149" s="232" t="str">
        <f>IF(J54&lt;=Invulblad!$G$115,_xlfn.CONCAT("Year ",J54),IF(J54&lt;=Invulblad!$G$116,_xlfn.CONCAT("Year ",J54,Invulblad!$H$116),IF(J54&lt;=Invulblad!$G$117,_xlfn.CONCAT("Year ",J54,Invulblad!$H$117),IF(J54&lt;=Invulblad!$G$118,_xlfn.CONCAT("Year ",J54,Invulblad!$H$118),IF(J54&lt;=Invulblad!$G$119,_xlfn.CONCAT("Year ",J54,Invulblad!$H$119),0)))))</f>
        <v>Year 4</v>
      </c>
      <c r="B149" s="233"/>
      <c r="C149" s="114">
        <f>SUM(Invulblad!F91:I91)</f>
        <v>0</v>
      </c>
      <c r="D149" s="133"/>
      <c r="E149" s="134">
        <f>C147+E148</f>
        <v>50</v>
      </c>
      <c r="F149" s="13">
        <v>0</v>
      </c>
      <c r="G149" s="63">
        <f>IF(A149&lt;&gt;0,F149*E149,0)</f>
        <v>0</v>
      </c>
      <c r="H149" s="20" t="str">
        <f>_xlfn.CONCAT("Price for 3rd line maintenance of ",Invulblad!$B$8,"s in year ",J54)</f>
        <v>Price for 3rd line maintenance of gauges in year 4</v>
      </c>
      <c r="I149" s="35">
        <f>IF(A149=0,1,IF(F149&gt;0,1,0))</f>
        <v>0</v>
      </c>
      <c r="J149" s="1">
        <v>4</v>
      </c>
      <c r="K149" s="51"/>
      <c r="M149" s="1"/>
      <c r="N149" s="1"/>
      <c r="O149" s="1"/>
      <c r="P149" s="1"/>
      <c r="Q149" s="1"/>
      <c r="R149" s="1"/>
      <c r="S149" s="1">
        <f>IF(J149&lt;=Invulblad!$G$115,G149,0)</f>
        <v>0</v>
      </c>
      <c r="T149" s="1">
        <f>IF(J149&lt;=Invulblad!$G$116,G149,0)</f>
        <v>0</v>
      </c>
      <c r="U149" s="1">
        <f>IF(J149&lt;=Invulblad!$G$117,G149,0)</f>
        <v>0</v>
      </c>
      <c r="V149" s="1">
        <f>IF(J149&lt;=Invulblad!$G$118,G149,0)</f>
        <v>0</v>
      </c>
      <c r="W149" s="1">
        <f>IF(J149&lt;=Invulblad!$G$119,G149,0)</f>
        <v>0</v>
      </c>
      <c r="X149" s="1"/>
      <c r="Y149" s="1"/>
      <c r="Z149" s="1"/>
      <c r="AA149" s="1"/>
    </row>
    <row r="150" spans="1:27" ht="20.100000000000001" customHeight="1" x14ac:dyDescent="0.25">
      <c r="A150" s="232" t="str">
        <f>IF(J55&lt;=Invulblad!$G$115,_xlfn.CONCAT("Year ",J55),IF(J55&lt;=Invulblad!$G$116,_xlfn.CONCAT("Year ",J55,Invulblad!$H$116),IF(J55&lt;=Invulblad!$G$117,_xlfn.CONCAT("Year ",J55,Invulblad!$H$117),IF(J55&lt;=Invulblad!$G$118,_xlfn.CONCAT("Year ",J55,Invulblad!$H$118),IF(J55&lt;=Invulblad!$G$119,_xlfn.CONCAT("Year ",J55,Invulblad!$H$119),0)))))</f>
        <v>Year 5</v>
      </c>
      <c r="B150" s="233"/>
      <c r="C150" s="114">
        <f>SUM(Invulblad!F92:I92)</f>
        <v>0</v>
      </c>
      <c r="D150" s="133"/>
      <c r="E150" s="134">
        <f t="shared" ref="E150:E175" si="91">C148+E149</f>
        <v>50</v>
      </c>
      <c r="F150" s="13">
        <v>0</v>
      </c>
      <c r="G150" s="63">
        <f>IF(A150&lt;&gt;0,F150*E150,0)</f>
        <v>0</v>
      </c>
      <c r="H150" s="20" t="str">
        <f>_xlfn.CONCAT("Price for 3rd line maintenance of ",Invulblad!$B$8,"s in year ",J55)</f>
        <v>Price for 3rd line maintenance of gauges in year 5</v>
      </c>
      <c r="I150" s="35">
        <f>IF(A150=0,1,IF(F150&gt;0,1,0))</f>
        <v>0</v>
      </c>
      <c r="J150" s="1">
        <v>5</v>
      </c>
      <c r="K150" s="51"/>
      <c r="M150" s="1"/>
      <c r="N150" s="1"/>
      <c r="O150" s="1"/>
      <c r="P150" s="1"/>
      <c r="Q150" s="1"/>
      <c r="R150" s="1"/>
      <c r="S150" s="1">
        <f>IF(J150&lt;=Invulblad!$G$115,G150,0)</f>
        <v>0</v>
      </c>
      <c r="T150" s="1">
        <f>IF(J150&lt;=Invulblad!$G$116,G150,0)</f>
        <v>0</v>
      </c>
      <c r="U150" s="1">
        <f>IF(J150&lt;=Invulblad!$G$117,G150,0)</f>
        <v>0</v>
      </c>
      <c r="V150" s="1">
        <f>IF(J150&lt;=Invulblad!$G$118,G150,0)</f>
        <v>0</v>
      </c>
      <c r="W150" s="1">
        <f>IF(J150&lt;=Invulblad!$G$119,G150,0)</f>
        <v>0</v>
      </c>
      <c r="X150" s="1"/>
      <c r="Y150" s="1"/>
      <c r="Z150" s="1"/>
      <c r="AA150" s="1"/>
    </row>
    <row r="151" spans="1:27" ht="20.100000000000001" customHeight="1" x14ac:dyDescent="0.25">
      <c r="A151" s="232" t="str">
        <f>IF(J56&lt;=Invulblad!$G$115,_xlfn.CONCAT("Year ",J56),IF(J56&lt;=Invulblad!$G$116,_xlfn.CONCAT("Year ",J56,Invulblad!$H$116),IF(J56&lt;=Invulblad!$G$117,_xlfn.CONCAT("Year ",J56,Invulblad!$H$117),IF(J56&lt;=Invulblad!$G$118,_xlfn.CONCAT("Year ",J56,Invulblad!$H$118),IF(J56&lt;=Invulblad!$G$119,_xlfn.CONCAT("Year ",J56,Invulblad!$H$119),0)))))</f>
        <v>Year 6</v>
      </c>
      <c r="B151" s="233"/>
      <c r="C151" s="114">
        <v>0</v>
      </c>
      <c r="D151" s="133"/>
      <c r="E151" s="134">
        <f t="shared" si="91"/>
        <v>50</v>
      </c>
      <c r="F151" s="13">
        <v>0</v>
      </c>
      <c r="G151" s="63">
        <f t="shared" ref="G151:G175" si="92">IF(A151&lt;&gt;0,F151*E151,0)</f>
        <v>0</v>
      </c>
      <c r="H151" s="20" t="str">
        <f>_xlfn.CONCAT("Price for 3rd line maintenance of ",Invulblad!$B$8,"s in year ",J56)</f>
        <v>Price for 3rd line maintenance of gauges in year 6</v>
      </c>
      <c r="I151" s="35">
        <f t="shared" ref="I151:I175" si="93">IF(A151=0,1,IF(F151&gt;0,1,0))</f>
        <v>0</v>
      </c>
      <c r="J151" s="1">
        <v>6</v>
      </c>
      <c r="K151" s="51"/>
      <c r="M151" s="1"/>
      <c r="N151" s="1"/>
      <c r="O151" s="1"/>
      <c r="P151" s="1"/>
      <c r="Q151" s="1"/>
      <c r="R151" s="1"/>
      <c r="S151" s="1">
        <f>IF(J151&lt;=Invulblad!$G$115,G151,0)</f>
        <v>0</v>
      </c>
      <c r="T151" s="1">
        <f>IF(J151&lt;=Invulblad!$G$116,G151,0)</f>
        <v>0</v>
      </c>
      <c r="U151" s="1">
        <f>IF(J151&lt;=Invulblad!$G$117,G151,0)</f>
        <v>0</v>
      </c>
      <c r="V151" s="1">
        <f>IF(J151&lt;=Invulblad!$G$118,G151,0)</f>
        <v>0</v>
      </c>
      <c r="W151" s="1">
        <f>IF(J151&lt;=Invulblad!$G$119,G151,0)</f>
        <v>0</v>
      </c>
      <c r="X151" s="1"/>
      <c r="Y151" s="1"/>
      <c r="Z151" s="1"/>
      <c r="AA151" s="1"/>
    </row>
    <row r="152" spans="1:27" ht="20.100000000000001" customHeight="1" x14ac:dyDescent="0.25">
      <c r="A152" s="232" t="str">
        <f>IF(J57&lt;=Invulblad!$G$115,_xlfn.CONCAT("Year ",J57),IF(J57&lt;=Invulblad!$G$116,_xlfn.CONCAT("Year ",J57,Invulblad!$H$116),IF(J57&lt;=Invulblad!$G$117,_xlfn.CONCAT("Year ",J57,Invulblad!$H$117),IF(J57&lt;=Invulblad!$G$118,_xlfn.CONCAT("Year ",J57,Invulblad!$H$118),IF(J57&lt;=Invulblad!$G$119,_xlfn.CONCAT("Year ",J57,Invulblad!$H$119),0)))))</f>
        <v>Year 7</v>
      </c>
      <c r="B152" s="233"/>
      <c r="C152" s="114">
        <v>0</v>
      </c>
      <c r="D152" s="133"/>
      <c r="E152" s="134">
        <f t="shared" si="91"/>
        <v>50</v>
      </c>
      <c r="F152" s="13">
        <v>0</v>
      </c>
      <c r="G152" s="63">
        <f t="shared" si="92"/>
        <v>0</v>
      </c>
      <c r="H152" s="20" t="str">
        <f>_xlfn.CONCAT("Price for 3rd line maintenance of ",Invulblad!$B$8,"s in year ",J57)</f>
        <v>Price for 3rd line maintenance of gauges in year 7</v>
      </c>
      <c r="I152" s="35">
        <f t="shared" si="93"/>
        <v>0</v>
      </c>
      <c r="J152" s="1">
        <v>7</v>
      </c>
      <c r="K152" s="51"/>
      <c r="M152" s="1"/>
      <c r="N152" s="1"/>
      <c r="O152" s="1"/>
      <c r="P152" s="1"/>
      <c r="Q152" s="1"/>
      <c r="R152" s="1"/>
      <c r="S152" s="1">
        <f>IF(J152&lt;=Invulblad!$G$115,G152,0)</f>
        <v>0</v>
      </c>
      <c r="T152" s="1">
        <f>IF(J152&lt;=Invulblad!$G$116,G152,0)</f>
        <v>0</v>
      </c>
      <c r="U152" s="1">
        <f>IF(J152&lt;=Invulblad!$G$117,G152,0)</f>
        <v>0</v>
      </c>
      <c r="V152" s="1">
        <f>IF(J152&lt;=Invulblad!$G$118,G152,0)</f>
        <v>0</v>
      </c>
      <c r="W152" s="1">
        <f>IF(J152&lt;=Invulblad!$G$119,G152,0)</f>
        <v>0</v>
      </c>
      <c r="X152" s="1"/>
      <c r="Y152" s="1"/>
      <c r="Z152" s="1"/>
      <c r="AA152" s="1"/>
    </row>
    <row r="153" spans="1:27" ht="20.100000000000001" customHeight="1" x14ac:dyDescent="0.25">
      <c r="A153" s="232" t="str">
        <f>IF(J58&lt;=Invulblad!$G$115,_xlfn.CONCAT("Year ",J58),IF(J58&lt;=Invulblad!$G$116,_xlfn.CONCAT("Year ",J58,Invulblad!$H$116),IF(J58&lt;=Invulblad!$G$117,_xlfn.CONCAT("Year ",J58,Invulblad!$H$117),IF(J58&lt;=Invulblad!$G$118,_xlfn.CONCAT("Year ",J58,Invulblad!$H$118),IF(J58&lt;=Invulblad!$G$119,_xlfn.CONCAT("Year ",J58,Invulblad!$H$119),0)))))</f>
        <v>Year 8 (extension 1)</v>
      </c>
      <c r="B153" s="233"/>
      <c r="C153" s="114">
        <v>0</v>
      </c>
      <c r="D153" s="133"/>
      <c r="E153" s="134">
        <f t="shared" si="91"/>
        <v>50</v>
      </c>
      <c r="F153" s="13">
        <v>0</v>
      </c>
      <c r="G153" s="63">
        <f t="shared" si="92"/>
        <v>0</v>
      </c>
      <c r="H153" s="20" t="str">
        <f>_xlfn.CONCAT("Price for 3rd line maintenance of ",Invulblad!$B$8,"s in year ",J58)</f>
        <v>Price for 3rd line maintenance of gauges in year 8</v>
      </c>
      <c r="I153" s="35">
        <f t="shared" si="93"/>
        <v>0</v>
      </c>
      <c r="J153" s="1">
        <v>8</v>
      </c>
      <c r="K153" s="51"/>
      <c r="M153" s="1"/>
      <c r="N153" s="1"/>
      <c r="O153" s="1"/>
      <c r="P153" s="1"/>
      <c r="Q153" s="1"/>
      <c r="R153" s="1"/>
      <c r="S153" s="1">
        <f>IF(J153&lt;=Invulblad!$G$115,G153,0)</f>
        <v>0</v>
      </c>
      <c r="T153" s="1">
        <f>IF(J153&lt;=Invulblad!$G$116,G153,0)</f>
        <v>0</v>
      </c>
      <c r="U153" s="1">
        <f>IF(J153&lt;=Invulblad!$G$117,G153,0)</f>
        <v>0</v>
      </c>
      <c r="V153" s="1">
        <f>IF(J153&lt;=Invulblad!$G$118,G153,0)</f>
        <v>0</v>
      </c>
      <c r="W153" s="1">
        <f>IF(J153&lt;=Invulblad!$G$119,G153,0)</f>
        <v>0</v>
      </c>
      <c r="X153" s="1"/>
      <c r="Y153" s="1"/>
      <c r="Z153" s="1"/>
      <c r="AA153" s="1"/>
    </row>
    <row r="154" spans="1:27" ht="20.100000000000001" customHeight="1" x14ac:dyDescent="0.25">
      <c r="A154" s="232" t="str">
        <f>IF(J59&lt;=Invulblad!$G$115,_xlfn.CONCAT("Year ",J59),IF(J59&lt;=Invulblad!$G$116,_xlfn.CONCAT("Year ",J59,Invulblad!$H$116),IF(J59&lt;=Invulblad!$G$117,_xlfn.CONCAT("Year ",J59,Invulblad!$H$117),IF(J59&lt;=Invulblad!$G$118,_xlfn.CONCAT("Year ",J59,Invulblad!$H$118),IF(J59&lt;=Invulblad!$G$119,_xlfn.CONCAT("Year ",J59,Invulblad!$H$119),0)))))</f>
        <v>Year 9 (extension 1)</v>
      </c>
      <c r="B154" s="233"/>
      <c r="C154" s="114">
        <v>0</v>
      </c>
      <c r="D154" s="133"/>
      <c r="E154" s="134">
        <f t="shared" si="91"/>
        <v>50</v>
      </c>
      <c r="F154" s="13">
        <v>0</v>
      </c>
      <c r="G154" s="63">
        <f t="shared" si="92"/>
        <v>0</v>
      </c>
      <c r="H154" s="20" t="str">
        <f>_xlfn.CONCAT("Price for 3rd line maintenance of ",Invulblad!$B$8,"s in year ",J59)</f>
        <v>Price for 3rd line maintenance of gauges in year 9</v>
      </c>
      <c r="I154" s="35">
        <f t="shared" si="93"/>
        <v>0</v>
      </c>
      <c r="J154" s="1">
        <v>9</v>
      </c>
      <c r="K154" s="51"/>
      <c r="M154" s="1"/>
      <c r="N154" s="1"/>
      <c r="O154" s="1"/>
      <c r="P154" s="1"/>
      <c r="Q154" s="1"/>
      <c r="R154" s="1"/>
      <c r="S154" s="1">
        <f>IF(J154&lt;=Invulblad!$G$115,G154,0)</f>
        <v>0</v>
      </c>
      <c r="T154" s="1">
        <f>IF(J154&lt;=Invulblad!$G$116,G154,0)</f>
        <v>0</v>
      </c>
      <c r="U154" s="1">
        <f>IF(J154&lt;=Invulblad!$G$117,G154,0)</f>
        <v>0</v>
      </c>
      <c r="V154" s="1">
        <f>IF(J154&lt;=Invulblad!$G$118,G154,0)</f>
        <v>0</v>
      </c>
      <c r="W154" s="1">
        <f>IF(J154&lt;=Invulblad!$G$119,G154,0)</f>
        <v>0</v>
      </c>
      <c r="X154" s="1"/>
      <c r="Y154" s="1"/>
      <c r="Z154" s="1"/>
      <c r="AA154" s="1"/>
    </row>
    <row r="155" spans="1:27" ht="20.100000000000001" customHeight="1" x14ac:dyDescent="0.25">
      <c r="A155" s="232" t="str">
        <f>IF(J60&lt;=Invulblad!$G$115,_xlfn.CONCAT("Year ",J60),IF(J60&lt;=Invulblad!$G$116,_xlfn.CONCAT("Year ",J60,Invulblad!$H$116),IF(J60&lt;=Invulblad!$G$117,_xlfn.CONCAT("Year ",J60,Invulblad!$H$117),IF(J60&lt;=Invulblad!$G$118,_xlfn.CONCAT("Year ",J60,Invulblad!$H$118),IF(J60&lt;=Invulblad!$G$119,_xlfn.CONCAT("Year ",J60,Invulblad!$H$119),0)))))</f>
        <v>Year 10 (extension 1)</v>
      </c>
      <c r="B155" s="233"/>
      <c r="C155" s="114">
        <v>0</v>
      </c>
      <c r="D155" s="133"/>
      <c r="E155" s="134">
        <f t="shared" si="91"/>
        <v>50</v>
      </c>
      <c r="F155" s="13">
        <v>0</v>
      </c>
      <c r="G155" s="63">
        <f t="shared" si="92"/>
        <v>0</v>
      </c>
      <c r="H155" s="20" t="str">
        <f>_xlfn.CONCAT("Price for 3rd line maintenance of ",Invulblad!$B$8,"s in year ",J60)</f>
        <v>Price for 3rd line maintenance of gauges in year 10</v>
      </c>
      <c r="I155" s="35">
        <f t="shared" si="93"/>
        <v>0</v>
      </c>
      <c r="J155" s="1">
        <v>10</v>
      </c>
      <c r="K155" s="51"/>
      <c r="M155" s="1"/>
      <c r="N155" s="1"/>
      <c r="O155" s="1"/>
      <c r="P155" s="1"/>
      <c r="Q155" s="1"/>
      <c r="R155" s="1"/>
      <c r="S155" s="1">
        <f>IF(J155&lt;=Invulblad!$G$115,G155,0)</f>
        <v>0</v>
      </c>
      <c r="T155" s="1">
        <f>IF(J155&lt;=Invulblad!$G$116,G155,0)</f>
        <v>0</v>
      </c>
      <c r="U155" s="1">
        <f>IF(J155&lt;=Invulblad!$G$117,G155,0)</f>
        <v>0</v>
      </c>
      <c r="V155" s="1">
        <f>IF(J155&lt;=Invulblad!$G$118,G155,0)</f>
        <v>0</v>
      </c>
      <c r="W155" s="1">
        <f>IF(J155&lt;=Invulblad!$G$119,G155,0)</f>
        <v>0</v>
      </c>
      <c r="X155" s="1"/>
      <c r="Y155" s="1"/>
      <c r="Z155" s="1"/>
      <c r="AA155" s="1"/>
    </row>
    <row r="156" spans="1:27" ht="20.100000000000001" hidden="1" customHeight="1" x14ac:dyDescent="0.25">
      <c r="A156" s="232">
        <f>IF(J61&lt;=Invulblad!$G$115,_xlfn.CONCAT("Year ",J61),IF(J61&lt;=Invulblad!$G$116,_xlfn.CONCAT("Year ",J61,Invulblad!$H$116),IF(J61&lt;=Invulblad!$G$117,_xlfn.CONCAT("Year ",J61,Invulblad!$H$117),IF(J61&lt;=Invulblad!$G$118,_xlfn.CONCAT("Year ",J61,Invulblad!$H$118),IF(J61&lt;=Invulblad!$G$119,_xlfn.CONCAT("Year ",J61,Invulblad!$H$119),0)))))</f>
        <v>0</v>
      </c>
      <c r="B156" s="233"/>
      <c r="C156" s="114">
        <v>0</v>
      </c>
      <c r="D156" s="133"/>
      <c r="E156" s="134">
        <f t="shared" si="91"/>
        <v>50</v>
      </c>
      <c r="F156" s="13">
        <v>0</v>
      </c>
      <c r="G156" s="63">
        <f t="shared" si="92"/>
        <v>0</v>
      </c>
      <c r="H156" s="20" t="str">
        <f>_xlfn.CONCAT("Price for 3rd line maintenance of ",Invulblad!$B$8,"s in year ",J61)</f>
        <v>Price for 3rd line maintenance of gauges in year 11</v>
      </c>
      <c r="I156" s="35">
        <f t="shared" si="93"/>
        <v>1</v>
      </c>
      <c r="J156" s="1">
        <v>11</v>
      </c>
      <c r="K156" s="51"/>
      <c r="M156" s="1"/>
      <c r="N156" s="1"/>
      <c r="O156" s="1"/>
      <c r="P156" s="1"/>
      <c r="Q156" s="1"/>
      <c r="R156" s="1"/>
      <c r="S156" s="1">
        <f>IF(J156&lt;=Invulblad!$G$115,G156,0)</f>
        <v>0</v>
      </c>
      <c r="T156" s="1">
        <f>IF(J156&lt;=Invulblad!$G$116,G156,0)</f>
        <v>0</v>
      </c>
      <c r="U156" s="1">
        <f>IF(J156&lt;=Invulblad!$G$117,G156,0)</f>
        <v>0</v>
      </c>
      <c r="V156" s="1">
        <f>IF(J156&lt;=Invulblad!$G$118,G156,0)</f>
        <v>0</v>
      </c>
      <c r="W156" s="1">
        <f>IF(J156&lt;=Invulblad!$G$119,G156,0)</f>
        <v>0</v>
      </c>
      <c r="X156" s="1"/>
      <c r="Y156" s="1"/>
      <c r="Z156" s="1"/>
      <c r="AA156" s="1"/>
    </row>
    <row r="157" spans="1:27" ht="20.100000000000001" hidden="1" customHeight="1" x14ac:dyDescent="0.25">
      <c r="A157" s="232">
        <f>IF(J62&lt;=Invulblad!$G$115,_xlfn.CONCAT("Year ",J62),IF(J62&lt;=Invulblad!$G$116,_xlfn.CONCAT("Year ",J62,Invulblad!$H$116),IF(J62&lt;=Invulblad!$G$117,_xlfn.CONCAT("Year ",J62,Invulblad!$H$117),IF(J62&lt;=Invulblad!$G$118,_xlfn.CONCAT("Year ",J62,Invulblad!$H$118),IF(J62&lt;=Invulblad!$G$119,_xlfn.CONCAT("Year ",J62,Invulblad!$H$119),0)))))</f>
        <v>0</v>
      </c>
      <c r="B157" s="233"/>
      <c r="C157" s="114">
        <v>0</v>
      </c>
      <c r="D157" s="133"/>
      <c r="E157" s="134">
        <f t="shared" si="91"/>
        <v>50</v>
      </c>
      <c r="F157" s="13">
        <v>0</v>
      </c>
      <c r="G157" s="63">
        <f t="shared" si="92"/>
        <v>0</v>
      </c>
      <c r="H157" s="20" t="str">
        <f>_xlfn.CONCAT("Price for 3rd line maintenance of ",Invulblad!$B$8,"s in year ",J62)</f>
        <v>Price for 3rd line maintenance of gauges in year 12</v>
      </c>
      <c r="I157" s="35">
        <f t="shared" si="93"/>
        <v>1</v>
      </c>
      <c r="J157" s="1">
        <v>12</v>
      </c>
      <c r="K157" s="51"/>
      <c r="M157" s="1"/>
      <c r="N157" s="1"/>
      <c r="O157" s="1"/>
      <c r="P157" s="1"/>
      <c r="Q157" s="1"/>
      <c r="R157" s="1"/>
      <c r="S157" s="1">
        <f>IF(J157&lt;=Invulblad!$G$115,G157,0)</f>
        <v>0</v>
      </c>
      <c r="T157" s="1">
        <f>IF(J157&lt;=Invulblad!$G$116,G157,0)</f>
        <v>0</v>
      </c>
      <c r="U157" s="1">
        <f>IF(J157&lt;=Invulblad!$G$117,G157,0)</f>
        <v>0</v>
      </c>
      <c r="V157" s="1">
        <f>IF(J157&lt;=Invulblad!$G$118,G157,0)</f>
        <v>0</v>
      </c>
      <c r="W157" s="1">
        <f>IF(J157&lt;=Invulblad!$G$119,G157,0)</f>
        <v>0</v>
      </c>
      <c r="X157" s="1"/>
      <c r="Y157" s="1"/>
      <c r="Z157" s="1"/>
      <c r="AA157" s="1"/>
    </row>
    <row r="158" spans="1:27" ht="20.100000000000001" hidden="1" customHeight="1" x14ac:dyDescent="0.25">
      <c r="A158" s="232">
        <f>IF(J63&lt;=Invulblad!$G$115,_xlfn.CONCAT("Year ",J63),IF(J63&lt;=Invulblad!$G$116,_xlfn.CONCAT("Year ",J63,Invulblad!$H$116),IF(J63&lt;=Invulblad!$G$117,_xlfn.CONCAT("Year ",J63,Invulblad!$H$117),IF(J63&lt;=Invulblad!$G$118,_xlfn.CONCAT("Year ",J63,Invulblad!$H$118),IF(J63&lt;=Invulblad!$G$119,_xlfn.CONCAT("Year ",J63,Invulblad!$H$119),0)))))</f>
        <v>0</v>
      </c>
      <c r="B158" s="233"/>
      <c r="C158" s="114">
        <v>0</v>
      </c>
      <c r="D158" s="133"/>
      <c r="E158" s="134">
        <f t="shared" si="91"/>
        <v>50</v>
      </c>
      <c r="F158" s="13">
        <v>0</v>
      </c>
      <c r="G158" s="63">
        <f t="shared" si="92"/>
        <v>0</v>
      </c>
      <c r="H158" s="20" t="str">
        <f>_xlfn.CONCAT("Price for 3rd line maintenance of ",Invulblad!$B$8,"s in year ",J63)</f>
        <v>Price for 3rd line maintenance of gauges in year 13</v>
      </c>
      <c r="I158" s="35">
        <f t="shared" si="93"/>
        <v>1</v>
      </c>
      <c r="J158" s="1">
        <v>13</v>
      </c>
      <c r="K158" s="51"/>
      <c r="M158" s="1"/>
      <c r="N158" s="1"/>
      <c r="O158" s="1"/>
      <c r="P158" s="1"/>
      <c r="Q158" s="1"/>
      <c r="R158" s="1"/>
      <c r="S158" s="1">
        <f>IF(J158&lt;=Invulblad!$G$115,G158,0)</f>
        <v>0</v>
      </c>
      <c r="T158" s="1">
        <f>IF(J158&lt;=Invulblad!$G$116,G158,0)</f>
        <v>0</v>
      </c>
      <c r="U158" s="1">
        <f>IF(J158&lt;=Invulblad!$G$117,G158,0)</f>
        <v>0</v>
      </c>
      <c r="V158" s="1">
        <f>IF(J158&lt;=Invulblad!$G$118,G158,0)</f>
        <v>0</v>
      </c>
      <c r="W158" s="1">
        <f>IF(J158&lt;=Invulblad!$G$119,G158,0)</f>
        <v>0</v>
      </c>
      <c r="X158" s="1"/>
      <c r="Y158" s="1"/>
      <c r="Z158" s="1"/>
      <c r="AA158" s="1"/>
    </row>
    <row r="159" spans="1:27" ht="20.100000000000001" hidden="1" customHeight="1" x14ac:dyDescent="0.25">
      <c r="A159" s="232">
        <f>IF(J64&lt;=Invulblad!$G$115,_xlfn.CONCAT("Year ",J64),IF(J64&lt;=Invulblad!$G$116,_xlfn.CONCAT("Year ",J64,Invulblad!$H$116),IF(J64&lt;=Invulblad!$G$117,_xlfn.CONCAT("Year ",J64,Invulblad!$H$117),IF(J64&lt;=Invulblad!$G$118,_xlfn.CONCAT("Year ",J64,Invulblad!$H$118),IF(J64&lt;=Invulblad!$G$119,_xlfn.CONCAT("Year ",J64,Invulblad!$H$119),0)))))</f>
        <v>0</v>
      </c>
      <c r="B159" s="233"/>
      <c r="C159" s="114">
        <v>0</v>
      </c>
      <c r="D159" s="133"/>
      <c r="E159" s="134">
        <f t="shared" si="91"/>
        <v>50</v>
      </c>
      <c r="F159" s="13">
        <v>0</v>
      </c>
      <c r="G159" s="63">
        <f>IF(A159&lt;&gt;0,F159*E159,0)</f>
        <v>0</v>
      </c>
      <c r="H159" s="20" t="str">
        <f>_xlfn.CONCAT("Price for 3rd line maintenance of ",Invulblad!$B$8,"s in year ",J64)</f>
        <v>Price for 3rd line maintenance of gauges in year 14</v>
      </c>
      <c r="I159" s="35">
        <f t="shared" si="93"/>
        <v>1</v>
      </c>
      <c r="J159" s="1">
        <v>14</v>
      </c>
      <c r="K159" s="51"/>
      <c r="M159" s="1"/>
      <c r="N159" s="1"/>
      <c r="O159" s="1"/>
      <c r="P159" s="1"/>
      <c r="Q159" s="1"/>
      <c r="R159" s="1"/>
      <c r="S159" s="1">
        <f>IF(J159&lt;=Invulblad!$G$115,G159,0)</f>
        <v>0</v>
      </c>
      <c r="T159" s="1">
        <f>IF(J159&lt;=Invulblad!$G$116,G159,0)</f>
        <v>0</v>
      </c>
      <c r="U159" s="1">
        <f>IF(J159&lt;=Invulblad!$G$117,G159,0)</f>
        <v>0</v>
      </c>
      <c r="V159" s="1">
        <f>IF(J159&lt;=Invulblad!$G$118,G159,0)</f>
        <v>0</v>
      </c>
      <c r="W159" s="1">
        <f>IF(J159&lt;=Invulblad!$G$119,G159,0)</f>
        <v>0</v>
      </c>
      <c r="X159" s="1"/>
      <c r="Y159" s="1"/>
      <c r="Z159" s="1"/>
      <c r="AA159" s="1"/>
    </row>
    <row r="160" spans="1:27" ht="20.100000000000001" hidden="1" customHeight="1" x14ac:dyDescent="0.25">
      <c r="A160" s="232">
        <f>IF(J65&lt;=Invulblad!$G$115,_xlfn.CONCAT("Year ",J65),IF(J65&lt;=Invulblad!$G$116,_xlfn.CONCAT("Year ",J65,Invulblad!$H$116),IF(J65&lt;=Invulblad!$G$117,_xlfn.CONCAT("Year ",J65,Invulblad!$H$117),IF(J65&lt;=Invulblad!$G$118,_xlfn.CONCAT("Year ",J65,Invulblad!$H$118),IF(J65&lt;=Invulblad!$G$119,_xlfn.CONCAT("Year ",J65,Invulblad!$H$119),0)))))</f>
        <v>0</v>
      </c>
      <c r="B160" s="233"/>
      <c r="C160" s="114">
        <v>0</v>
      </c>
      <c r="D160" s="133"/>
      <c r="E160" s="134">
        <f t="shared" si="91"/>
        <v>50</v>
      </c>
      <c r="F160" s="13">
        <v>0</v>
      </c>
      <c r="G160" s="63">
        <f t="shared" si="92"/>
        <v>0</v>
      </c>
      <c r="H160" s="20" t="str">
        <f>_xlfn.CONCAT("Price for 3rd line maintenance of ",Invulblad!$B$8,"s in year ",J65)</f>
        <v>Price for 3rd line maintenance of gauges in year 15</v>
      </c>
      <c r="I160" s="35">
        <f t="shared" si="93"/>
        <v>1</v>
      </c>
      <c r="J160" s="1">
        <v>15</v>
      </c>
      <c r="K160" s="51"/>
      <c r="M160" s="1"/>
      <c r="N160" s="1"/>
      <c r="O160" s="1"/>
      <c r="P160" s="1"/>
      <c r="Q160" s="1"/>
      <c r="R160" s="1"/>
      <c r="S160" s="1">
        <f>IF(J160&lt;=Invulblad!$G$115,G160,0)</f>
        <v>0</v>
      </c>
      <c r="T160" s="1">
        <f>IF(J160&lt;=Invulblad!$G$116,G160,0)</f>
        <v>0</v>
      </c>
      <c r="U160" s="1">
        <f>IF(J160&lt;=Invulblad!$G$117,G160,0)</f>
        <v>0</v>
      </c>
      <c r="V160" s="1">
        <f>IF(J160&lt;=Invulblad!$G$118,G160,0)</f>
        <v>0</v>
      </c>
      <c r="W160" s="1">
        <f>IF(J160&lt;=Invulblad!$G$119,G160,0)</f>
        <v>0</v>
      </c>
      <c r="X160" s="1"/>
      <c r="Y160" s="1"/>
      <c r="Z160" s="1"/>
      <c r="AA160" s="1"/>
    </row>
    <row r="161" spans="1:27" ht="20.100000000000001" hidden="1" customHeight="1" x14ac:dyDescent="0.25">
      <c r="A161" s="232">
        <f>IF(J66&lt;=Invulblad!$G$115,_xlfn.CONCAT("Year ",J66),IF(J66&lt;=Invulblad!$G$116,_xlfn.CONCAT("Year ",J66,Invulblad!$H$116),IF(J66&lt;=Invulblad!$G$117,_xlfn.CONCAT("Year ",J66,Invulblad!$H$117),IF(J66&lt;=Invulblad!$G$118,_xlfn.CONCAT("Year ",J66,Invulblad!$H$118),IF(J66&lt;=Invulblad!$G$119,_xlfn.CONCAT("Year ",J66,Invulblad!$H$119),0)))))</f>
        <v>0</v>
      </c>
      <c r="B161" s="233"/>
      <c r="C161" s="114">
        <v>0</v>
      </c>
      <c r="D161" s="133"/>
      <c r="E161" s="134">
        <f t="shared" si="91"/>
        <v>50</v>
      </c>
      <c r="F161" s="13">
        <v>0</v>
      </c>
      <c r="G161" s="63">
        <f t="shared" si="92"/>
        <v>0</v>
      </c>
      <c r="H161" s="20" t="str">
        <f>_xlfn.CONCAT("Price for 3rd line maintenance of ",Invulblad!$B$8,"s in year ",J66)</f>
        <v>Price for 3rd line maintenance of gauges in year 16</v>
      </c>
      <c r="I161" s="35">
        <f t="shared" si="93"/>
        <v>1</v>
      </c>
      <c r="J161" s="1">
        <v>16</v>
      </c>
      <c r="K161" s="51"/>
      <c r="M161" s="1"/>
      <c r="N161" s="1"/>
      <c r="O161" s="1"/>
      <c r="P161" s="1"/>
      <c r="Q161" s="1"/>
      <c r="R161" s="1"/>
      <c r="S161" s="1">
        <f>IF(J161&lt;=Invulblad!$G$115,G161,0)</f>
        <v>0</v>
      </c>
      <c r="T161" s="1">
        <f>IF(J161&lt;=Invulblad!$G$116,G161,0)</f>
        <v>0</v>
      </c>
      <c r="U161" s="1">
        <f>IF(J161&lt;=Invulblad!$G$117,G161,0)</f>
        <v>0</v>
      </c>
      <c r="V161" s="1">
        <f>IF(J161&lt;=Invulblad!$G$118,G161,0)</f>
        <v>0</v>
      </c>
      <c r="W161" s="1">
        <f>IF(J161&lt;=Invulblad!$G$119,G161,0)</f>
        <v>0</v>
      </c>
      <c r="X161" s="1"/>
      <c r="Y161" s="1"/>
      <c r="Z161" s="1"/>
      <c r="AA161" s="1"/>
    </row>
    <row r="162" spans="1:27" ht="20.100000000000001" hidden="1" customHeight="1" x14ac:dyDescent="0.25">
      <c r="A162" s="232">
        <f>IF(J67&lt;=Invulblad!$G$115,_xlfn.CONCAT("Year ",J67),IF(J67&lt;=Invulblad!$G$116,_xlfn.CONCAT("Year ",J67,Invulblad!$H$116),IF(J67&lt;=Invulblad!$G$117,_xlfn.CONCAT("Year ",J67,Invulblad!$H$117),IF(J67&lt;=Invulblad!$G$118,_xlfn.CONCAT("Year ",J67,Invulblad!$H$118),IF(J67&lt;=Invulblad!$G$119,_xlfn.CONCAT("Year ",J67,Invulblad!$H$119),0)))))</f>
        <v>0</v>
      </c>
      <c r="B162" s="233"/>
      <c r="C162" s="114">
        <v>0</v>
      </c>
      <c r="D162" s="133"/>
      <c r="E162" s="134">
        <f t="shared" si="91"/>
        <v>50</v>
      </c>
      <c r="F162" s="13">
        <v>0</v>
      </c>
      <c r="G162" s="63">
        <f t="shared" si="92"/>
        <v>0</v>
      </c>
      <c r="H162" s="20" t="str">
        <f>_xlfn.CONCAT("Price for 3rd line maintenance of ",Invulblad!$B$8,"s in year ",J67)</f>
        <v>Price for 3rd line maintenance of gauges in year 17</v>
      </c>
      <c r="I162" s="35">
        <f t="shared" si="93"/>
        <v>1</v>
      </c>
      <c r="J162" s="1">
        <v>17</v>
      </c>
      <c r="K162" s="51"/>
      <c r="M162" s="1"/>
      <c r="N162" s="1"/>
      <c r="O162" s="1"/>
      <c r="P162" s="1"/>
      <c r="Q162" s="1"/>
      <c r="R162" s="1"/>
      <c r="S162" s="1">
        <f>IF(J162&lt;=Invulblad!$G$115,G162,0)</f>
        <v>0</v>
      </c>
      <c r="T162" s="1">
        <f>IF(J162&lt;=Invulblad!$G$116,G162,0)</f>
        <v>0</v>
      </c>
      <c r="U162" s="1">
        <f>IF(J162&lt;=Invulblad!$G$117,G162,0)</f>
        <v>0</v>
      </c>
      <c r="V162" s="1">
        <f>IF(J162&lt;=Invulblad!$G$118,G162,0)</f>
        <v>0</v>
      </c>
      <c r="W162" s="1">
        <f>IF(J162&lt;=Invulblad!$G$119,G162,0)</f>
        <v>0</v>
      </c>
      <c r="X162" s="1"/>
      <c r="Y162" s="1"/>
      <c r="Z162" s="1"/>
      <c r="AA162" s="1"/>
    </row>
    <row r="163" spans="1:27" ht="20.100000000000001" hidden="1" customHeight="1" x14ac:dyDescent="0.25">
      <c r="A163" s="232">
        <f>IF(J68&lt;=Invulblad!$G$115,_xlfn.CONCAT("Year ",J68),IF(J68&lt;=Invulblad!$G$116,_xlfn.CONCAT("Year ",J68,Invulblad!$H$116),IF(J68&lt;=Invulblad!$G$117,_xlfn.CONCAT("Year ",J68,Invulblad!$H$117),IF(J68&lt;=Invulblad!$G$118,_xlfn.CONCAT("Year ",J68,Invulblad!$H$118),IF(J68&lt;=Invulblad!$G$119,_xlfn.CONCAT("Year ",J68,Invulblad!$H$119),0)))))</f>
        <v>0</v>
      </c>
      <c r="B163" s="233"/>
      <c r="C163" s="114">
        <v>0</v>
      </c>
      <c r="D163" s="133"/>
      <c r="E163" s="134">
        <f t="shared" si="91"/>
        <v>50</v>
      </c>
      <c r="F163" s="13">
        <v>0</v>
      </c>
      <c r="G163" s="63">
        <f t="shared" si="92"/>
        <v>0</v>
      </c>
      <c r="H163" s="20" t="str">
        <f>_xlfn.CONCAT("Price for 3rd line maintenance of ",Invulblad!$B$8,"s in year ",J68)</f>
        <v>Price for 3rd line maintenance of gauges in year 18</v>
      </c>
      <c r="I163" s="35">
        <f t="shared" si="93"/>
        <v>1</v>
      </c>
      <c r="J163" s="1">
        <v>18</v>
      </c>
      <c r="K163" s="51"/>
      <c r="M163" s="1"/>
      <c r="N163" s="1"/>
      <c r="O163" s="1"/>
      <c r="P163" s="1"/>
      <c r="Q163" s="1"/>
      <c r="R163" s="1"/>
      <c r="S163" s="1">
        <f>IF(J163&lt;=Invulblad!$G$115,G163,0)</f>
        <v>0</v>
      </c>
      <c r="T163" s="1">
        <f>IF(J163&lt;=Invulblad!$G$116,G163,0)</f>
        <v>0</v>
      </c>
      <c r="U163" s="1">
        <f>IF(J163&lt;=Invulblad!$G$117,G163,0)</f>
        <v>0</v>
      </c>
      <c r="V163" s="1">
        <f>IF(J163&lt;=Invulblad!$G$118,G163,0)</f>
        <v>0</v>
      </c>
      <c r="W163" s="1">
        <f>IF(J163&lt;=Invulblad!$G$119,G163,0)</f>
        <v>0</v>
      </c>
      <c r="X163" s="1"/>
      <c r="Y163" s="1"/>
      <c r="Z163" s="1"/>
      <c r="AA163" s="1"/>
    </row>
    <row r="164" spans="1:27" ht="20.100000000000001" hidden="1" customHeight="1" x14ac:dyDescent="0.25">
      <c r="A164" s="232">
        <f>IF(J69&lt;=Invulblad!$G$115,_xlfn.CONCAT("Year ",J69),IF(J69&lt;=Invulblad!$G$116,_xlfn.CONCAT("Year ",J69,Invulblad!$H$116),IF(J69&lt;=Invulblad!$G$117,_xlfn.CONCAT("Year ",J69,Invulblad!$H$117),IF(J69&lt;=Invulblad!$G$118,_xlfn.CONCAT("Year ",J69,Invulblad!$H$118),IF(J69&lt;=Invulblad!$G$119,_xlfn.CONCAT("Year ",J69,Invulblad!$H$119),0)))))</f>
        <v>0</v>
      </c>
      <c r="B164" s="233"/>
      <c r="C164" s="114">
        <v>0</v>
      </c>
      <c r="D164" s="133"/>
      <c r="E164" s="134">
        <f t="shared" si="91"/>
        <v>50</v>
      </c>
      <c r="F164" s="13">
        <v>0</v>
      </c>
      <c r="G164" s="63">
        <f t="shared" si="92"/>
        <v>0</v>
      </c>
      <c r="H164" s="20" t="str">
        <f>_xlfn.CONCAT("Price for 3rd line maintenance of ",Invulblad!$B$8,"s in year ",J69)</f>
        <v>Price for 3rd line maintenance of gauges in year 19</v>
      </c>
      <c r="I164" s="35">
        <f t="shared" si="93"/>
        <v>1</v>
      </c>
      <c r="J164" s="1">
        <v>19</v>
      </c>
      <c r="K164" s="51"/>
      <c r="M164" s="1"/>
      <c r="N164" s="1"/>
      <c r="O164" s="1"/>
      <c r="P164" s="1"/>
      <c r="Q164" s="1"/>
      <c r="R164" s="1"/>
      <c r="S164" s="1">
        <f>IF(J164&lt;=Invulblad!$G$115,G164,0)</f>
        <v>0</v>
      </c>
      <c r="T164" s="1">
        <f>IF(J164&lt;=Invulblad!$G$116,G164,0)</f>
        <v>0</v>
      </c>
      <c r="U164" s="1">
        <f>IF(J164&lt;=Invulblad!$G$117,G164,0)</f>
        <v>0</v>
      </c>
      <c r="V164" s="1">
        <f>IF(J164&lt;=Invulblad!$G$118,G164,0)</f>
        <v>0</v>
      </c>
      <c r="W164" s="1">
        <f>IF(J164&lt;=Invulblad!$G$119,G164,0)</f>
        <v>0</v>
      </c>
      <c r="X164" s="1"/>
      <c r="Y164" s="1"/>
      <c r="Z164" s="1"/>
      <c r="AA164" s="1"/>
    </row>
    <row r="165" spans="1:27" ht="20.100000000000001" hidden="1" customHeight="1" x14ac:dyDescent="0.25">
      <c r="A165" s="232">
        <f>IF(J70&lt;=Invulblad!$G$115,_xlfn.CONCAT("Year ",J70),IF(J70&lt;=Invulblad!$G$116,_xlfn.CONCAT("Year ",J70,Invulblad!$H$116),IF(J70&lt;=Invulblad!$G$117,_xlfn.CONCAT("Year ",J70,Invulblad!$H$117),IF(J70&lt;=Invulblad!$G$118,_xlfn.CONCAT("Year ",J70,Invulblad!$H$118),IF(J70&lt;=Invulblad!$G$119,_xlfn.CONCAT("Year ",J70,Invulblad!$H$119),0)))))</f>
        <v>0</v>
      </c>
      <c r="B165" s="233"/>
      <c r="C165" s="114">
        <v>0</v>
      </c>
      <c r="D165" s="133"/>
      <c r="E165" s="134">
        <f t="shared" si="91"/>
        <v>50</v>
      </c>
      <c r="F165" s="13">
        <v>0</v>
      </c>
      <c r="G165" s="63">
        <f t="shared" si="92"/>
        <v>0</v>
      </c>
      <c r="H165" s="20" t="str">
        <f>_xlfn.CONCAT("Price for 3rd line maintenance of ",Invulblad!$B$8,"s in year ",J70)</f>
        <v>Price for 3rd line maintenance of gauges in year 20</v>
      </c>
      <c r="I165" s="35">
        <f t="shared" si="93"/>
        <v>1</v>
      </c>
      <c r="J165" s="1">
        <v>20</v>
      </c>
      <c r="K165" s="51"/>
      <c r="M165" s="1"/>
      <c r="N165" s="1"/>
      <c r="O165" s="1"/>
      <c r="P165" s="1"/>
      <c r="Q165" s="1"/>
      <c r="R165" s="1"/>
      <c r="S165" s="1">
        <f>IF(J165&lt;=Invulblad!$G$115,G165,0)</f>
        <v>0</v>
      </c>
      <c r="T165" s="1">
        <f>IF(J165&lt;=Invulblad!$G$116,G165,0)</f>
        <v>0</v>
      </c>
      <c r="U165" s="1">
        <f>IF(J165&lt;=Invulblad!$G$117,G165,0)</f>
        <v>0</v>
      </c>
      <c r="V165" s="1">
        <f>IF(J165&lt;=Invulblad!$G$118,G165,0)</f>
        <v>0</v>
      </c>
      <c r="W165" s="1">
        <f>IF(J165&lt;=Invulblad!$G$119,G165,0)</f>
        <v>0</v>
      </c>
      <c r="X165" s="1"/>
      <c r="Y165" s="1"/>
      <c r="Z165" s="1"/>
      <c r="AA165" s="1"/>
    </row>
    <row r="166" spans="1:27" ht="20.100000000000001" hidden="1" customHeight="1" x14ac:dyDescent="0.25">
      <c r="A166" s="232">
        <f>IF(J71&lt;=Invulblad!$G$115,_xlfn.CONCAT("Year ",J71),IF(J71&lt;=Invulblad!$G$116,_xlfn.CONCAT("Year ",J71,Invulblad!$H$116),IF(J71&lt;=Invulblad!$G$117,_xlfn.CONCAT("Year ",J71,Invulblad!$H$117),IF(J71&lt;=Invulblad!$G$118,_xlfn.CONCAT("Year ",J71,Invulblad!$H$118),IF(J71&lt;=Invulblad!$G$119,_xlfn.CONCAT("Year ",J71,Invulblad!$H$119),0)))))</f>
        <v>0</v>
      </c>
      <c r="B166" s="233"/>
      <c r="C166" s="114">
        <v>0</v>
      </c>
      <c r="D166" s="133"/>
      <c r="E166" s="134">
        <f t="shared" si="91"/>
        <v>50</v>
      </c>
      <c r="F166" s="13">
        <v>0</v>
      </c>
      <c r="G166" s="63">
        <f t="shared" si="92"/>
        <v>0</v>
      </c>
      <c r="H166" s="20" t="str">
        <f>_xlfn.CONCAT("Price for 3rd line maintenance of ",Invulblad!$B$8,"s in year ",J71)</f>
        <v>Price for 3rd line maintenance of gauges in year 21</v>
      </c>
      <c r="I166" s="35">
        <f t="shared" si="93"/>
        <v>1</v>
      </c>
      <c r="J166" s="1">
        <v>21</v>
      </c>
      <c r="K166" s="51"/>
      <c r="M166" s="1"/>
      <c r="N166" s="1"/>
      <c r="O166" s="1"/>
      <c r="P166" s="1"/>
      <c r="Q166" s="1"/>
      <c r="R166" s="1"/>
      <c r="S166" s="1">
        <f>IF(J166&lt;=Invulblad!$G$115,G166,0)</f>
        <v>0</v>
      </c>
      <c r="T166" s="1">
        <f>IF(J166&lt;=Invulblad!$G$116,G166,0)</f>
        <v>0</v>
      </c>
      <c r="U166" s="1">
        <f>IF(J166&lt;=Invulblad!$G$117,G166,0)</f>
        <v>0</v>
      </c>
      <c r="V166" s="1">
        <f>IF(J166&lt;=Invulblad!$G$118,G166,0)</f>
        <v>0</v>
      </c>
      <c r="W166" s="1">
        <f>IF(J166&lt;=Invulblad!$G$119,G166,0)</f>
        <v>0</v>
      </c>
      <c r="X166" s="1"/>
      <c r="Y166" s="1"/>
      <c r="Z166" s="1"/>
      <c r="AA166" s="1"/>
    </row>
    <row r="167" spans="1:27" ht="20.100000000000001" hidden="1" customHeight="1" x14ac:dyDescent="0.25">
      <c r="A167" s="232">
        <f>IF(J72&lt;=Invulblad!$G$115,_xlfn.CONCAT("Year ",J72),IF(J72&lt;=Invulblad!$G$116,_xlfn.CONCAT("Year ",J72,Invulblad!$H$116),IF(J72&lt;=Invulblad!$G$117,_xlfn.CONCAT("Year ",J72,Invulblad!$H$117),IF(J72&lt;=Invulblad!$G$118,_xlfn.CONCAT("Year ",J72,Invulblad!$H$118),IF(J72&lt;=Invulblad!$G$119,_xlfn.CONCAT("Year ",J72,Invulblad!$H$119),0)))))</f>
        <v>0</v>
      </c>
      <c r="B167" s="233"/>
      <c r="C167" s="114">
        <v>0</v>
      </c>
      <c r="D167" s="133"/>
      <c r="E167" s="134">
        <f t="shared" si="91"/>
        <v>50</v>
      </c>
      <c r="F167" s="13">
        <v>0</v>
      </c>
      <c r="G167" s="63">
        <f t="shared" si="92"/>
        <v>0</v>
      </c>
      <c r="H167" s="20" t="str">
        <f>_xlfn.CONCAT("Price for 3rd line maintenance of ",Invulblad!$B$8,"s in year ",J72)</f>
        <v>Price for 3rd line maintenance of gauges in year 22</v>
      </c>
      <c r="I167" s="35">
        <f t="shared" si="93"/>
        <v>1</v>
      </c>
      <c r="J167" s="1">
        <v>22</v>
      </c>
      <c r="K167" s="51"/>
      <c r="M167" s="1"/>
      <c r="N167" s="1"/>
      <c r="O167" s="1"/>
      <c r="P167" s="1"/>
      <c r="Q167" s="1"/>
      <c r="R167" s="1"/>
      <c r="S167" s="1">
        <f>IF(J167&lt;=Invulblad!$G$115,G167,0)</f>
        <v>0</v>
      </c>
      <c r="T167" s="1">
        <f>IF(J167&lt;=Invulblad!$G$116,G167,0)</f>
        <v>0</v>
      </c>
      <c r="U167" s="1">
        <f>IF(J167&lt;=Invulblad!$G$117,G167,0)</f>
        <v>0</v>
      </c>
      <c r="V167" s="1">
        <f>IF(J167&lt;=Invulblad!$G$118,G167,0)</f>
        <v>0</v>
      </c>
      <c r="W167" s="1">
        <f>IF(J167&lt;=Invulblad!$G$119,G167,0)</f>
        <v>0</v>
      </c>
      <c r="X167" s="1"/>
      <c r="Y167" s="1"/>
      <c r="Z167" s="1"/>
      <c r="AA167" s="1"/>
    </row>
    <row r="168" spans="1:27" ht="20.100000000000001" hidden="1" customHeight="1" x14ac:dyDescent="0.25">
      <c r="A168" s="232">
        <f>IF(J73&lt;=Invulblad!$G$115,_xlfn.CONCAT("Year ",J73),IF(J73&lt;=Invulblad!$G$116,_xlfn.CONCAT("Year ",J73,Invulblad!$H$116),IF(J73&lt;=Invulblad!$G$117,_xlfn.CONCAT("Year ",J73,Invulblad!$H$117),IF(J73&lt;=Invulblad!$G$118,_xlfn.CONCAT("Year ",J73,Invulblad!$H$118),IF(J73&lt;=Invulblad!$G$119,_xlfn.CONCAT("Year ",J73,Invulblad!$H$119),0)))))</f>
        <v>0</v>
      </c>
      <c r="B168" s="233"/>
      <c r="C168" s="114">
        <v>0</v>
      </c>
      <c r="D168" s="133"/>
      <c r="E168" s="134">
        <f t="shared" si="91"/>
        <v>50</v>
      </c>
      <c r="F168" s="13">
        <v>0</v>
      </c>
      <c r="G168" s="63">
        <f t="shared" si="92"/>
        <v>0</v>
      </c>
      <c r="H168" s="20" t="str">
        <f>_xlfn.CONCAT("Price for 3rd line maintenance of ",Invulblad!$B$8,"s in year ",J73)</f>
        <v>Price for 3rd line maintenance of gauges in year 23</v>
      </c>
      <c r="I168" s="35">
        <f t="shared" si="93"/>
        <v>1</v>
      </c>
      <c r="J168" s="1">
        <v>23</v>
      </c>
      <c r="K168" s="51"/>
      <c r="M168" s="1"/>
      <c r="N168" s="1"/>
      <c r="O168" s="1"/>
      <c r="P168" s="1"/>
      <c r="Q168" s="1"/>
      <c r="R168" s="1"/>
      <c r="S168" s="1">
        <f>IF(J168&lt;=Invulblad!$G$115,G168,0)</f>
        <v>0</v>
      </c>
      <c r="T168" s="1">
        <f>IF(J168&lt;=Invulblad!$G$116,G168,0)</f>
        <v>0</v>
      </c>
      <c r="U168" s="1">
        <f>IF(J168&lt;=Invulblad!$G$117,G168,0)</f>
        <v>0</v>
      </c>
      <c r="V168" s="1">
        <f>IF(J168&lt;=Invulblad!$G$118,G168,0)</f>
        <v>0</v>
      </c>
      <c r="W168" s="1">
        <f>IF(J168&lt;=Invulblad!$G$119,G168,0)</f>
        <v>0</v>
      </c>
      <c r="X168" s="1"/>
      <c r="Y168" s="1"/>
      <c r="Z168" s="1"/>
      <c r="AA168" s="1"/>
    </row>
    <row r="169" spans="1:27" ht="20.100000000000001" hidden="1" customHeight="1" x14ac:dyDescent="0.25">
      <c r="A169" s="232">
        <f>IF(J74&lt;=Invulblad!$G$115,_xlfn.CONCAT("Year ",J74),IF(J74&lt;=Invulblad!$G$116,_xlfn.CONCAT("Year ",J74,Invulblad!$H$116),IF(J74&lt;=Invulblad!$G$117,_xlfn.CONCAT("Year ",J74,Invulblad!$H$117),IF(J74&lt;=Invulblad!$G$118,_xlfn.CONCAT("Year ",J74,Invulblad!$H$118),IF(J74&lt;=Invulblad!$G$119,_xlfn.CONCAT("Year ",J74,Invulblad!$H$119),0)))))</f>
        <v>0</v>
      </c>
      <c r="B169" s="233"/>
      <c r="C169" s="114">
        <v>0</v>
      </c>
      <c r="D169" s="133"/>
      <c r="E169" s="134">
        <f t="shared" si="91"/>
        <v>50</v>
      </c>
      <c r="F169" s="13">
        <v>0</v>
      </c>
      <c r="G169" s="63">
        <f t="shared" si="92"/>
        <v>0</v>
      </c>
      <c r="H169" s="20" t="str">
        <f>_xlfn.CONCAT("Price for 3rd line maintenance of ",Invulblad!$B$8,"s in year ",J74)</f>
        <v>Price for 3rd line maintenance of gauges in year 24</v>
      </c>
      <c r="I169" s="35">
        <f t="shared" si="93"/>
        <v>1</v>
      </c>
      <c r="J169" s="1">
        <v>24</v>
      </c>
      <c r="K169" s="51"/>
      <c r="M169" s="1"/>
      <c r="N169" s="1"/>
      <c r="O169" s="1"/>
      <c r="P169" s="1"/>
      <c r="Q169" s="1"/>
      <c r="R169" s="1"/>
      <c r="S169" s="1">
        <f>IF(J169&lt;=Invulblad!$G$115,G169,0)</f>
        <v>0</v>
      </c>
      <c r="T169" s="1">
        <f>IF(J169&lt;=Invulblad!$G$116,G169,0)</f>
        <v>0</v>
      </c>
      <c r="U169" s="1">
        <f>IF(J169&lt;=Invulblad!$G$117,G169,0)</f>
        <v>0</v>
      </c>
      <c r="V169" s="1">
        <f>IF(J169&lt;=Invulblad!$G$118,G169,0)</f>
        <v>0</v>
      </c>
      <c r="W169" s="1">
        <f>IF(J169&lt;=Invulblad!$G$119,G169,0)</f>
        <v>0</v>
      </c>
      <c r="X169" s="1"/>
      <c r="Y169" s="1"/>
      <c r="Z169" s="1"/>
      <c r="AA169" s="1"/>
    </row>
    <row r="170" spans="1:27" ht="20.100000000000001" hidden="1" customHeight="1" x14ac:dyDescent="0.25">
      <c r="A170" s="232">
        <f>IF(J75&lt;=Invulblad!$G$115,_xlfn.CONCAT("Year ",J75),IF(J75&lt;=Invulblad!$G$116,_xlfn.CONCAT("Year ",J75,Invulblad!$H$116),IF(J75&lt;=Invulblad!$G$117,_xlfn.CONCAT("Year ",J75,Invulblad!$H$117),IF(J75&lt;=Invulblad!$G$118,_xlfn.CONCAT("Year ",J75,Invulblad!$H$118),IF(J75&lt;=Invulblad!$G$119,_xlfn.CONCAT("Year ",J75,Invulblad!$H$119),0)))))</f>
        <v>0</v>
      </c>
      <c r="B170" s="233"/>
      <c r="C170" s="114">
        <v>0</v>
      </c>
      <c r="D170" s="133"/>
      <c r="E170" s="134">
        <f t="shared" si="91"/>
        <v>50</v>
      </c>
      <c r="F170" s="13">
        <v>0</v>
      </c>
      <c r="G170" s="63">
        <f t="shared" si="92"/>
        <v>0</v>
      </c>
      <c r="H170" s="20" t="str">
        <f>_xlfn.CONCAT("Price for 3rd line maintenance of ",Invulblad!$B$8,"s in year ",J75)</f>
        <v>Price for 3rd line maintenance of gauges in year 25</v>
      </c>
      <c r="I170" s="35">
        <f t="shared" si="93"/>
        <v>1</v>
      </c>
      <c r="J170" s="1">
        <v>25</v>
      </c>
      <c r="K170" s="51"/>
      <c r="M170" s="1"/>
      <c r="N170" s="1"/>
      <c r="O170" s="1"/>
      <c r="P170" s="1"/>
      <c r="Q170" s="1"/>
      <c r="R170" s="1"/>
      <c r="S170" s="1">
        <f>IF(J170&lt;=Invulblad!$G$115,G170,0)</f>
        <v>0</v>
      </c>
      <c r="T170" s="1">
        <f>IF(J170&lt;=Invulblad!$G$116,G170,0)</f>
        <v>0</v>
      </c>
      <c r="U170" s="1">
        <f>IF(J170&lt;=Invulblad!$G$117,G170,0)</f>
        <v>0</v>
      </c>
      <c r="V170" s="1">
        <f>IF(J170&lt;=Invulblad!$G$118,G170,0)</f>
        <v>0</v>
      </c>
      <c r="W170" s="1">
        <f>IF(J170&lt;=Invulblad!$G$119,G170,0)</f>
        <v>0</v>
      </c>
      <c r="X170" s="1"/>
      <c r="Y170" s="1"/>
      <c r="Z170" s="1"/>
      <c r="AA170" s="1"/>
    </row>
    <row r="171" spans="1:27" ht="20.100000000000001" hidden="1" customHeight="1" x14ac:dyDescent="0.25">
      <c r="A171" s="232">
        <f>IF(J76&lt;=Invulblad!$G$115,_xlfn.CONCAT("Year ",J76),IF(J76&lt;=Invulblad!$G$116,_xlfn.CONCAT("Year ",J76,Invulblad!$H$116),IF(J76&lt;=Invulblad!$G$117,_xlfn.CONCAT("Year ",J76,Invulblad!$H$117),IF(J76&lt;=Invulblad!$G$118,_xlfn.CONCAT("Year ",J76,Invulblad!$H$118),IF(J76&lt;=Invulblad!$G$119,_xlfn.CONCAT("Year ",J76,Invulblad!$H$119),0)))))</f>
        <v>0</v>
      </c>
      <c r="B171" s="233"/>
      <c r="C171" s="114">
        <v>0</v>
      </c>
      <c r="D171" s="133"/>
      <c r="E171" s="134">
        <f t="shared" si="91"/>
        <v>50</v>
      </c>
      <c r="F171" s="13">
        <v>0</v>
      </c>
      <c r="G171" s="63">
        <f t="shared" si="92"/>
        <v>0</v>
      </c>
      <c r="H171" s="20" t="str">
        <f>_xlfn.CONCAT("Price for 3rd line maintenance of ",Invulblad!$B$8,"s in year ",J76)</f>
        <v>Price for 3rd line maintenance of gauges in year 26</v>
      </c>
      <c r="I171" s="35">
        <f t="shared" si="93"/>
        <v>1</v>
      </c>
      <c r="J171" s="1">
        <v>26</v>
      </c>
      <c r="K171" s="51"/>
      <c r="M171" s="1"/>
      <c r="N171" s="1"/>
      <c r="O171" s="1"/>
      <c r="P171" s="1"/>
      <c r="Q171" s="1"/>
      <c r="R171" s="1"/>
      <c r="S171" s="1">
        <f>IF(J171&lt;=Invulblad!$G$115,G171,0)</f>
        <v>0</v>
      </c>
      <c r="T171" s="1">
        <f>IF(J171&lt;=Invulblad!$G$116,G171,0)</f>
        <v>0</v>
      </c>
      <c r="U171" s="1">
        <f>IF(J171&lt;=Invulblad!$G$117,G171,0)</f>
        <v>0</v>
      </c>
      <c r="V171" s="1">
        <f>IF(J171&lt;=Invulblad!$G$118,G171,0)</f>
        <v>0</v>
      </c>
      <c r="W171" s="1">
        <f>IF(J171&lt;=Invulblad!$G$119,G171,0)</f>
        <v>0</v>
      </c>
      <c r="X171" s="1"/>
      <c r="Y171" s="1"/>
      <c r="Z171" s="1"/>
      <c r="AA171" s="1"/>
    </row>
    <row r="172" spans="1:27" ht="20.100000000000001" hidden="1" customHeight="1" x14ac:dyDescent="0.25">
      <c r="A172" s="232">
        <f>IF(J77&lt;=Invulblad!$G$115,_xlfn.CONCAT("Year ",J77),IF(J77&lt;=Invulblad!$G$116,_xlfn.CONCAT("Year ",J77,Invulblad!$H$116),IF(J77&lt;=Invulblad!$G$117,_xlfn.CONCAT("Year ",J77,Invulblad!$H$117),IF(J77&lt;=Invulblad!$G$118,_xlfn.CONCAT("Year ",J77,Invulblad!$H$118),IF(J77&lt;=Invulblad!$G$119,_xlfn.CONCAT("Year ",J77,Invulblad!$H$119),0)))))</f>
        <v>0</v>
      </c>
      <c r="B172" s="233"/>
      <c r="C172" s="114">
        <v>0</v>
      </c>
      <c r="D172" s="133"/>
      <c r="E172" s="134">
        <f t="shared" si="91"/>
        <v>50</v>
      </c>
      <c r="F172" s="13">
        <v>0</v>
      </c>
      <c r="G172" s="63">
        <f t="shared" si="92"/>
        <v>0</v>
      </c>
      <c r="H172" s="20" t="str">
        <f>_xlfn.CONCAT("Price for 3rd line maintenance of ",Invulblad!$B$8,"s in year ",J77)</f>
        <v>Price for 3rd line maintenance of gauges in year 27</v>
      </c>
      <c r="I172" s="35">
        <f t="shared" si="93"/>
        <v>1</v>
      </c>
      <c r="J172" s="1">
        <v>27</v>
      </c>
      <c r="K172" s="51"/>
      <c r="M172" s="1"/>
      <c r="N172" s="1"/>
      <c r="O172" s="1"/>
      <c r="P172" s="1"/>
      <c r="Q172" s="1"/>
      <c r="R172" s="1"/>
      <c r="S172" s="1">
        <f>IF(J172&lt;=Invulblad!$G$115,G172,0)</f>
        <v>0</v>
      </c>
      <c r="T172" s="1">
        <f>IF(J172&lt;=Invulblad!$G$116,G172,0)</f>
        <v>0</v>
      </c>
      <c r="U172" s="1">
        <f>IF(J172&lt;=Invulblad!$G$117,G172,0)</f>
        <v>0</v>
      </c>
      <c r="V172" s="1">
        <f>IF(J172&lt;=Invulblad!$G$118,G172,0)</f>
        <v>0</v>
      </c>
      <c r="W172" s="1">
        <f>IF(J172&lt;=Invulblad!$G$119,G172,0)</f>
        <v>0</v>
      </c>
      <c r="X172" s="1"/>
      <c r="Y172" s="1"/>
      <c r="Z172" s="1"/>
      <c r="AA172" s="1"/>
    </row>
    <row r="173" spans="1:27" ht="20.100000000000001" hidden="1" customHeight="1" x14ac:dyDescent="0.25">
      <c r="A173" s="232">
        <f>IF(J78&lt;=Invulblad!$G$115,_xlfn.CONCAT("Year ",J78),IF(J78&lt;=Invulblad!$G$116,_xlfn.CONCAT("Year ",J78,Invulblad!$H$116),IF(J78&lt;=Invulblad!$G$117,_xlfn.CONCAT("Year ",J78,Invulblad!$H$117),IF(J78&lt;=Invulblad!$G$118,_xlfn.CONCAT("Year ",J78,Invulblad!$H$118),IF(J78&lt;=Invulblad!$G$119,_xlfn.CONCAT("Year ",J78,Invulblad!$H$119),0)))))</f>
        <v>0</v>
      </c>
      <c r="B173" s="233"/>
      <c r="C173" s="114">
        <v>0</v>
      </c>
      <c r="D173" s="133"/>
      <c r="E173" s="134">
        <f t="shared" si="91"/>
        <v>50</v>
      </c>
      <c r="F173" s="13">
        <v>0</v>
      </c>
      <c r="G173" s="63">
        <f t="shared" si="92"/>
        <v>0</v>
      </c>
      <c r="H173" s="20" t="str">
        <f>_xlfn.CONCAT("Price for 3rd line maintenance of ",Invulblad!$B$8,"s in year ",J78)</f>
        <v>Price for 3rd line maintenance of gauges in year 28</v>
      </c>
      <c r="I173" s="35">
        <f t="shared" si="93"/>
        <v>1</v>
      </c>
      <c r="J173" s="1">
        <v>28</v>
      </c>
      <c r="K173" s="51"/>
      <c r="M173" s="1"/>
      <c r="N173" s="1"/>
      <c r="O173" s="1"/>
      <c r="P173" s="1"/>
      <c r="Q173" s="1"/>
      <c r="R173" s="1"/>
      <c r="S173" s="1">
        <f>IF(J173&lt;=Invulblad!$G$115,G173,0)</f>
        <v>0</v>
      </c>
      <c r="T173" s="1">
        <f>IF(J173&lt;=Invulblad!$G$116,G173,0)</f>
        <v>0</v>
      </c>
      <c r="U173" s="1">
        <f>IF(J173&lt;=Invulblad!$G$117,G173,0)</f>
        <v>0</v>
      </c>
      <c r="V173" s="1">
        <f>IF(J173&lt;=Invulblad!$G$118,G173,0)</f>
        <v>0</v>
      </c>
      <c r="W173" s="1">
        <f>IF(J173&lt;=Invulblad!$G$119,G173,0)</f>
        <v>0</v>
      </c>
      <c r="X173" s="1"/>
      <c r="Y173" s="1"/>
      <c r="Z173" s="1"/>
      <c r="AA173" s="1"/>
    </row>
    <row r="174" spans="1:27" ht="20.100000000000001" hidden="1" customHeight="1" x14ac:dyDescent="0.25">
      <c r="A174" s="232">
        <f>IF(J79&lt;=Invulblad!$G$115,_xlfn.CONCAT("Year ",J79),IF(J79&lt;=Invulblad!$G$116,_xlfn.CONCAT("Year ",J79,Invulblad!$H$116),IF(J79&lt;=Invulblad!$G$117,_xlfn.CONCAT("Year ",J79,Invulblad!$H$117),IF(J79&lt;=Invulblad!$G$118,_xlfn.CONCAT("Year ",J79,Invulblad!$H$118),IF(J79&lt;=Invulblad!$G$119,_xlfn.CONCAT("Year ",J79,Invulblad!$H$119),0)))))</f>
        <v>0</v>
      </c>
      <c r="B174" s="233"/>
      <c r="C174" s="114">
        <v>0</v>
      </c>
      <c r="D174" s="133"/>
      <c r="E174" s="134">
        <f t="shared" si="91"/>
        <v>50</v>
      </c>
      <c r="F174" s="13">
        <v>0</v>
      </c>
      <c r="G174" s="63">
        <f t="shared" si="92"/>
        <v>0</v>
      </c>
      <c r="H174" s="20" t="str">
        <f>_xlfn.CONCAT("Price for 3rd line maintenance of ",Invulblad!$B$8,"s in year ",J79)</f>
        <v>Price for 3rd line maintenance of gauges in year 29</v>
      </c>
      <c r="I174" s="35">
        <f t="shared" si="93"/>
        <v>1</v>
      </c>
      <c r="J174" s="1">
        <v>29</v>
      </c>
      <c r="K174" s="51"/>
      <c r="M174" s="1"/>
      <c r="N174" s="1"/>
      <c r="O174" s="1"/>
      <c r="P174" s="1"/>
      <c r="Q174" s="1"/>
      <c r="R174" s="1"/>
      <c r="S174" s="1">
        <f>IF(J174&lt;=Invulblad!$G$115,G174,0)</f>
        <v>0</v>
      </c>
      <c r="T174" s="1">
        <f>IF(J174&lt;=Invulblad!$G$116,G174,0)</f>
        <v>0</v>
      </c>
      <c r="U174" s="1">
        <f>IF(J174&lt;=Invulblad!$G$117,G174,0)</f>
        <v>0</v>
      </c>
      <c r="V174" s="1">
        <f>IF(J174&lt;=Invulblad!$G$118,G174,0)</f>
        <v>0</v>
      </c>
      <c r="W174" s="1">
        <f>IF(J174&lt;=Invulblad!$G$119,G174,0)</f>
        <v>0</v>
      </c>
      <c r="X174" s="1"/>
      <c r="Y174" s="1"/>
      <c r="Z174" s="1"/>
      <c r="AA174" s="1"/>
    </row>
    <row r="175" spans="1:27" ht="20.100000000000001" hidden="1" customHeight="1" x14ac:dyDescent="0.25">
      <c r="A175" s="232">
        <f>IF(J80&lt;=Invulblad!$G$115,_xlfn.CONCAT("Year ",J80),IF(J80&lt;=Invulblad!$G$116,_xlfn.CONCAT("Year ",J80,Invulblad!$H$116),IF(J80&lt;=Invulblad!$G$117,_xlfn.CONCAT("Year ",J80,Invulblad!$H$117),IF(J80&lt;=Invulblad!$G$118,_xlfn.CONCAT("Year ",J80,Invulblad!$H$118),IF(J80&lt;=Invulblad!$G$119,_xlfn.CONCAT("Year ",J80,Invulblad!$H$119),0)))))</f>
        <v>0</v>
      </c>
      <c r="B175" s="233"/>
      <c r="C175" s="114">
        <v>0</v>
      </c>
      <c r="D175" s="133"/>
      <c r="E175" s="134">
        <f t="shared" si="91"/>
        <v>50</v>
      </c>
      <c r="F175" s="13">
        <v>0</v>
      </c>
      <c r="G175" s="63">
        <f t="shared" si="92"/>
        <v>0</v>
      </c>
      <c r="H175" s="20" t="str">
        <f>_xlfn.CONCAT("Price for 3rd line maintenance of ",Invulblad!$B$8,"s in year ",J80)</f>
        <v>Price for 3rd line maintenance of gauges in year 30</v>
      </c>
      <c r="I175" s="35">
        <f t="shared" si="93"/>
        <v>1</v>
      </c>
      <c r="J175" s="1">
        <v>30</v>
      </c>
      <c r="K175" s="51"/>
      <c r="M175" s="1"/>
      <c r="N175" s="1"/>
      <c r="O175" s="1"/>
      <c r="P175" s="1"/>
      <c r="Q175" s="1"/>
      <c r="R175" s="1"/>
      <c r="S175" s="1">
        <f>IF(J175&lt;=Invulblad!$G$115,G175,0)</f>
        <v>0</v>
      </c>
      <c r="T175" s="1">
        <f>IF(J175&lt;=Invulblad!$G$116,G175,0)</f>
        <v>0</v>
      </c>
      <c r="U175" s="1">
        <f>IF(J175&lt;=Invulblad!$G$117,G175,0)</f>
        <v>0</v>
      </c>
      <c r="V175" s="1">
        <f>IF(J175&lt;=Invulblad!$G$118,G175,0)</f>
        <v>0</v>
      </c>
      <c r="W175" s="1">
        <f>IF(J175&lt;=Invulblad!$G$119,G175,0)</f>
        <v>0</v>
      </c>
      <c r="X175" s="1"/>
      <c r="Y175" s="1"/>
      <c r="Z175" s="1"/>
      <c r="AA175" s="1"/>
    </row>
    <row r="176" spans="1:27" ht="20.100000000000001" customHeight="1" x14ac:dyDescent="0.25">
      <c r="A176" s="247"/>
      <c r="B176" s="248"/>
      <c r="C176" s="248"/>
      <c r="D176" s="248"/>
      <c r="E176" s="248"/>
      <c r="F176" s="248"/>
      <c r="G176" s="248"/>
      <c r="H176" s="249"/>
      <c r="I176" s="26"/>
      <c r="K176" s="56"/>
      <c r="M176" s="1"/>
      <c r="N176" s="1"/>
      <c r="O176" s="1"/>
      <c r="P176" s="1"/>
      <c r="Q176" s="1"/>
      <c r="R176" s="1"/>
      <c r="S176" s="1"/>
      <c r="T176" s="1"/>
      <c r="U176" s="1"/>
      <c r="V176" s="1"/>
      <c r="W176" s="1"/>
      <c r="X176" s="1"/>
      <c r="Y176" s="1"/>
      <c r="Z176" s="1"/>
      <c r="AA176" s="1"/>
    </row>
    <row r="177" spans="1:27" ht="20.100000000000001" customHeight="1" x14ac:dyDescent="0.25">
      <c r="A177" s="258" t="str">
        <f>_xlfn.CONCAT("Total ",Invulblad!$G$115," Years")</f>
        <v>Total 7 Years</v>
      </c>
      <c r="B177" s="259"/>
      <c r="C177" s="259"/>
      <c r="D177" s="259"/>
      <c r="E177" s="259"/>
      <c r="F177" s="260"/>
      <c r="G177" s="93">
        <f>SUM(S146:S175)</f>
        <v>0</v>
      </c>
      <c r="H177" s="65"/>
      <c r="I177" s="26"/>
      <c r="K177" s="56"/>
      <c r="M177" s="1"/>
      <c r="N177" s="1"/>
      <c r="O177" s="1"/>
      <c r="P177" s="1"/>
      <c r="Q177" s="1"/>
      <c r="R177" s="1"/>
      <c r="S177" s="1"/>
      <c r="T177" s="1"/>
      <c r="U177" s="1"/>
      <c r="V177" s="1"/>
      <c r="W177" s="1"/>
      <c r="X177" s="1"/>
      <c r="Y177" s="1"/>
      <c r="Z177" s="1"/>
      <c r="AA177" s="1"/>
    </row>
    <row r="178" spans="1:27" ht="20.100000000000001" customHeight="1" x14ac:dyDescent="0.25">
      <c r="A178" s="289" t="str">
        <f>CONCATENATE("Total ",Invulblad!$G$116," Years (extension 1)")</f>
        <v>Total 10 Years (extension 1)</v>
      </c>
      <c r="B178" s="290"/>
      <c r="C178" s="290"/>
      <c r="D178" s="290"/>
      <c r="E178" s="290"/>
      <c r="F178" s="291"/>
      <c r="G178" s="95">
        <f>IF(Invulblad!$E$116&gt;0,SUM(T146:T175),0)</f>
        <v>0</v>
      </c>
      <c r="H178" s="65"/>
      <c r="I178" s="26"/>
      <c r="K178" s="56"/>
      <c r="M178" s="1"/>
      <c r="N178" s="1"/>
      <c r="O178" s="1"/>
      <c r="P178" s="1"/>
      <c r="Q178" s="1"/>
      <c r="R178" s="1"/>
      <c r="S178" s="1"/>
      <c r="T178" s="1"/>
      <c r="U178" s="1"/>
      <c r="V178" s="1"/>
      <c r="W178" s="1"/>
      <c r="X178" s="1"/>
      <c r="Y178" s="1"/>
      <c r="Z178" s="1"/>
      <c r="AA178" s="1"/>
    </row>
    <row r="179" spans="1:27" ht="20.100000000000001" hidden="1" customHeight="1" x14ac:dyDescent="0.25">
      <c r="A179" s="289" t="str">
        <f>CONCATENATE("Total ",Invulblad!$G$117," Years (extension 2)")</f>
        <v>Total 0 Years (extension 2)</v>
      </c>
      <c r="B179" s="290"/>
      <c r="C179" s="290"/>
      <c r="D179" s="290"/>
      <c r="E179" s="290"/>
      <c r="F179" s="291"/>
      <c r="G179" s="95">
        <f>IF(Invulblad!$E$117&gt;0,SUM(U146:U175),0)</f>
        <v>0</v>
      </c>
      <c r="H179" s="65"/>
      <c r="I179" s="26"/>
      <c r="K179" s="56"/>
      <c r="M179" s="1"/>
      <c r="N179" s="1"/>
      <c r="O179" s="1"/>
      <c r="P179" s="1"/>
      <c r="Q179" s="1"/>
      <c r="R179" s="1"/>
      <c r="S179" s="1"/>
      <c r="T179" s="1"/>
      <c r="U179" s="1"/>
      <c r="V179" s="1"/>
      <c r="W179" s="1"/>
      <c r="X179" s="1"/>
      <c r="Y179" s="1"/>
      <c r="Z179" s="1"/>
      <c r="AA179" s="1"/>
    </row>
    <row r="180" spans="1:27" ht="20.100000000000001" hidden="1" customHeight="1" x14ac:dyDescent="0.25">
      <c r="A180" s="289" t="str">
        <f>CONCATENATE("Total ",Invulblad!$G$118," Years (extension 3)")</f>
        <v>Total 0 Years (extension 3)</v>
      </c>
      <c r="B180" s="290"/>
      <c r="C180" s="290"/>
      <c r="D180" s="290"/>
      <c r="E180" s="290"/>
      <c r="F180" s="291"/>
      <c r="G180" s="95">
        <f>IF(Invulblad!$E$118&gt;0,SUM(V146:V175),0)</f>
        <v>0</v>
      </c>
      <c r="H180" s="65"/>
      <c r="I180" s="26"/>
      <c r="K180" s="56"/>
      <c r="M180" s="1"/>
      <c r="N180" s="1"/>
      <c r="O180" s="1"/>
      <c r="P180" s="1"/>
      <c r="Q180" s="1"/>
      <c r="R180" s="1"/>
      <c r="S180" s="1"/>
      <c r="T180" s="1"/>
      <c r="U180" s="1"/>
      <c r="V180" s="1"/>
      <c r="W180" s="1"/>
      <c r="X180" s="1"/>
      <c r="Y180" s="1"/>
      <c r="Z180" s="1"/>
      <c r="AA180" s="1"/>
    </row>
    <row r="181" spans="1:27" ht="20.100000000000001" hidden="1" customHeight="1" x14ac:dyDescent="0.25">
      <c r="A181" s="289" t="str">
        <f>CONCATENATE("Total ",Invulblad!$G$119," Years (extension 4)")</f>
        <v>Total 0 Years (extension 4)</v>
      </c>
      <c r="B181" s="290"/>
      <c r="C181" s="290"/>
      <c r="D181" s="290"/>
      <c r="E181" s="290"/>
      <c r="F181" s="291"/>
      <c r="G181" s="95">
        <f>IF(Invulblad!$E$119&gt;0,SUM(W146:W175),0)</f>
        <v>0</v>
      </c>
      <c r="H181" s="65"/>
      <c r="I181" s="26"/>
      <c r="K181" s="56"/>
      <c r="R181" s="1"/>
      <c r="S181" s="1"/>
      <c r="T181" s="1"/>
      <c r="U181" s="1"/>
      <c r="V181" s="1"/>
      <c r="W181" s="1"/>
      <c r="X181" s="1"/>
      <c r="Y181" s="1"/>
      <c r="Z181" s="1"/>
      <c r="AA181" s="1"/>
    </row>
    <row r="182" spans="1:27" ht="20.100000000000001" customHeight="1" x14ac:dyDescent="0.25">
      <c r="A182" s="247"/>
      <c r="B182" s="248"/>
      <c r="C182" s="248"/>
      <c r="D182" s="248"/>
      <c r="E182" s="248"/>
      <c r="F182" s="253"/>
      <c r="G182" s="248"/>
      <c r="H182" s="249"/>
      <c r="I182" s="26"/>
      <c r="K182" s="56"/>
      <c r="M182" s="1">
        <f>IF(N183=0,1,0)</f>
        <v>0</v>
      </c>
      <c r="N182" s="1">
        <f>IF(O183=0,1,0)</f>
        <v>1</v>
      </c>
      <c r="O182" s="1">
        <f t="shared" ref="O182:Q182" si="94">IF(P183=0,1,0)</f>
        <v>1</v>
      </c>
      <c r="P182" s="1">
        <f t="shared" si="94"/>
        <v>1</v>
      </c>
      <c r="Q182" s="1">
        <f t="shared" si="94"/>
        <v>1</v>
      </c>
      <c r="R182" s="1"/>
      <c r="S182" s="1"/>
      <c r="T182" s="1"/>
      <c r="U182" s="1"/>
      <c r="V182" s="1"/>
      <c r="W182" s="1"/>
      <c r="X182" s="1"/>
      <c r="Y182" s="1"/>
      <c r="Z182" s="1"/>
      <c r="AA182" s="1"/>
    </row>
    <row r="183" spans="1:27" ht="30.75" customHeight="1" x14ac:dyDescent="0.25">
      <c r="A183" s="38" t="s">
        <v>144</v>
      </c>
      <c r="B183" s="96" t="str">
        <f>_xlfn.CONCAT(Invulblad!$G$115," Years")</f>
        <v>7 Years</v>
      </c>
      <c r="C183" s="87" t="str">
        <f>CONCATENATE(Invulblad!$G$116," Years (extension 1)")</f>
        <v>10 Years (extension 1)</v>
      </c>
      <c r="D183" s="136" t="str">
        <f>CONCATENATE(Invulblad!$G$117," Years (extension 2)")</f>
        <v>0 Years (extension 2)</v>
      </c>
      <c r="E183" s="137" t="str">
        <f>CONCATENATE(Invulblad!$G$118," Years (extension 3)")</f>
        <v>0 Years (extension 3)</v>
      </c>
      <c r="F183" s="138" t="str">
        <f>CONCATENATE(Invulblad!$G$119," Years (extension 4)")</f>
        <v>0 Years (extension 4)</v>
      </c>
      <c r="G183" s="103"/>
      <c r="H183" s="139" t="str">
        <f>IF(I195&gt;0,"Please note that not all fields are filled in (****)","All fields are filled in(****)")</f>
        <v>Please note that not all fields are filled in (****)</v>
      </c>
      <c r="I183" s="26"/>
      <c r="K183" s="1"/>
      <c r="M183" s="1">
        <f>IF(Invulblad!$G$115&lt;&gt;0,1,0)</f>
        <v>1</v>
      </c>
      <c r="N183" s="1">
        <f>IF(Invulblad!$G$116&lt;&gt;0,1,0)</f>
        <v>1</v>
      </c>
      <c r="O183" s="1">
        <f>IF(Invulblad!$G$117&lt;&gt;0,1,0)</f>
        <v>0</v>
      </c>
      <c r="P183" s="1">
        <f>IF(Invulblad!$G$118&lt;&gt;0,1,0)</f>
        <v>0</v>
      </c>
      <c r="Q183" s="1">
        <f>IF(Invulblad!$G$119&lt;&gt;0,1,0)</f>
        <v>0</v>
      </c>
      <c r="R183" s="1"/>
      <c r="S183" s="1">
        <f>IF(AND(M182=1,M183=1),1,0)</f>
        <v>0</v>
      </c>
      <c r="T183" s="1">
        <f>IF(AND(N182=1,N183=1),1,0)</f>
        <v>1</v>
      </c>
      <c r="U183" s="1">
        <f>IF(AND(O182=1,O183=1),1,0)</f>
        <v>0</v>
      </c>
      <c r="V183" s="1">
        <f>IF(AND(P182=1,P183=1),1,0)</f>
        <v>0</v>
      </c>
      <c r="W183" s="1">
        <f>IF(AND(Q182=1,Q183=1),1,0)</f>
        <v>0</v>
      </c>
      <c r="X183" s="1"/>
      <c r="Y183" s="1"/>
      <c r="Z183" s="1"/>
      <c r="AA183" s="1"/>
    </row>
    <row r="184" spans="1:27" ht="30" x14ac:dyDescent="0.25">
      <c r="A184" s="140" t="s">
        <v>145</v>
      </c>
      <c r="B184" s="141">
        <f>G26+G39+G82+G137+G177</f>
        <v>0</v>
      </c>
      <c r="C184" s="142">
        <f>G26+G39+G83+G138+G178</f>
        <v>0</v>
      </c>
      <c r="D184" s="143">
        <f>G26+G39+G84+G139+G179</f>
        <v>0</v>
      </c>
      <c r="E184" s="144">
        <f>G26+G39+G85+G140+G180</f>
        <v>0</v>
      </c>
      <c r="F184" s="145">
        <f>G26+G39+G86+G141+G181</f>
        <v>0</v>
      </c>
      <c r="G184" s="182"/>
      <c r="H184" s="183" t="str">
        <f>Invulblad!E129</f>
        <v xml:space="preserve">The TCO over 10 years (cell C184, framed in green) is used as the Tender price for comparison. A Tender price below € 420.000,- and/or above € 1.200.000,- will recieve no points and will be rejected. </v>
      </c>
      <c r="I184" s="26"/>
      <c r="K184" s="51"/>
      <c r="M184" s="229">
        <v>0</v>
      </c>
      <c r="N184" s="1">
        <f>IF(AND(C184&gt;Invulblad!$E$123,C184&lt;Invulblad!$E$124),0,1)</f>
        <v>1</v>
      </c>
      <c r="O184" s="1">
        <f>IF(AND(D184&gt;Invulblad!$E$123,D184&lt;Invulblad!$E$124),0,1)</f>
        <v>1</v>
      </c>
      <c r="P184" s="1">
        <f>IF(AND(E184&gt;Invulblad!$E$123,E184&lt;Invulblad!$E$124),0,1)</f>
        <v>1</v>
      </c>
      <c r="Q184" s="1">
        <f>IF(AND(F184&gt;Invulblad!$E$123,F184&lt;Invulblad!$E$124),0,1)</f>
        <v>1</v>
      </c>
      <c r="R184" s="1"/>
      <c r="S184" s="1">
        <f>IF(AND(M183=1,M184=1),1,0)</f>
        <v>0</v>
      </c>
      <c r="T184" s="1">
        <f t="shared" ref="T184:W184" si="95">IF(AND(N183=1,N184=1),1,0)</f>
        <v>1</v>
      </c>
      <c r="U184" s="1">
        <f t="shared" si="95"/>
        <v>0</v>
      </c>
      <c r="V184" s="1">
        <f t="shared" si="95"/>
        <v>0</v>
      </c>
      <c r="W184" s="1">
        <f t="shared" si="95"/>
        <v>0</v>
      </c>
      <c r="X184" s="1"/>
      <c r="Y184" s="1"/>
      <c r="Z184" s="1"/>
      <c r="AA184" s="1"/>
    </row>
    <row r="185" spans="1:27" x14ac:dyDescent="0.25">
      <c r="A185" s="140" t="s">
        <v>146</v>
      </c>
      <c r="B185" s="153">
        <f>G26+G39+G177</f>
        <v>0</v>
      </c>
      <c r="C185" s="154">
        <f>G26+G39+G178</f>
        <v>0</v>
      </c>
      <c r="D185" s="155">
        <f>G26+G39+G179</f>
        <v>0</v>
      </c>
      <c r="E185" s="144">
        <f>G26+G39+G180</f>
        <v>0</v>
      </c>
      <c r="F185" s="156">
        <f>G26+G39+G181</f>
        <v>0</v>
      </c>
      <c r="G185" s="146"/>
      <c r="H185" s="183">
        <f>Invulblad!E130</f>
        <v>0</v>
      </c>
      <c r="I185" s="26"/>
      <c r="K185" s="51"/>
      <c r="M185" s="229">
        <v>0</v>
      </c>
      <c r="N185" s="229">
        <v>0</v>
      </c>
      <c r="O185" s="1">
        <f>IF(AND(D185&gt;Invulblad!$E$125,D185&lt;Invulblad!$E$126),0,1)</f>
        <v>1</v>
      </c>
      <c r="P185" s="1">
        <f>IF(AND(E185&gt;Invulblad!$E$125,E185&lt;Invulblad!$E$126),0,1)</f>
        <v>1</v>
      </c>
      <c r="Q185" s="1">
        <f>IF(AND(F185&gt;Invulblad!$E$125,F185&lt;Invulblad!$E$126),0,1)</f>
        <v>1</v>
      </c>
      <c r="R185" s="1"/>
      <c r="S185" s="1">
        <f>IF(AND(M183=1,M185=1),1,0)</f>
        <v>0</v>
      </c>
      <c r="T185" s="1">
        <f t="shared" ref="T185:W185" si="96">IF(AND(N183=1,N185=1),1,0)</f>
        <v>0</v>
      </c>
      <c r="U185" s="1">
        <f t="shared" si="96"/>
        <v>0</v>
      </c>
      <c r="V185" s="1">
        <f t="shared" si="96"/>
        <v>0</v>
      </c>
      <c r="W185" s="1">
        <f t="shared" si="96"/>
        <v>0</v>
      </c>
      <c r="X185" s="1"/>
      <c r="Y185" s="1"/>
      <c r="Z185" s="1"/>
      <c r="AA185" s="1"/>
    </row>
    <row r="186" spans="1:27" ht="23.1" customHeight="1" x14ac:dyDescent="0.25">
      <c r="A186" s="140" t="s">
        <v>147</v>
      </c>
      <c r="B186" s="157">
        <f>G27+G40</f>
        <v>0</v>
      </c>
      <c r="C186" s="355"/>
      <c r="D186" s="356"/>
      <c r="E186" s="356"/>
      <c r="F186" s="357"/>
      <c r="G186" s="146"/>
      <c r="H186" s="147"/>
      <c r="I186" s="26"/>
      <c r="K186" s="51"/>
      <c r="M186" s="1"/>
      <c r="N186" s="1"/>
      <c r="O186" s="1"/>
      <c r="P186" s="1"/>
      <c r="Q186" s="1"/>
      <c r="R186" s="1"/>
      <c r="S186" s="1"/>
      <c r="T186" s="1"/>
      <c r="U186" s="1"/>
      <c r="V186" s="1"/>
      <c r="W186" s="1"/>
      <c r="X186" s="1"/>
      <c r="Y186" s="1"/>
      <c r="Z186" s="1"/>
      <c r="AA186" s="1"/>
    </row>
    <row r="187" spans="1:27" ht="20.100000000000001" customHeight="1" x14ac:dyDescent="0.25">
      <c r="A187" s="350"/>
      <c r="B187" s="351"/>
      <c r="C187" s="351"/>
      <c r="D187" s="351"/>
      <c r="E187" s="351"/>
      <c r="F187" s="351"/>
      <c r="G187" s="350"/>
      <c r="H187" s="350"/>
      <c r="I187" s="26"/>
      <c r="M187" s="1"/>
      <c r="N187" s="1"/>
      <c r="O187" s="1"/>
      <c r="P187" s="1"/>
      <c r="Q187" s="1"/>
      <c r="R187" s="1"/>
      <c r="S187" s="1"/>
      <c r="T187" s="1"/>
      <c r="U187" s="1"/>
      <c r="V187" s="1"/>
      <c r="W187" s="1"/>
      <c r="X187" s="1"/>
      <c r="Y187" s="1"/>
      <c r="Z187" s="1"/>
      <c r="AA187" s="1"/>
    </row>
    <row r="188" spans="1:27" ht="24" customHeight="1" x14ac:dyDescent="0.25">
      <c r="A188" s="250" t="s">
        <v>148</v>
      </c>
      <c r="B188" s="251"/>
      <c r="C188" s="251"/>
      <c r="D188" s="251"/>
      <c r="E188" s="251"/>
      <c r="F188" s="251"/>
      <c r="G188" s="251"/>
      <c r="H188" s="252"/>
      <c r="I188" s="26"/>
      <c r="M188" s="1"/>
      <c r="N188" s="1"/>
      <c r="O188" s="1"/>
      <c r="P188" s="1"/>
      <c r="Q188" s="1"/>
      <c r="R188" s="1"/>
      <c r="S188" s="1"/>
      <c r="T188" s="1"/>
      <c r="U188" s="1"/>
      <c r="V188" s="1"/>
      <c r="W188" s="1"/>
      <c r="X188" s="1"/>
      <c r="Y188" s="1"/>
      <c r="Z188" s="1"/>
      <c r="AA188" s="1"/>
    </row>
    <row r="189" spans="1:27" ht="30" customHeight="1" x14ac:dyDescent="0.25">
      <c r="A189" s="352" t="s">
        <v>149</v>
      </c>
      <c r="B189" s="353"/>
      <c r="C189" s="353"/>
      <c r="D189" s="353"/>
      <c r="E189" s="353"/>
      <c r="F189" s="353"/>
      <c r="G189" s="353"/>
      <c r="H189" s="354"/>
      <c r="I189" s="26"/>
      <c r="M189" s="1"/>
      <c r="N189" s="1"/>
      <c r="O189" s="1"/>
      <c r="P189" s="1"/>
      <c r="Q189" s="1"/>
      <c r="R189" s="1"/>
      <c r="S189" s="1"/>
      <c r="T189" s="1"/>
      <c r="U189" s="1"/>
      <c r="V189" s="1"/>
      <c r="W189" s="1"/>
      <c r="X189" s="1"/>
      <c r="Y189" s="1"/>
      <c r="Z189" s="1"/>
      <c r="AA189" s="1"/>
    </row>
    <row r="190" spans="1:27" x14ac:dyDescent="0.25">
      <c r="A190" s="148" t="s">
        <v>150</v>
      </c>
      <c r="B190" s="296" t="s">
        <v>266</v>
      </c>
      <c r="C190" s="296"/>
      <c r="D190" s="296"/>
      <c r="E190" s="296"/>
      <c r="F190" s="292"/>
      <c r="G190" s="292"/>
      <c r="H190" s="293"/>
      <c r="I190" s="35">
        <f>IF(B190="……………………………………………….",0,1)</f>
        <v>0</v>
      </c>
      <c r="M190" s="1"/>
      <c r="N190" s="1"/>
      <c r="O190" s="1"/>
      <c r="P190" s="1"/>
      <c r="Q190" s="1"/>
      <c r="R190" s="1"/>
      <c r="S190" s="1"/>
      <c r="T190" s="1"/>
      <c r="U190" s="1"/>
      <c r="V190" s="1"/>
      <c r="W190" s="1"/>
      <c r="X190" s="1"/>
      <c r="Y190" s="1"/>
      <c r="Z190" s="1"/>
      <c r="AA190" s="1"/>
    </row>
    <row r="191" spans="1:27" x14ac:dyDescent="0.25">
      <c r="A191" s="148" t="s">
        <v>151</v>
      </c>
      <c r="B191" s="296" t="s">
        <v>266</v>
      </c>
      <c r="C191" s="296"/>
      <c r="D191" s="296"/>
      <c r="E191" s="296"/>
      <c r="F191" s="292"/>
      <c r="G191" s="292"/>
      <c r="H191" s="293"/>
      <c r="I191" s="35">
        <f>IF(B191="……………………………………………….",0,1)</f>
        <v>0</v>
      </c>
      <c r="M191" s="1"/>
      <c r="N191" s="1"/>
      <c r="O191" s="1"/>
      <c r="P191" s="1"/>
      <c r="Q191" s="1"/>
      <c r="R191" s="1"/>
      <c r="S191" s="1"/>
      <c r="T191" s="1"/>
      <c r="U191" s="1"/>
      <c r="V191" s="1"/>
      <c r="W191" s="1"/>
      <c r="X191" s="1"/>
      <c r="Y191" s="1"/>
      <c r="Z191" s="1"/>
      <c r="AA191" s="1"/>
    </row>
    <row r="192" spans="1:27" x14ac:dyDescent="0.25">
      <c r="A192" s="148" t="s">
        <v>152</v>
      </c>
      <c r="B192" s="296" t="s">
        <v>266</v>
      </c>
      <c r="C192" s="296"/>
      <c r="D192" s="296"/>
      <c r="E192" s="296"/>
      <c r="F192" s="292"/>
      <c r="G192" s="292"/>
      <c r="H192" s="293"/>
      <c r="I192" s="35">
        <f>IF(B192="……………………………………………….",0,1)</f>
        <v>0</v>
      </c>
      <c r="M192" s="1"/>
      <c r="N192" s="1"/>
      <c r="O192" s="1"/>
      <c r="P192" s="1"/>
      <c r="Q192" s="1"/>
      <c r="R192" s="1"/>
      <c r="S192" s="1"/>
      <c r="T192" s="1"/>
      <c r="U192" s="1"/>
      <c r="V192" s="1"/>
      <c r="W192" s="1"/>
      <c r="X192" s="1"/>
      <c r="Y192" s="1"/>
      <c r="Z192" s="1"/>
      <c r="AA192" s="1"/>
    </row>
    <row r="193" spans="1:27" ht="45" x14ac:dyDescent="0.25">
      <c r="A193" s="148" t="s">
        <v>153</v>
      </c>
      <c r="B193" s="348" t="s">
        <v>266</v>
      </c>
      <c r="C193" s="348"/>
      <c r="D193" s="348"/>
      <c r="E193" s="348"/>
      <c r="F193" s="292"/>
      <c r="G193" s="292"/>
      <c r="H193" s="293"/>
      <c r="I193" s="26"/>
      <c r="M193" s="1"/>
      <c r="N193" s="1"/>
      <c r="O193" s="1"/>
      <c r="P193" s="1"/>
      <c r="Q193" s="1"/>
      <c r="R193" s="1"/>
      <c r="S193" s="1"/>
      <c r="T193" s="1"/>
      <c r="U193" s="1"/>
      <c r="V193" s="1"/>
      <c r="W193" s="1"/>
      <c r="X193" s="1"/>
      <c r="Y193" s="1"/>
      <c r="Z193" s="1"/>
      <c r="AA193" s="1"/>
    </row>
    <row r="194" spans="1:27" x14ac:dyDescent="0.25">
      <c r="A194" s="149" t="s">
        <v>154</v>
      </c>
      <c r="B194" s="349" t="s">
        <v>266</v>
      </c>
      <c r="C194" s="349"/>
      <c r="D194" s="349"/>
      <c r="E194" s="349"/>
      <c r="F194" s="294"/>
      <c r="G194" s="294"/>
      <c r="H194" s="295"/>
      <c r="I194" s="35">
        <f>IF(B194="……………………………………………….",0,1)</f>
        <v>0</v>
      </c>
      <c r="M194" s="1"/>
      <c r="N194" s="1"/>
      <c r="O194" s="1"/>
      <c r="P194" s="1"/>
      <c r="Q194" s="1"/>
      <c r="R194" s="1"/>
      <c r="S194" s="1"/>
      <c r="T194" s="1"/>
      <c r="U194" s="1"/>
      <c r="V194" s="1"/>
      <c r="W194" s="1"/>
      <c r="X194" s="1"/>
      <c r="Y194" s="1"/>
      <c r="Z194" s="1"/>
      <c r="AA194" s="1"/>
    </row>
    <row r="195" spans="1:27" x14ac:dyDescent="0.25">
      <c r="I195" s="150">
        <f>COUNTIF(I11:I194,0)</f>
        <v>27</v>
      </c>
      <c r="M195" s="1"/>
      <c r="N195" s="1"/>
      <c r="O195" s="1"/>
      <c r="P195" s="1"/>
      <c r="Q195" s="1"/>
      <c r="R195" s="1"/>
      <c r="S195" s="1"/>
      <c r="T195" s="1"/>
      <c r="U195" s="1"/>
      <c r="V195" s="1"/>
      <c r="W195" s="1"/>
      <c r="X195" s="1"/>
      <c r="Y195" s="1"/>
      <c r="Z195" s="1"/>
      <c r="AA195" s="1"/>
    </row>
    <row r="196" spans="1:27" x14ac:dyDescent="0.25">
      <c r="A196" s="239" t="str">
        <f>Invulblad!B135</f>
        <v>* There are two options for this choice, case 1: A Precipitation gauge only  2: A Precipitation gauge and an auxiliary device</v>
      </c>
      <c r="B196" s="239"/>
      <c r="C196" s="239"/>
      <c r="D196" s="239"/>
      <c r="E196" s="239"/>
      <c r="F196" s="239"/>
      <c r="G196" s="239"/>
      <c r="H196" s="239"/>
      <c r="M196" s="1"/>
      <c r="N196" s="1"/>
      <c r="O196" s="1"/>
      <c r="P196" s="1"/>
      <c r="Q196" s="1"/>
      <c r="R196" s="1"/>
      <c r="S196" s="1"/>
      <c r="T196" s="1"/>
      <c r="U196" s="1"/>
      <c r="V196" s="1"/>
      <c r="W196" s="1"/>
      <c r="X196" s="1"/>
      <c r="Y196" s="1"/>
      <c r="Z196" s="1"/>
      <c r="AA196" s="1"/>
    </row>
    <row r="197" spans="1:27" ht="30" customHeight="1" x14ac:dyDescent="0.25">
      <c r="A197" s="239" t="str">
        <f>Invulblad!B136</f>
        <v>** If the gauge consists of 1 unit and in case of replacement the entire gauge must be returned, the Supplier must indicate how many extra gauges must be taken in stock due to the transit time of transport and repair. When choosing that the gauge consists of several line replaceable units that can be replaced during 2nd line maintenance, the Supplier must indicate the required number of LRUs.</v>
      </c>
      <c r="B197" s="239"/>
      <c r="C197" s="239"/>
      <c r="D197" s="239"/>
      <c r="E197" s="239"/>
      <c r="F197" s="239"/>
      <c r="G197" s="239"/>
      <c r="H197" s="239"/>
      <c r="M197" s="1"/>
      <c r="N197" s="1"/>
      <c r="O197" s="1"/>
      <c r="P197" s="1"/>
      <c r="Q197" s="1"/>
      <c r="R197" s="1"/>
      <c r="S197" s="1"/>
      <c r="T197" s="1"/>
      <c r="U197" s="1"/>
      <c r="V197" s="1"/>
      <c r="W197" s="1"/>
      <c r="X197" s="1"/>
      <c r="Y197" s="1"/>
      <c r="Z197" s="1"/>
      <c r="AA197" s="1"/>
    </row>
    <row r="198" spans="1:27" x14ac:dyDescent="0.25">
      <c r="A198" s="151" t="str">
        <f>Invulblad!B137</f>
        <v>*** No other costs than the ones submitted in this form can be charged to KNMI or its partners.</v>
      </c>
      <c r="B198" s="151"/>
      <c r="C198" s="151"/>
      <c r="D198" s="151"/>
      <c r="E198" s="151"/>
      <c r="F198" s="151"/>
      <c r="G198" s="151"/>
      <c r="H198" s="151"/>
      <c r="M198" s="1"/>
      <c r="N198" s="1"/>
      <c r="O198" s="1"/>
      <c r="P198" s="1"/>
      <c r="Q198" s="1"/>
      <c r="R198" s="1"/>
      <c r="S198" s="1"/>
      <c r="T198" s="1"/>
      <c r="U198" s="1"/>
      <c r="V198" s="1"/>
      <c r="W198" s="1"/>
      <c r="X198" s="1"/>
      <c r="Y198" s="1"/>
      <c r="Z198" s="1"/>
      <c r="AA198" s="1"/>
    </row>
    <row r="199" spans="1:27" x14ac:dyDescent="0.25">
      <c r="A199" s="151" t="str">
        <f>Invulblad!B138</f>
        <v>**** If a field is not filled in, a red area will appear in column "I" where the error has occurred</v>
      </c>
      <c r="B199" s="151"/>
      <c r="C199" s="151"/>
      <c r="D199" s="151"/>
      <c r="E199" s="151"/>
      <c r="F199" s="151"/>
      <c r="G199" s="151"/>
      <c r="H199" s="151"/>
      <c r="M199" s="1"/>
      <c r="N199" s="1"/>
      <c r="O199" s="1"/>
      <c r="P199" s="1"/>
      <c r="Q199" s="1"/>
      <c r="R199" s="1"/>
      <c r="S199" s="1"/>
      <c r="T199" s="1"/>
      <c r="U199" s="1"/>
      <c r="V199" s="1"/>
      <c r="W199" s="1"/>
      <c r="X199" s="1"/>
      <c r="Y199" s="1"/>
      <c r="Z199" s="1"/>
      <c r="AA199" s="1"/>
    </row>
    <row r="200" spans="1:27" x14ac:dyDescent="0.25">
      <c r="M200" s="1"/>
      <c r="N200" s="1"/>
      <c r="O200" s="1"/>
      <c r="P200" s="1"/>
      <c r="Q200" s="1"/>
      <c r="R200" s="1"/>
      <c r="S200" s="1"/>
      <c r="T200" s="1"/>
      <c r="U200" s="1"/>
      <c r="V200" s="1"/>
      <c r="W200" s="1"/>
      <c r="X200" s="1"/>
      <c r="Y200" s="1"/>
      <c r="Z200" s="1"/>
      <c r="AA200" s="1"/>
    </row>
    <row r="201" spans="1:27" x14ac:dyDescent="0.25">
      <c r="M201" s="1"/>
      <c r="N201" s="1"/>
      <c r="O201" s="1"/>
      <c r="P201" s="1"/>
      <c r="Q201" s="1"/>
      <c r="R201" s="1"/>
      <c r="S201" s="1"/>
      <c r="T201" s="1"/>
      <c r="U201" s="1"/>
      <c r="V201" s="1"/>
      <c r="W201" s="1"/>
      <c r="X201" s="1"/>
      <c r="Y201" s="1"/>
      <c r="Z201" s="1"/>
      <c r="AA201" s="1"/>
    </row>
    <row r="202" spans="1:27" x14ac:dyDescent="0.25">
      <c r="M202" s="1"/>
      <c r="N202" s="1"/>
      <c r="O202" s="1"/>
      <c r="P202" s="1"/>
      <c r="Q202" s="1"/>
      <c r="R202" s="1"/>
      <c r="S202" s="1"/>
      <c r="T202" s="1"/>
      <c r="U202" s="1"/>
      <c r="V202" s="1"/>
      <c r="W202" s="1"/>
      <c r="X202" s="1"/>
      <c r="Y202" s="1"/>
      <c r="Z202" s="1"/>
      <c r="AA202" s="1"/>
    </row>
    <row r="203" spans="1:27" x14ac:dyDescent="0.25">
      <c r="M203" s="1"/>
      <c r="N203" s="1"/>
      <c r="O203" s="1"/>
      <c r="P203" s="1"/>
      <c r="Q203" s="1"/>
      <c r="R203" s="1"/>
      <c r="S203" s="1"/>
      <c r="T203" s="1"/>
      <c r="U203" s="1"/>
      <c r="V203" s="1"/>
      <c r="W203" s="1"/>
      <c r="X203" s="1"/>
      <c r="Y203" s="1"/>
      <c r="Z203" s="1"/>
      <c r="AA203" s="1"/>
    </row>
    <row r="204" spans="1:27" x14ac:dyDescent="0.25">
      <c r="M204" s="1"/>
      <c r="N204" s="1"/>
      <c r="O204" s="1"/>
      <c r="P204" s="1"/>
      <c r="Q204" s="1"/>
      <c r="R204" s="1"/>
      <c r="S204" s="1"/>
      <c r="T204" s="1"/>
      <c r="U204" s="1"/>
      <c r="V204" s="1"/>
      <c r="W204" s="1"/>
      <c r="X204" s="1"/>
      <c r="Y204" s="1"/>
      <c r="Z204" s="1"/>
      <c r="AA204" s="1"/>
    </row>
    <row r="205" spans="1:27" x14ac:dyDescent="0.25">
      <c r="M205" s="1"/>
      <c r="N205" s="1"/>
      <c r="O205" s="1"/>
      <c r="P205" s="1"/>
      <c r="Q205" s="1"/>
      <c r="R205" s="1"/>
      <c r="S205" s="1"/>
      <c r="T205" s="1"/>
      <c r="U205" s="1"/>
      <c r="V205" s="1"/>
      <c r="W205" s="1"/>
      <c r="X205" s="1"/>
      <c r="Y205" s="1"/>
      <c r="Z205" s="1"/>
      <c r="AA205" s="1"/>
    </row>
    <row r="206" spans="1:27" x14ac:dyDescent="0.25">
      <c r="M206" s="1"/>
      <c r="N206" s="1"/>
      <c r="O206" s="1"/>
      <c r="P206" s="1"/>
      <c r="Q206" s="1"/>
      <c r="R206" s="1"/>
      <c r="S206" s="1"/>
      <c r="T206" s="1"/>
      <c r="U206" s="1"/>
      <c r="V206" s="1"/>
      <c r="W206" s="1"/>
      <c r="X206" s="1"/>
      <c r="Y206" s="1"/>
      <c r="Z206" s="1"/>
      <c r="AA206" s="1"/>
    </row>
    <row r="207" spans="1:27" x14ac:dyDescent="0.25">
      <c r="M207" s="1"/>
      <c r="N207" s="1"/>
      <c r="O207" s="1"/>
      <c r="P207" s="1"/>
      <c r="Q207" s="1"/>
      <c r="R207" s="1"/>
      <c r="S207" s="1"/>
      <c r="T207" s="1"/>
      <c r="U207" s="1"/>
      <c r="V207" s="1"/>
      <c r="W207" s="1"/>
      <c r="X207" s="1"/>
      <c r="Y207" s="1"/>
      <c r="Z207" s="1"/>
      <c r="AA207" s="1"/>
    </row>
    <row r="208" spans="1:27" x14ac:dyDescent="0.25">
      <c r="M208" s="1"/>
      <c r="N208" s="1"/>
      <c r="O208" s="1"/>
      <c r="P208" s="1"/>
      <c r="Q208" s="1"/>
      <c r="R208" s="1"/>
      <c r="S208" s="1"/>
      <c r="T208" s="1"/>
      <c r="U208" s="1"/>
      <c r="V208" s="1"/>
      <c r="W208" s="1"/>
      <c r="X208" s="1"/>
      <c r="Y208" s="1"/>
      <c r="Z208" s="1"/>
      <c r="AA208" s="1"/>
    </row>
    <row r="209" spans="13:27" x14ac:dyDescent="0.25">
      <c r="M209" s="1"/>
      <c r="N209" s="1"/>
      <c r="O209" s="1"/>
      <c r="P209" s="1"/>
      <c r="Q209" s="1"/>
      <c r="R209" s="1"/>
      <c r="S209" s="1"/>
      <c r="T209" s="1"/>
      <c r="U209" s="1"/>
      <c r="V209" s="1"/>
      <c r="W209" s="1"/>
      <c r="X209" s="1"/>
      <c r="Y209" s="1"/>
      <c r="Z209" s="1"/>
      <c r="AA209" s="1"/>
    </row>
    <row r="210" spans="13:27" x14ac:dyDescent="0.25">
      <c r="M210" s="1"/>
      <c r="N210" s="1"/>
      <c r="O210" s="1"/>
      <c r="P210" s="1"/>
      <c r="Q210" s="1"/>
      <c r="R210" s="1"/>
      <c r="S210" s="1"/>
      <c r="T210" s="1"/>
      <c r="U210" s="1"/>
      <c r="V210" s="1"/>
      <c r="W210" s="1"/>
      <c r="X210" s="1"/>
      <c r="Y210" s="1"/>
      <c r="Z210" s="1"/>
      <c r="AA210" s="1"/>
    </row>
    <row r="211" spans="13:27" x14ac:dyDescent="0.25">
      <c r="M211" s="1"/>
      <c r="N211" s="1"/>
      <c r="O211" s="1"/>
      <c r="P211" s="1"/>
      <c r="Q211" s="1"/>
      <c r="R211" s="1"/>
      <c r="S211" s="1"/>
      <c r="T211" s="1"/>
      <c r="U211" s="1"/>
      <c r="V211" s="1"/>
      <c r="W211" s="1"/>
      <c r="X211" s="1"/>
      <c r="Y211" s="1"/>
      <c r="Z211" s="1"/>
      <c r="AA211" s="1"/>
    </row>
    <row r="212" spans="13:27" x14ac:dyDescent="0.25">
      <c r="M212" s="1"/>
      <c r="N212" s="1"/>
      <c r="O212" s="1"/>
      <c r="P212" s="1"/>
      <c r="Q212" s="1"/>
      <c r="R212" s="1"/>
      <c r="S212" s="1"/>
      <c r="T212" s="1"/>
      <c r="U212" s="1"/>
      <c r="V212" s="1"/>
      <c r="W212" s="1"/>
      <c r="X212" s="1"/>
      <c r="Y212" s="1"/>
      <c r="Z212" s="1"/>
      <c r="AA212" s="1"/>
    </row>
    <row r="213" spans="13:27" x14ac:dyDescent="0.25">
      <c r="M213" s="1"/>
      <c r="N213" s="1"/>
      <c r="O213" s="1"/>
      <c r="P213" s="1"/>
      <c r="Q213" s="1"/>
      <c r="R213" s="1"/>
      <c r="S213" s="1"/>
      <c r="T213" s="1"/>
      <c r="U213" s="1"/>
      <c r="V213" s="1"/>
      <c r="W213" s="1"/>
      <c r="X213" s="1"/>
      <c r="Y213" s="1"/>
      <c r="Z213" s="1"/>
      <c r="AA213" s="1"/>
    </row>
    <row r="214" spans="13:27" x14ac:dyDescent="0.25">
      <c r="M214" s="1"/>
      <c r="N214" s="1"/>
      <c r="O214" s="1"/>
      <c r="P214" s="1"/>
      <c r="Q214" s="1"/>
      <c r="R214" s="1"/>
      <c r="S214" s="1"/>
      <c r="T214" s="1"/>
      <c r="U214" s="1"/>
      <c r="V214" s="1"/>
      <c r="W214" s="1"/>
      <c r="X214" s="1"/>
      <c r="Y214" s="1"/>
      <c r="Z214" s="1"/>
      <c r="AA214" s="1"/>
    </row>
    <row r="215" spans="13:27" x14ac:dyDescent="0.25">
      <c r="M215" s="1"/>
      <c r="N215" s="1"/>
      <c r="O215" s="1"/>
      <c r="P215" s="1"/>
      <c r="Q215" s="1"/>
      <c r="R215" s="1"/>
      <c r="S215" s="1"/>
      <c r="T215" s="1"/>
      <c r="U215" s="1"/>
      <c r="V215" s="1"/>
      <c r="W215" s="1"/>
      <c r="X215" s="1"/>
      <c r="Y215" s="1"/>
      <c r="Z215" s="1"/>
      <c r="AA215" s="1"/>
    </row>
    <row r="216" spans="13:27" x14ac:dyDescent="0.25">
      <c r="M216" s="1"/>
      <c r="N216" s="1"/>
      <c r="O216" s="1"/>
      <c r="P216" s="1"/>
      <c r="Q216" s="1"/>
      <c r="R216" s="1"/>
      <c r="S216" s="1"/>
      <c r="T216" s="1"/>
      <c r="U216" s="1"/>
      <c r="V216" s="1"/>
      <c r="W216" s="1"/>
      <c r="X216" s="1"/>
      <c r="Y216" s="1"/>
      <c r="Z216" s="1"/>
      <c r="AA216" s="1"/>
    </row>
    <row r="217" spans="13:27" x14ac:dyDescent="0.25">
      <c r="M217" s="1"/>
      <c r="N217" s="1"/>
      <c r="O217" s="1"/>
      <c r="P217" s="1"/>
      <c r="Q217" s="1"/>
      <c r="R217" s="1"/>
      <c r="S217" s="1"/>
      <c r="T217" s="1"/>
      <c r="U217" s="1"/>
      <c r="V217" s="1"/>
      <c r="W217" s="1"/>
      <c r="X217" s="1"/>
      <c r="Y217" s="1"/>
      <c r="Z217" s="1"/>
      <c r="AA217" s="1"/>
    </row>
    <row r="218" spans="13:27" x14ac:dyDescent="0.25">
      <c r="M218" s="1"/>
      <c r="N218" s="1"/>
      <c r="O218" s="1"/>
      <c r="P218" s="1"/>
      <c r="Q218" s="1"/>
      <c r="R218" s="1"/>
      <c r="S218" s="1"/>
      <c r="T218" s="1"/>
      <c r="U218" s="1"/>
      <c r="V218" s="1"/>
      <c r="W218" s="1"/>
      <c r="X218" s="1"/>
      <c r="Y218" s="1"/>
      <c r="Z218" s="1"/>
      <c r="AA218" s="1"/>
    </row>
    <row r="219" spans="13:27" x14ac:dyDescent="0.25">
      <c r="M219" s="1"/>
      <c r="N219" s="1"/>
      <c r="O219" s="1"/>
      <c r="P219" s="1"/>
      <c r="Q219" s="1"/>
      <c r="R219" s="1"/>
      <c r="S219" s="1"/>
      <c r="T219" s="1"/>
      <c r="U219" s="1"/>
      <c r="V219" s="1"/>
      <c r="W219" s="1"/>
      <c r="X219" s="1"/>
      <c r="Y219" s="1"/>
      <c r="Z219" s="1"/>
      <c r="AA219" s="1"/>
    </row>
    <row r="220" spans="13:27" x14ac:dyDescent="0.25">
      <c r="M220" s="1"/>
      <c r="N220" s="1"/>
      <c r="O220" s="1"/>
      <c r="P220" s="1"/>
      <c r="Q220" s="1"/>
      <c r="R220" s="1"/>
      <c r="S220" s="1"/>
      <c r="T220" s="1"/>
      <c r="U220" s="1"/>
      <c r="V220" s="1"/>
      <c r="W220" s="1"/>
      <c r="X220" s="1"/>
      <c r="Y220" s="1"/>
      <c r="Z220" s="1"/>
      <c r="AA220" s="1"/>
    </row>
    <row r="221" spans="13:27" x14ac:dyDescent="0.25">
      <c r="M221" s="1"/>
      <c r="N221" s="1"/>
      <c r="O221" s="1"/>
      <c r="P221" s="1"/>
      <c r="Q221" s="1"/>
      <c r="R221" s="1"/>
      <c r="S221" s="1"/>
      <c r="T221" s="1"/>
      <c r="U221" s="1"/>
      <c r="V221" s="1"/>
      <c r="W221" s="1"/>
      <c r="X221" s="1"/>
      <c r="Y221" s="1"/>
      <c r="Z221" s="1"/>
      <c r="AA221" s="1"/>
    </row>
    <row r="222" spans="13:27" x14ac:dyDescent="0.25">
      <c r="M222" s="1"/>
      <c r="N222" s="1"/>
      <c r="O222" s="1"/>
      <c r="P222" s="1"/>
      <c r="Q222" s="1"/>
      <c r="R222" s="1"/>
      <c r="S222" s="1"/>
      <c r="T222" s="1"/>
      <c r="U222" s="1"/>
      <c r="V222" s="1"/>
      <c r="W222" s="1"/>
      <c r="X222" s="1"/>
      <c r="Y222" s="1"/>
      <c r="Z222" s="1"/>
      <c r="AA222" s="1"/>
    </row>
    <row r="223" spans="13:27" x14ac:dyDescent="0.25">
      <c r="M223" s="1"/>
      <c r="N223" s="1"/>
      <c r="O223" s="1"/>
      <c r="P223" s="1"/>
      <c r="Q223" s="1"/>
      <c r="R223" s="1"/>
      <c r="S223" s="1"/>
      <c r="T223" s="1"/>
      <c r="U223" s="1"/>
      <c r="V223" s="1"/>
      <c r="W223" s="1"/>
      <c r="X223" s="1"/>
      <c r="Y223" s="1"/>
      <c r="Z223" s="1"/>
      <c r="AA223" s="1"/>
    </row>
    <row r="224" spans="13:27" x14ac:dyDescent="0.25">
      <c r="M224" s="1"/>
      <c r="N224" s="1"/>
      <c r="O224" s="1"/>
      <c r="P224" s="1"/>
      <c r="Q224" s="1"/>
      <c r="R224" s="1"/>
      <c r="S224" s="1"/>
      <c r="T224" s="1"/>
      <c r="U224" s="1"/>
      <c r="V224" s="1"/>
      <c r="W224" s="1"/>
      <c r="X224" s="1"/>
      <c r="Y224" s="1"/>
      <c r="Z224" s="1"/>
      <c r="AA224" s="1"/>
    </row>
    <row r="225" spans="13:27" x14ac:dyDescent="0.25">
      <c r="M225" s="1"/>
      <c r="N225" s="1"/>
      <c r="O225" s="1"/>
      <c r="P225" s="1"/>
      <c r="Q225" s="1"/>
      <c r="R225" s="1"/>
      <c r="S225" s="1"/>
      <c r="T225" s="1"/>
      <c r="U225" s="1"/>
      <c r="V225" s="1"/>
      <c r="W225" s="1"/>
      <c r="X225" s="1"/>
      <c r="Y225" s="1"/>
      <c r="Z225" s="1"/>
      <c r="AA225" s="1"/>
    </row>
    <row r="226" spans="13:27" x14ac:dyDescent="0.25">
      <c r="M226" s="1"/>
      <c r="N226" s="1"/>
      <c r="O226" s="1"/>
      <c r="P226" s="1"/>
      <c r="Q226" s="1"/>
      <c r="R226" s="1"/>
      <c r="S226" s="1"/>
      <c r="T226" s="1"/>
      <c r="U226" s="1"/>
      <c r="V226" s="1"/>
      <c r="W226" s="1"/>
      <c r="X226" s="1"/>
      <c r="Y226" s="1"/>
      <c r="Z226" s="1"/>
      <c r="AA226" s="1"/>
    </row>
    <row r="227" spans="13:27" x14ac:dyDescent="0.25">
      <c r="M227" s="1"/>
      <c r="N227" s="1"/>
      <c r="O227" s="1"/>
      <c r="P227" s="1"/>
      <c r="Q227" s="1"/>
      <c r="R227" s="1"/>
      <c r="S227" s="1"/>
      <c r="T227" s="1"/>
      <c r="U227" s="1"/>
      <c r="V227" s="1"/>
      <c r="W227" s="1"/>
      <c r="X227" s="1"/>
      <c r="Y227" s="1"/>
      <c r="Z227" s="1"/>
      <c r="AA227" s="1"/>
    </row>
    <row r="228" spans="13:27" x14ac:dyDescent="0.25">
      <c r="M228" s="1"/>
      <c r="N228" s="1"/>
      <c r="O228" s="1"/>
      <c r="P228" s="1"/>
      <c r="Q228" s="1"/>
      <c r="R228" s="1"/>
      <c r="S228" s="1"/>
      <c r="T228" s="1"/>
      <c r="U228" s="1"/>
      <c r="V228" s="1"/>
      <c r="W228" s="1"/>
      <c r="X228" s="1"/>
      <c r="Y228" s="1"/>
      <c r="Z228" s="1"/>
      <c r="AA228" s="1"/>
    </row>
    <row r="229" spans="13:27" x14ac:dyDescent="0.25">
      <c r="M229" s="1"/>
      <c r="N229" s="1"/>
      <c r="O229" s="1"/>
      <c r="P229" s="1"/>
      <c r="Q229" s="1"/>
      <c r="R229" s="1"/>
      <c r="S229" s="1"/>
      <c r="T229" s="1"/>
      <c r="U229" s="1"/>
      <c r="V229" s="1"/>
      <c r="W229" s="1"/>
      <c r="X229" s="1"/>
      <c r="Y229" s="1"/>
      <c r="Z229" s="1"/>
      <c r="AA229" s="1"/>
    </row>
    <row r="230" spans="13:27" x14ac:dyDescent="0.25">
      <c r="M230" s="1"/>
      <c r="N230" s="1"/>
      <c r="O230" s="1"/>
      <c r="P230" s="1"/>
      <c r="Q230" s="1"/>
      <c r="R230" s="1"/>
      <c r="S230" s="1"/>
      <c r="T230" s="1"/>
      <c r="U230" s="1"/>
      <c r="V230" s="1"/>
      <c r="W230" s="1"/>
      <c r="X230" s="1"/>
      <c r="Y230" s="1"/>
      <c r="Z230" s="1"/>
      <c r="AA230" s="1"/>
    </row>
    <row r="231" spans="13:27" x14ac:dyDescent="0.25">
      <c r="M231" s="1"/>
      <c r="N231" s="1"/>
      <c r="O231" s="1"/>
      <c r="P231" s="1"/>
      <c r="Q231" s="1"/>
      <c r="R231" s="1"/>
      <c r="S231" s="1"/>
      <c r="T231" s="1"/>
      <c r="U231" s="1"/>
      <c r="V231" s="1"/>
      <c r="W231" s="1"/>
      <c r="X231" s="1"/>
      <c r="Y231" s="1"/>
      <c r="Z231" s="1"/>
      <c r="AA231" s="1"/>
    </row>
    <row r="232" spans="13:27" x14ac:dyDescent="0.25">
      <c r="M232" s="1"/>
      <c r="N232" s="1"/>
      <c r="O232" s="1"/>
      <c r="P232" s="1"/>
      <c r="Q232" s="1"/>
      <c r="R232" s="1"/>
      <c r="S232" s="1"/>
      <c r="T232" s="1"/>
      <c r="U232" s="1"/>
      <c r="V232" s="1"/>
      <c r="W232" s="1"/>
      <c r="X232" s="1"/>
      <c r="Y232" s="1"/>
      <c r="Z232" s="1"/>
      <c r="AA232" s="1"/>
    </row>
    <row r="233" spans="13:27" x14ac:dyDescent="0.25">
      <c r="M233" s="1"/>
      <c r="N233" s="1"/>
      <c r="O233" s="1"/>
      <c r="P233" s="1"/>
      <c r="Q233" s="1"/>
      <c r="R233" s="1"/>
      <c r="S233" s="1"/>
      <c r="T233" s="1"/>
      <c r="U233" s="1"/>
      <c r="V233" s="1"/>
      <c r="W233" s="1"/>
      <c r="X233" s="1"/>
      <c r="Y233" s="1"/>
      <c r="Z233" s="1"/>
      <c r="AA233" s="1"/>
    </row>
    <row r="234" spans="13:27" x14ac:dyDescent="0.25">
      <c r="M234" s="1"/>
      <c r="N234" s="1"/>
      <c r="O234" s="1"/>
      <c r="P234" s="1"/>
      <c r="Q234" s="1"/>
      <c r="R234" s="1"/>
      <c r="S234" s="1"/>
      <c r="T234" s="1"/>
      <c r="U234" s="1"/>
      <c r="V234" s="1"/>
      <c r="W234" s="1"/>
      <c r="X234" s="1"/>
      <c r="Y234" s="1"/>
      <c r="Z234" s="1"/>
      <c r="AA234" s="1"/>
    </row>
    <row r="235" spans="13:27" x14ac:dyDescent="0.25">
      <c r="M235" s="1"/>
      <c r="N235" s="1"/>
      <c r="O235" s="1"/>
      <c r="P235" s="1"/>
      <c r="Q235" s="1"/>
      <c r="R235" s="1"/>
      <c r="S235" s="1"/>
      <c r="T235" s="1"/>
      <c r="U235" s="1"/>
      <c r="V235" s="1"/>
      <c r="W235" s="1"/>
      <c r="X235" s="1"/>
      <c r="Y235" s="1"/>
      <c r="Z235" s="1"/>
      <c r="AA235" s="1"/>
    </row>
    <row r="236" spans="13:27" x14ac:dyDescent="0.25">
      <c r="M236" s="1"/>
      <c r="N236" s="1"/>
      <c r="O236" s="1"/>
      <c r="P236" s="1"/>
      <c r="Q236" s="1"/>
      <c r="R236" s="1"/>
      <c r="S236" s="1"/>
      <c r="T236" s="1"/>
      <c r="U236" s="1"/>
      <c r="V236" s="1"/>
      <c r="W236" s="1"/>
      <c r="X236" s="1"/>
      <c r="Y236" s="1"/>
      <c r="Z236" s="1"/>
      <c r="AA236" s="1"/>
    </row>
    <row r="237" spans="13:27" x14ac:dyDescent="0.25">
      <c r="M237" s="1"/>
      <c r="N237" s="1"/>
      <c r="O237" s="1"/>
      <c r="P237" s="1"/>
      <c r="Q237" s="1"/>
      <c r="R237" s="1"/>
      <c r="S237" s="1"/>
      <c r="T237" s="1"/>
      <c r="U237" s="1"/>
      <c r="V237" s="1"/>
      <c r="W237" s="1"/>
      <c r="X237" s="1"/>
      <c r="Y237" s="1"/>
      <c r="Z237" s="1"/>
      <c r="AA237" s="1"/>
    </row>
    <row r="238" spans="13:27" x14ac:dyDescent="0.25">
      <c r="M238" s="1"/>
      <c r="N238" s="1"/>
      <c r="O238" s="1"/>
      <c r="P238" s="1"/>
      <c r="Q238" s="1"/>
      <c r="R238" s="1"/>
      <c r="S238" s="1"/>
      <c r="T238" s="1"/>
      <c r="U238" s="1"/>
      <c r="V238" s="1"/>
      <c r="W238" s="1"/>
      <c r="X238" s="1"/>
      <c r="Y238" s="1"/>
      <c r="Z238" s="1"/>
      <c r="AA238" s="1"/>
    </row>
    <row r="239" spans="13:27" x14ac:dyDescent="0.25">
      <c r="M239" s="1"/>
      <c r="N239" s="1"/>
      <c r="O239" s="1"/>
      <c r="P239" s="1"/>
      <c r="Q239" s="1"/>
      <c r="R239" s="1"/>
      <c r="S239" s="1"/>
      <c r="T239" s="1"/>
      <c r="U239" s="1"/>
      <c r="V239" s="1"/>
      <c r="W239" s="1"/>
      <c r="X239" s="1"/>
      <c r="Y239" s="1"/>
      <c r="Z239" s="1"/>
      <c r="AA239" s="1"/>
    </row>
    <row r="240" spans="13:27" x14ac:dyDescent="0.25">
      <c r="M240" s="1"/>
      <c r="N240" s="1"/>
      <c r="O240" s="1"/>
      <c r="P240" s="1"/>
      <c r="Q240" s="1"/>
      <c r="R240" s="1"/>
      <c r="S240" s="1"/>
      <c r="T240" s="1"/>
      <c r="U240" s="1"/>
      <c r="V240" s="1"/>
      <c r="W240" s="1"/>
      <c r="X240" s="1"/>
      <c r="Y240" s="1"/>
      <c r="Z240" s="1"/>
      <c r="AA240" s="1"/>
    </row>
    <row r="241" spans="13:27" x14ac:dyDescent="0.25">
      <c r="M241" s="1"/>
      <c r="N241" s="1"/>
      <c r="O241" s="1"/>
      <c r="P241" s="1"/>
      <c r="Q241" s="1"/>
      <c r="R241" s="1"/>
      <c r="S241" s="1"/>
      <c r="T241" s="1"/>
      <c r="U241" s="1"/>
      <c r="V241" s="1"/>
      <c r="W241" s="1"/>
      <c r="X241" s="1"/>
      <c r="Y241" s="1"/>
      <c r="Z241" s="1"/>
      <c r="AA241" s="1"/>
    </row>
    <row r="242" spans="13:27" x14ac:dyDescent="0.25">
      <c r="M242" s="1"/>
      <c r="N242" s="1"/>
      <c r="O242" s="1"/>
      <c r="P242" s="1"/>
      <c r="Q242" s="1"/>
      <c r="R242" s="1"/>
      <c r="S242" s="1"/>
      <c r="T242" s="1"/>
      <c r="U242" s="1"/>
      <c r="V242" s="1"/>
      <c r="W242" s="1"/>
      <c r="X242" s="1"/>
      <c r="Y242" s="1"/>
      <c r="Z242" s="1"/>
      <c r="AA242" s="1"/>
    </row>
    <row r="243" spans="13:27" x14ac:dyDescent="0.25">
      <c r="M243" s="1"/>
      <c r="N243" s="1"/>
      <c r="O243" s="1"/>
      <c r="P243" s="1"/>
      <c r="Q243" s="1"/>
      <c r="R243" s="1"/>
      <c r="S243" s="1"/>
      <c r="T243" s="1"/>
      <c r="U243" s="1"/>
      <c r="V243" s="1"/>
      <c r="W243" s="1"/>
      <c r="X243" s="1"/>
      <c r="Y243" s="1"/>
      <c r="Z243" s="1"/>
      <c r="AA243" s="1"/>
    </row>
    <row r="244" spans="13:27" x14ac:dyDescent="0.25">
      <c r="M244" s="1"/>
      <c r="N244" s="1"/>
      <c r="O244" s="1"/>
      <c r="P244" s="1"/>
      <c r="Q244" s="1"/>
      <c r="R244" s="1"/>
      <c r="S244" s="1"/>
      <c r="T244" s="1"/>
      <c r="U244" s="1"/>
      <c r="V244" s="1"/>
      <c r="W244" s="1"/>
      <c r="X244" s="1"/>
      <c r="Y244" s="1"/>
      <c r="Z244" s="1"/>
      <c r="AA244" s="1"/>
    </row>
    <row r="245" spans="13:27" x14ac:dyDescent="0.25">
      <c r="M245" s="1"/>
      <c r="N245" s="1"/>
      <c r="O245" s="1"/>
      <c r="P245" s="1"/>
      <c r="Q245" s="1"/>
      <c r="R245" s="1"/>
      <c r="S245" s="1"/>
      <c r="T245" s="1"/>
      <c r="U245" s="1"/>
      <c r="V245" s="1"/>
      <c r="W245" s="1"/>
      <c r="X245" s="1"/>
      <c r="Y245" s="1"/>
      <c r="Z245" s="1"/>
      <c r="AA245" s="1"/>
    </row>
    <row r="246" spans="13:27" x14ac:dyDescent="0.25">
      <c r="M246" s="1"/>
      <c r="N246" s="1"/>
      <c r="O246" s="1"/>
      <c r="P246" s="1"/>
      <c r="Q246" s="1"/>
      <c r="R246" s="1"/>
      <c r="S246" s="1"/>
      <c r="T246" s="1"/>
      <c r="U246" s="1"/>
      <c r="V246" s="1"/>
      <c r="W246" s="1"/>
      <c r="X246" s="1"/>
      <c r="Y246" s="1"/>
      <c r="Z246" s="1"/>
      <c r="AA246" s="1"/>
    </row>
    <row r="247" spans="13:27" x14ac:dyDescent="0.25">
      <c r="M247" s="1"/>
      <c r="N247" s="1"/>
      <c r="O247" s="1"/>
      <c r="P247" s="1"/>
      <c r="Q247" s="1"/>
      <c r="R247" s="1"/>
      <c r="S247" s="1"/>
      <c r="T247" s="1"/>
      <c r="U247" s="1"/>
      <c r="V247" s="1"/>
      <c r="W247" s="1"/>
      <c r="X247" s="1"/>
      <c r="Y247" s="1"/>
      <c r="Z247" s="1"/>
      <c r="AA247" s="1"/>
    </row>
    <row r="248" spans="13:27" x14ac:dyDescent="0.25">
      <c r="M248" s="1"/>
      <c r="N248" s="1"/>
      <c r="O248" s="1"/>
      <c r="P248" s="1"/>
      <c r="Q248" s="1"/>
      <c r="R248" s="1"/>
      <c r="S248" s="1"/>
      <c r="T248" s="1"/>
      <c r="U248" s="1"/>
      <c r="V248" s="1"/>
      <c r="W248" s="1"/>
      <c r="X248" s="1"/>
      <c r="Y248" s="1"/>
      <c r="Z248" s="1"/>
      <c r="AA248" s="1"/>
    </row>
    <row r="249" spans="13:27" x14ac:dyDescent="0.25">
      <c r="M249" s="1"/>
      <c r="N249" s="1"/>
      <c r="O249" s="1"/>
      <c r="P249" s="1"/>
      <c r="Q249" s="1"/>
      <c r="R249" s="1"/>
      <c r="S249" s="1"/>
      <c r="T249" s="1"/>
      <c r="U249" s="1"/>
      <c r="V249" s="1"/>
      <c r="W249" s="1"/>
      <c r="X249" s="1"/>
      <c r="Y249" s="1"/>
      <c r="Z249" s="1"/>
      <c r="AA249" s="1"/>
    </row>
    <row r="250" spans="13:27" x14ac:dyDescent="0.25">
      <c r="M250" s="1"/>
      <c r="N250" s="1"/>
      <c r="O250" s="1"/>
      <c r="P250" s="1"/>
      <c r="Q250" s="1"/>
      <c r="R250" s="1"/>
      <c r="S250" s="1"/>
      <c r="T250" s="1"/>
      <c r="U250" s="1"/>
      <c r="V250" s="1"/>
      <c r="W250" s="1"/>
      <c r="X250" s="1"/>
      <c r="Y250" s="1"/>
      <c r="Z250" s="1"/>
      <c r="AA250" s="1"/>
    </row>
    <row r="251" spans="13:27" x14ac:dyDescent="0.25">
      <c r="M251" s="1"/>
      <c r="N251" s="1"/>
      <c r="O251" s="1"/>
      <c r="P251" s="1"/>
      <c r="Q251" s="1"/>
      <c r="R251" s="1"/>
      <c r="S251" s="1"/>
      <c r="T251" s="1"/>
      <c r="U251" s="1"/>
      <c r="V251" s="1"/>
      <c r="W251" s="1"/>
      <c r="X251" s="1"/>
      <c r="Y251" s="1"/>
      <c r="Z251" s="1"/>
      <c r="AA251" s="1"/>
    </row>
    <row r="252" spans="13:27" x14ac:dyDescent="0.25">
      <c r="M252" s="1"/>
      <c r="N252" s="1"/>
      <c r="O252" s="1"/>
      <c r="P252" s="1"/>
      <c r="Q252" s="1"/>
      <c r="R252" s="1"/>
      <c r="S252" s="1"/>
      <c r="T252" s="1"/>
      <c r="U252" s="1"/>
      <c r="V252" s="1"/>
      <c r="W252" s="1"/>
      <c r="X252" s="1"/>
      <c r="Y252" s="1"/>
      <c r="Z252" s="1"/>
      <c r="AA252" s="1"/>
    </row>
    <row r="253" spans="13:27" x14ac:dyDescent="0.25">
      <c r="M253" s="1"/>
      <c r="N253" s="1"/>
      <c r="O253" s="1"/>
      <c r="P253" s="1"/>
      <c r="Q253" s="1"/>
      <c r="R253" s="1"/>
      <c r="S253" s="1"/>
      <c r="T253" s="1"/>
      <c r="U253" s="1"/>
      <c r="V253" s="1"/>
      <c r="W253" s="1"/>
      <c r="X253" s="1"/>
      <c r="Y253" s="1"/>
      <c r="Z253" s="1"/>
      <c r="AA253" s="1"/>
    </row>
    <row r="254" spans="13:27" x14ac:dyDescent="0.25">
      <c r="M254" s="1"/>
      <c r="N254" s="1"/>
      <c r="O254" s="1"/>
      <c r="P254" s="1"/>
      <c r="Q254" s="1"/>
      <c r="R254" s="1"/>
      <c r="S254" s="1"/>
      <c r="T254" s="1"/>
      <c r="U254" s="1"/>
      <c r="V254" s="1"/>
      <c r="W254" s="1"/>
      <c r="X254" s="1"/>
      <c r="Y254" s="1"/>
      <c r="Z254" s="1"/>
      <c r="AA254" s="1"/>
    </row>
    <row r="255" spans="13:27" x14ac:dyDescent="0.25">
      <c r="M255" s="1"/>
      <c r="N255" s="1"/>
      <c r="O255" s="1"/>
      <c r="P255" s="1"/>
      <c r="Q255" s="1"/>
      <c r="R255" s="1"/>
      <c r="S255" s="1"/>
      <c r="T255" s="1"/>
      <c r="U255" s="1"/>
      <c r="V255" s="1"/>
      <c r="W255" s="1"/>
      <c r="X255" s="1"/>
      <c r="Y255" s="1"/>
      <c r="Z255" s="1"/>
      <c r="AA255" s="1"/>
    </row>
    <row r="256" spans="13:27" x14ac:dyDescent="0.25">
      <c r="M256" s="1"/>
      <c r="N256" s="1"/>
      <c r="O256" s="1"/>
      <c r="P256" s="1"/>
      <c r="Q256" s="1"/>
      <c r="R256" s="1"/>
      <c r="S256" s="1"/>
      <c r="T256" s="1"/>
      <c r="U256" s="1"/>
      <c r="V256" s="1"/>
      <c r="W256" s="1"/>
      <c r="X256" s="1"/>
      <c r="Y256" s="1"/>
      <c r="Z256" s="1"/>
      <c r="AA256" s="1"/>
    </row>
    <row r="257" spans="13:27" x14ac:dyDescent="0.25">
      <c r="M257" s="1"/>
      <c r="N257" s="1"/>
      <c r="O257" s="1"/>
      <c r="P257" s="1"/>
      <c r="Q257" s="1"/>
      <c r="R257" s="1"/>
      <c r="S257" s="1"/>
      <c r="T257" s="1"/>
      <c r="U257" s="1"/>
      <c r="V257" s="1"/>
      <c r="W257" s="1"/>
      <c r="X257" s="1"/>
      <c r="Y257" s="1"/>
      <c r="Z257" s="1"/>
      <c r="AA257" s="1"/>
    </row>
    <row r="258" spans="13:27" x14ac:dyDescent="0.25">
      <c r="M258" s="1"/>
      <c r="N258" s="1"/>
      <c r="O258" s="1"/>
      <c r="P258" s="1"/>
      <c r="Q258" s="1"/>
      <c r="R258" s="1"/>
      <c r="S258" s="1"/>
      <c r="T258" s="1"/>
      <c r="U258" s="1"/>
      <c r="V258" s="1"/>
      <c r="W258" s="1"/>
      <c r="X258" s="1"/>
      <c r="Y258" s="1"/>
      <c r="Z258" s="1"/>
      <c r="AA258" s="1"/>
    </row>
    <row r="259" spans="13:27" x14ac:dyDescent="0.25">
      <c r="M259" s="1"/>
      <c r="N259" s="1"/>
      <c r="O259" s="1"/>
      <c r="P259" s="1"/>
      <c r="Q259" s="1"/>
      <c r="R259" s="1"/>
      <c r="S259" s="1"/>
      <c r="T259" s="1"/>
      <c r="U259" s="1"/>
      <c r="V259" s="1"/>
      <c r="W259" s="1"/>
      <c r="X259" s="1"/>
      <c r="Y259" s="1"/>
      <c r="Z259" s="1"/>
      <c r="AA259" s="1"/>
    </row>
    <row r="260" spans="13:27" x14ac:dyDescent="0.25">
      <c r="M260" s="1"/>
      <c r="N260" s="1"/>
      <c r="O260" s="1"/>
      <c r="P260" s="1"/>
      <c r="Q260" s="1"/>
      <c r="R260" s="1"/>
      <c r="S260" s="1"/>
      <c r="T260" s="1"/>
      <c r="U260" s="1"/>
      <c r="V260" s="1"/>
      <c r="W260" s="1"/>
      <c r="X260" s="1"/>
      <c r="Y260" s="1"/>
      <c r="Z260" s="1"/>
      <c r="AA260" s="1"/>
    </row>
    <row r="261" spans="13:27" x14ac:dyDescent="0.25">
      <c r="M261" s="1"/>
      <c r="N261" s="1"/>
      <c r="O261" s="1"/>
      <c r="P261" s="1"/>
      <c r="Q261" s="1"/>
      <c r="R261" s="1"/>
      <c r="S261" s="1"/>
      <c r="T261" s="1"/>
      <c r="U261" s="1"/>
      <c r="V261" s="1"/>
      <c r="W261" s="1"/>
      <c r="X261" s="1"/>
      <c r="Y261" s="1"/>
      <c r="Z261" s="1"/>
      <c r="AA261" s="1"/>
    </row>
    <row r="262" spans="13:27" x14ac:dyDescent="0.25">
      <c r="M262" s="1"/>
      <c r="N262" s="1"/>
      <c r="O262" s="1"/>
      <c r="P262" s="1"/>
      <c r="Q262" s="1"/>
      <c r="R262" s="1"/>
      <c r="S262" s="1"/>
      <c r="T262" s="1"/>
      <c r="U262" s="1"/>
      <c r="V262" s="1"/>
      <c r="W262" s="1"/>
      <c r="X262" s="1"/>
      <c r="Y262" s="1"/>
      <c r="Z262" s="1"/>
      <c r="AA262" s="1"/>
    </row>
    <row r="263" spans="13:27" x14ac:dyDescent="0.25">
      <c r="M263" s="1"/>
      <c r="N263" s="1"/>
      <c r="O263" s="1"/>
      <c r="P263" s="1"/>
      <c r="Q263" s="1"/>
      <c r="R263" s="1"/>
      <c r="S263" s="1"/>
      <c r="T263" s="1"/>
      <c r="U263" s="1"/>
      <c r="V263" s="1"/>
      <c r="W263" s="1"/>
      <c r="X263" s="1"/>
      <c r="Y263" s="1"/>
      <c r="Z263" s="1"/>
      <c r="AA263" s="1"/>
    </row>
    <row r="264" spans="13:27" x14ac:dyDescent="0.25">
      <c r="M264" s="1"/>
      <c r="N264" s="1"/>
      <c r="O264" s="1"/>
      <c r="P264" s="1"/>
      <c r="Q264" s="1"/>
      <c r="R264" s="1"/>
      <c r="S264" s="1"/>
      <c r="T264" s="1"/>
      <c r="U264" s="1"/>
      <c r="V264" s="1"/>
      <c r="W264" s="1"/>
      <c r="X264" s="1"/>
      <c r="Y264" s="1"/>
      <c r="Z264" s="1"/>
      <c r="AA264" s="1"/>
    </row>
    <row r="265" spans="13:27" x14ac:dyDescent="0.25">
      <c r="M265" s="1"/>
      <c r="N265" s="1"/>
      <c r="O265" s="1"/>
      <c r="P265" s="1"/>
      <c r="Q265" s="1"/>
      <c r="R265" s="1"/>
      <c r="S265" s="1"/>
      <c r="T265" s="1"/>
      <c r="U265" s="1"/>
      <c r="V265" s="1"/>
      <c r="W265" s="1"/>
      <c r="X265" s="1"/>
      <c r="Y265" s="1"/>
      <c r="Z265" s="1"/>
      <c r="AA265" s="1"/>
    </row>
    <row r="266" spans="13:27" x14ac:dyDescent="0.25">
      <c r="M266" s="1"/>
      <c r="N266" s="1"/>
      <c r="O266" s="1"/>
      <c r="P266" s="1"/>
      <c r="Q266" s="1"/>
      <c r="R266" s="1"/>
      <c r="S266" s="1"/>
      <c r="T266" s="1"/>
      <c r="U266" s="1"/>
      <c r="V266" s="1"/>
      <c r="W266" s="1"/>
      <c r="X266" s="1"/>
      <c r="Y266" s="1"/>
      <c r="Z266" s="1"/>
      <c r="AA266" s="1"/>
    </row>
    <row r="267" spans="13:27" x14ac:dyDescent="0.25">
      <c r="M267" s="1"/>
      <c r="N267" s="1"/>
      <c r="O267" s="1"/>
      <c r="P267" s="1"/>
      <c r="Q267" s="1"/>
      <c r="R267" s="1"/>
      <c r="S267" s="1"/>
      <c r="T267" s="1"/>
      <c r="U267" s="1"/>
      <c r="V267" s="1"/>
      <c r="W267" s="1"/>
      <c r="X267" s="1"/>
      <c r="Y267" s="1"/>
      <c r="Z267" s="1"/>
      <c r="AA267" s="1"/>
    </row>
    <row r="268" spans="13:27" x14ac:dyDescent="0.25">
      <c r="M268" s="1"/>
      <c r="N268" s="1"/>
      <c r="O268" s="1"/>
      <c r="P268" s="1"/>
      <c r="Q268" s="1"/>
      <c r="R268" s="1"/>
      <c r="S268" s="1"/>
      <c r="T268" s="1"/>
      <c r="U268" s="1"/>
      <c r="V268" s="1"/>
      <c r="W268" s="1"/>
      <c r="X268" s="1"/>
      <c r="Y268" s="1"/>
      <c r="Z268" s="1"/>
      <c r="AA268" s="1"/>
    </row>
    <row r="269" spans="13:27" x14ac:dyDescent="0.25">
      <c r="M269" s="1"/>
      <c r="N269" s="1"/>
      <c r="O269" s="1"/>
      <c r="P269" s="1"/>
      <c r="Q269" s="1"/>
      <c r="R269" s="1"/>
      <c r="S269" s="1"/>
      <c r="T269" s="1"/>
      <c r="U269" s="1"/>
      <c r="V269" s="1"/>
      <c r="W269" s="1"/>
      <c r="X269" s="1"/>
      <c r="Y269" s="1"/>
      <c r="Z269" s="1"/>
      <c r="AA269" s="1"/>
    </row>
    <row r="270" spans="13:27" x14ac:dyDescent="0.25">
      <c r="M270" s="1"/>
      <c r="N270" s="1"/>
      <c r="O270" s="1"/>
      <c r="P270" s="1"/>
      <c r="Q270" s="1"/>
      <c r="R270" s="1"/>
      <c r="S270" s="1"/>
      <c r="T270" s="1"/>
      <c r="U270" s="1"/>
      <c r="V270" s="1"/>
      <c r="W270" s="1"/>
      <c r="X270" s="1"/>
      <c r="Y270" s="1"/>
      <c r="Z270" s="1"/>
      <c r="AA270" s="1"/>
    </row>
    <row r="271" spans="13:27" x14ac:dyDescent="0.25">
      <c r="M271" s="1"/>
      <c r="N271" s="1"/>
      <c r="O271" s="1"/>
      <c r="P271" s="1"/>
      <c r="Q271" s="1"/>
      <c r="R271" s="1"/>
      <c r="S271" s="1"/>
      <c r="T271" s="1"/>
      <c r="U271" s="1"/>
      <c r="V271" s="1"/>
      <c r="W271" s="1"/>
      <c r="X271" s="1"/>
      <c r="Y271" s="1"/>
      <c r="Z271" s="1"/>
      <c r="AA271" s="1"/>
    </row>
    <row r="272" spans="13:27" x14ac:dyDescent="0.25">
      <c r="M272" s="1"/>
      <c r="N272" s="1"/>
      <c r="O272" s="1"/>
      <c r="P272" s="1"/>
      <c r="Q272" s="1"/>
      <c r="R272" s="1"/>
      <c r="S272" s="1"/>
      <c r="T272" s="1"/>
      <c r="U272" s="1"/>
      <c r="V272" s="1"/>
      <c r="W272" s="1"/>
      <c r="X272" s="1"/>
      <c r="Y272" s="1"/>
      <c r="Z272" s="1"/>
      <c r="AA272" s="1"/>
    </row>
    <row r="273" spans="13:27" x14ac:dyDescent="0.25">
      <c r="M273" s="1"/>
      <c r="N273" s="1"/>
      <c r="O273" s="1"/>
      <c r="P273" s="1"/>
      <c r="Q273" s="1"/>
      <c r="R273" s="1"/>
      <c r="S273" s="1"/>
      <c r="T273" s="1"/>
      <c r="U273" s="1"/>
      <c r="V273" s="1"/>
      <c r="W273" s="1"/>
      <c r="X273" s="1"/>
      <c r="Y273" s="1"/>
      <c r="Z273" s="1"/>
      <c r="AA273" s="1"/>
    </row>
    <row r="274" spans="13:27" x14ac:dyDescent="0.25">
      <c r="M274" s="1"/>
      <c r="N274" s="1"/>
      <c r="O274" s="1"/>
      <c r="P274" s="1"/>
      <c r="Q274" s="1"/>
      <c r="R274" s="1"/>
      <c r="S274" s="1"/>
      <c r="T274" s="1"/>
      <c r="U274" s="1"/>
      <c r="V274" s="1"/>
      <c r="W274" s="1"/>
      <c r="X274" s="1"/>
      <c r="Y274" s="1"/>
      <c r="Z274" s="1"/>
      <c r="AA274" s="1"/>
    </row>
    <row r="275" spans="13:27" x14ac:dyDescent="0.25">
      <c r="M275" s="1"/>
      <c r="N275" s="1"/>
      <c r="O275" s="1"/>
      <c r="P275" s="1"/>
      <c r="Q275" s="1"/>
      <c r="R275" s="1"/>
      <c r="S275" s="1"/>
      <c r="T275" s="1"/>
      <c r="U275" s="1"/>
      <c r="V275" s="1"/>
      <c r="W275" s="1"/>
      <c r="X275" s="1"/>
      <c r="Y275" s="1"/>
      <c r="Z275" s="1"/>
      <c r="AA275" s="1"/>
    </row>
    <row r="276" spans="13:27" x14ac:dyDescent="0.25">
      <c r="M276" s="1"/>
      <c r="N276" s="1"/>
      <c r="O276" s="1"/>
      <c r="P276" s="1"/>
      <c r="Q276" s="1"/>
      <c r="R276" s="1"/>
      <c r="S276" s="1"/>
      <c r="T276" s="1"/>
      <c r="U276" s="1"/>
      <c r="V276" s="1"/>
      <c r="W276" s="1"/>
      <c r="X276" s="1"/>
      <c r="Y276" s="1"/>
      <c r="Z276" s="1"/>
      <c r="AA276" s="1"/>
    </row>
    <row r="277" spans="13:27" x14ac:dyDescent="0.25">
      <c r="M277" s="1"/>
      <c r="N277" s="1"/>
      <c r="O277" s="1"/>
      <c r="P277" s="1"/>
      <c r="Q277" s="1"/>
      <c r="R277" s="1"/>
      <c r="S277" s="1"/>
      <c r="T277" s="1"/>
      <c r="U277" s="1"/>
      <c r="V277" s="1"/>
      <c r="W277" s="1"/>
      <c r="X277" s="1"/>
      <c r="Y277" s="1"/>
      <c r="Z277" s="1"/>
      <c r="AA277" s="1"/>
    </row>
    <row r="278" spans="13:27" x14ac:dyDescent="0.25">
      <c r="M278" s="1"/>
      <c r="N278" s="1"/>
      <c r="O278" s="1"/>
      <c r="P278" s="1"/>
      <c r="Q278" s="1"/>
      <c r="R278" s="1"/>
      <c r="S278" s="1"/>
      <c r="T278" s="1"/>
      <c r="U278" s="1"/>
      <c r="V278" s="1"/>
      <c r="W278" s="1"/>
      <c r="X278" s="1"/>
      <c r="Y278" s="1"/>
      <c r="Z278" s="1"/>
      <c r="AA278" s="1"/>
    </row>
    <row r="279" spans="13:27" x14ac:dyDescent="0.25">
      <c r="M279" s="1"/>
      <c r="N279" s="1"/>
      <c r="O279" s="1"/>
      <c r="P279" s="1"/>
      <c r="Q279" s="1"/>
      <c r="R279" s="1"/>
      <c r="S279" s="1"/>
      <c r="T279" s="1"/>
      <c r="U279" s="1"/>
      <c r="V279" s="1"/>
      <c r="W279" s="1"/>
      <c r="X279" s="1"/>
      <c r="Y279" s="1"/>
      <c r="Z279" s="1"/>
      <c r="AA279" s="1"/>
    </row>
    <row r="280" spans="13:27" x14ac:dyDescent="0.25">
      <c r="M280" s="1"/>
      <c r="N280" s="1"/>
      <c r="O280" s="1"/>
      <c r="P280" s="1"/>
      <c r="Q280" s="1"/>
      <c r="R280" s="1"/>
      <c r="S280" s="1"/>
      <c r="T280" s="1"/>
      <c r="U280" s="1"/>
      <c r="V280" s="1"/>
      <c r="W280" s="1"/>
      <c r="X280" s="1"/>
      <c r="Y280" s="1"/>
      <c r="Z280" s="1"/>
      <c r="AA280" s="1"/>
    </row>
    <row r="281" spans="13:27" x14ac:dyDescent="0.25">
      <c r="M281" s="1"/>
      <c r="N281" s="1"/>
      <c r="O281" s="1"/>
      <c r="P281" s="1"/>
      <c r="Q281" s="1"/>
      <c r="R281" s="1"/>
      <c r="S281" s="1"/>
      <c r="T281" s="1"/>
      <c r="U281" s="1"/>
      <c r="V281" s="1"/>
      <c r="W281" s="1"/>
      <c r="X281" s="1"/>
      <c r="Y281" s="1"/>
      <c r="Z281" s="1"/>
      <c r="AA281" s="1"/>
    </row>
    <row r="282" spans="13:27" x14ac:dyDescent="0.25">
      <c r="M282" s="1"/>
      <c r="N282" s="1"/>
      <c r="O282" s="1"/>
      <c r="P282" s="1"/>
      <c r="Q282" s="1"/>
      <c r="R282" s="1"/>
      <c r="S282" s="1"/>
      <c r="T282" s="1"/>
      <c r="U282" s="1"/>
      <c r="V282" s="1"/>
      <c r="W282" s="1"/>
      <c r="X282" s="1"/>
      <c r="Y282" s="1"/>
      <c r="Z282" s="1"/>
      <c r="AA282" s="1"/>
    </row>
    <row r="283" spans="13:27" x14ac:dyDescent="0.25">
      <c r="M283" s="1"/>
      <c r="N283" s="1"/>
      <c r="O283" s="1"/>
      <c r="P283" s="1"/>
      <c r="Q283" s="1"/>
      <c r="R283" s="1"/>
      <c r="S283" s="1"/>
      <c r="T283" s="1"/>
      <c r="U283" s="1"/>
      <c r="V283" s="1"/>
      <c r="W283" s="1"/>
      <c r="X283" s="1"/>
      <c r="Y283" s="1"/>
      <c r="Z283" s="1"/>
      <c r="AA283" s="1"/>
    </row>
    <row r="284" spans="13:27" x14ac:dyDescent="0.25">
      <c r="M284" s="1"/>
      <c r="N284" s="1"/>
      <c r="O284" s="1"/>
      <c r="P284" s="1"/>
      <c r="Q284" s="1"/>
      <c r="R284" s="1"/>
      <c r="S284" s="1"/>
      <c r="T284" s="1"/>
      <c r="U284" s="1"/>
      <c r="V284" s="1"/>
      <c r="W284" s="1"/>
      <c r="X284" s="1"/>
      <c r="Y284" s="1"/>
      <c r="Z284" s="1"/>
      <c r="AA284" s="1"/>
    </row>
    <row r="285" spans="13:27" x14ac:dyDescent="0.25">
      <c r="M285" s="1"/>
      <c r="N285" s="1"/>
      <c r="O285" s="1"/>
      <c r="P285" s="1"/>
      <c r="Q285" s="1"/>
      <c r="R285" s="1"/>
      <c r="S285" s="1"/>
      <c r="T285" s="1"/>
      <c r="U285" s="1"/>
      <c r="V285" s="1"/>
      <c r="W285" s="1"/>
      <c r="X285" s="1"/>
      <c r="Y285" s="1"/>
      <c r="Z285" s="1"/>
      <c r="AA285" s="1"/>
    </row>
    <row r="286" spans="13:27" x14ac:dyDescent="0.25">
      <c r="M286" s="1"/>
      <c r="N286" s="1"/>
      <c r="O286" s="1"/>
      <c r="P286" s="1"/>
      <c r="Q286" s="1"/>
      <c r="R286" s="1"/>
      <c r="S286" s="1"/>
      <c r="T286" s="1"/>
      <c r="U286" s="1"/>
      <c r="V286" s="1"/>
      <c r="W286" s="1"/>
      <c r="X286" s="1"/>
      <c r="Y286" s="1"/>
      <c r="Z286" s="1"/>
      <c r="AA286" s="1"/>
    </row>
    <row r="287" spans="13:27" x14ac:dyDescent="0.25">
      <c r="M287" s="1"/>
      <c r="N287" s="1"/>
      <c r="O287" s="1"/>
      <c r="P287" s="1"/>
      <c r="Q287" s="1"/>
      <c r="R287" s="1"/>
      <c r="S287" s="1"/>
      <c r="T287" s="1"/>
      <c r="U287" s="1"/>
      <c r="V287" s="1"/>
      <c r="W287" s="1"/>
      <c r="X287" s="1"/>
      <c r="Y287" s="1"/>
      <c r="Z287" s="1"/>
      <c r="AA287" s="1"/>
    </row>
    <row r="288" spans="13:27" x14ac:dyDescent="0.25">
      <c r="M288" s="1"/>
      <c r="N288" s="1"/>
      <c r="O288" s="1"/>
      <c r="P288" s="1"/>
      <c r="Q288" s="1"/>
      <c r="R288" s="1"/>
      <c r="S288" s="1"/>
      <c r="T288" s="1"/>
      <c r="U288" s="1"/>
      <c r="V288" s="1"/>
      <c r="W288" s="1"/>
      <c r="X288" s="1"/>
      <c r="Y288" s="1"/>
      <c r="Z288" s="1"/>
      <c r="AA288" s="1"/>
    </row>
    <row r="289" spans="13:27" x14ac:dyDescent="0.25">
      <c r="M289" s="1"/>
      <c r="N289" s="1"/>
      <c r="O289" s="1"/>
      <c r="P289" s="1"/>
      <c r="Q289" s="1"/>
      <c r="R289" s="1"/>
      <c r="S289" s="1"/>
      <c r="T289" s="1"/>
      <c r="U289" s="1"/>
      <c r="V289" s="1"/>
      <c r="W289" s="1"/>
      <c r="X289" s="1"/>
      <c r="Y289" s="1"/>
      <c r="Z289" s="1"/>
      <c r="AA289" s="1"/>
    </row>
    <row r="290" spans="13:27" x14ac:dyDescent="0.25">
      <c r="M290" s="1"/>
      <c r="N290" s="1"/>
      <c r="O290" s="1"/>
      <c r="P290" s="1"/>
      <c r="Q290" s="1"/>
      <c r="R290" s="1"/>
      <c r="S290" s="1"/>
      <c r="T290" s="1"/>
      <c r="U290" s="1"/>
      <c r="V290" s="1"/>
      <c r="W290" s="1"/>
      <c r="X290" s="1"/>
      <c r="Y290" s="1"/>
      <c r="Z290" s="1"/>
      <c r="AA290" s="1"/>
    </row>
    <row r="291" spans="13:27" x14ac:dyDescent="0.25">
      <c r="M291" s="1"/>
      <c r="N291" s="1"/>
      <c r="O291" s="1"/>
      <c r="P291" s="1"/>
      <c r="Q291" s="1"/>
      <c r="R291" s="1"/>
      <c r="S291" s="1"/>
      <c r="T291" s="1"/>
      <c r="U291" s="1"/>
      <c r="V291" s="1"/>
      <c r="W291" s="1"/>
      <c r="X291" s="1"/>
      <c r="Y291" s="1"/>
      <c r="Z291" s="1"/>
      <c r="AA291" s="1"/>
    </row>
    <row r="292" spans="13:27" x14ac:dyDescent="0.25">
      <c r="M292" s="1"/>
      <c r="N292" s="1"/>
      <c r="O292" s="1"/>
      <c r="P292" s="1"/>
      <c r="Q292" s="1"/>
      <c r="R292" s="1"/>
      <c r="S292" s="1"/>
      <c r="T292" s="1"/>
      <c r="U292" s="1"/>
      <c r="V292" s="1"/>
      <c r="W292" s="1"/>
      <c r="X292" s="1"/>
      <c r="Y292" s="1"/>
      <c r="Z292" s="1"/>
      <c r="AA292" s="1"/>
    </row>
    <row r="293" spans="13:27" x14ac:dyDescent="0.25">
      <c r="M293" s="1"/>
      <c r="N293" s="1"/>
      <c r="O293" s="1"/>
      <c r="P293" s="1"/>
      <c r="Q293" s="1"/>
      <c r="R293" s="1"/>
      <c r="S293" s="1"/>
      <c r="T293" s="1"/>
      <c r="U293" s="1"/>
      <c r="V293" s="1"/>
      <c r="W293" s="1"/>
      <c r="X293" s="1"/>
      <c r="Y293" s="1"/>
      <c r="Z293" s="1"/>
      <c r="AA293" s="1"/>
    </row>
    <row r="294" spans="13:27" x14ac:dyDescent="0.25">
      <c r="M294" s="1"/>
      <c r="N294" s="1"/>
      <c r="O294" s="1"/>
      <c r="P294" s="1"/>
      <c r="Q294" s="1"/>
      <c r="R294" s="1"/>
      <c r="S294" s="1"/>
      <c r="T294" s="1"/>
      <c r="U294" s="1"/>
      <c r="V294" s="1"/>
      <c r="W294" s="1"/>
      <c r="X294" s="1"/>
      <c r="Y294" s="1"/>
      <c r="Z294" s="1"/>
      <c r="AA294" s="1"/>
    </row>
    <row r="295" spans="13:27" x14ac:dyDescent="0.25">
      <c r="M295" s="1"/>
      <c r="N295" s="1"/>
      <c r="O295" s="1"/>
      <c r="P295" s="1"/>
      <c r="Q295" s="1"/>
      <c r="R295" s="1"/>
      <c r="S295" s="1"/>
      <c r="T295" s="1"/>
      <c r="U295" s="1"/>
      <c r="V295" s="1"/>
      <c r="W295" s="1"/>
      <c r="X295" s="1"/>
      <c r="Y295" s="1"/>
      <c r="Z295" s="1"/>
      <c r="AA295" s="1"/>
    </row>
    <row r="296" spans="13:27" x14ac:dyDescent="0.25">
      <c r="M296" s="1"/>
      <c r="N296" s="1"/>
      <c r="O296" s="1"/>
      <c r="P296" s="1"/>
      <c r="Q296" s="1"/>
      <c r="R296" s="1"/>
      <c r="S296" s="1"/>
      <c r="T296" s="1"/>
      <c r="U296" s="1"/>
      <c r="V296" s="1"/>
      <c r="W296" s="1"/>
      <c r="X296" s="1"/>
      <c r="Y296" s="1"/>
      <c r="Z296" s="1"/>
      <c r="AA296" s="1"/>
    </row>
    <row r="297" spans="13:27" x14ac:dyDescent="0.25">
      <c r="M297" s="1"/>
      <c r="N297" s="1"/>
      <c r="O297" s="1"/>
      <c r="P297" s="1"/>
      <c r="Q297" s="1"/>
      <c r="R297" s="1"/>
      <c r="S297" s="1"/>
      <c r="T297" s="1"/>
      <c r="U297" s="1"/>
      <c r="V297" s="1"/>
      <c r="W297" s="1"/>
      <c r="X297" s="1"/>
      <c r="Y297" s="1"/>
      <c r="Z297" s="1"/>
      <c r="AA297" s="1"/>
    </row>
    <row r="298" spans="13:27" x14ac:dyDescent="0.25">
      <c r="M298" s="1"/>
      <c r="N298" s="1"/>
      <c r="O298" s="1"/>
      <c r="P298" s="1"/>
      <c r="Q298" s="1"/>
      <c r="R298" s="1"/>
      <c r="S298" s="1"/>
      <c r="T298" s="1"/>
      <c r="U298" s="1"/>
      <c r="V298" s="1"/>
      <c r="W298" s="1"/>
      <c r="X298" s="1"/>
      <c r="Y298" s="1"/>
      <c r="Z298" s="1"/>
      <c r="AA298" s="1"/>
    </row>
    <row r="299" spans="13:27" x14ac:dyDescent="0.25">
      <c r="M299" s="1"/>
      <c r="N299" s="1"/>
      <c r="O299" s="1"/>
      <c r="P299" s="1"/>
      <c r="Q299" s="1"/>
      <c r="R299" s="1"/>
      <c r="S299" s="1"/>
      <c r="T299" s="1"/>
      <c r="U299" s="1"/>
      <c r="V299" s="1"/>
      <c r="W299" s="1"/>
      <c r="X299" s="1"/>
      <c r="Y299" s="1"/>
      <c r="Z299" s="1"/>
      <c r="AA299" s="1"/>
    </row>
    <row r="300" spans="13:27" x14ac:dyDescent="0.25">
      <c r="M300" s="1"/>
      <c r="N300" s="1"/>
      <c r="O300" s="1"/>
      <c r="P300" s="1"/>
      <c r="Q300" s="1"/>
      <c r="R300" s="1"/>
      <c r="S300" s="1"/>
      <c r="T300" s="1"/>
      <c r="U300" s="1"/>
      <c r="V300" s="1"/>
      <c r="W300" s="1"/>
      <c r="X300" s="1"/>
      <c r="Y300" s="1"/>
      <c r="Z300" s="1"/>
      <c r="AA300" s="1"/>
    </row>
    <row r="301" spans="13:27" x14ac:dyDescent="0.25">
      <c r="M301" s="1"/>
      <c r="N301" s="1"/>
      <c r="O301" s="1"/>
      <c r="P301" s="1"/>
      <c r="Q301" s="1"/>
      <c r="R301" s="1"/>
      <c r="S301" s="1"/>
      <c r="T301" s="1"/>
      <c r="U301" s="1"/>
      <c r="V301" s="1"/>
      <c r="W301" s="1"/>
      <c r="X301" s="1"/>
      <c r="Y301" s="1"/>
      <c r="Z301" s="1"/>
      <c r="AA301" s="1"/>
    </row>
    <row r="302" spans="13:27" x14ac:dyDescent="0.25">
      <c r="M302" s="1"/>
      <c r="N302" s="1"/>
      <c r="O302" s="1"/>
      <c r="P302" s="1"/>
      <c r="Q302" s="1"/>
      <c r="R302" s="1"/>
      <c r="S302" s="1"/>
      <c r="T302" s="1"/>
      <c r="U302" s="1"/>
      <c r="V302" s="1"/>
      <c r="W302" s="1"/>
      <c r="X302" s="1"/>
      <c r="Y302" s="1"/>
      <c r="Z302" s="1"/>
      <c r="AA302" s="1"/>
    </row>
    <row r="303" spans="13:27" x14ac:dyDescent="0.25">
      <c r="M303" s="1"/>
      <c r="N303" s="1"/>
      <c r="O303" s="1"/>
      <c r="P303" s="1"/>
      <c r="Q303" s="1"/>
      <c r="R303" s="1"/>
      <c r="S303" s="1"/>
      <c r="T303" s="1"/>
      <c r="U303" s="1"/>
      <c r="V303" s="1"/>
      <c r="W303" s="1"/>
      <c r="X303" s="1"/>
      <c r="Y303" s="1"/>
      <c r="Z303" s="1"/>
      <c r="AA303" s="1"/>
    </row>
    <row r="304" spans="13:27" x14ac:dyDescent="0.25">
      <c r="M304" s="1"/>
      <c r="N304" s="1"/>
      <c r="O304" s="1"/>
      <c r="P304" s="1"/>
      <c r="Q304" s="1"/>
      <c r="R304" s="1"/>
      <c r="S304" s="1"/>
      <c r="T304" s="1"/>
      <c r="U304" s="1"/>
      <c r="V304" s="1"/>
      <c r="W304" s="1"/>
      <c r="X304" s="1"/>
      <c r="Y304" s="1"/>
      <c r="Z304" s="1"/>
      <c r="AA304" s="1"/>
    </row>
    <row r="305" spans="13:27" x14ac:dyDescent="0.25">
      <c r="M305" s="1"/>
      <c r="N305" s="1"/>
      <c r="O305" s="1"/>
      <c r="P305" s="1"/>
      <c r="Q305" s="1"/>
      <c r="R305" s="1"/>
      <c r="S305" s="1"/>
      <c r="T305" s="1"/>
      <c r="U305" s="1"/>
      <c r="V305" s="1"/>
      <c r="W305" s="1"/>
      <c r="X305" s="1"/>
      <c r="Y305" s="1"/>
      <c r="Z305" s="1"/>
      <c r="AA305" s="1"/>
    </row>
    <row r="306" spans="13:27" x14ac:dyDescent="0.25">
      <c r="M306" s="1"/>
      <c r="N306" s="1"/>
      <c r="O306" s="1"/>
      <c r="P306" s="1"/>
      <c r="Q306" s="1"/>
      <c r="R306" s="1"/>
      <c r="S306" s="1"/>
      <c r="T306" s="1"/>
      <c r="U306" s="1"/>
      <c r="V306" s="1"/>
      <c r="W306" s="1"/>
      <c r="X306" s="1"/>
      <c r="Y306" s="1"/>
      <c r="Z306" s="1"/>
      <c r="AA306" s="1"/>
    </row>
    <row r="307" spans="13:27" x14ac:dyDescent="0.25">
      <c r="M307" s="1"/>
      <c r="N307" s="1"/>
      <c r="O307" s="1"/>
      <c r="P307" s="1"/>
      <c r="Q307" s="1"/>
      <c r="R307" s="1"/>
      <c r="S307" s="1"/>
      <c r="T307" s="1"/>
      <c r="U307" s="1"/>
      <c r="V307" s="1"/>
      <c r="W307" s="1"/>
      <c r="X307" s="1"/>
      <c r="Y307" s="1"/>
      <c r="Z307" s="1"/>
      <c r="AA307" s="1"/>
    </row>
    <row r="308" spans="13:27" x14ac:dyDescent="0.25">
      <c r="M308" s="1"/>
      <c r="N308" s="1"/>
      <c r="O308" s="1"/>
      <c r="P308" s="1"/>
      <c r="Q308" s="1"/>
      <c r="R308" s="1"/>
      <c r="S308" s="1"/>
      <c r="T308" s="1"/>
      <c r="U308" s="1"/>
      <c r="V308" s="1"/>
      <c r="W308" s="1"/>
      <c r="X308" s="1"/>
      <c r="Y308" s="1"/>
      <c r="Z308" s="1"/>
      <c r="AA308" s="1"/>
    </row>
    <row r="309" spans="13:27" x14ac:dyDescent="0.25">
      <c r="M309" s="1"/>
      <c r="N309" s="1"/>
      <c r="O309" s="1"/>
      <c r="P309" s="1"/>
      <c r="Q309" s="1"/>
      <c r="R309" s="1"/>
      <c r="S309" s="1"/>
      <c r="T309" s="1"/>
      <c r="U309" s="1"/>
      <c r="V309" s="1"/>
      <c r="W309" s="1"/>
      <c r="X309" s="1"/>
      <c r="Y309" s="1"/>
      <c r="Z309" s="1"/>
      <c r="AA309" s="1"/>
    </row>
    <row r="310" spans="13:27" x14ac:dyDescent="0.25">
      <c r="M310" s="1"/>
      <c r="N310" s="1"/>
      <c r="O310" s="1"/>
      <c r="P310" s="1"/>
      <c r="Q310" s="1"/>
      <c r="R310" s="1"/>
      <c r="S310" s="1"/>
      <c r="T310" s="1"/>
      <c r="U310" s="1"/>
      <c r="V310" s="1"/>
      <c r="W310" s="1"/>
      <c r="X310" s="1"/>
      <c r="Y310" s="1"/>
      <c r="Z310" s="1"/>
      <c r="AA310" s="1"/>
    </row>
    <row r="311" spans="13:27" x14ac:dyDescent="0.25">
      <c r="M311" s="1"/>
      <c r="N311" s="1"/>
      <c r="O311" s="1"/>
      <c r="P311" s="1"/>
      <c r="Q311" s="1"/>
      <c r="R311" s="1"/>
      <c r="S311" s="1"/>
      <c r="T311" s="1"/>
      <c r="U311" s="1"/>
      <c r="V311" s="1"/>
      <c r="W311" s="1"/>
      <c r="X311" s="1"/>
      <c r="Y311" s="1"/>
      <c r="Z311" s="1"/>
      <c r="AA311" s="1"/>
    </row>
    <row r="312" spans="13:27" x14ac:dyDescent="0.25">
      <c r="M312" s="1"/>
      <c r="N312" s="1"/>
      <c r="O312" s="1"/>
      <c r="P312" s="1"/>
      <c r="Q312" s="1"/>
      <c r="R312" s="1"/>
      <c r="S312" s="1"/>
      <c r="T312" s="1"/>
      <c r="U312" s="1"/>
      <c r="V312" s="1"/>
      <c r="W312" s="1"/>
      <c r="X312" s="1"/>
      <c r="Y312" s="1"/>
      <c r="Z312" s="1"/>
      <c r="AA312" s="1"/>
    </row>
    <row r="313" spans="13:27" x14ac:dyDescent="0.25">
      <c r="M313" s="1"/>
      <c r="N313" s="1"/>
      <c r="O313" s="1"/>
      <c r="P313" s="1"/>
      <c r="Q313" s="1"/>
      <c r="R313" s="1"/>
      <c r="S313" s="1"/>
      <c r="T313" s="1"/>
      <c r="U313" s="1"/>
      <c r="V313" s="1"/>
      <c r="W313" s="1"/>
      <c r="X313" s="1"/>
      <c r="Y313" s="1"/>
      <c r="Z313" s="1"/>
      <c r="AA313" s="1"/>
    </row>
    <row r="314" spans="13:27" x14ac:dyDescent="0.25">
      <c r="M314" s="1"/>
      <c r="N314" s="1"/>
      <c r="O314" s="1"/>
      <c r="P314" s="1"/>
      <c r="Q314" s="1"/>
      <c r="R314" s="1"/>
      <c r="S314" s="1"/>
      <c r="T314" s="1"/>
      <c r="U314" s="1"/>
      <c r="V314" s="1"/>
      <c r="W314" s="1"/>
      <c r="X314" s="1"/>
      <c r="Y314" s="1"/>
      <c r="Z314" s="1"/>
      <c r="AA314" s="1"/>
    </row>
    <row r="315" spans="13:27" x14ac:dyDescent="0.25">
      <c r="M315" s="1"/>
      <c r="N315" s="1"/>
      <c r="O315" s="1"/>
      <c r="P315" s="1"/>
      <c r="Q315" s="1"/>
      <c r="R315" s="1"/>
      <c r="S315" s="1"/>
      <c r="T315" s="1"/>
      <c r="U315" s="1"/>
      <c r="V315" s="1"/>
      <c r="W315" s="1"/>
      <c r="X315" s="1"/>
      <c r="Y315" s="1"/>
      <c r="Z315" s="1"/>
      <c r="AA315" s="1"/>
    </row>
    <row r="316" spans="13:27" x14ac:dyDescent="0.25">
      <c r="M316" s="1"/>
      <c r="N316" s="1"/>
      <c r="O316" s="1"/>
      <c r="P316" s="1"/>
      <c r="Q316" s="1"/>
      <c r="R316" s="1"/>
      <c r="S316" s="1"/>
      <c r="T316" s="1"/>
      <c r="U316" s="1"/>
      <c r="V316" s="1"/>
      <c r="W316" s="1"/>
      <c r="X316" s="1"/>
      <c r="Y316" s="1"/>
      <c r="Z316" s="1"/>
      <c r="AA316" s="1"/>
    </row>
    <row r="317" spans="13:27" x14ac:dyDescent="0.25">
      <c r="M317" s="1"/>
      <c r="N317" s="1"/>
      <c r="O317" s="1"/>
      <c r="P317" s="1"/>
      <c r="Q317" s="1"/>
      <c r="R317" s="1"/>
      <c r="S317" s="1"/>
      <c r="T317" s="1"/>
      <c r="U317" s="1"/>
      <c r="V317" s="1"/>
      <c r="W317" s="1"/>
      <c r="X317" s="1"/>
      <c r="Y317" s="1"/>
      <c r="Z317" s="1"/>
      <c r="AA317" s="1"/>
    </row>
    <row r="318" spans="13:27" x14ac:dyDescent="0.25">
      <c r="M318" s="1"/>
      <c r="N318" s="1"/>
      <c r="O318" s="1"/>
      <c r="P318" s="1"/>
      <c r="Q318" s="1"/>
      <c r="R318" s="1"/>
      <c r="S318" s="1"/>
      <c r="T318" s="1"/>
      <c r="U318" s="1"/>
      <c r="V318" s="1"/>
      <c r="W318" s="1"/>
      <c r="X318" s="1"/>
      <c r="Y318" s="1"/>
      <c r="Z318" s="1"/>
      <c r="AA318" s="1"/>
    </row>
    <row r="319" spans="13:27" x14ac:dyDescent="0.25">
      <c r="M319" s="1"/>
      <c r="N319" s="1"/>
      <c r="O319" s="1"/>
      <c r="P319" s="1"/>
      <c r="Q319" s="1"/>
      <c r="R319" s="1"/>
      <c r="S319" s="1"/>
      <c r="T319" s="1"/>
      <c r="U319" s="1"/>
      <c r="V319" s="1"/>
      <c r="W319" s="1"/>
      <c r="X319" s="1"/>
      <c r="Y319" s="1"/>
      <c r="Z319" s="1"/>
      <c r="AA319" s="1"/>
    </row>
    <row r="320" spans="13:27" x14ac:dyDescent="0.25">
      <c r="M320" s="1"/>
      <c r="N320" s="1"/>
      <c r="O320" s="1"/>
      <c r="P320" s="1"/>
      <c r="Q320" s="1"/>
      <c r="R320" s="1"/>
      <c r="S320" s="1"/>
      <c r="T320" s="1"/>
      <c r="U320" s="1"/>
      <c r="V320" s="1"/>
      <c r="W320" s="1"/>
      <c r="X320" s="1"/>
      <c r="Y320" s="1"/>
      <c r="Z320" s="1"/>
      <c r="AA320" s="1"/>
    </row>
    <row r="321" spans="13:27" x14ac:dyDescent="0.25">
      <c r="M321" s="1"/>
      <c r="N321" s="1"/>
      <c r="O321" s="1"/>
      <c r="P321" s="1"/>
      <c r="Q321" s="1"/>
      <c r="R321" s="1"/>
      <c r="S321" s="1"/>
      <c r="T321" s="1"/>
      <c r="U321" s="1"/>
      <c r="V321" s="1"/>
      <c r="W321" s="1"/>
      <c r="X321" s="1"/>
      <c r="Y321" s="1"/>
      <c r="Z321" s="1"/>
      <c r="AA321" s="1"/>
    </row>
    <row r="322" spans="13:27" x14ac:dyDescent="0.25">
      <c r="M322" s="1"/>
      <c r="N322" s="1"/>
      <c r="O322" s="1"/>
      <c r="P322" s="1"/>
      <c r="Q322" s="1"/>
      <c r="R322" s="1"/>
      <c r="S322" s="1"/>
      <c r="T322" s="1"/>
      <c r="U322" s="1"/>
      <c r="V322" s="1"/>
      <c r="W322" s="1"/>
      <c r="X322" s="1"/>
      <c r="Y322" s="1"/>
      <c r="Z322" s="1"/>
      <c r="AA322" s="1"/>
    </row>
    <row r="323" spans="13:27" x14ac:dyDescent="0.25">
      <c r="M323" s="1"/>
      <c r="N323" s="1"/>
      <c r="O323" s="1"/>
      <c r="P323" s="1"/>
      <c r="Q323" s="1"/>
      <c r="R323" s="1"/>
      <c r="S323" s="1"/>
      <c r="T323" s="1"/>
      <c r="U323" s="1"/>
      <c r="V323" s="1"/>
      <c r="W323" s="1"/>
      <c r="X323" s="1"/>
      <c r="Y323" s="1"/>
      <c r="Z323" s="1"/>
      <c r="AA323" s="1"/>
    </row>
    <row r="324" spans="13:27" x14ac:dyDescent="0.25">
      <c r="M324" s="1"/>
      <c r="N324" s="1"/>
      <c r="O324" s="1"/>
      <c r="P324" s="1"/>
      <c r="Q324" s="1"/>
      <c r="R324" s="1"/>
      <c r="S324" s="1"/>
      <c r="T324" s="1"/>
      <c r="U324" s="1"/>
      <c r="V324" s="1"/>
      <c r="W324" s="1"/>
      <c r="X324" s="1"/>
      <c r="Y324" s="1"/>
      <c r="Z324" s="1"/>
      <c r="AA324" s="1"/>
    </row>
    <row r="325" spans="13:27" x14ac:dyDescent="0.25">
      <c r="M325" s="1"/>
      <c r="N325" s="1"/>
      <c r="O325" s="1"/>
      <c r="P325" s="1"/>
      <c r="Q325" s="1"/>
      <c r="R325" s="1"/>
      <c r="S325" s="1"/>
      <c r="T325" s="1"/>
      <c r="U325" s="1"/>
      <c r="V325" s="1"/>
      <c r="W325" s="1"/>
      <c r="X325" s="1"/>
      <c r="Y325" s="1"/>
      <c r="Z325" s="1"/>
      <c r="AA325" s="1"/>
    </row>
    <row r="326" spans="13:27" x14ac:dyDescent="0.25">
      <c r="M326" s="1"/>
      <c r="N326" s="1"/>
      <c r="O326" s="1"/>
      <c r="P326" s="1"/>
      <c r="Q326" s="1"/>
      <c r="R326" s="1"/>
      <c r="S326" s="1"/>
      <c r="T326" s="1"/>
      <c r="U326" s="1"/>
      <c r="V326" s="1"/>
      <c r="W326" s="1"/>
      <c r="X326" s="1"/>
      <c r="Y326" s="1"/>
      <c r="Z326" s="1"/>
      <c r="AA326" s="1"/>
    </row>
    <row r="327" spans="13:27" x14ac:dyDescent="0.25">
      <c r="M327" s="1"/>
      <c r="N327" s="1"/>
      <c r="O327" s="1"/>
      <c r="P327" s="1"/>
      <c r="Q327" s="1"/>
      <c r="R327" s="1"/>
      <c r="S327" s="1"/>
      <c r="T327" s="1"/>
      <c r="U327" s="1"/>
      <c r="V327" s="1"/>
      <c r="W327" s="1"/>
      <c r="X327" s="1"/>
      <c r="Y327" s="1"/>
      <c r="Z327" s="1"/>
      <c r="AA327" s="1"/>
    </row>
    <row r="328" spans="13:27" x14ac:dyDescent="0.25">
      <c r="M328" s="1"/>
      <c r="N328" s="1"/>
      <c r="O328" s="1"/>
      <c r="P328" s="1"/>
      <c r="Q328" s="1"/>
      <c r="R328" s="1"/>
      <c r="S328" s="1"/>
      <c r="T328" s="1"/>
      <c r="U328" s="1"/>
      <c r="V328" s="1"/>
      <c r="W328" s="1"/>
      <c r="X328" s="1"/>
      <c r="Y328" s="1"/>
      <c r="Z328" s="1"/>
      <c r="AA328" s="1"/>
    </row>
    <row r="329" spans="13:27" x14ac:dyDescent="0.25">
      <c r="M329" s="1"/>
      <c r="N329" s="1"/>
      <c r="O329" s="1"/>
      <c r="P329" s="1"/>
      <c r="Q329" s="1"/>
      <c r="R329" s="1"/>
      <c r="S329" s="1"/>
      <c r="T329" s="1"/>
      <c r="U329" s="1"/>
      <c r="V329" s="1"/>
      <c r="W329" s="1"/>
      <c r="X329" s="1"/>
      <c r="Y329" s="1"/>
      <c r="Z329" s="1"/>
      <c r="AA329" s="1"/>
    </row>
    <row r="330" spans="13:27" x14ac:dyDescent="0.25">
      <c r="M330" s="1"/>
      <c r="N330" s="1"/>
      <c r="O330" s="1"/>
      <c r="P330" s="1"/>
      <c r="Q330" s="1"/>
      <c r="R330" s="1"/>
      <c r="S330" s="1"/>
      <c r="T330" s="1"/>
      <c r="U330" s="1"/>
      <c r="V330" s="1"/>
      <c r="W330" s="1"/>
      <c r="X330" s="1"/>
      <c r="Y330" s="1"/>
      <c r="Z330" s="1"/>
      <c r="AA330" s="1"/>
    </row>
    <row r="331" spans="13:27" x14ac:dyDescent="0.25">
      <c r="M331" s="1"/>
      <c r="N331" s="1"/>
      <c r="O331" s="1"/>
      <c r="P331" s="1"/>
      <c r="Q331" s="1"/>
      <c r="R331" s="1"/>
      <c r="S331" s="1"/>
      <c r="T331" s="1"/>
      <c r="U331" s="1"/>
      <c r="V331" s="1"/>
      <c r="W331" s="1"/>
      <c r="X331" s="1"/>
      <c r="Y331" s="1"/>
      <c r="Z331" s="1"/>
      <c r="AA331" s="1"/>
    </row>
    <row r="332" spans="13:27" x14ac:dyDescent="0.25">
      <c r="M332" s="1"/>
      <c r="N332" s="1"/>
      <c r="O332" s="1"/>
      <c r="P332" s="1"/>
      <c r="Q332" s="1"/>
      <c r="R332" s="1"/>
      <c r="S332" s="1"/>
      <c r="T332" s="1"/>
      <c r="U332" s="1"/>
      <c r="V332" s="1"/>
      <c r="W332" s="1"/>
      <c r="X332" s="1"/>
      <c r="Y332" s="1"/>
      <c r="Z332" s="1"/>
      <c r="AA332" s="1"/>
    </row>
    <row r="333" spans="13:27" x14ac:dyDescent="0.25">
      <c r="M333" s="1"/>
      <c r="N333" s="1"/>
      <c r="O333" s="1"/>
      <c r="P333" s="1"/>
      <c r="Q333" s="1"/>
      <c r="R333" s="1"/>
      <c r="S333" s="1"/>
      <c r="T333" s="1"/>
      <c r="U333" s="1"/>
      <c r="V333" s="1"/>
      <c r="W333" s="1"/>
      <c r="X333" s="1"/>
      <c r="Y333" s="1"/>
      <c r="Z333" s="1"/>
      <c r="AA333" s="1"/>
    </row>
    <row r="334" spans="13:27" x14ac:dyDescent="0.25">
      <c r="M334" s="1"/>
      <c r="N334" s="1"/>
      <c r="O334" s="1"/>
      <c r="P334" s="1"/>
      <c r="Q334" s="1"/>
      <c r="R334" s="1"/>
      <c r="S334" s="1"/>
      <c r="T334" s="1"/>
      <c r="U334" s="1"/>
      <c r="V334" s="1"/>
      <c r="W334" s="1"/>
      <c r="X334" s="1"/>
      <c r="Y334" s="1"/>
      <c r="Z334" s="1"/>
      <c r="AA334" s="1"/>
    </row>
    <row r="335" spans="13:27" x14ac:dyDescent="0.25">
      <c r="M335" s="1"/>
      <c r="N335" s="1"/>
      <c r="O335" s="1"/>
      <c r="P335" s="1"/>
      <c r="Q335" s="1"/>
      <c r="R335" s="1"/>
      <c r="S335" s="1"/>
      <c r="T335" s="1"/>
      <c r="U335" s="1"/>
      <c r="V335" s="1"/>
      <c r="W335" s="1"/>
      <c r="X335" s="1"/>
      <c r="Y335" s="1"/>
      <c r="Z335" s="1"/>
      <c r="AA335" s="1"/>
    </row>
    <row r="336" spans="13:27" x14ac:dyDescent="0.25">
      <c r="M336" s="1"/>
      <c r="N336" s="1"/>
      <c r="O336" s="1"/>
      <c r="P336" s="1"/>
      <c r="Q336" s="1"/>
      <c r="R336" s="1"/>
      <c r="S336" s="1"/>
      <c r="T336" s="1"/>
      <c r="U336" s="1"/>
      <c r="V336" s="1"/>
      <c r="W336" s="1"/>
      <c r="X336" s="1"/>
      <c r="Y336" s="1"/>
      <c r="Z336" s="1"/>
      <c r="AA336" s="1"/>
    </row>
    <row r="337" spans="13:27" x14ac:dyDescent="0.25">
      <c r="M337" s="1"/>
      <c r="N337" s="1"/>
      <c r="O337" s="1"/>
      <c r="P337" s="1"/>
      <c r="Q337" s="1"/>
      <c r="R337" s="1"/>
      <c r="S337" s="1"/>
      <c r="T337" s="1"/>
      <c r="U337" s="1"/>
      <c r="V337" s="1"/>
      <c r="W337" s="1"/>
      <c r="X337" s="1"/>
      <c r="Y337" s="1"/>
      <c r="Z337" s="1"/>
      <c r="AA337" s="1"/>
    </row>
    <row r="338" spans="13:27" x14ac:dyDescent="0.25">
      <c r="M338" s="1"/>
      <c r="N338" s="1"/>
      <c r="O338" s="1"/>
      <c r="P338" s="1"/>
      <c r="Q338" s="1"/>
      <c r="R338" s="1"/>
      <c r="S338" s="1"/>
      <c r="T338" s="1"/>
      <c r="U338" s="1"/>
      <c r="V338" s="1"/>
      <c r="W338" s="1"/>
      <c r="X338" s="1"/>
      <c r="Y338" s="1"/>
      <c r="Z338" s="1"/>
      <c r="AA338" s="1"/>
    </row>
    <row r="339" spans="13:27" x14ac:dyDescent="0.25">
      <c r="M339" s="1"/>
      <c r="N339" s="1"/>
      <c r="O339" s="1"/>
      <c r="P339" s="1"/>
      <c r="Q339" s="1"/>
      <c r="R339" s="1"/>
      <c r="S339" s="1"/>
      <c r="T339" s="1"/>
      <c r="U339" s="1"/>
      <c r="V339" s="1"/>
      <c r="W339" s="1"/>
      <c r="X339" s="1"/>
      <c r="Y339" s="1"/>
      <c r="Z339" s="1"/>
      <c r="AA339" s="1"/>
    </row>
    <row r="340" spans="13:27" x14ac:dyDescent="0.25">
      <c r="M340" s="1"/>
      <c r="N340" s="1"/>
      <c r="O340" s="1"/>
      <c r="P340" s="1"/>
      <c r="Q340" s="1"/>
      <c r="R340" s="1"/>
      <c r="S340" s="1"/>
      <c r="T340" s="1"/>
      <c r="U340" s="1"/>
      <c r="V340" s="1"/>
      <c r="W340" s="1"/>
      <c r="X340" s="1"/>
      <c r="Y340" s="1"/>
      <c r="Z340" s="1"/>
      <c r="AA340" s="1"/>
    </row>
    <row r="341" spans="13:27" x14ac:dyDescent="0.25">
      <c r="M341" s="1"/>
      <c r="N341" s="1"/>
      <c r="O341" s="1"/>
      <c r="P341" s="1"/>
      <c r="Q341" s="1"/>
      <c r="R341" s="1"/>
      <c r="S341" s="1"/>
      <c r="T341" s="1"/>
      <c r="U341" s="1"/>
      <c r="V341" s="1"/>
      <c r="W341" s="1"/>
      <c r="X341" s="1"/>
      <c r="Y341" s="1"/>
      <c r="Z341" s="1"/>
      <c r="AA341" s="1"/>
    </row>
    <row r="342" spans="13:27" x14ac:dyDescent="0.25">
      <c r="M342" s="1"/>
      <c r="N342" s="1"/>
      <c r="O342" s="1"/>
      <c r="P342" s="1"/>
      <c r="Q342" s="1"/>
      <c r="R342" s="1"/>
      <c r="S342" s="1"/>
      <c r="T342" s="1"/>
      <c r="U342" s="1"/>
      <c r="V342" s="1"/>
      <c r="W342" s="1"/>
      <c r="X342" s="1"/>
      <c r="Y342" s="1"/>
      <c r="Z342" s="1"/>
      <c r="AA342" s="1"/>
    </row>
    <row r="343" spans="13:27" x14ac:dyDescent="0.25">
      <c r="M343" s="1"/>
      <c r="N343" s="1"/>
      <c r="O343" s="1"/>
      <c r="P343" s="1"/>
      <c r="Q343" s="1"/>
      <c r="R343" s="1"/>
      <c r="S343" s="1"/>
      <c r="T343" s="1"/>
      <c r="U343" s="1"/>
      <c r="V343" s="1"/>
      <c r="W343" s="1"/>
      <c r="X343" s="1"/>
      <c r="Y343" s="1"/>
      <c r="Z343" s="1"/>
      <c r="AA343" s="1"/>
    </row>
    <row r="344" spans="13:27" x14ac:dyDescent="0.25">
      <c r="M344" s="1"/>
      <c r="N344" s="1"/>
      <c r="O344" s="1"/>
      <c r="P344" s="1"/>
      <c r="Q344" s="1"/>
      <c r="R344" s="1"/>
      <c r="S344" s="1"/>
      <c r="T344" s="1"/>
      <c r="U344" s="1"/>
      <c r="V344" s="1"/>
      <c r="W344" s="1"/>
      <c r="X344" s="1"/>
      <c r="Y344" s="1"/>
      <c r="Z344" s="1"/>
      <c r="AA344" s="1"/>
    </row>
    <row r="345" spans="13:27" x14ac:dyDescent="0.25">
      <c r="M345" s="1"/>
      <c r="N345" s="1"/>
      <c r="O345" s="1"/>
      <c r="P345" s="1"/>
      <c r="Q345" s="1"/>
      <c r="R345" s="1"/>
      <c r="S345" s="1"/>
      <c r="T345" s="1"/>
      <c r="U345" s="1"/>
      <c r="V345" s="1"/>
      <c r="W345" s="1"/>
      <c r="X345" s="1"/>
      <c r="Y345" s="1"/>
      <c r="Z345" s="1"/>
      <c r="AA345" s="1"/>
    </row>
    <row r="346" spans="13:27" x14ac:dyDescent="0.25">
      <c r="M346" s="1"/>
      <c r="N346" s="1"/>
      <c r="O346" s="1"/>
      <c r="P346" s="1"/>
      <c r="Q346" s="1"/>
      <c r="R346" s="1"/>
      <c r="S346" s="1"/>
      <c r="T346" s="1"/>
      <c r="U346" s="1"/>
      <c r="V346" s="1"/>
      <c r="W346" s="1"/>
      <c r="X346" s="1"/>
      <c r="Y346" s="1"/>
      <c r="Z346" s="1"/>
      <c r="AA346" s="1"/>
    </row>
    <row r="347" spans="13:27" x14ac:dyDescent="0.25">
      <c r="M347" s="1"/>
      <c r="N347" s="1"/>
      <c r="O347" s="1"/>
      <c r="P347" s="1"/>
      <c r="Q347" s="1"/>
      <c r="R347" s="1"/>
      <c r="S347" s="1"/>
      <c r="T347" s="1"/>
      <c r="U347" s="1"/>
      <c r="V347" s="1"/>
      <c r="W347" s="1"/>
      <c r="X347" s="1"/>
      <c r="Y347" s="1"/>
      <c r="Z347" s="1"/>
      <c r="AA347" s="1"/>
    </row>
    <row r="348" spans="13:27" x14ac:dyDescent="0.25">
      <c r="M348" s="1"/>
      <c r="N348" s="1"/>
      <c r="O348" s="1"/>
      <c r="P348" s="1"/>
      <c r="Q348" s="1"/>
      <c r="R348" s="1"/>
      <c r="S348" s="1"/>
      <c r="T348" s="1"/>
      <c r="U348" s="1"/>
      <c r="V348" s="1"/>
      <c r="W348" s="1"/>
      <c r="X348" s="1"/>
      <c r="Y348" s="1"/>
      <c r="Z348" s="1"/>
      <c r="AA348" s="1"/>
    </row>
    <row r="349" spans="13:27" x14ac:dyDescent="0.25">
      <c r="M349" s="1"/>
      <c r="N349" s="1"/>
      <c r="O349" s="1"/>
      <c r="P349" s="1"/>
      <c r="Q349" s="1"/>
      <c r="R349" s="1"/>
      <c r="S349" s="1"/>
      <c r="T349" s="1"/>
      <c r="U349" s="1"/>
      <c r="V349" s="1"/>
      <c r="W349" s="1"/>
      <c r="X349" s="1"/>
      <c r="Y349" s="1"/>
      <c r="Z349" s="1"/>
      <c r="AA349" s="1"/>
    </row>
    <row r="350" spans="13:27" x14ac:dyDescent="0.25">
      <c r="M350" s="1"/>
      <c r="N350" s="1"/>
      <c r="O350" s="1"/>
      <c r="P350" s="1"/>
      <c r="Q350" s="1"/>
      <c r="R350" s="1"/>
      <c r="S350" s="1"/>
      <c r="T350" s="1"/>
      <c r="U350" s="1"/>
      <c r="V350" s="1"/>
      <c r="W350" s="1"/>
      <c r="X350" s="1"/>
      <c r="Y350" s="1"/>
      <c r="Z350" s="1"/>
      <c r="AA350" s="1"/>
    </row>
    <row r="351" spans="13:27" x14ac:dyDescent="0.25">
      <c r="M351" s="1"/>
      <c r="N351" s="1"/>
      <c r="O351" s="1"/>
      <c r="P351" s="1"/>
      <c r="Q351" s="1"/>
      <c r="R351" s="1"/>
      <c r="S351" s="1"/>
      <c r="T351" s="1"/>
      <c r="U351" s="1"/>
      <c r="V351" s="1"/>
      <c r="W351" s="1"/>
      <c r="X351" s="1"/>
      <c r="Y351" s="1"/>
      <c r="Z351" s="1"/>
      <c r="AA351" s="1"/>
    </row>
    <row r="352" spans="13:27" x14ac:dyDescent="0.25">
      <c r="M352" s="1"/>
      <c r="N352" s="1"/>
      <c r="O352" s="1"/>
      <c r="P352" s="1"/>
      <c r="Q352" s="1"/>
      <c r="R352" s="1"/>
      <c r="S352" s="1"/>
      <c r="T352" s="1"/>
      <c r="U352" s="1"/>
      <c r="V352" s="1"/>
      <c r="W352" s="1"/>
      <c r="X352" s="1"/>
      <c r="Y352" s="1"/>
      <c r="Z352" s="1"/>
      <c r="AA352" s="1"/>
    </row>
    <row r="353" spans="13:27" x14ac:dyDescent="0.25">
      <c r="M353" s="1"/>
      <c r="N353" s="1"/>
      <c r="O353" s="1"/>
      <c r="P353" s="1"/>
      <c r="Q353" s="1"/>
      <c r="R353" s="1"/>
      <c r="S353" s="1"/>
      <c r="T353" s="1"/>
      <c r="U353" s="1"/>
      <c r="V353" s="1"/>
      <c r="W353" s="1"/>
      <c r="X353" s="1"/>
      <c r="Y353" s="1"/>
      <c r="Z353" s="1"/>
      <c r="AA353" s="1"/>
    </row>
    <row r="354" spans="13:27" x14ac:dyDescent="0.25">
      <c r="M354" s="1"/>
      <c r="N354" s="1"/>
      <c r="O354" s="1"/>
      <c r="P354" s="1"/>
      <c r="Q354" s="1"/>
      <c r="R354" s="1"/>
      <c r="S354" s="1"/>
      <c r="T354" s="1"/>
      <c r="U354" s="1"/>
      <c r="V354" s="1"/>
      <c r="W354" s="1"/>
      <c r="X354" s="1"/>
      <c r="Y354" s="1"/>
      <c r="Z354" s="1"/>
      <c r="AA354" s="1"/>
    </row>
    <row r="355" spans="13:27" x14ac:dyDescent="0.25">
      <c r="M355" s="1"/>
      <c r="N355" s="1"/>
      <c r="O355" s="1"/>
      <c r="P355" s="1"/>
      <c r="Q355" s="1"/>
      <c r="R355" s="1"/>
      <c r="S355" s="1"/>
      <c r="T355" s="1"/>
      <c r="U355" s="1"/>
      <c r="V355" s="1"/>
      <c r="W355" s="1"/>
      <c r="X355" s="1"/>
      <c r="Y355" s="1"/>
      <c r="Z355" s="1"/>
      <c r="AA355" s="1"/>
    </row>
    <row r="356" spans="13:27" x14ac:dyDescent="0.25">
      <c r="M356" s="1"/>
      <c r="N356" s="1"/>
      <c r="O356" s="1"/>
      <c r="P356" s="1"/>
      <c r="Q356" s="1"/>
      <c r="R356" s="1"/>
      <c r="S356" s="1"/>
      <c r="T356" s="1"/>
      <c r="U356" s="1"/>
      <c r="V356" s="1"/>
      <c r="W356" s="1"/>
      <c r="X356" s="1"/>
      <c r="Y356" s="1"/>
      <c r="Z356" s="1"/>
      <c r="AA356" s="1"/>
    </row>
    <row r="357" spans="13:27" x14ac:dyDescent="0.25">
      <c r="M357" s="1"/>
      <c r="N357" s="1"/>
      <c r="O357" s="1"/>
      <c r="P357" s="1"/>
      <c r="Q357" s="1"/>
      <c r="R357" s="1"/>
      <c r="S357" s="1"/>
      <c r="T357" s="1"/>
      <c r="U357" s="1"/>
      <c r="V357" s="1"/>
      <c r="W357" s="1"/>
      <c r="X357" s="1"/>
      <c r="Y357" s="1"/>
      <c r="Z357" s="1"/>
      <c r="AA357" s="1"/>
    </row>
    <row r="358" spans="13:27" x14ac:dyDescent="0.25">
      <c r="M358" s="1"/>
      <c r="N358" s="1"/>
      <c r="O358" s="1"/>
      <c r="P358" s="1"/>
      <c r="Q358" s="1"/>
      <c r="R358" s="1"/>
      <c r="S358" s="1"/>
      <c r="T358" s="1"/>
      <c r="U358" s="1"/>
      <c r="V358" s="1"/>
      <c r="W358" s="1"/>
      <c r="X358" s="1"/>
      <c r="Y358" s="1"/>
      <c r="Z358" s="1"/>
      <c r="AA358" s="1"/>
    </row>
    <row r="359" spans="13:27" x14ac:dyDescent="0.25">
      <c r="M359" s="1"/>
      <c r="N359" s="1"/>
      <c r="O359" s="1"/>
      <c r="P359" s="1"/>
      <c r="Q359" s="1"/>
      <c r="R359" s="1"/>
      <c r="S359" s="1"/>
      <c r="T359" s="1"/>
      <c r="U359" s="1"/>
      <c r="V359" s="1"/>
      <c r="W359" s="1"/>
      <c r="X359" s="1"/>
      <c r="Y359" s="1"/>
      <c r="Z359" s="1"/>
      <c r="AA359" s="1"/>
    </row>
    <row r="360" spans="13:27" x14ac:dyDescent="0.25">
      <c r="M360" s="1"/>
      <c r="N360" s="1"/>
      <c r="O360" s="1"/>
      <c r="P360" s="1"/>
      <c r="Q360" s="1"/>
      <c r="R360" s="1"/>
      <c r="S360" s="1"/>
      <c r="T360" s="1"/>
      <c r="U360" s="1"/>
      <c r="V360" s="1"/>
      <c r="W360" s="1"/>
      <c r="X360" s="1"/>
      <c r="Y360" s="1"/>
      <c r="Z360" s="1"/>
      <c r="AA360" s="1"/>
    </row>
    <row r="361" spans="13:27" x14ac:dyDescent="0.25">
      <c r="M361" s="1"/>
      <c r="N361" s="1"/>
      <c r="O361" s="1"/>
      <c r="P361" s="1"/>
      <c r="Q361" s="1"/>
      <c r="R361" s="1"/>
      <c r="S361" s="1"/>
      <c r="T361" s="1"/>
      <c r="U361" s="1"/>
      <c r="V361" s="1"/>
      <c r="W361" s="1"/>
      <c r="X361" s="1"/>
      <c r="Y361" s="1"/>
      <c r="Z361" s="1"/>
      <c r="AA361" s="1"/>
    </row>
    <row r="362" spans="13:27" x14ac:dyDescent="0.25">
      <c r="M362" s="1"/>
      <c r="N362" s="1"/>
      <c r="O362" s="1"/>
      <c r="P362" s="1"/>
      <c r="Q362" s="1"/>
      <c r="R362" s="1"/>
      <c r="S362" s="1"/>
      <c r="T362" s="1"/>
      <c r="U362" s="1"/>
      <c r="V362" s="1"/>
      <c r="W362" s="1"/>
      <c r="X362" s="1"/>
      <c r="Y362" s="1"/>
      <c r="Z362" s="1"/>
      <c r="AA362" s="1"/>
    </row>
    <row r="363" spans="13:27" x14ac:dyDescent="0.25">
      <c r="M363" s="1"/>
      <c r="N363" s="1"/>
      <c r="O363" s="1"/>
      <c r="P363" s="1"/>
      <c r="Q363" s="1"/>
      <c r="R363" s="1"/>
      <c r="S363" s="1"/>
      <c r="T363" s="1"/>
      <c r="U363" s="1"/>
      <c r="V363" s="1"/>
      <c r="W363" s="1"/>
      <c r="X363" s="1"/>
      <c r="Y363" s="1"/>
      <c r="Z363" s="1"/>
      <c r="AA363" s="1"/>
    </row>
    <row r="364" spans="13:27" x14ac:dyDescent="0.25">
      <c r="M364" s="1"/>
      <c r="N364" s="1"/>
      <c r="O364" s="1"/>
      <c r="P364" s="1"/>
      <c r="Q364" s="1"/>
      <c r="R364" s="1"/>
      <c r="S364" s="1"/>
      <c r="T364" s="1"/>
      <c r="U364" s="1"/>
      <c r="V364" s="1"/>
      <c r="W364" s="1"/>
      <c r="X364" s="1"/>
      <c r="Y364" s="1"/>
      <c r="Z364" s="1"/>
      <c r="AA364" s="1"/>
    </row>
    <row r="365" spans="13:27" x14ac:dyDescent="0.25">
      <c r="M365" s="1"/>
      <c r="N365" s="1"/>
      <c r="O365" s="1"/>
      <c r="P365" s="1"/>
      <c r="Q365" s="1"/>
      <c r="R365" s="1"/>
      <c r="S365" s="1"/>
      <c r="T365" s="1"/>
      <c r="U365" s="1"/>
      <c r="V365" s="1"/>
      <c r="W365" s="1"/>
      <c r="X365" s="1"/>
      <c r="Y365" s="1"/>
      <c r="Z365" s="1"/>
      <c r="AA365" s="1"/>
    </row>
    <row r="366" spans="13:27" x14ac:dyDescent="0.25">
      <c r="M366" s="1"/>
      <c r="N366" s="1"/>
      <c r="O366" s="1"/>
      <c r="P366" s="1"/>
      <c r="Q366" s="1"/>
      <c r="R366" s="1"/>
      <c r="S366" s="1"/>
      <c r="T366" s="1"/>
      <c r="U366" s="1"/>
      <c r="V366" s="1"/>
      <c r="W366" s="1"/>
      <c r="X366" s="1"/>
      <c r="Y366" s="1"/>
      <c r="Z366" s="1"/>
      <c r="AA366" s="1"/>
    </row>
    <row r="367" spans="13:27" x14ac:dyDescent="0.25">
      <c r="M367" s="1"/>
      <c r="N367" s="1"/>
      <c r="O367" s="1"/>
      <c r="P367" s="1"/>
      <c r="Q367" s="1"/>
      <c r="R367" s="1"/>
      <c r="S367" s="1"/>
      <c r="T367" s="1"/>
      <c r="U367" s="1"/>
      <c r="V367" s="1"/>
      <c r="W367" s="1"/>
      <c r="X367" s="1"/>
      <c r="Y367" s="1"/>
      <c r="Z367" s="1"/>
      <c r="AA367" s="1"/>
    </row>
    <row r="368" spans="13:27" x14ac:dyDescent="0.25">
      <c r="M368" s="1"/>
      <c r="N368" s="1"/>
      <c r="O368" s="1"/>
      <c r="P368" s="1"/>
      <c r="Q368" s="1"/>
      <c r="R368" s="1"/>
      <c r="S368" s="1"/>
      <c r="T368" s="1"/>
      <c r="U368" s="1"/>
      <c r="V368" s="1"/>
      <c r="W368" s="1"/>
      <c r="X368" s="1"/>
      <c r="Y368" s="1"/>
      <c r="Z368" s="1"/>
      <c r="AA368" s="1"/>
    </row>
    <row r="369" spans="13:27" x14ac:dyDescent="0.25">
      <c r="M369" s="1"/>
      <c r="N369" s="1"/>
      <c r="O369" s="1"/>
      <c r="P369" s="1"/>
      <c r="Q369" s="1"/>
      <c r="R369" s="1"/>
      <c r="S369" s="1"/>
      <c r="T369" s="1"/>
      <c r="U369" s="1"/>
      <c r="V369" s="1"/>
      <c r="W369" s="1"/>
      <c r="X369" s="1"/>
      <c r="Y369" s="1"/>
      <c r="Z369" s="1"/>
      <c r="AA369" s="1"/>
    </row>
    <row r="370" spans="13:27" x14ac:dyDescent="0.25">
      <c r="M370" s="1"/>
      <c r="N370" s="1"/>
      <c r="O370" s="1"/>
      <c r="P370" s="1"/>
      <c r="Q370" s="1"/>
      <c r="R370" s="1"/>
      <c r="S370" s="1"/>
      <c r="T370" s="1"/>
      <c r="U370" s="1"/>
      <c r="V370" s="1"/>
      <c r="W370" s="1"/>
      <c r="X370" s="1"/>
      <c r="Y370" s="1"/>
      <c r="Z370" s="1"/>
      <c r="AA370" s="1"/>
    </row>
    <row r="371" spans="13:27" x14ac:dyDescent="0.25">
      <c r="M371" s="1"/>
      <c r="N371" s="1"/>
      <c r="O371" s="1"/>
      <c r="P371" s="1"/>
      <c r="Q371" s="1"/>
      <c r="R371" s="1"/>
      <c r="S371" s="1"/>
      <c r="T371" s="1"/>
      <c r="U371" s="1"/>
      <c r="V371" s="1"/>
      <c r="W371" s="1"/>
      <c r="X371" s="1"/>
      <c r="Y371" s="1"/>
      <c r="Z371" s="1"/>
      <c r="AA371" s="1"/>
    </row>
  </sheetData>
  <sheetProtection algorithmName="SHA-512" hashValue="BdjPqTY2ndb5jVwIHQtHuco7uz6Q68sEY2C0vKCfY4uMv6GZoyA1xacCxgC5YNX3PnhK/Yk+tX1fOiJW0ENekA==" saltValue="CZIPy+4W+ZNzJ4kUcT9CgA==" spinCount="100000" sheet="1" formatRows="0"/>
  <customSheetViews>
    <customSheetView guid="{B5AC064D-419A-6848-AFB2-153F0700B23B}" scale="133" fitToPage="1">
      <selection activeCell="A27" sqref="A27"/>
      <pageMargins left="0" right="0" top="0" bottom="0" header="0" footer="0"/>
      <pageSetup paperSize="9" scale="59" orientation="portrait" r:id="rId1"/>
    </customSheetView>
  </customSheetViews>
  <mergeCells count="200">
    <mergeCell ref="A150:B150"/>
    <mergeCell ref="A151:B151"/>
    <mergeCell ref="A147:B147"/>
    <mergeCell ref="A146:B146"/>
    <mergeCell ref="A143:H143"/>
    <mergeCell ref="C144:E144"/>
    <mergeCell ref="A158:B158"/>
    <mergeCell ref="A159:B159"/>
    <mergeCell ref="A84:F84"/>
    <mergeCell ref="A92:B92"/>
    <mergeCell ref="A119:B119"/>
    <mergeCell ref="H134:H135"/>
    <mergeCell ref="A148:B148"/>
    <mergeCell ref="A93:B93"/>
    <mergeCell ref="A111:B111"/>
    <mergeCell ref="A110:B110"/>
    <mergeCell ref="A149:B149"/>
    <mergeCell ref="A103:B103"/>
    <mergeCell ref="A117:B117"/>
    <mergeCell ref="A140:F140"/>
    <mergeCell ref="A115:B115"/>
    <mergeCell ref="A114:B114"/>
    <mergeCell ref="A113:B113"/>
    <mergeCell ref="A112:B112"/>
    <mergeCell ref="A100:B100"/>
    <mergeCell ref="A75:B75"/>
    <mergeCell ref="A76:B76"/>
    <mergeCell ref="A53:B53"/>
    <mergeCell ref="A77:B77"/>
    <mergeCell ref="A78:B78"/>
    <mergeCell ref="A101:B101"/>
    <mergeCell ref="A80:B80"/>
    <mergeCell ref="A81:H81"/>
    <mergeCell ref="A70:B70"/>
    <mergeCell ref="A61:B61"/>
    <mergeCell ref="A62:B62"/>
    <mergeCell ref="A69:B69"/>
    <mergeCell ref="A68:B68"/>
    <mergeCell ref="A65:B65"/>
    <mergeCell ref="A67:B67"/>
    <mergeCell ref="A66:B66"/>
    <mergeCell ref="A57:B57"/>
    <mergeCell ref="B193:E193"/>
    <mergeCell ref="B194:E194"/>
    <mergeCell ref="A175:B175"/>
    <mergeCell ref="A176:H176"/>
    <mergeCell ref="A187:H187"/>
    <mergeCell ref="A177:F177"/>
    <mergeCell ref="A178:F178"/>
    <mergeCell ref="A189:H189"/>
    <mergeCell ref="B190:E190"/>
    <mergeCell ref="A181:F181"/>
    <mergeCell ref="A180:F180"/>
    <mergeCell ref="A179:F179"/>
    <mergeCell ref="B192:E192"/>
    <mergeCell ref="C186:F186"/>
    <mergeCell ref="A21:B21"/>
    <mergeCell ref="A22:B22"/>
    <mergeCell ref="A30:B30"/>
    <mergeCell ref="A31:B31"/>
    <mergeCell ref="A56:B56"/>
    <mergeCell ref="A59:B59"/>
    <mergeCell ref="A85:F85"/>
    <mergeCell ref="H14:H16"/>
    <mergeCell ref="A14:B14"/>
    <mergeCell ref="A37:B37"/>
    <mergeCell ref="C37:E37"/>
    <mergeCell ref="A15:B15"/>
    <mergeCell ref="A28:H28"/>
    <mergeCell ref="A46:B46"/>
    <mergeCell ref="A60:B60"/>
    <mergeCell ref="A71:B71"/>
    <mergeCell ref="A74:B74"/>
    <mergeCell ref="C38:E38"/>
    <mergeCell ref="A58:B58"/>
    <mergeCell ref="A63:B63"/>
    <mergeCell ref="A64:B64"/>
    <mergeCell ref="A29:H29"/>
    <mergeCell ref="A16:B16"/>
    <mergeCell ref="A19:B19"/>
    <mergeCell ref="B5:H5"/>
    <mergeCell ref="A8:H8"/>
    <mergeCell ref="A13:B13"/>
    <mergeCell ref="A10:H10"/>
    <mergeCell ref="A9:H9"/>
    <mergeCell ref="A12:B12"/>
    <mergeCell ref="C12:E12"/>
    <mergeCell ref="B7:H7"/>
    <mergeCell ref="B6:H6"/>
    <mergeCell ref="J96:Q97"/>
    <mergeCell ref="H98:H127"/>
    <mergeCell ref="A137:F137"/>
    <mergeCell ref="A138:F138"/>
    <mergeCell ref="A141:F141"/>
    <mergeCell ref="A122:B122"/>
    <mergeCell ref="A126:B126"/>
    <mergeCell ref="A127:B127"/>
    <mergeCell ref="A128:H128"/>
    <mergeCell ref="C129:D129"/>
    <mergeCell ref="A136:H136"/>
    <mergeCell ref="D96:D97"/>
    <mergeCell ref="C96:C97"/>
    <mergeCell ref="G96:G97"/>
    <mergeCell ref="H96:H97"/>
    <mergeCell ref="A123:B123"/>
    <mergeCell ref="A124:B124"/>
    <mergeCell ref="A125:B125"/>
    <mergeCell ref="A102:B102"/>
    <mergeCell ref="A118:B118"/>
    <mergeCell ref="A108:B108"/>
    <mergeCell ref="A116:B116"/>
    <mergeCell ref="A139:F139"/>
    <mergeCell ref="A121:B121"/>
    <mergeCell ref="A25:B25"/>
    <mergeCell ref="C25:E25"/>
    <mergeCell ref="A26:F26"/>
    <mergeCell ref="C42:E42"/>
    <mergeCell ref="A90:B90"/>
    <mergeCell ref="A89:B89"/>
    <mergeCell ref="C89:E89"/>
    <mergeCell ref="A109:B109"/>
    <mergeCell ref="A94:B94"/>
    <mergeCell ref="A27:F27"/>
    <mergeCell ref="A35:B35"/>
    <mergeCell ref="A34:B34"/>
    <mergeCell ref="A33:B33"/>
    <mergeCell ref="A32:B32"/>
    <mergeCell ref="A42:B42"/>
    <mergeCell ref="A41:H41"/>
    <mergeCell ref="A51:B51"/>
    <mergeCell ref="A52:B52"/>
    <mergeCell ref="A38:B38"/>
    <mergeCell ref="H31:H32"/>
    <mergeCell ref="A87:H87"/>
    <mergeCell ref="C95:E95"/>
    <mergeCell ref="A79:B79"/>
    <mergeCell ref="A99:B99"/>
    <mergeCell ref="A196:H196"/>
    <mergeCell ref="A144:B145"/>
    <mergeCell ref="A156:B156"/>
    <mergeCell ref="A157:B157"/>
    <mergeCell ref="A43:B43"/>
    <mergeCell ref="A18:B18"/>
    <mergeCell ref="C18:E18"/>
    <mergeCell ref="H20:H23"/>
    <mergeCell ref="A91:B91"/>
    <mergeCell ref="A96:B96"/>
    <mergeCell ref="A98:B98"/>
    <mergeCell ref="A88:H88"/>
    <mergeCell ref="A95:B95"/>
    <mergeCell ref="A82:F82"/>
    <mergeCell ref="A83:F83"/>
    <mergeCell ref="A86:F86"/>
    <mergeCell ref="A54:B54"/>
    <mergeCell ref="A55:B55"/>
    <mergeCell ref="A40:F40"/>
    <mergeCell ref="A44:B44"/>
    <mergeCell ref="A45:B45"/>
    <mergeCell ref="F190:H194"/>
    <mergeCell ref="B191:E191"/>
    <mergeCell ref="A120:B120"/>
    <mergeCell ref="A2:H2"/>
    <mergeCell ref="A17:B17"/>
    <mergeCell ref="A197:H197"/>
    <mergeCell ref="A20:B20"/>
    <mergeCell ref="A23:B23"/>
    <mergeCell ref="A24:H24"/>
    <mergeCell ref="A142:H142"/>
    <mergeCell ref="A104:B104"/>
    <mergeCell ref="A105:B105"/>
    <mergeCell ref="A106:B106"/>
    <mergeCell ref="A107:B107"/>
    <mergeCell ref="A188:H188"/>
    <mergeCell ref="A182:H182"/>
    <mergeCell ref="A152:B152"/>
    <mergeCell ref="A153:B153"/>
    <mergeCell ref="A154:B154"/>
    <mergeCell ref="A155:B155"/>
    <mergeCell ref="C46:E46"/>
    <mergeCell ref="H51:H80"/>
    <mergeCell ref="A72:B72"/>
    <mergeCell ref="A73:B73"/>
    <mergeCell ref="A39:F39"/>
    <mergeCell ref="A47:H48"/>
    <mergeCell ref="A49:B50"/>
    <mergeCell ref="A174:B174"/>
    <mergeCell ref="A160:B160"/>
    <mergeCell ref="A173:B173"/>
    <mergeCell ref="A164:B164"/>
    <mergeCell ref="A162:B162"/>
    <mergeCell ref="A161:B161"/>
    <mergeCell ref="A163:B163"/>
    <mergeCell ref="A172:B172"/>
    <mergeCell ref="A171:B171"/>
    <mergeCell ref="A166:B166"/>
    <mergeCell ref="A165:B165"/>
    <mergeCell ref="A170:B170"/>
    <mergeCell ref="A169:B169"/>
    <mergeCell ref="A167:B167"/>
    <mergeCell ref="A168:B168"/>
  </mergeCells>
  <phoneticPr fontId="16" type="noConversion"/>
  <conditionalFormatting sqref="A25:B25">
    <cfRule type="expression" dxfId="69" priority="29">
      <formula>$C$25&gt;0</formula>
    </cfRule>
  </conditionalFormatting>
  <conditionalFormatting sqref="A51:B80">
    <cfRule type="expression" dxfId="68" priority="49">
      <formula>$A51&lt;&gt;0</formula>
    </cfRule>
  </conditionalFormatting>
  <conditionalFormatting sqref="A91:B94">
    <cfRule type="expression" dxfId="67" priority="64">
      <formula>$J14=1</formula>
    </cfRule>
  </conditionalFormatting>
  <conditionalFormatting sqref="A131:B135">
    <cfRule type="expression" dxfId="66" priority="51">
      <formula>$B131&gt;0</formula>
    </cfRule>
  </conditionalFormatting>
  <conditionalFormatting sqref="A146:B175">
    <cfRule type="cellIs" dxfId="65" priority="9" operator="notEqual">
      <formula>0</formula>
    </cfRule>
  </conditionalFormatting>
  <conditionalFormatting sqref="A20:C23">
    <cfRule type="expression" dxfId="64" priority="69">
      <formula>AND($J14=1,(OR($F$18=1,$F$18=2)))</formula>
    </cfRule>
  </conditionalFormatting>
  <conditionalFormatting sqref="A31:C33">
    <cfRule type="expression" dxfId="63" priority="2">
      <formula>$C31="Yes"</formula>
    </cfRule>
  </conditionalFormatting>
  <conditionalFormatting sqref="A31:C35">
    <cfRule type="expression" dxfId="62" priority="34">
      <formula>$A31&lt;&gt;0</formula>
    </cfRule>
  </conditionalFormatting>
  <conditionalFormatting sqref="A14:E17">
    <cfRule type="expression" dxfId="61" priority="71">
      <formula>$J14=1</formula>
    </cfRule>
  </conditionalFormatting>
  <conditionalFormatting sqref="A99:G127">
    <cfRule type="expression" dxfId="60" priority="36">
      <formula>$A99&lt;&gt;0</formula>
    </cfRule>
  </conditionalFormatting>
  <conditionalFormatting sqref="B184:F184">
    <cfRule type="expression" dxfId="59" priority="3">
      <formula>S$184=1</formula>
    </cfRule>
    <cfRule type="expression" dxfId="58" priority="136">
      <formula>S$183=1</formula>
    </cfRule>
  </conditionalFormatting>
  <conditionalFormatting sqref="B185:F185">
    <cfRule type="expression" dxfId="57" priority="11">
      <formula>S$185=1</formula>
    </cfRule>
  </conditionalFormatting>
  <conditionalFormatting sqref="C130">
    <cfRule type="expression" dxfId="56" priority="54">
      <formula>$J$14=1</formula>
    </cfRule>
  </conditionalFormatting>
  <conditionalFormatting sqref="C131:C135">
    <cfRule type="expression" dxfId="55" priority="50">
      <formula>AND($J$14=1,$B131 &gt;0)</formula>
    </cfRule>
  </conditionalFormatting>
  <conditionalFormatting sqref="C146:C175">
    <cfRule type="expression" dxfId="54" priority="8">
      <formula>$A146&lt;&gt;0</formula>
    </cfRule>
  </conditionalFormatting>
  <conditionalFormatting sqref="C25:E25">
    <cfRule type="cellIs" dxfId="53" priority="30" operator="greaterThan">
      <formula>0</formula>
    </cfRule>
  </conditionalFormatting>
  <conditionalFormatting sqref="C49:E50">
    <cfRule type="expression" dxfId="52" priority="25">
      <formula>C$50=1</formula>
    </cfRule>
  </conditionalFormatting>
  <conditionalFormatting sqref="C51:E80">
    <cfRule type="expression" dxfId="51" priority="48">
      <formula>AND($A51&lt;&gt;0,C$50=1)</formula>
    </cfRule>
  </conditionalFormatting>
  <conditionalFormatting sqref="D20:D23 F20:F23">
    <cfRule type="expression" dxfId="50" priority="105">
      <formula>AND($F$12&gt;0,$J14=1,(OR($F$18=1,$F$18=2)))</formula>
    </cfRule>
  </conditionalFormatting>
  <conditionalFormatting sqref="D91:D94">
    <cfRule type="expression" dxfId="49" priority="75">
      <formula>$J14=1</formula>
    </cfRule>
  </conditionalFormatting>
  <conditionalFormatting sqref="D130">
    <cfRule type="expression" dxfId="48" priority="56">
      <formula>$J$15=1</formula>
    </cfRule>
  </conditionalFormatting>
  <conditionalFormatting sqref="D131:D135">
    <cfRule type="expression" dxfId="47" priority="55">
      <formula>AND($J$15=1,$B131&gt;0)</formula>
    </cfRule>
  </conditionalFormatting>
  <conditionalFormatting sqref="E31:E35">
    <cfRule type="expression" dxfId="46" priority="32">
      <formula>$A31&lt;&gt;0</formula>
    </cfRule>
  </conditionalFormatting>
  <conditionalFormatting sqref="E130">
    <cfRule type="expression" dxfId="45" priority="58">
      <formula>$J$16=1</formula>
    </cfRule>
  </conditionalFormatting>
  <conditionalFormatting sqref="E131:E135">
    <cfRule type="expression" dxfId="44" priority="57">
      <formula>AND($J$16=1,$B131&gt;0)</formula>
    </cfRule>
  </conditionalFormatting>
  <conditionalFormatting sqref="E146:E175">
    <cfRule type="expression" dxfId="43" priority="7">
      <formula>$A146&lt;&gt;0</formula>
    </cfRule>
  </conditionalFormatting>
  <conditionalFormatting sqref="F14:F17">
    <cfRule type="expression" dxfId="42" priority="119">
      <formula>$J14=1</formula>
    </cfRule>
  </conditionalFormatting>
  <conditionalFormatting sqref="F25">
    <cfRule type="expression" dxfId="41" priority="68">
      <formula>$C$25&gt;0</formula>
    </cfRule>
  </conditionalFormatting>
  <conditionalFormatting sqref="F31:F35">
    <cfRule type="expression" dxfId="40" priority="31">
      <formula>$A31&lt;&gt;0</formula>
    </cfRule>
  </conditionalFormatting>
  <conditionalFormatting sqref="F91:F94">
    <cfRule type="expression" dxfId="39" priority="62">
      <formula>$J14=1</formula>
    </cfRule>
  </conditionalFormatting>
  <conditionalFormatting sqref="F130">
    <cfRule type="expression" dxfId="38" priority="60">
      <formula>$J$17=1</formula>
    </cfRule>
  </conditionalFormatting>
  <conditionalFormatting sqref="F131:F135">
    <cfRule type="expression" dxfId="37" priority="59">
      <formula>AND($J$17=1,$B131&gt;0)</formula>
    </cfRule>
  </conditionalFormatting>
  <conditionalFormatting sqref="F148:F175">
    <cfRule type="expression" dxfId="36" priority="6">
      <formula>$A148&lt;&gt;0</formula>
    </cfRule>
  </conditionalFormatting>
  <conditionalFormatting sqref="G14:G17">
    <cfRule type="expression" dxfId="35" priority="127">
      <formula>$J14=1</formula>
    </cfRule>
  </conditionalFormatting>
  <conditionalFormatting sqref="G20:G23">
    <cfRule type="expression" dxfId="34" priority="103">
      <formula>AND($F$12&gt;0,$J14=1,(OR($F$18=1,$F$18=2)))</formula>
    </cfRule>
  </conditionalFormatting>
  <conditionalFormatting sqref="G25">
    <cfRule type="expression" dxfId="33" priority="67">
      <formula>$C$25&gt;0</formula>
    </cfRule>
  </conditionalFormatting>
  <conditionalFormatting sqref="G31:G35">
    <cfRule type="expression" dxfId="32" priority="35">
      <formula>$A31&lt;&gt;0</formula>
    </cfRule>
  </conditionalFormatting>
  <conditionalFormatting sqref="G51:G80">
    <cfRule type="expression" dxfId="31" priority="47">
      <formula>$A51&lt;&gt;0</formula>
    </cfRule>
  </conditionalFormatting>
  <conditionalFormatting sqref="G83:G86">
    <cfRule type="expression" dxfId="30" priority="46">
      <formula>G83&lt;&gt;0</formula>
    </cfRule>
  </conditionalFormatting>
  <conditionalFormatting sqref="G91:G94">
    <cfRule type="expression" dxfId="29" priority="63">
      <formula>$J14=1</formula>
    </cfRule>
  </conditionalFormatting>
  <conditionalFormatting sqref="G131:G135">
    <cfRule type="expression" dxfId="28" priority="41">
      <formula>$B131&gt;0</formula>
    </cfRule>
  </conditionalFormatting>
  <conditionalFormatting sqref="G138:G141">
    <cfRule type="expression" dxfId="27" priority="42">
      <formula>G138&lt;&gt;0</formula>
    </cfRule>
  </conditionalFormatting>
  <conditionalFormatting sqref="G184">
    <cfRule type="expression" dxfId="26" priority="10">
      <formula>R$181=1</formula>
    </cfRule>
  </conditionalFormatting>
  <conditionalFormatting sqref="G148:H175">
    <cfRule type="expression" dxfId="25" priority="4">
      <formula>$A148&lt;&gt;0</formula>
    </cfRule>
  </conditionalFormatting>
  <conditionalFormatting sqref="H91:H94">
    <cfRule type="expression" dxfId="24" priority="61">
      <formula>$J14=1</formula>
    </cfRule>
  </conditionalFormatting>
  <conditionalFormatting sqref="H183">
    <cfRule type="expression" dxfId="23" priority="128">
      <formula>$I$195=0</formula>
    </cfRule>
  </conditionalFormatting>
  <conditionalFormatting sqref="I6:I7">
    <cfRule type="cellIs" dxfId="22" priority="81" operator="equal">
      <formula>1</formula>
    </cfRule>
  </conditionalFormatting>
  <conditionalFormatting sqref="I12">
    <cfRule type="cellIs" dxfId="21" priority="86" operator="equal">
      <formula>1</formula>
    </cfRule>
  </conditionalFormatting>
  <conditionalFormatting sqref="I18">
    <cfRule type="cellIs" dxfId="20" priority="85" operator="equal">
      <formula>1</formula>
    </cfRule>
  </conditionalFormatting>
  <conditionalFormatting sqref="I25">
    <cfRule type="cellIs" dxfId="19" priority="72" operator="equal">
      <formula>1</formula>
    </cfRule>
  </conditionalFormatting>
  <conditionalFormatting sqref="I31:I35">
    <cfRule type="cellIs" dxfId="18" priority="95" operator="equal">
      <formula>1</formula>
    </cfRule>
  </conditionalFormatting>
  <conditionalFormatting sqref="I38">
    <cfRule type="cellIs" dxfId="17" priority="94" operator="equal">
      <formula>1</formula>
    </cfRule>
  </conditionalFormatting>
  <conditionalFormatting sqref="I43:I45">
    <cfRule type="cellIs" dxfId="16" priority="92" operator="equal">
      <formula>1</formula>
    </cfRule>
  </conditionalFormatting>
  <conditionalFormatting sqref="I90:I94">
    <cfRule type="cellIs" dxfId="15" priority="88" operator="equal">
      <formula>1</formula>
    </cfRule>
  </conditionalFormatting>
  <conditionalFormatting sqref="I148:I175">
    <cfRule type="cellIs" dxfId="14" priority="87" operator="equal">
      <formula>1</formula>
    </cfRule>
  </conditionalFormatting>
  <conditionalFormatting sqref="I190:I192">
    <cfRule type="cellIs" dxfId="13" priority="78" operator="equal">
      <formula>1</formula>
    </cfRule>
  </conditionalFormatting>
  <conditionalFormatting sqref="I194">
    <cfRule type="cellIs" dxfId="12" priority="77" operator="equal">
      <formula>1</formula>
    </cfRule>
  </conditionalFormatting>
  <dataValidations count="6">
    <dataValidation type="decimal" allowBlank="1" showInputMessage="1" showErrorMessage="1" errorTitle="No correct input" error="Give a price" sqref="F31:F35 F38 F25 F148:F175 F20" xr:uid="{1F29AF3A-52A2-45C6-BA97-D5F7EC8AB8A9}">
      <formula1>0</formula1>
      <formula2>2500000</formula2>
    </dataValidation>
    <dataValidation type="decimal" allowBlank="1" showInputMessage="1" showErrorMessage="1" errorTitle="No correct input" error="Give a Price" sqref="F21:F23" xr:uid="{5766D362-275A-4420-AEED-1938CF1A5B37}">
      <formula1>0</formula1>
      <formula2>2500000</formula2>
    </dataValidation>
    <dataValidation type="list" allowBlank="1" showInputMessage="1" showErrorMessage="1" errorTitle="No correct input" error="Choose from pulldown list" sqref="C18:E18" xr:uid="{9F3E9B05-1F82-4290-9984-B290092D614E}">
      <formula1>"&lt;Enter Choice &gt;,LRU, Spare,None"</formula1>
    </dataValidation>
    <dataValidation type="list" allowBlank="1" showInputMessage="1" showErrorMessage="1" sqref="D31:D35" xr:uid="{1F813D8C-D4CA-43A7-89AF-7015FBB8E2B7}">
      <formula1>"&lt;Enter Choice&gt;, Necessary, Not Necessary"</formula1>
    </dataValidation>
    <dataValidation type="decimal" allowBlank="1" showInputMessage="1" showErrorMessage="1" errorTitle="No correct input" error="Give a price" sqref="F14:F15" xr:uid="{098B501E-F18A-4A8A-83A6-ECA12B8E3821}">
      <formula1>0</formula1>
      <formula2>K14</formula2>
    </dataValidation>
    <dataValidation type="decimal" allowBlank="1" showInputMessage="1" showErrorMessage="1" errorTitle="No correct input" error="Give a Price" sqref="F16:F17" xr:uid="{EEE7FFAA-61CF-4A28-AE36-5790605956AB}">
      <formula1>0</formula1>
      <formula2>K16</formula2>
    </dataValidation>
  </dataValidations>
  <pageMargins left="0.7" right="0.7" top="0.75" bottom="0.75" header="0.3" footer="0.3"/>
  <pageSetup paperSize="9" scale="18" orientation="portrait" r:id="rId2"/>
  <customProperties>
    <customPr name="EpmWorksheetKeyString_GUID" r:id="rId3"/>
  </customProperties>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28" id="{84D7FAF4-39E3-433C-BC40-D4BCFE5DBD67}">
            <xm:f>Invulblad!$F74=1</xm:f>
            <x14:dxf>
              <font>
                <color theme="1"/>
              </font>
            </x14:dxf>
          </x14:cfRule>
          <xm:sqref>A43:B45 F43:F45 H43:H45</xm:sqref>
        </x14:conditionalFormatting>
        <x14:conditionalFormatting xmlns:xm="http://schemas.microsoft.com/office/excel/2006/main">
          <x14:cfRule type="expression" priority="45" id="{00000000-000E-0000-0100-000024000000}">
            <xm:f>Invulblad!$G116&gt;0</xm:f>
            <x14:dxf>
              <font>
                <color theme="1"/>
              </font>
            </x14:dxf>
          </x14:cfRule>
          <xm:sqref>A83:F86</xm:sqref>
        </x14:conditionalFormatting>
        <x14:conditionalFormatting xmlns:xm="http://schemas.microsoft.com/office/excel/2006/main">
          <x14:cfRule type="expression" priority="43" id="{00000000-000E-0000-0100-000028000000}">
            <xm:f>Invulblad!$G116&lt;&gt;0</xm:f>
            <x14:dxf>
              <font>
                <color theme="1"/>
              </font>
            </x14:dxf>
          </x14:cfRule>
          <xm:sqref>A138:F141</xm:sqref>
        </x14:conditionalFormatting>
        <x14:conditionalFormatting xmlns:xm="http://schemas.microsoft.com/office/excel/2006/main">
          <x14:cfRule type="expression" priority="38" id="{00000000-000E-0000-0100-000002000000}">
            <xm:f>$G178+Invulblad!$G116&lt;&gt;0</xm:f>
            <x14:dxf>
              <font>
                <color theme="1"/>
              </font>
            </x14:dxf>
          </x14:cfRule>
          <xm:sqref>A178:F181</xm:sqref>
        </x14:conditionalFormatting>
        <x14:conditionalFormatting xmlns:xm="http://schemas.microsoft.com/office/excel/2006/main">
          <x14:cfRule type="expression" priority="18" id="{312B41F8-AB43-4346-930E-9EB0C3A74D4A}">
            <xm:f>Invulblad!$G$116&lt;&gt;0</xm:f>
            <x14:dxf>
              <font>
                <color theme="1"/>
              </font>
            </x14:dxf>
          </x14:cfRule>
          <xm:sqref>C183:C185</xm:sqref>
        </x14:conditionalFormatting>
        <x14:conditionalFormatting xmlns:xm="http://schemas.microsoft.com/office/excel/2006/main">
          <x14:cfRule type="expression" priority="33" id="{00000000-000E-0000-0100-00001F000000}">
            <xm:f>AND($A31&lt;&gt;0,Invulblad!$G62="Ja")</xm:f>
            <x14:dxf>
              <font>
                <color theme="1"/>
              </font>
              <fill>
                <patternFill>
                  <bgColor rgb="FFFFFF00"/>
                </patternFill>
              </fill>
            </x14:dxf>
          </x14:cfRule>
          <xm:sqref>D31:D35</xm:sqref>
        </x14:conditionalFormatting>
        <x14:conditionalFormatting xmlns:xm="http://schemas.microsoft.com/office/excel/2006/main">
          <x14:cfRule type="expression" priority="27" id="{EA2C2CCA-247D-4357-AE00-0C936F6AC320}">
            <xm:f>Invulblad!$F74=1</xm:f>
            <x14:dxf>
              <font>
                <color theme="1"/>
              </font>
              <fill>
                <patternFill>
                  <bgColor rgb="FFFFFF00"/>
                </patternFill>
              </fill>
            </x14:dxf>
          </x14:cfRule>
          <xm:sqref>D43:D45</xm:sqref>
        </x14:conditionalFormatting>
        <x14:conditionalFormatting xmlns:xm="http://schemas.microsoft.com/office/excel/2006/main">
          <x14:cfRule type="expression" priority="16" id="{AE43AABC-E5A3-449E-9AFA-37FA9C6A1CBE}">
            <xm:f>Invulblad!$G$117&lt;&gt;0</xm:f>
            <x14:dxf>
              <font>
                <color theme="1"/>
              </font>
            </x14:dxf>
          </x14:cfRule>
          <xm:sqref>D183:D185</xm:sqref>
        </x14:conditionalFormatting>
        <x14:conditionalFormatting xmlns:xm="http://schemas.microsoft.com/office/excel/2006/main">
          <x14:cfRule type="expression" priority="14" id="{9C251DA2-4986-4399-BD71-88176E29C843}">
            <xm:f>Invulblad!$G$118&lt;&gt;0</xm:f>
            <x14:dxf>
              <font>
                <color theme="1"/>
              </font>
            </x14:dxf>
          </x14:cfRule>
          <xm:sqref>E183:E185</xm:sqref>
        </x14:conditionalFormatting>
        <x14:conditionalFormatting xmlns:xm="http://schemas.microsoft.com/office/excel/2006/main">
          <x14:cfRule type="expression" priority="12" id="{1BCEEDC8-0A21-48DA-BD0B-07859E9AFA1C}">
            <xm:f>Invulblad!$G$119&lt;&gt;0</xm:f>
            <x14:dxf>
              <font>
                <color theme="1"/>
              </font>
            </x14:dxf>
          </x14:cfRule>
          <xm:sqref>F183:F185</xm:sqref>
        </x14:conditionalFormatting>
        <x14:conditionalFormatting xmlns:xm="http://schemas.microsoft.com/office/excel/2006/main">
          <x14:cfRule type="expression" priority="37" id="{00000000-000E-0000-0100-000001000000}">
            <xm:f>G178+Invulblad!$G116&lt;&gt;0</xm:f>
            <x14:dxf>
              <font>
                <color theme="1"/>
              </font>
            </x14:dxf>
          </x14:cfRule>
          <xm:sqref>G178:G181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errorTitle="No correct input" error="Enter number from 1 to 3" xr:uid="{6F504C05-19AC-4743-9604-264C2FE7E328}">
          <x14:formula1>
            <xm:f>Invulblad!$E$96:$O$96</xm:f>
          </x14:formula1>
          <xm:sqref>D90</xm:sqref>
        </x14:dataValidation>
        <x14:dataValidation type="list" allowBlank="1" showInputMessage="1" showErrorMessage="1" errorTitle="No correct input" error="Enter number from 1 to 12" xr:uid="{B3059319-7A70-44E6-B113-E72FE6A77BFD}">
          <x14:formula1>
            <xm:f>Invulblad!$E$80:$O$80</xm:f>
          </x14:formula1>
          <xm:sqref>D45</xm:sqref>
        </x14:dataValidation>
        <x14:dataValidation type="list" allowBlank="1" showInputMessage="1" showErrorMessage="1" errorTitle="No correct input" error="Enter number from 1 to 2" xr:uid="{AFB22C17-6736-4B0A-82DC-43BE28603498}">
          <x14:formula1>
            <xm:f>Invulblad!$E$78:$O$78</xm:f>
          </x14:formula1>
          <xm:sqref>D43</xm:sqref>
        </x14:dataValidation>
        <x14:dataValidation type="list" allowBlank="1" showInputMessage="1" showErrorMessage="1" errorTitle="No correct input" error="enter number from 1 to 12" xr:uid="{6715425C-18FD-4E68-A13E-75ABCE0576AF}">
          <x14:formula1>
            <xm:f>Invulblad!$E$79:$O$79</xm:f>
          </x14:formula1>
          <xm:sqref>D44</xm:sqref>
        </x14:dataValidation>
        <x14:dataValidation type="list" allowBlank="1" showInputMessage="1" showErrorMessage="1" errorTitle="No correct input" error="Choose from pulldown list" xr:uid="{1207F939-B477-457B-8E28-82CE6E20A726}">
          <x14:formula1>
            <xm:f>Invulblad!$C$10:$C$14</xm:f>
          </x14:formula1>
          <xm:sqref>C12:E12</xm:sqref>
        </x14:dataValidation>
        <x14:dataValidation type="whole" allowBlank="1" showInputMessage="1" showErrorMessage="1" errorTitle="No correct input" error="Invalid values. Possibly outside the specified range." xr:uid="{508FE9CC-8D2B-4905-89E6-7EEAE418F4E6}">
          <x14:formula1>
            <xm:f>Invulblad!E110</xm:f>
          </x14:formula1>
          <x14:formula2>
            <xm:f>Invulblad!E111</xm:f>
          </x14:formula2>
          <xm:sqref>D92</xm:sqref>
        </x14:dataValidation>
        <x14:dataValidation type="whole" allowBlank="1" showInputMessage="1" showErrorMessage="1" errorTitle="No correct input" error="Enter number from 43830 to 175320" xr:uid="{0ABF8D60-2E90-4E18-A085-71AAA53D26FB}">
          <x14:formula1>
            <xm:f>Invulblad!E110</xm:f>
          </x14:formula1>
          <x14:formula2>
            <xm:f>Invulblad!E111</xm:f>
          </x14:formula2>
          <xm:sqref>D94</xm:sqref>
        </x14:dataValidation>
        <x14:dataValidation type="whole" allowBlank="1" showInputMessage="1" showErrorMessage="1" errorTitle="No correct input" error="Invalid values. Possibly outside the specified range." xr:uid="{A51DAC75-5F2F-4DFA-BC6D-C2A6F53F6A4B}">
          <x14:formula1>
            <xm:f>Invulblad!E110</xm:f>
          </x14:formula1>
          <x14:formula2>
            <xm:f>Invulblad!E111</xm:f>
          </x14:formula2>
          <xm:sqref>D91</xm:sqref>
        </x14:dataValidation>
        <x14:dataValidation type="whole" allowBlank="1" showInputMessage="1" showErrorMessage="1" errorTitle="No correct input" error="Enter number from 43830 to 175320" xr:uid="{9C1AD929-896B-4D60-8D4A-310DE6D3E619}">
          <x14:formula1>
            <xm:f>Invulblad!E110</xm:f>
          </x14:formula1>
          <x14:formula2>
            <xm:f>Invulblad!E111</xm:f>
          </x14:formula2>
          <xm:sqref>D93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B9EFE-C30D-499A-8FE3-81AE80CED58E}">
  <sheetPr codeName="Blad3"/>
  <dimension ref="A1:P138"/>
  <sheetViews>
    <sheetView topLeftCell="A57" workbookViewId="0">
      <selection activeCell="D59" sqref="D59"/>
    </sheetView>
  </sheetViews>
  <sheetFormatPr defaultRowHeight="15" outlineLevelCol="1" x14ac:dyDescent="0.25"/>
  <cols>
    <col min="1" max="1" width="24.85546875" customWidth="1" outlineLevel="1"/>
    <col min="2" max="2" width="8.85546875" customWidth="1" outlineLevel="1"/>
    <col min="3" max="3" width="9.140625" customWidth="1" outlineLevel="1"/>
    <col min="4" max="4" width="79.42578125" customWidth="1" outlineLevel="1"/>
    <col min="5" max="5" width="16.42578125" customWidth="1" outlineLevel="1"/>
    <col min="6" max="6" width="10" customWidth="1" outlineLevel="1"/>
    <col min="7" max="7" width="10.140625" customWidth="1" outlineLevel="1"/>
    <col min="8" max="8" width="10.5703125" customWidth="1" outlineLevel="1"/>
    <col min="9" max="9" width="10" customWidth="1" outlineLevel="1"/>
    <col min="10" max="14" width="8.85546875" customWidth="1" outlineLevel="1"/>
    <col min="15" max="15" width="8.7109375" customWidth="1"/>
  </cols>
  <sheetData>
    <row r="1" spans="1:8" x14ac:dyDescent="0.25">
      <c r="A1" t="s">
        <v>155</v>
      </c>
      <c r="B1" t="s">
        <v>156</v>
      </c>
    </row>
    <row r="3" spans="1:8" ht="15.75" thickBot="1" x14ac:dyDescent="0.3"/>
    <row r="4" spans="1:8" ht="15.75" thickBot="1" x14ac:dyDescent="0.3">
      <c r="A4" t="s">
        <v>157</v>
      </c>
      <c r="B4" s="360">
        <v>9</v>
      </c>
      <c r="C4" s="361"/>
      <c r="D4" s="362"/>
    </row>
    <row r="5" spans="1:8" ht="15.75" thickBot="1" x14ac:dyDescent="0.3">
      <c r="A5" t="s">
        <v>158</v>
      </c>
      <c r="B5" s="360" t="s">
        <v>159</v>
      </c>
      <c r="C5" s="361"/>
      <c r="D5" s="362"/>
    </row>
    <row r="6" spans="1:8" ht="15.75" thickBot="1" x14ac:dyDescent="0.3">
      <c r="A6" t="s">
        <v>160</v>
      </c>
      <c r="B6" s="360" t="s">
        <v>263</v>
      </c>
      <c r="C6" s="361"/>
      <c r="D6" s="362"/>
    </row>
    <row r="7" spans="1:8" ht="15.75" thickBot="1" x14ac:dyDescent="0.3"/>
    <row r="8" spans="1:8" ht="15.75" thickBot="1" x14ac:dyDescent="0.3">
      <c r="A8" t="s">
        <v>161</v>
      </c>
      <c r="B8" s="360" t="s">
        <v>162</v>
      </c>
      <c r="C8" s="361"/>
      <c r="D8" s="362"/>
    </row>
    <row r="10" spans="1:8" ht="15.75" thickBot="1" x14ac:dyDescent="0.3">
      <c r="A10" t="s">
        <v>163</v>
      </c>
      <c r="C10" t="s">
        <v>81</v>
      </c>
      <c r="E10" s="158">
        <v>0</v>
      </c>
    </row>
    <row r="11" spans="1:8" ht="15.75" thickBot="1" x14ac:dyDescent="0.3">
      <c r="B11" t="s">
        <v>164</v>
      </c>
      <c r="C11" s="360" t="s">
        <v>165</v>
      </c>
      <c r="D11" s="362"/>
      <c r="E11" s="158">
        <v>1</v>
      </c>
    </row>
    <row r="12" spans="1:8" ht="15.75" thickBot="1" x14ac:dyDescent="0.3">
      <c r="B12" t="s">
        <v>166</v>
      </c>
      <c r="C12" s="360" t="s">
        <v>167</v>
      </c>
      <c r="D12" s="362"/>
      <c r="E12" s="158">
        <v>2</v>
      </c>
    </row>
    <row r="13" spans="1:8" ht="15.75" thickBot="1" x14ac:dyDescent="0.3">
      <c r="B13" t="s">
        <v>168</v>
      </c>
      <c r="C13" s="360"/>
      <c r="D13" s="362"/>
      <c r="E13" s="158">
        <v>3</v>
      </c>
    </row>
    <row r="14" spans="1:8" ht="15.75" thickBot="1" x14ac:dyDescent="0.3">
      <c r="B14" t="s">
        <v>169</v>
      </c>
      <c r="C14" s="360"/>
      <c r="D14" s="362"/>
      <c r="E14" s="158">
        <v>4</v>
      </c>
    </row>
    <row r="16" spans="1:8" x14ac:dyDescent="0.25">
      <c r="E16" s="367" t="s">
        <v>170</v>
      </c>
      <c r="F16" s="367"/>
      <c r="G16" s="367"/>
      <c r="H16" s="367"/>
    </row>
    <row r="17" spans="2:13" ht="60.75" thickBot="1" x14ac:dyDescent="0.3">
      <c r="D17" t="s">
        <v>171</v>
      </c>
      <c r="E17" t="s">
        <v>172</v>
      </c>
      <c r="F17" t="s">
        <v>173</v>
      </c>
      <c r="G17" s="3" t="s">
        <v>174</v>
      </c>
      <c r="H17" s="4" t="s">
        <v>175</v>
      </c>
      <c r="I17" s="3" t="s">
        <v>176</v>
      </c>
      <c r="M17" s="3" t="s">
        <v>177</v>
      </c>
    </row>
    <row r="18" spans="2:13" x14ac:dyDescent="0.25">
      <c r="B18" s="358" t="s">
        <v>178</v>
      </c>
      <c r="C18" s="359" t="s">
        <v>179</v>
      </c>
      <c r="D18" s="177" t="s">
        <v>165</v>
      </c>
      <c r="E18" s="363">
        <v>45</v>
      </c>
      <c r="F18" s="365">
        <f>ROUNDUP(E18*10%,0.1)</f>
        <v>5</v>
      </c>
      <c r="G18" s="363">
        <v>0</v>
      </c>
      <c r="H18" s="366">
        <f>IF(G18=0,F18,G18)</f>
        <v>5</v>
      </c>
      <c r="I18" s="368">
        <v>100000</v>
      </c>
      <c r="M18" s="363" t="s">
        <v>180</v>
      </c>
    </row>
    <row r="19" spans="2:13" ht="15.75" thickBot="1" x14ac:dyDescent="0.3">
      <c r="B19" s="358"/>
      <c r="C19" s="359"/>
      <c r="D19" s="178" t="s">
        <v>181</v>
      </c>
      <c r="E19" s="364"/>
      <c r="F19" s="365"/>
      <c r="G19" s="364"/>
      <c r="H19" s="366"/>
      <c r="I19" s="369"/>
      <c r="M19" s="377"/>
    </row>
    <row r="20" spans="2:13" x14ac:dyDescent="0.25">
      <c r="B20" s="358"/>
      <c r="C20" s="359" t="s">
        <v>182</v>
      </c>
      <c r="D20" s="169"/>
      <c r="E20" s="363"/>
      <c r="F20" s="365">
        <f t="shared" ref="F20:F33" si="0">ROUNDUP(E20*10%,0.1)</f>
        <v>0</v>
      </c>
      <c r="G20" s="363">
        <v>0</v>
      </c>
      <c r="H20" s="366">
        <f t="shared" ref="H20:H24" si="1">IF(G20=0,F20,G20)</f>
        <v>0</v>
      </c>
      <c r="I20" s="368">
        <v>0</v>
      </c>
      <c r="M20" s="363" t="s">
        <v>180</v>
      </c>
    </row>
    <row r="21" spans="2:13" ht="15.75" thickBot="1" x14ac:dyDescent="0.3">
      <c r="B21" s="358"/>
      <c r="C21" s="359"/>
      <c r="D21" s="172"/>
      <c r="E21" s="364"/>
      <c r="F21" s="365"/>
      <c r="G21" s="364"/>
      <c r="H21" s="366"/>
      <c r="I21" s="369"/>
      <c r="M21" s="377"/>
    </row>
    <row r="22" spans="2:13" x14ac:dyDescent="0.25">
      <c r="B22" s="358"/>
      <c r="C22" s="359" t="s">
        <v>183</v>
      </c>
      <c r="D22" s="169"/>
      <c r="E22" s="363"/>
      <c r="F22" s="365">
        <f t="shared" si="0"/>
        <v>0</v>
      </c>
      <c r="G22" s="363">
        <v>0</v>
      </c>
      <c r="H22" s="366">
        <f t="shared" si="1"/>
        <v>0</v>
      </c>
      <c r="I22" s="368">
        <v>0</v>
      </c>
      <c r="M22" s="363" t="s">
        <v>180</v>
      </c>
    </row>
    <row r="23" spans="2:13" ht="15.75" thickBot="1" x14ac:dyDescent="0.3">
      <c r="B23" s="358"/>
      <c r="C23" s="359"/>
      <c r="D23" s="179"/>
      <c r="E23" s="364"/>
      <c r="F23" s="365"/>
      <c r="G23" s="364"/>
      <c r="H23" s="366"/>
      <c r="I23" s="369"/>
      <c r="M23" s="377"/>
    </row>
    <row r="24" spans="2:13" x14ac:dyDescent="0.25">
      <c r="B24" s="358"/>
      <c r="C24" s="358" t="s">
        <v>184</v>
      </c>
      <c r="D24" s="169"/>
      <c r="E24" s="363"/>
      <c r="F24" s="358">
        <f t="shared" si="0"/>
        <v>0</v>
      </c>
      <c r="G24" s="363">
        <v>0</v>
      </c>
      <c r="H24" s="358">
        <f t="shared" si="1"/>
        <v>0</v>
      </c>
      <c r="I24" s="368">
        <v>0</v>
      </c>
      <c r="M24" s="363" t="s">
        <v>180</v>
      </c>
    </row>
    <row r="25" spans="2:13" ht="15.75" thickBot="1" x14ac:dyDescent="0.3">
      <c r="B25" s="358"/>
      <c r="C25" s="358"/>
      <c r="D25" s="172"/>
      <c r="E25" s="364"/>
      <c r="F25" s="358"/>
      <c r="G25" s="364"/>
      <c r="H25" s="358"/>
      <c r="I25" s="369"/>
      <c r="M25" s="364"/>
    </row>
    <row r="26" spans="2:13" s="5" customFormat="1" ht="8.85" customHeight="1" thickBot="1" x14ac:dyDescent="0.3">
      <c r="B26" s="6"/>
      <c r="C26" s="7"/>
      <c r="E26" s="6"/>
      <c r="F26" s="6"/>
      <c r="G26" s="6"/>
      <c r="H26" s="6"/>
    </row>
    <row r="27" spans="2:13" x14ac:dyDescent="0.25">
      <c r="B27" s="358" t="s">
        <v>185</v>
      </c>
      <c r="C27" s="359" t="s">
        <v>179</v>
      </c>
      <c r="D27" s="177" t="s">
        <v>165</v>
      </c>
      <c r="E27" s="363">
        <v>45</v>
      </c>
      <c r="F27" s="365">
        <f>ROUNDUP(E27*10%,0.1)</f>
        <v>5</v>
      </c>
      <c r="G27" s="363">
        <v>0</v>
      </c>
      <c r="H27" s="366">
        <f>IF(G27=0,F27,G27)</f>
        <v>5</v>
      </c>
      <c r="I27" s="368">
        <v>100000</v>
      </c>
    </row>
    <row r="28" spans="2:13" ht="15.75" thickBot="1" x14ac:dyDescent="0.3">
      <c r="B28" s="358"/>
      <c r="C28" s="359"/>
      <c r="D28" s="178" t="s">
        <v>181</v>
      </c>
      <c r="E28" s="364"/>
      <c r="F28" s="365"/>
      <c r="G28" s="364"/>
      <c r="H28" s="366"/>
      <c r="I28" s="369"/>
    </row>
    <row r="29" spans="2:13" x14ac:dyDescent="0.25">
      <c r="B29" s="358"/>
      <c r="C29" s="359" t="s">
        <v>182</v>
      </c>
      <c r="D29" s="177" t="s">
        <v>186</v>
      </c>
      <c r="E29" s="363">
        <v>45</v>
      </c>
      <c r="F29" s="365">
        <f t="shared" si="0"/>
        <v>5</v>
      </c>
      <c r="G29" s="363">
        <v>0</v>
      </c>
      <c r="H29" s="366">
        <f t="shared" ref="H29:H33" si="2">IF(G29=0,F29,G29)</f>
        <v>5</v>
      </c>
      <c r="I29" s="368">
        <v>1000</v>
      </c>
    </row>
    <row r="30" spans="2:13" ht="15.75" thickBot="1" x14ac:dyDescent="0.3">
      <c r="B30" s="358"/>
      <c r="C30" s="359"/>
      <c r="D30" s="178" t="s">
        <v>181</v>
      </c>
      <c r="E30" s="364"/>
      <c r="F30" s="365"/>
      <c r="G30" s="364"/>
      <c r="H30" s="366"/>
      <c r="I30" s="369"/>
    </row>
    <row r="31" spans="2:13" x14ac:dyDescent="0.25">
      <c r="B31" s="358"/>
      <c r="C31" s="359" t="s">
        <v>183</v>
      </c>
      <c r="D31" s="169"/>
      <c r="E31" s="363"/>
      <c r="F31" s="365">
        <f t="shared" si="0"/>
        <v>0</v>
      </c>
      <c r="G31" s="363">
        <v>0</v>
      </c>
      <c r="H31" s="366">
        <f t="shared" si="2"/>
        <v>0</v>
      </c>
      <c r="I31" s="368">
        <v>0</v>
      </c>
    </row>
    <row r="32" spans="2:13" ht="15.75" thickBot="1" x14ac:dyDescent="0.3">
      <c r="B32" s="358"/>
      <c r="C32" s="359"/>
      <c r="D32" s="172"/>
      <c r="E32" s="364"/>
      <c r="F32" s="365"/>
      <c r="G32" s="364"/>
      <c r="H32" s="366"/>
      <c r="I32" s="369"/>
    </row>
    <row r="33" spans="2:9" x14ac:dyDescent="0.25">
      <c r="B33" s="358"/>
      <c r="C33" s="358" t="s">
        <v>184</v>
      </c>
      <c r="D33" s="169"/>
      <c r="E33" s="363"/>
      <c r="F33" s="358">
        <f t="shared" si="0"/>
        <v>0</v>
      </c>
      <c r="G33" s="363">
        <v>0</v>
      </c>
      <c r="H33" s="358">
        <f t="shared" si="2"/>
        <v>0</v>
      </c>
      <c r="I33" s="368">
        <v>0</v>
      </c>
    </row>
    <row r="34" spans="2:9" ht="15.75" thickBot="1" x14ac:dyDescent="0.3">
      <c r="B34" s="358"/>
      <c r="C34" s="358"/>
      <c r="D34" s="172"/>
      <c r="E34" s="364"/>
      <c r="F34" s="358"/>
      <c r="G34" s="364"/>
      <c r="H34" s="358"/>
      <c r="I34" s="369"/>
    </row>
    <row r="35" spans="2:9" s="5" customFormat="1" ht="8.85" customHeight="1" thickBot="1" x14ac:dyDescent="0.3">
      <c r="B35" s="6"/>
      <c r="C35" s="7"/>
      <c r="E35" s="6"/>
      <c r="F35" s="6"/>
      <c r="G35" s="6"/>
      <c r="H35" s="6"/>
    </row>
    <row r="36" spans="2:9" x14ac:dyDescent="0.25">
      <c r="B36" s="358" t="s">
        <v>187</v>
      </c>
      <c r="C36" s="359" t="s">
        <v>179</v>
      </c>
      <c r="D36" s="177"/>
      <c r="E36" s="363"/>
      <c r="F36" s="365">
        <f>ROUNDUP(E36*10%,0.1)</f>
        <v>0</v>
      </c>
      <c r="G36" s="363">
        <v>0</v>
      </c>
      <c r="H36" s="366">
        <f>IF(G36=0,F36,G36)</f>
        <v>0</v>
      </c>
      <c r="I36" s="368">
        <v>0</v>
      </c>
    </row>
    <row r="37" spans="2:9" ht="15.75" thickBot="1" x14ac:dyDescent="0.3">
      <c r="B37" s="358"/>
      <c r="C37" s="359"/>
      <c r="D37" s="178"/>
      <c r="E37" s="364"/>
      <c r="F37" s="365"/>
      <c r="G37" s="364"/>
      <c r="H37" s="366"/>
      <c r="I37" s="369"/>
    </row>
    <row r="38" spans="2:9" x14ac:dyDescent="0.25">
      <c r="B38" s="358"/>
      <c r="C38" s="359" t="s">
        <v>182</v>
      </c>
      <c r="D38" s="177"/>
      <c r="E38" s="363"/>
      <c r="F38" s="365">
        <f t="shared" ref="F38:F42" si="3">ROUNDUP(E38*10%,0.1)</f>
        <v>0</v>
      </c>
      <c r="G38" s="363">
        <v>0</v>
      </c>
      <c r="H38" s="366">
        <f t="shared" ref="H38:H42" si="4">IF(G38=0,F38,G38)</f>
        <v>0</v>
      </c>
      <c r="I38" s="368">
        <v>0</v>
      </c>
    </row>
    <row r="39" spans="2:9" ht="15.75" thickBot="1" x14ac:dyDescent="0.3">
      <c r="B39" s="358"/>
      <c r="C39" s="359"/>
      <c r="D39" s="178"/>
      <c r="E39" s="364"/>
      <c r="F39" s="365"/>
      <c r="G39" s="364"/>
      <c r="H39" s="366"/>
      <c r="I39" s="369"/>
    </row>
    <row r="40" spans="2:9" x14ac:dyDescent="0.25">
      <c r="B40" s="358"/>
      <c r="C40" s="359" t="s">
        <v>183</v>
      </c>
      <c r="D40" s="169"/>
      <c r="E40" s="363"/>
      <c r="F40" s="365">
        <f t="shared" si="3"/>
        <v>0</v>
      </c>
      <c r="G40" s="363">
        <v>0</v>
      </c>
      <c r="H40" s="366">
        <f t="shared" si="4"/>
        <v>0</v>
      </c>
      <c r="I40" s="368">
        <v>0</v>
      </c>
    </row>
    <row r="41" spans="2:9" ht="15.75" thickBot="1" x14ac:dyDescent="0.3">
      <c r="B41" s="358"/>
      <c r="C41" s="359"/>
      <c r="D41" s="172"/>
      <c r="E41" s="364"/>
      <c r="F41" s="365"/>
      <c r="G41" s="364"/>
      <c r="H41" s="366"/>
      <c r="I41" s="369"/>
    </row>
    <row r="42" spans="2:9" x14ac:dyDescent="0.25">
      <c r="B42" s="358"/>
      <c r="C42" s="358" t="s">
        <v>184</v>
      </c>
      <c r="D42" s="169"/>
      <c r="E42" s="363"/>
      <c r="F42" s="358">
        <f t="shared" si="3"/>
        <v>0</v>
      </c>
      <c r="G42" s="363">
        <v>0</v>
      </c>
      <c r="H42" s="358">
        <f t="shared" si="4"/>
        <v>0</v>
      </c>
      <c r="I42" s="368">
        <v>0</v>
      </c>
    </row>
    <row r="43" spans="2:9" ht="15.75" thickBot="1" x14ac:dyDescent="0.3">
      <c r="B43" s="358"/>
      <c r="C43" s="358"/>
      <c r="D43" s="172"/>
      <c r="E43" s="364"/>
      <c r="F43" s="358"/>
      <c r="G43" s="364"/>
      <c r="H43" s="358"/>
      <c r="I43" s="369"/>
    </row>
    <row r="44" spans="2:9" s="5" customFormat="1" ht="8.85" customHeight="1" thickBot="1" x14ac:dyDescent="0.3">
      <c r="B44" s="6"/>
      <c r="C44" s="7"/>
      <c r="E44" s="6"/>
      <c r="F44" s="6"/>
      <c r="G44" s="6"/>
      <c r="H44" s="6"/>
    </row>
    <row r="45" spans="2:9" x14ac:dyDescent="0.25">
      <c r="B45" s="358" t="s">
        <v>188</v>
      </c>
      <c r="C45" s="359" t="s">
        <v>179</v>
      </c>
      <c r="D45" s="177"/>
      <c r="E45" s="363"/>
      <c r="F45" s="365">
        <f>ROUNDUP(E45*10%,0.1)</f>
        <v>0</v>
      </c>
      <c r="G45" s="363">
        <v>0</v>
      </c>
      <c r="H45" s="366">
        <f>IF(G45=0,F45,G45)</f>
        <v>0</v>
      </c>
      <c r="I45" s="368">
        <v>0</v>
      </c>
    </row>
    <row r="46" spans="2:9" ht="15.75" thickBot="1" x14ac:dyDescent="0.3">
      <c r="B46" s="358"/>
      <c r="C46" s="359"/>
      <c r="D46" s="178"/>
      <c r="E46" s="364"/>
      <c r="F46" s="365"/>
      <c r="G46" s="364"/>
      <c r="H46" s="366"/>
      <c r="I46" s="369"/>
    </row>
    <row r="47" spans="2:9" x14ac:dyDescent="0.25">
      <c r="B47" s="358"/>
      <c r="C47" s="359" t="s">
        <v>182</v>
      </c>
      <c r="D47" s="177"/>
      <c r="E47" s="363"/>
      <c r="F47" s="365">
        <f t="shared" ref="F47:F51" si="5">ROUNDUP(E47*10%,0.1)</f>
        <v>0</v>
      </c>
      <c r="G47" s="363">
        <v>0</v>
      </c>
      <c r="H47" s="366">
        <f t="shared" ref="H47:H51" si="6">IF(G47=0,F47,G47)</f>
        <v>0</v>
      </c>
      <c r="I47" s="368">
        <v>0</v>
      </c>
    </row>
    <row r="48" spans="2:9" ht="15.75" thickBot="1" x14ac:dyDescent="0.3">
      <c r="B48" s="358"/>
      <c r="C48" s="359"/>
      <c r="D48" s="178"/>
      <c r="E48" s="364"/>
      <c r="F48" s="365"/>
      <c r="G48" s="364"/>
      <c r="H48" s="366"/>
      <c r="I48" s="369"/>
    </row>
    <row r="49" spans="1:9" x14ac:dyDescent="0.25">
      <c r="B49" s="358"/>
      <c r="C49" s="359" t="s">
        <v>183</v>
      </c>
      <c r="D49" s="169"/>
      <c r="E49" s="363"/>
      <c r="F49" s="365">
        <f t="shared" si="5"/>
        <v>0</v>
      </c>
      <c r="G49" s="363">
        <v>0</v>
      </c>
      <c r="H49" s="366">
        <f t="shared" si="6"/>
        <v>0</v>
      </c>
      <c r="I49" s="368">
        <v>0</v>
      </c>
    </row>
    <row r="50" spans="1:9" ht="15.75" thickBot="1" x14ac:dyDescent="0.3">
      <c r="B50" s="358"/>
      <c r="C50" s="359"/>
      <c r="D50" s="172"/>
      <c r="E50" s="364"/>
      <c r="F50" s="365"/>
      <c r="G50" s="364"/>
      <c r="H50" s="366"/>
      <c r="I50" s="369"/>
    </row>
    <row r="51" spans="1:9" x14ac:dyDescent="0.25">
      <c r="B51" s="358"/>
      <c r="C51" s="358" t="s">
        <v>184</v>
      </c>
      <c r="D51" s="169"/>
      <c r="E51" s="363"/>
      <c r="F51" s="358">
        <f t="shared" si="5"/>
        <v>0</v>
      </c>
      <c r="G51" s="363">
        <v>0</v>
      </c>
      <c r="H51" s="358">
        <f t="shared" si="6"/>
        <v>0</v>
      </c>
      <c r="I51" s="368">
        <v>0</v>
      </c>
    </row>
    <row r="52" spans="1:9" ht="15.75" thickBot="1" x14ac:dyDescent="0.3">
      <c r="B52" s="358"/>
      <c r="C52" s="358"/>
      <c r="D52" s="172"/>
      <c r="E52" s="364"/>
      <c r="F52" s="358"/>
      <c r="G52" s="364"/>
      <c r="H52" s="358"/>
      <c r="I52" s="369"/>
    </row>
    <row r="54" spans="1:9" ht="15.75" thickBot="1" x14ac:dyDescent="0.3"/>
    <row r="55" spans="1:9" ht="15.75" thickBot="1" x14ac:dyDescent="0.3">
      <c r="D55" t="s">
        <v>189</v>
      </c>
      <c r="E55" s="161">
        <v>2</v>
      </c>
    </row>
    <row r="56" spans="1:9" ht="15.75" thickBot="1" x14ac:dyDescent="0.3"/>
    <row r="57" spans="1:9" ht="105.75" thickBot="1" x14ac:dyDescent="0.3">
      <c r="B57" t="s">
        <v>190</v>
      </c>
      <c r="D57" s="196" t="s">
        <v>191</v>
      </c>
    </row>
    <row r="58" spans="1:9" ht="15.75" thickBot="1" x14ac:dyDescent="0.3"/>
    <row r="59" spans="1:9" ht="90.75" thickBot="1" x14ac:dyDescent="0.3">
      <c r="B59" t="s">
        <v>192</v>
      </c>
      <c r="D59" s="196" t="s">
        <v>193</v>
      </c>
    </row>
    <row r="61" spans="1:9" ht="45.75" thickBot="1" x14ac:dyDescent="0.3">
      <c r="A61" t="s">
        <v>97</v>
      </c>
      <c r="D61" t="s">
        <v>194</v>
      </c>
      <c r="E61" t="s">
        <v>195</v>
      </c>
      <c r="F61" s="3" t="s">
        <v>196</v>
      </c>
      <c r="G61" s="376" t="s">
        <v>197</v>
      </c>
      <c r="H61" s="376"/>
    </row>
    <row r="62" spans="1:9" ht="15.75" thickBot="1" x14ac:dyDescent="0.3">
      <c r="C62" t="s">
        <v>198</v>
      </c>
      <c r="D62" s="176" t="s">
        <v>199</v>
      </c>
      <c r="E62" s="161">
        <v>22</v>
      </c>
      <c r="F62" s="175" t="s">
        <v>180</v>
      </c>
      <c r="G62" s="175" t="s">
        <v>200</v>
      </c>
    </row>
    <row r="63" spans="1:9" ht="15.75" thickBot="1" x14ac:dyDescent="0.3">
      <c r="C63" t="s">
        <v>201</v>
      </c>
      <c r="D63" s="176" t="s">
        <v>202</v>
      </c>
      <c r="E63" s="161">
        <v>15</v>
      </c>
      <c r="F63" s="175" t="s">
        <v>180</v>
      </c>
      <c r="G63" s="175" t="s">
        <v>200</v>
      </c>
    </row>
    <row r="64" spans="1:9" ht="15.75" thickBot="1" x14ac:dyDescent="0.3">
      <c r="C64" t="s">
        <v>203</v>
      </c>
      <c r="D64" s="176" t="s">
        <v>204</v>
      </c>
      <c r="E64" s="161">
        <v>22</v>
      </c>
      <c r="F64" s="175" t="s">
        <v>205</v>
      </c>
      <c r="G64" s="175" t="s">
        <v>206</v>
      </c>
    </row>
    <row r="65" spans="1:16" ht="15.75" thickBot="1" x14ac:dyDescent="0.3">
      <c r="C65" t="s">
        <v>207</v>
      </c>
      <c r="D65" s="176" t="s">
        <v>208</v>
      </c>
      <c r="E65" s="161">
        <v>3</v>
      </c>
      <c r="F65" s="175" t="s">
        <v>180</v>
      </c>
      <c r="G65" s="175" t="s">
        <v>200</v>
      </c>
    </row>
    <row r="66" spans="1:16" ht="15.75" thickBot="1" x14ac:dyDescent="0.3">
      <c r="C66" t="s">
        <v>209</v>
      </c>
      <c r="D66" s="176" t="s">
        <v>51</v>
      </c>
      <c r="E66" s="161">
        <v>8</v>
      </c>
      <c r="F66" s="175" t="s">
        <v>205</v>
      </c>
      <c r="G66" s="175" t="s">
        <v>206</v>
      </c>
    </row>
    <row r="67" spans="1:16" ht="15.75" thickBot="1" x14ac:dyDescent="0.3">
      <c r="D67" s="15"/>
    </row>
    <row r="68" spans="1:16" ht="15.75" thickBot="1" x14ac:dyDescent="0.3">
      <c r="D68" t="s">
        <v>210</v>
      </c>
      <c r="E68" s="161">
        <v>5</v>
      </c>
    </row>
    <row r="69" spans="1:16" ht="15.75" thickBot="1" x14ac:dyDescent="0.3">
      <c r="D69" s="15"/>
    </row>
    <row r="70" spans="1:16" ht="15.75" thickBot="1" x14ac:dyDescent="0.3">
      <c r="D70" t="s">
        <v>211</v>
      </c>
      <c r="E70" t="s">
        <v>212</v>
      </c>
      <c r="F70" s="161">
        <v>4</v>
      </c>
    </row>
    <row r="71" spans="1:16" ht="15.75" thickBot="1" x14ac:dyDescent="0.3">
      <c r="E71" t="s">
        <v>213</v>
      </c>
      <c r="F71" s="161">
        <v>6</v>
      </c>
    </row>
    <row r="73" spans="1:16" ht="15.75" thickBot="1" x14ac:dyDescent="0.3">
      <c r="A73" t="s">
        <v>109</v>
      </c>
    </row>
    <row r="74" spans="1:16" ht="15.75" thickBot="1" x14ac:dyDescent="0.3">
      <c r="D74" t="s">
        <v>214</v>
      </c>
      <c r="E74" s="175" t="s">
        <v>206</v>
      </c>
      <c r="F74" s="158">
        <f>IF(E74="Ja",1,0)</f>
        <v>1</v>
      </c>
    </row>
    <row r="75" spans="1:16" ht="15.75" thickBot="1" x14ac:dyDescent="0.3">
      <c r="D75" t="s">
        <v>215</v>
      </c>
      <c r="E75" s="175" t="s">
        <v>200</v>
      </c>
      <c r="F75" s="158">
        <f t="shared" ref="F75:F76" si="7">IF(E75="Ja",1,0)</f>
        <v>0</v>
      </c>
    </row>
    <row r="76" spans="1:16" ht="15.75" thickBot="1" x14ac:dyDescent="0.3">
      <c r="D76" t="s">
        <v>216</v>
      </c>
      <c r="E76" s="175" t="s">
        <v>200</v>
      </c>
      <c r="F76" s="158">
        <f t="shared" si="7"/>
        <v>0</v>
      </c>
    </row>
    <row r="77" spans="1:16" ht="15.75" thickBot="1" x14ac:dyDescent="0.3"/>
    <row r="78" spans="1:16" ht="15.75" thickBot="1" x14ac:dyDescent="0.3">
      <c r="D78" s="16" t="s">
        <v>217</v>
      </c>
      <c r="E78" s="166" t="s">
        <v>81</v>
      </c>
      <c r="F78" s="168">
        <v>1</v>
      </c>
      <c r="G78" s="169">
        <v>2</v>
      </c>
      <c r="H78" s="170"/>
      <c r="I78" s="169"/>
      <c r="J78" s="170"/>
      <c r="K78" s="169"/>
      <c r="L78" s="170"/>
      <c r="M78" s="169"/>
      <c r="N78" s="170"/>
      <c r="O78" s="169"/>
      <c r="P78" s="158">
        <f>MAX(F78:O78)</f>
        <v>2</v>
      </c>
    </row>
    <row r="79" spans="1:16" ht="15.75" thickBot="1" x14ac:dyDescent="0.3">
      <c r="D79" s="16" t="s">
        <v>218</v>
      </c>
      <c r="E79" s="162" t="s">
        <v>81</v>
      </c>
      <c r="F79" s="163">
        <v>1</v>
      </c>
      <c r="G79" s="164">
        <v>2</v>
      </c>
      <c r="H79" s="165">
        <v>3</v>
      </c>
      <c r="I79" s="164">
        <v>4</v>
      </c>
      <c r="J79" s="165">
        <v>5</v>
      </c>
      <c r="K79" s="164">
        <v>6</v>
      </c>
      <c r="L79" s="165"/>
      <c r="M79" s="164"/>
      <c r="N79" s="165"/>
      <c r="O79" s="164"/>
      <c r="P79" s="158">
        <f t="shared" ref="P79:P80" si="8">MAX(F79:O79)</f>
        <v>6</v>
      </c>
    </row>
    <row r="80" spans="1:16" ht="15.75" thickBot="1" x14ac:dyDescent="0.3">
      <c r="D80" s="16" t="s">
        <v>219</v>
      </c>
      <c r="E80" s="167" t="s">
        <v>81</v>
      </c>
      <c r="F80" s="171">
        <v>1</v>
      </c>
      <c r="G80" s="172">
        <v>2</v>
      </c>
      <c r="H80" s="173">
        <v>3</v>
      </c>
      <c r="I80" s="172">
        <v>4</v>
      </c>
      <c r="J80" s="173">
        <v>5</v>
      </c>
      <c r="K80" s="172">
        <v>6</v>
      </c>
      <c r="L80" s="173"/>
      <c r="M80" s="172"/>
      <c r="N80" s="173"/>
      <c r="O80" s="172"/>
      <c r="P80" s="158">
        <f t="shared" si="8"/>
        <v>6</v>
      </c>
    </row>
    <row r="81" spans="1:16" ht="15.75" thickBot="1" x14ac:dyDescent="0.3">
      <c r="D81" t="s">
        <v>220</v>
      </c>
      <c r="E81" s="174">
        <v>150</v>
      </c>
    </row>
    <row r="83" spans="1:16" ht="15.75" thickBot="1" x14ac:dyDescent="0.3"/>
    <row r="84" spans="1:16" ht="15.75" thickBot="1" x14ac:dyDescent="0.3">
      <c r="D84" t="s">
        <v>221</v>
      </c>
      <c r="E84" s="161">
        <v>1</v>
      </c>
    </row>
    <row r="85" spans="1:16" ht="15.75" thickBot="1" x14ac:dyDescent="0.3">
      <c r="D85" t="s">
        <v>222</v>
      </c>
      <c r="E85" s="161">
        <v>1</v>
      </c>
    </row>
    <row r="86" spans="1:16" ht="15.75" thickBot="1" x14ac:dyDescent="0.3">
      <c r="D86" t="s">
        <v>223</v>
      </c>
      <c r="E86" s="161">
        <v>1</v>
      </c>
    </row>
    <row r="87" spans="1:16" ht="45.75" thickBot="1" x14ac:dyDescent="0.3">
      <c r="D87" t="s">
        <v>224</v>
      </c>
      <c r="F87" s="3" t="s">
        <v>225</v>
      </c>
      <c r="G87" s="3" t="s">
        <v>119</v>
      </c>
      <c r="H87" s="3" t="s">
        <v>120</v>
      </c>
      <c r="I87" s="3" t="s">
        <v>226</v>
      </c>
    </row>
    <row r="88" spans="1:16" ht="15.75" thickBot="1" x14ac:dyDescent="0.3">
      <c r="E88" t="s">
        <v>227</v>
      </c>
      <c r="F88" s="161">
        <v>9</v>
      </c>
      <c r="G88" s="161">
        <v>0</v>
      </c>
      <c r="H88" s="161">
        <v>0</v>
      </c>
      <c r="I88" s="161">
        <v>0</v>
      </c>
      <c r="K88" t="s">
        <v>228</v>
      </c>
    </row>
    <row r="89" spans="1:16" ht="15.75" thickBot="1" x14ac:dyDescent="0.3">
      <c r="E89" t="s">
        <v>229</v>
      </c>
      <c r="F89" s="161">
        <v>36</v>
      </c>
      <c r="G89" s="161">
        <v>0</v>
      </c>
      <c r="H89" s="161">
        <v>0</v>
      </c>
      <c r="I89" s="161">
        <v>5</v>
      </c>
      <c r="K89" t="s">
        <v>228</v>
      </c>
    </row>
    <row r="90" spans="1:16" ht="15.75" thickBot="1" x14ac:dyDescent="0.3">
      <c r="E90" t="s">
        <v>230</v>
      </c>
      <c r="F90" s="161">
        <v>0</v>
      </c>
      <c r="G90" s="161">
        <v>0</v>
      </c>
      <c r="H90" s="161">
        <v>0</v>
      </c>
      <c r="I90" s="161">
        <v>0</v>
      </c>
      <c r="K90" t="s">
        <v>228</v>
      </c>
    </row>
    <row r="91" spans="1:16" ht="15.75" thickBot="1" x14ac:dyDescent="0.3">
      <c r="E91" t="s">
        <v>231</v>
      </c>
      <c r="F91" s="161">
        <v>0</v>
      </c>
      <c r="G91" s="161">
        <v>0</v>
      </c>
      <c r="H91" s="161">
        <v>0</v>
      </c>
      <c r="I91" s="161">
        <v>0</v>
      </c>
      <c r="K91" t="s">
        <v>228</v>
      </c>
    </row>
    <row r="92" spans="1:16" ht="15.75" thickBot="1" x14ac:dyDescent="0.3">
      <c r="E92" t="s">
        <v>232</v>
      </c>
      <c r="F92" s="161">
        <v>0</v>
      </c>
      <c r="G92" s="161">
        <v>0</v>
      </c>
      <c r="H92" s="161">
        <v>0</v>
      </c>
      <c r="I92" s="161">
        <v>0</v>
      </c>
      <c r="K92" t="s">
        <v>228</v>
      </c>
    </row>
    <row r="95" spans="1:16" ht="15.75" thickBot="1" x14ac:dyDescent="0.3">
      <c r="A95" t="s">
        <v>125</v>
      </c>
    </row>
    <row r="96" spans="1:16" ht="15.75" thickBot="1" x14ac:dyDescent="0.3">
      <c r="D96" t="s">
        <v>233</v>
      </c>
      <c r="E96" s="162" t="s">
        <v>81</v>
      </c>
      <c r="F96" s="163">
        <v>1</v>
      </c>
      <c r="G96" s="164">
        <v>2</v>
      </c>
      <c r="H96" s="165">
        <v>3</v>
      </c>
      <c r="I96" s="164"/>
      <c r="J96" s="165"/>
      <c r="K96" s="164"/>
      <c r="L96" s="165"/>
      <c r="M96" s="164"/>
      <c r="N96" s="165"/>
      <c r="O96" s="164"/>
      <c r="P96" s="158">
        <f>MAX(F96:O96)</f>
        <v>3</v>
      </c>
    </row>
    <row r="97" spans="4:9" ht="15.75" thickBot="1" x14ac:dyDescent="0.3"/>
    <row r="98" spans="4:9" ht="15.75" thickBot="1" x14ac:dyDescent="0.3">
      <c r="D98" t="s">
        <v>234</v>
      </c>
      <c r="E98" t="s">
        <v>212</v>
      </c>
      <c r="F98" s="161">
        <v>4</v>
      </c>
    </row>
    <row r="99" spans="4:9" ht="15.75" thickBot="1" x14ac:dyDescent="0.3">
      <c r="E99" t="s">
        <v>235</v>
      </c>
      <c r="F99" s="161">
        <v>102</v>
      </c>
    </row>
    <row r="100" spans="4:9" ht="15.75" thickBot="1" x14ac:dyDescent="0.3"/>
    <row r="101" spans="4:9" ht="15.75" thickBot="1" x14ac:dyDescent="0.3">
      <c r="D101" t="s">
        <v>236</v>
      </c>
      <c r="E101" t="s">
        <v>212</v>
      </c>
      <c r="F101" s="161">
        <v>4</v>
      </c>
    </row>
    <row r="102" spans="4:9" ht="15.75" thickBot="1" x14ac:dyDescent="0.3">
      <c r="E102" t="s">
        <v>235</v>
      </c>
      <c r="F102" s="161" t="s">
        <v>237</v>
      </c>
    </row>
    <row r="103" spans="4:9" ht="15.75" thickBot="1" x14ac:dyDescent="0.3"/>
    <row r="104" spans="4:9" ht="15.75" thickBot="1" x14ac:dyDescent="0.3">
      <c r="D104" t="s">
        <v>238</v>
      </c>
      <c r="E104" s="161">
        <v>8</v>
      </c>
    </row>
    <row r="106" spans="4:9" ht="15.75" thickBot="1" x14ac:dyDescent="0.3"/>
    <row r="107" spans="4:9" ht="15.75" thickBot="1" x14ac:dyDescent="0.3">
      <c r="D107" t="s">
        <v>239</v>
      </c>
      <c r="E107" t="s">
        <v>240</v>
      </c>
      <c r="F107" s="161">
        <v>1</v>
      </c>
    </row>
    <row r="108" spans="4:9" ht="15.75" thickBot="1" x14ac:dyDescent="0.3">
      <c r="E108" t="s">
        <v>241</v>
      </c>
      <c r="F108" s="161">
        <v>2</v>
      </c>
    </row>
    <row r="109" spans="4:9" ht="15.75" thickBot="1" x14ac:dyDescent="0.3"/>
    <row r="110" spans="4:9" ht="15.75" thickBot="1" x14ac:dyDescent="0.3">
      <c r="D110" t="s">
        <v>242</v>
      </c>
      <c r="E110" s="161">
        <v>43830</v>
      </c>
      <c r="F110">
        <f>(E110/24)/365.25</f>
        <v>5</v>
      </c>
      <c r="G110" t="s">
        <v>243</v>
      </c>
      <c r="H110">
        <f>F110*12</f>
        <v>60</v>
      </c>
      <c r="I110" t="s">
        <v>244</v>
      </c>
    </row>
    <row r="111" spans="4:9" ht="15.75" thickBot="1" x14ac:dyDescent="0.3">
      <c r="D111" t="s">
        <v>245</v>
      </c>
      <c r="E111" s="161">
        <v>87660</v>
      </c>
      <c r="F111">
        <f>(E111/24)/365.25</f>
        <v>10</v>
      </c>
      <c r="G111" t="s">
        <v>243</v>
      </c>
      <c r="H111">
        <f>F111*12</f>
        <v>120</v>
      </c>
      <c r="I111" t="s">
        <v>244</v>
      </c>
    </row>
    <row r="112" spans="4:9" ht="15.75" thickBot="1" x14ac:dyDescent="0.3"/>
    <row r="113" spans="1:8" ht="15.75" thickBot="1" x14ac:dyDescent="0.3">
      <c r="D113" t="s">
        <v>246</v>
      </c>
      <c r="E113" s="164"/>
    </row>
    <row r="114" spans="1:8" ht="15.75" thickBot="1" x14ac:dyDescent="0.3">
      <c r="G114" s="1"/>
    </row>
    <row r="115" spans="1:8" ht="15.75" thickBot="1" x14ac:dyDescent="0.3">
      <c r="D115" t="s">
        <v>247</v>
      </c>
      <c r="E115" s="161">
        <v>7</v>
      </c>
      <c r="F115" t="s">
        <v>243</v>
      </c>
      <c r="G115" s="1">
        <f>E115</f>
        <v>7</v>
      </c>
      <c r="H115" s="158"/>
    </row>
    <row r="116" spans="1:8" ht="15.75" thickBot="1" x14ac:dyDescent="0.3">
      <c r="D116" t="s">
        <v>248</v>
      </c>
      <c r="E116" s="161">
        <v>3</v>
      </c>
      <c r="F116" t="s">
        <v>243</v>
      </c>
      <c r="G116" s="1">
        <f>IF(E116&gt;0,E115+E116,0)</f>
        <v>10</v>
      </c>
      <c r="H116" s="158" t="str">
        <f>IF(E116&gt;0, " (extension 1)","")</f>
        <v xml:space="preserve"> (extension 1)</v>
      </c>
    </row>
    <row r="117" spans="1:8" ht="15.75" thickBot="1" x14ac:dyDescent="0.3">
      <c r="D117" t="s">
        <v>249</v>
      </c>
      <c r="E117" s="161"/>
      <c r="F117" t="s">
        <v>243</v>
      </c>
      <c r="G117" s="1">
        <f>IF(E117&gt;0,E115+E116+E117,0)</f>
        <v>0</v>
      </c>
      <c r="H117" s="158" t="str">
        <f>IF(E117&gt;0, " (extension 2)","")</f>
        <v/>
      </c>
    </row>
    <row r="118" spans="1:8" ht="15.75" thickBot="1" x14ac:dyDescent="0.3">
      <c r="D118" t="s">
        <v>250</v>
      </c>
      <c r="E118" s="161"/>
      <c r="F118" t="s">
        <v>243</v>
      </c>
      <c r="G118" s="1">
        <f>IF(E118&gt;0,E115+E116+E117+E118,0)</f>
        <v>0</v>
      </c>
      <c r="H118" s="158" t="str">
        <f>IF(E118&gt;0, " (extension 3)","")</f>
        <v/>
      </c>
    </row>
    <row r="119" spans="1:8" ht="15.75" thickBot="1" x14ac:dyDescent="0.3">
      <c r="D119" t="s">
        <v>251</v>
      </c>
      <c r="E119" s="161"/>
      <c r="F119" t="s">
        <v>243</v>
      </c>
      <c r="G119" s="1">
        <f>IF(E119&gt;0,E115+E116+E117+E118+E119,0)</f>
        <v>0</v>
      </c>
      <c r="H119" s="158" t="str">
        <f>IF(E119&gt;0, " (extension 4)","")</f>
        <v/>
      </c>
    </row>
    <row r="120" spans="1:8" x14ac:dyDescent="0.25">
      <c r="G120" s="1"/>
    </row>
    <row r="121" spans="1:8" ht="15.6" customHeight="1" x14ac:dyDescent="0.25">
      <c r="D121" t="s">
        <v>252</v>
      </c>
      <c r="E121">
        <f>SUM(E115:E119)</f>
        <v>10</v>
      </c>
      <c r="F121" t="s">
        <v>243</v>
      </c>
    </row>
    <row r="122" spans="1:8" ht="15.75" thickBot="1" x14ac:dyDescent="0.3"/>
    <row r="123" spans="1:8" ht="15.75" thickBot="1" x14ac:dyDescent="0.3">
      <c r="D123" t="s">
        <v>264</v>
      </c>
      <c r="E123" s="230">
        <v>419999.99900000001</v>
      </c>
    </row>
    <row r="124" spans="1:8" ht="15.75" thickBot="1" x14ac:dyDescent="0.3">
      <c r="D124" t="s">
        <v>253</v>
      </c>
      <c r="E124" s="230">
        <v>1200000.0009999999</v>
      </c>
    </row>
    <row r="125" spans="1:8" ht="15.75" thickBot="1" x14ac:dyDescent="0.3">
      <c r="D125" t="s">
        <v>254</v>
      </c>
      <c r="E125" s="159">
        <v>0</v>
      </c>
    </row>
    <row r="126" spans="1:8" ht="15.75" thickBot="1" x14ac:dyDescent="0.3">
      <c r="D126" t="s">
        <v>255</v>
      </c>
      <c r="E126" s="160">
        <v>1200000</v>
      </c>
    </row>
    <row r="128" spans="1:8" ht="15.75" thickBot="1" x14ac:dyDescent="0.3">
      <c r="A128" t="s">
        <v>256</v>
      </c>
      <c r="D128" t="s">
        <v>257</v>
      </c>
    </row>
    <row r="129" spans="1:15" ht="32.85" customHeight="1" thickBot="1" x14ac:dyDescent="0.3">
      <c r="D129" s="184" t="s">
        <v>145</v>
      </c>
      <c r="E129" s="373" t="s">
        <v>265</v>
      </c>
      <c r="F129" s="374"/>
      <c r="G129" s="374"/>
      <c r="H129" s="374"/>
      <c r="I129" s="374"/>
      <c r="J129" s="374"/>
      <c r="K129" s="374"/>
      <c r="L129" s="374"/>
      <c r="M129" s="374"/>
      <c r="N129" s="374"/>
      <c r="O129" s="375"/>
    </row>
    <row r="130" spans="1:15" ht="32.85" customHeight="1" thickBot="1" x14ac:dyDescent="0.3">
      <c r="D130" s="184" t="s">
        <v>146</v>
      </c>
      <c r="E130" s="373"/>
      <c r="F130" s="374"/>
      <c r="G130" s="374"/>
      <c r="H130" s="374"/>
      <c r="I130" s="374"/>
      <c r="J130" s="374"/>
      <c r="K130" s="374"/>
      <c r="L130" s="374"/>
      <c r="M130" s="374"/>
      <c r="N130" s="374"/>
      <c r="O130" s="375"/>
    </row>
    <row r="134" spans="1:15" ht="15.75" thickBot="1" x14ac:dyDescent="0.3">
      <c r="A134" t="s">
        <v>258</v>
      </c>
    </row>
    <row r="135" spans="1:15" ht="15.75" thickBot="1" x14ac:dyDescent="0.3">
      <c r="B135" s="370" t="s">
        <v>259</v>
      </c>
      <c r="C135" s="371"/>
      <c r="D135" s="371"/>
      <c r="E135" s="371"/>
      <c r="F135" s="371"/>
      <c r="G135" s="371"/>
      <c r="H135" s="372"/>
    </row>
    <row r="136" spans="1:15" ht="46.5" customHeight="1" thickBot="1" x14ac:dyDescent="0.3">
      <c r="B136" s="370" t="s">
        <v>260</v>
      </c>
      <c r="C136" s="371"/>
      <c r="D136" s="371"/>
      <c r="E136" s="371"/>
      <c r="F136" s="371"/>
      <c r="G136" s="371"/>
      <c r="H136" s="372"/>
    </row>
    <row r="137" spans="1:15" ht="15.75" thickBot="1" x14ac:dyDescent="0.3">
      <c r="B137" s="370" t="s">
        <v>261</v>
      </c>
      <c r="C137" s="371"/>
      <c r="D137" s="371"/>
      <c r="E137" s="371"/>
      <c r="F137" s="371"/>
      <c r="G137" s="371"/>
      <c r="H137" s="372"/>
    </row>
    <row r="138" spans="1:15" ht="15.75" thickBot="1" x14ac:dyDescent="0.3">
      <c r="B138" s="370" t="s">
        <v>262</v>
      </c>
      <c r="C138" s="371"/>
      <c r="D138" s="371"/>
      <c r="E138" s="371"/>
      <c r="F138" s="371"/>
      <c r="G138" s="371"/>
      <c r="H138" s="372"/>
    </row>
  </sheetData>
  <sheetProtection selectLockedCells="1"/>
  <mergeCells count="120">
    <mergeCell ref="B135:H135"/>
    <mergeCell ref="B136:H136"/>
    <mergeCell ref="B137:H137"/>
    <mergeCell ref="B138:H138"/>
    <mergeCell ref="E129:O129"/>
    <mergeCell ref="E130:O130"/>
    <mergeCell ref="I18:I19"/>
    <mergeCell ref="I20:I21"/>
    <mergeCell ref="I22:I23"/>
    <mergeCell ref="I24:I25"/>
    <mergeCell ref="I27:I28"/>
    <mergeCell ref="I29:I30"/>
    <mergeCell ref="I31:I32"/>
    <mergeCell ref="I33:I34"/>
    <mergeCell ref="I36:I37"/>
    <mergeCell ref="I38:I39"/>
    <mergeCell ref="I40:I41"/>
    <mergeCell ref="I42:I43"/>
    <mergeCell ref="I45:I46"/>
    <mergeCell ref="I47:I48"/>
    <mergeCell ref="G61:H61"/>
    <mergeCell ref="M18:M19"/>
    <mergeCell ref="M20:M21"/>
    <mergeCell ref="M22:M23"/>
    <mergeCell ref="M24:M25"/>
    <mergeCell ref="H49:H50"/>
    <mergeCell ref="G18:G19"/>
    <mergeCell ref="I49:I50"/>
    <mergeCell ref="I51:I52"/>
    <mergeCell ref="F51:F52"/>
    <mergeCell ref="E51:E52"/>
    <mergeCell ref="C18:C19"/>
    <mergeCell ref="G51:G52"/>
    <mergeCell ref="H51:H52"/>
    <mergeCell ref="H47:H48"/>
    <mergeCell ref="H45:H46"/>
    <mergeCell ref="H40:H41"/>
    <mergeCell ref="H42:H43"/>
    <mergeCell ref="F49:F50"/>
    <mergeCell ref="G49:G50"/>
    <mergeCell ref="E33:E34"/>
    <mergeCell ref="F40:F41"/>
    <mergeCell ref="G40:G41"/>
    <mergeCell ref="F42:F43"/>
    <mergeCell ref="G42:G43"/>
    <mergeCell ref="E47:E48"/>
    <mergeCell ref="F47:F48"/>
    <mergeCell ref="F22:F23"/>
    <mergeCell ref="G22:G23"/>
    <mergeCell ref="E27:E28"/>
    <mergeCell ref="F27:F28"/>
    <mergeCell ref="E24:E25"/>
    <mergeCell ref="F24:F25"/>
    <mergeCell ref="E16:H16"/>
    <mergeCell ref="C11:D11"/>
    <mergeCell ref="C12:D12"/>
    <mergeCell ref="C13:D13"/>
    <mergeCell ref="C14:D14"/>
    <mergeCell ref="E18:E19"/>
    <mergeCell ref="C22:C23"/>
    <mergeCell ref="E22:E23"/>
    <mergeCell ref="C27:C28"/>
    <mergeCell ref="F20:F21"/>
    <mergeCell ref="H20:H21"/>
    <mergeCell ref="F18:F19"/>
    <mergeCell ref="H18:H19"/>
    <mergeCell ref="H22:H23"/>
    <mergeCell ref="G20:G21"/>
    <mergeCell ref="E20:E21"/>
    <mergeCell ref="H27:H28"/>
    <mergeCell ref="G47:G48"/>
    <mergeCell ref="F45:F46"/>
    <mergeCell ref="G45:G46"/>
    <mergeCell ref="G33:G34"/>
    <mergeCell ref="E36:E37"/>
    <mergeCell ref="F36:F37"/>
    <mergeCell ref="G36:G37"/>
    <mergeCell ref="H36:H37"/>
    <mergeCell ref="G24:G25"/>
    <mergeCell ref="H24:H25"/>
    <mergeCell ref="F33:F34"/>
    <mergeCell ref="H33:H34"/>
    <mergeCell ref="E31:E32"/>
    <mergeCell ref="F31:F32"/>
    <mergeCell ref="G31:G32"/>
    <mergeCell ref="H31:H32"/>
    <mergeCell ref="F38:F39"/>
    <mergeCell ref="G38:G39"/>
    <mergeCell ref="H38:H39"/>
    <mergeCell ref="E40:E41"/>
    <mergeCell ref="F29:F30"/>
    <mergeCell ref="G29:G30"/>
    <mergeCell ref="H29:H30"/>
    <mergeCell ref="G27:G28"/>
    <mergeCell ref="E45:E46"/>
    <mergeCell ref="C42:C43"/>
    <mergeCell ref="E42:E43"/>
    <mergeCell ref="E38:E39"/>
    <mergeCell ref="E49:E50"/>
    <mergeCell ref="C36:C37"/>
    <mergeCell ref="B4:D4"/>
    <mergeCell ref="C47:C48"/>
    <mergeCell ref="C49:C50"/>
    <mergeCell ref="E29:E30"/>
    <mergeCell ref="C51:C52"/>
    <mergeCell ref="C40:C41"/>
    <mergeCell ref="C38:C39"/>
    <mergeCell ref="C33:C34"/>
    <mergeCell ref="B5:D5"/>
    <mergeCell ref="B6:D6"/>
    <mergeCell ref="B27:B34"/>
    <mergeCell ref="B18:B25"/>
    <mergeCell ref="B45:B52"/>
    <mergeCell ref="B36:B43"/>
    <mergeCell ref="C24:C25"/>
    <mergeCell ref="C31:C32"/>
    <mergeCell ref="C20:C21"/>
    <mergeCell ref="C29:C30"/>
    <mergeCell ref="B8:D8"/>
    <mergeCell ref="C45:C46"/>
  </mergeCells>
  <phoneticPr fontId="16" type="noConversion"/>
  <conditionalFormatting sqref="D62:D67">
    <cfRule type="expression" dxfId="0" priority="1">
      <formula>$C$30&gt;0</formula>
    </cfRule>
  </conditionalFormatting>
  <dataValidations count="2">
    <dataValidation type="list" allowBlank="1" showInputMessage="1" showErrorMessage="1" sqref="F62:F66 M18 M20 M22 M24" xr:uid="{BBAC375D-A400-4A37-8DFD-A2BEECE892B1}">
      <formula1>"Yes,No"</formula1>
    </dataValidation>
    <dataValidation type="list" allowBlank="1" showInputMessage="1" showErrorMessage="1" sqref="E74:E76 G62:G66" xr:uid="{F481BB54-43B4-4433-B0C5-12B47D716AC1}">
      <formula1>"Ja,Nee"</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4767549-c466-44b0-be43-9d74042172cd">
      <UserInfo>
        <DisplayName>Quast, H.W. (Henk Willem) (Rijksmedewerker)</DisplayName>
        <AccountId>26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8979A3D9BF154AA250378A7F7641C1" ma:contentTypeVersion="2" ma:contentTypeDescription="Een nieuw document maken." ma:contentTypeScope="" ma:versionID="5ac1da7e911beaa82afef8dc8730b78c">
  <xsd:schema xmlns:xsd="http://www.w3.org/2001/XMLSchema" xmlns:xs="http://www.w3.org/2001/XMLSchema" xmlns:p="http://schemas.microsoft.com/office/2006/metadata/properties" xmlns:ns2="74767549-c466-44b0-be43-9d74042172cd" targetNamespace="http://schemas.microsoft.com/office/2006/metadata/properties" ma:root="true" ma:fieldsID="1bd398c19ca4a1fefc542c297787ce67" ns2:_="">
    <xsd:import namespace="74767549-c466-44b0-be43-9d74042172c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7549-c466-44b0-be43-9d74042172c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D52BA-FFA7-46D8-A298-43EF30703EF5}">
  <ds:schemaRefs>
    <ds:schemaRef ds:uri="http://schemas.microsoft.com/office/2006/documentManagement/types"/>
    <ds:schemaRef ds:uri="http://purl.org/dc/elements/1.1/"/>
    <ds:schemaRef ds:uri="74767549-c466-44b0-be43-9d74042172cd"/>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92BA60B-DB51-491F-8B15-7E503DFBA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7549-c466-44b0-be43-9d7404217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37F59A-EF96-4364-BCE2-DC41E51057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Instructions</vt:lpstr>
      <vt:lpstr>Pricing Sheet </vt:lpstr>
      <vt:lpstr>Invulblad</vt:lpstr>
      <vt:lpstr>'Pricing Sheet '!Afdrukbereik</vt:lpstr>
      <vt:lpstr>Spare</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Kreuger, L. (Laura) - FIB/UDAC/FenI</cp:lastModifiedBy>
  <cp:revision/>
  <dcterms:created xsi:type="dcterms:W3CDTF">2019-03-27T14:18:00Z</dcterms:created>
  <dcterms:modified xsi:type="dcterms:W3CDTF">2024-08-02T10:08:33Z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0x010100E58979A3D9BF154AA250378A7F7641C1</vt:lpwstr>
  </property>
</Properties>
</file>