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o365almere.sharepoint.com/sites/ZW-InkoopJeugdhulp2023-Project/Gedeelde documenten/1 Aanbesteding 2025/1.1 Nieuw integrale docs/NvI 2/"/>
    </mc:Choice>
  </mc:AlternateContent>
  <xr:revisionPtr revIDLastSave="30" documentId="8_{A73E70D2-3886-4CC2-8466-D36D4D95AA7C}" xr6:coauthVersionLast="47" xr6:coauthVersionMax="47" xr10:uidLastSave="{BF1660EE-25C3-45B4-A4D6-5AC618049E68}"/>
  <bookViews>
    <workbookView xWindow="780" yWindow="780" windowWidth="26085" windowHeight="12390" xr2:uid="{00000000-000D-0000-FFFF-FFFF00000000}"/>
  </bookViews>
  <sheets>
    <sheet name="Kostprijsmodel" sheetId="1" r:id="rId1"/>
    <sheet name="Inschaling" sheetId="11" r:id="rId2"/>
    <sheet name="Input --&gt;" sheetId="16" state="hidden" r:id="rId3"/>
    <sheet name="Info --&gt;" sheetId="15" state="hidden" r:id="rId4"/>
    <sheet name="Uitvraag" sheetId="18" state="hidden" r:id="rId5"/>
    <sheet name="Benchmark" sheetId="17" state="hidden" r:id="rId6"/>
    <sheet name="Functies GGZ per opleidingsniv." sheetId="13" state="hidden" r:id="rId7"/>
    <sheet name="Slaapdienst gegevens" sheetId="14" state="hidden" r:id="rId8"/>
    <sheet name="Omzet per aanbieder per perceel" sheetId="19" state="hidden" r:id="rId9"/>
    <sheet name="Schalen en tredes" sheetId="8" state="hidden" r:id="rId10"/>
    <sheet name="ZKN &amp; Ziekenhuizen" sheetId="27" state="hidden" r:id="rId11"/>
    <sheet name="GGZ" sheetId="23" state="hidden" r:id="rId12"/>
    <sheet name="JZ" sheetId="7" state="hidden" r:id="rId13"/>
    <sheet name="GHZ" sheetId="24" state="hidden" r:id="rId14"/>
    <sheet name="Verlof" sheetId="21" state="hidden" r:id="rId15"/>
    <sheet name="ORT" sheetId="26" state="hidden" r:id="rId16"/>
  </sheets>
  <definedNames>
    <definedName name="CAO">'Schalen en tredes'!$A$2:$A$229</definedName>
    <definedName name="GGZ">'Schalen en tredes'!$C$2:$C$229</definedName>
    <definedName name="GHZ">'Schalen en tredes'!$D$2:$D$229</definedName>
    <definedName name="JZ">'Schalen en tredes'!$B$2:$B$229</definedName>
    <definedName name="SW">'Schalen en tredes'!#REF!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27" l="1"/>
  <c r="G2" i="27"/>
  <c r="N14" i="11"/>
  <c r="N15" i="11"/>
  <c r="N16" i="11"/>
  <c r="N17" i="11"/>
  <c r="N18" i="11"/>
  <c r="N19" i="11"/>
  <c r="N13" i="11"/>
  <c r="B20" i="11"/>
  <c r="H20" i="11"/>
  <c r="H14" i="11"/>
  <c r="H15" i="11"/>
  <c r="H16" i="11"/>
  <c r="H17" i="11"/>
  <c r="H18" i="11"/>
  <c r="H19" i="11"/>
  <c r="H13" i="11"/>
  <c r="B19" i="11"/>
  <c r="B18" i="11"/>
  <c r="B17" i="11"/>
  <c r="B16" i="11"/>
  <c r="B15" i="11"/>
  <c r="B14" i="11"/>
  <c r="B13" i="11"/>
  <c r="D10" i="26"/>
  <c r="D8" i="26"/>
  <c r="K205" i="23"/>
  <c r="K125" i="23"/>
  <c r="I105" i="7"/>
  <c r="I121" i="7"/>
  <c r="K131" i="24"/>
  <c r="K145" i="24"/>
  <c r="K159" i="24"/>
  <c r="K175" i="24"/>
  <c r="I136" i="7"/>
  <c r="I151" i="7"/>
  <c r="I166" i="7"/>
  <c r="I182" i="7"/>
  <c r="K191" i="24"/>
  <c r="K209" i="24"/>
  <c r="K227" i="24"/>
  <c r="I197" i="7"/>
  <c r="I212" i="7"/>
  <c r="I227" i="7"/>
  <c r="K151" i="23"/>
  <c r="K165" i="23"/>
  <c r="K181" i="23"/>
  <c r="K197" i="23"/>
  <c r="D57" i="1" l="1"/>
  <c r="B57" i="1"/>
  <c r="D13" i="1"/>
  <c r="E4" i="21" l="1"/>
  <c r="F4" i="21"/>
  <c r="X82" i="1"/>
  <c r="AA81" i="1" l="1"/>
  <c r="X81" i="1"/>
  <c r="N58" i="1"/>
  <c r="N38" i="1"/>
  <c r="N13" i="1"/>
  <c r="T58" i="1"/>
  <c r="T38" i="1"/>
  <c r="T13" i="1"/>
  <c r="D58" i="1"/>
  <c r="D38" i="1"/>
  <c r="K81" i="23"/>
  <c r="H58" i="1" l="1"/>
  <c r="G58" i="1"/>
  <c r="F58" i="1"/>
  <c r="M58" i="1"/>
  <c r="S58" i="1"/>
  <c r="R58" i="1"/>
  <c r="B58" i="1"/>
  <c r="U58" i="1"/>
  <c r="K58" i="1"/>
  <c r="L58" i="1"/>
  <c r="P58" i="1"/>
  <c r="I58" i="1"/>
  <c r="X58" i="1"/>
  <c r="AA58" i="1"/>
  <c r="J129" i="24" l="1"/>
  <c r="J194" i="24"/>
  <c r="H4" i="7"/>
  <c r="J4" i="23"/>
  <c r="D18" i="1" l="1"/>
  <c r="AA38" i="1"/>
  <c r="X38" i="1"/>
  <c r="I38" i="1"/>
  <c r="H38" i="1"/>
  <c r="G38" i="1"/>
  <c r="F38" i="1"/>
  <c r="P38" i="1"/>
  <c r="M38" i="1"/>
  <c r="L38" i="1"/>
  <c r="K38" i="1"/>
  <c r="U38" i="1"/>
  <c r="S38" i="1"/>
  <c r="C38" i="1"/>
  <c r="T14" i="11" l="1"/>
  <c r="T15" i="11"/>
  <c r="T16" i="11"/>
  <c r="T17" i="11"/>
  <c r="T18" i="11"/>
  <c r="T19" i="11"/>
  <c r="T20" i="11"/>
  <c r="T13" i="11"/>
  <c r="N18" i="1" l="1"/>
  <c r="T18" i="1"/>
  <c r="R33" i="1" l="1"/>
  <c r="R34" i="1"/>
  <c r="R38" i="1" l="1"/>
  <c r="B13" i="1" l="1"/>
  <c r="H5" i="7"/>
  <c r="H6" i="7"/>
  <c r="H7" i="7"/>
  <c r="H8" i="7"/>
  <c r="H9" i="7"/>
  <c r="H10" i="7"/>
  <c r="H11" i="7"/>
  <c r="H12" i="7"/>
  <c r="H13" i="7"/>
  <c r="H14" i="7"/>
  <c r="H15" i="7"/>
  <c r="H16" i="7"/>
  <c r="H17" i="7"/>
  <c r="H19" i="7"/>
  <c r="H20" i="7"/>
  <c r="H21" i="7"/>
  <c r="H22" i="7"/>
  <c r="H23" i="7"/>
  <c r="H24" i="7"/>
  <c r="H25" i="7"/>
  <c r="H26" i="7"/>
  <c r="H27" i="7"/>
  <c r="H28" i="7"/>
  <c r="H29" i="7"/>
  <c r="H30" i="7"/>
  <c r="H31" i="7"/>
  <c r="H32" i="7"/>
  <c r="H34" i="7"/>
  <c r="H35" i="7"/>
  <c r="H36" i="7"/>
  <c r="H37" i="7"/>
  <c r="H38" i="7"/>
  <c r="H39" i="7"/>
  <c r="H40" i="7"/>
  <c r="H41" i="7"/>
  <c r="H42" i="7"/>
  <c r="H43" i="7"/>
  <c r="H44" i="7"/>
  <c r="H45" i="7"/>
  <c r="H46" i="7"/>
  <c r="H47" i="7"/>
  <c r="H49" i="7"/>
  <c r="H50" i="7"/>
  <c r="H51" i="7"/>
  <c r="H52" i="7"/>
  <c r="H53" i="7"/>
  <c r="H54" i="7"/>
  <c r="H55" i="7"/>
  <c r="H56" i="7"/>
  <c r="H57" i="7"/>
  <c r="H58" i="7"/>
  <c r="H59" i="7"/>
  <c r="H60" i="7"/>
  <c r="H61" i="7"/>
  <c r="H62" i="7"/>
  <c r="H64" i="7"/>
  <c r="H65" i="7"/>
  <c r="H66" i="7"/>
  <c r="H67" i="7"/>
  <c r="H68" i="7"/>
  <c r="H69" i="7"/>
  <c r="H70" i="7"/>
  <c r="H71" i="7"/>
  <c r="H72" i="7"/>
  <c r="H73" i="7"/>
  <c r="H74" i="7"/>
  <c r="H75" i="7"/>
  <c r="H76" i="7"/>
  <c r="H77"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9" i="7"/>
  <c r="H110" i="7"/>
  <c r="H111" i="7"/>
  <c r="H112" i="7"/>
  <c r="H113" i="7"/>
  <c r="H114" i="7"/>
  <c r="H115" i="7"/>
  <c r="H116" i="7"/>
  <c r="H117" i="7"/>
  <c r="H118" i="7"/>
  <c r="H119" i="7"/>
  <c r="H120" i="7"/>
  <c r="H121" i="7"/>
  <c r="H122" i="7"/>
  <c r="H124" i="7"/>
  <c r="H125" i="7"/>
  <c r="H126" i="7"/>
  <c r="H127" i="7"/>
  <c r="H128" i="7"/>
  <c r="H129" i="7"/>
  <c r="H130" i="7"/>
  <c r="H131" i="7"/>
  <c r="H132" i="7"/>
  <c r="H133" i="7"/>
  <c r="H134" i="7"/>
  <c r="H135" i="7"/>
  <c r="H136" i="7"/>
  <c r="H137" i="7"/>
  <c r="H139" i="7"/>
  <c r="H140" i="7"/>
  <c r="H141" i="7"/>
  <c r="H142" i="7"/>
  <c r="H143" i="7"/>
  <c r="H144" i="7"/>
  <c r="H145" i="7"/>
  <c r="H146" i="7"/>
  <c r="H147" i="7"/>
  <c r="H148" i="7"/>
  <c r="H149" i="7"/>
  <c r="H150" i="7"/>
  <c r="H151" i="7"/>
  <c r="H152" i="7"/>
  <c r="H154" i="7"/>
  <c r="H155" i="7"/>
  <c r="H156" i="7"/>
  <c r="H157" i="7"/>
  <c r="H158" i="7"/>
  <c r="H159" i="7"/>
  <c r="H160" i="7"/>
  <c r="H161" i="7"/>
  <c r="H162" i="7"/>
  <c r="H163" i="7"/>
  <c r="H164" i="7"/>
  <c r="H165" i="7"/>
  <c r="H166" i="7"/>
  <c r="H167" i="7"/>
  <c r="H169" i="7"/>
  <c r="H170" i="7"/>
  <c r="H171" i="7"/>
  <c r="H172" i="7"/>
  <c r="H173" i="7"/>
  <c r="H174" i="7"/>
  <c r="H175" i="7"/>
  <c r="H176" i="7"/>
  <c r="H177" i="7"/>
  <c r="H178" i="7"/>
  <c r="H179" i="7"/>
  <c r="H180" i="7"/>
  <c r="H181" i="7"/>
  <c r="H182" i="7"/>
  <c r="H184" i="7"/>
  <c r="H185" i="7"/>
  <c r="H186" i="7"/>
  <c r="H187" i="7"/>
  <c r="H188" i="7"/>
  <c r="H189" i="7"/>
  <c r="H190" i="7"/>
  <c r="H191" i="7"/>
  <c r="H192" i="7"/>
  <c r="H193" i="7"/>
  <c r="H194" i="7"/>
  <c r="H195" i="7"/>
  <c r="H196" i="7"/>
  <c r="H197" i="7"/>
  <c r="H199" i="7"/>
  <c r="H200" i="7"/>
  <c r="H201" i="7"/>
  <c r="H202" i="7"/>
  <c r="H203" i="7"/>
  <c r="H204" i="7"/>
  <c r="H205" i="7"/>
  <c r="H206" i="7"/>
  <c r="H207" i="7"/>
  <c r="H208" i="7"/>
  <c r="H209" i="7"/>
  <c r="H210" i="7"/>
  <c r="H211" i="7"/>
  <c r="H212" i="7"/>
  <c r="H214" i="7"/>
  <c r="H215" i="7"/>
  <c r="H216" i="7"/>
  <c r="H217" i="7"/>
  <c r="H218" i="7"/>
  <c r="H219" i="7"/>
  <c r="H220" i="7"/>
  <c r="H221" i="7"/>
  <c r="H222" i="7"/>
  <c r="H223" i="7"/>
  <c r="H224" i="7"/>
  <c r="H225" i="7"/>
  <c r="H226" i="7"/>
  <c r="H227" i="7"/>
  <c r="F5" i="7"/>
  <c r="F6" i="7"/>
  <c r="F7" i="7"/>
  <c r="F8" i="7"/>
  <c r="F9" i="7"/>
  <c r="F10" i="7"/>
  <c r="F11" i="7"/>
  <c r="F12" i="7"/>
  <c r="F13" i="7"/>
  <c r="F14" i="7"/>
  <c r="F15" i="7"/>
  <c r="F16" i="7"/>
  <c r="F17" i="7"/>
  <c r="F19" i="7"/>
  <c r="F20" i="7"/>
  <c r="F21" i="7"/>
  <c r="F22" i="7"/>
  <c r="F23" i="7"/>
  <c r="F24" i="7"/>
  <c r="F25" i="7"/>
  <c r="F26" i="7"/>
  <c r="F27" i="7"/>
  <c r="F28" i="7"/>
  <c r="F29" i="7"/>
  <c r="F30" i="7"/>
  <c r="F31" i="7"/>
  <c r="F32" i="7"/>
  <c r="F34" i="7"/>
  <c r="F35" i="7"/>
  <c r="F36" i="7"/>
  <c r="F37" i="7"/>
  <c r="F38" i="7"/>
  <c r="F39" i="7"/>
  <c r="F40" i="7"/>
  <c r="F41" i="7"/>
  <c r="F42" i="7"/>
  <c r="F43" i="7"/>
  <c r="F44" i="7"/>
  <c r="F45" i="7"/>
  <c r="F46" i="7"/>
  <c r="F47" i="7"/>
  <c r="F49" i="7"/>
  <c r="F50" i="7"/>
  <c r="F51" i="7"/>
  <c r="F52" i="7"/>
  <c r="F53" i="7"/>
  <c r="F54" i="7"/>
  <c r="F55" i="7"/>
  <c r="F56" i="7"/>
  <c r="F57" i="7"/>
  <c r="F58" i="7"/>
  <c r="F59" i="7"/>
  <c r="F60" i="7"/>
  <c r="F61" i="7"/>
  <c r="F62" i="7"/>
  <c r="F64" i="7"/>
  <c r="F65" i="7"/>
  <c r="F66" i="7"/>
  <c r="F67" i="7"/>
  <c r="F68" i="7"/>
  <c r="F69" i="7"/>
  <c r="F70" i="7"/>
  <c r="F71" i="7"/>
  <c r="F72" i="7"/>
  <c r="F73" i="7"/>
  <c r="F74" i="7"/>
  <c r="F75" i="7"/>
  <c r="F76" i="7"/>
  <c r="F77" i="7"/>
  <c r="F79" i="7"/>
  <c r="F80" i="7"/>
  <c r="F81" i="7"/>
  <c r="F82" i="7"/>
  <c r="F83" i="7"/>
  <c r="F84" i="7"/>
  <c r="F85" i="7"/>
  <c r="F86" i="7"/>
  <c r="F87" i="7"/>
  <c r="F88" i="7"/>
  <c r="F89" i="7"/>
  <c r="F90" i="7"/>
  <c r="F91" i="7"/>
  <c r="F92" i="7"/>
  <c r="F94" i="7"/>
  <c r="F95" i="7"/>
  <c r="F96" i="7"/>
  <c r="F97" i="7"/>
  <c r="F98" i="7"/>
  <c r="F99" i="7"/>
  <c r="F100" i="7"/>
  <c r="F101" i="7"/>
  <c r="F102" i="7"/>
  <c r="F103" i="7"/>
  <c r="F104" i="7"/>
  <c r="F105" i="7"/>
  <c r="F106" i="7"/>
  <c r="F107" i="7"/>
  <c r="F109" i="7"/>
  <c r="F110" i="7"/>
  <c r="F111" i="7"/>
  <c r="F112" i="7"/>
  <c r="F113" i="7"/>
  <c r="F114" i="7"/>
  <c r="F115" i="7"/>
  <c r="F116" i="7"/>
  <c r="F117" i="7"/>
  <c r="F118" i="7"/>
  <c r="F119" i="7"/>
  <c r="F120" i="7"/>
  <c r="F121" i="7"/>
  <c r="F122" i="7"/>
  <c r="F124" i="7"/>
  <c r="F125" i="7"/>
  <c r="F126" i="7"/>
  <c r="F127" i="7"/>
  <c r="F128" i="7"/>
  <c r="F129" i="7"/>
  <c r="F130" i="7"/>
  <c r="F131" i="7"/>
  <c r="F132" i="7"/>
  <c r="F133" i="7"/>
  <c r="F134" i="7"/>
  <c r="F135" i="7"/>
  <c r="F136" i="7"/>
  <c r="F137" i="7"/>
  <c r="F139" i="7"/>
  <c r="F140" i="7"/>
  <c r="F141" i="7"/>
  <c r="F142" i="7"/>
  <c r="F143" i="7"/>
  <c r="F144" i="7"/>
  <c r="F145" i="7"/>
  <c r="F146" i="7"/>
  <c r="F147" i="7"/>
  <c r="F148" i="7"/>
  <c r="F149" i="7"/>
  <c r="F150" i="7"/>
  <c r="F151" i="7"/>
  <c r="F152" i="7"/>
  <c r="F154" i="7"/>
  <c r="F155" i="7"/>
  <c r="F156" i="7"/>
  <c r="F157" i="7"/>
  <c r="F158" i="7"/>
  <c r="F159" i="7"/>
  <c r="F160" i="7"/>
  <c r="F161" i="7"/>
  <c r="F162" i="7"/>
  <c r="F163" i="7"/>
  <c r="F164" i="7"/>
  <c r="F165" i="7"/>
  <c r="F166" i="7"/>
  <c r="F167" i="7"/>
  <c r="F169" i="7"/>
  <c r="F170" i="7"/>
  <c r="F171" i="7"/>
  <c r="F172" i="7"/>
  <c r="F173" i="7"/>
  <c r="F174" i="7"/>
  <c r="F175" i="7"/>
  <c r="F176" i="7"/>
  <c r="F177" i="7"/>
  <c r="F178" i="7"/>
  <c r="F179" i="7"/>
  <c r="F180" i="7"/>
  <c r="F181" i="7"/>
  <c r="F182" i="7"/>
  <c r="F184" i="7"/>
  <c r="F185" i="7"/>
  <c r="F186" i="7"/>
  <c r="F187" i="7"/>
  <c r="F188" i="7"/>
  <c r="F189" i="7"/>
  <c r="F190" i="7"/>
  <c r="F191" i="7"/>
  <c r="F192" i="7"/>
  <c r="F193" i="7"/>
  <c r="F194" i="7"/>
  <c r="F195" i="7"/>
  <c r="F196" i="7"/>
  <c r="F197" i="7"/>
  <c r="F199" i="7"/>
  <c r="F200" i="7"/>
  <c r="F201" i="7"/>
  <c r="F202" i="7"/>
  <c r="F203" i="7"/>
  <c r="F204" i="7"/>
  <c r="F205" i="7"/>
  <c r="F206" i="7"/>
  <c r="F207" i="7"/>
  <c r="F208" i="7"/>
  <c r="F209" i="7"/>
  <c r="F210" i="7"/>
  <c r="F211" i="7"/>
  <c r="F212" i="7"/>
  <c r="F214" i="7"/>
  <c r="F215" i="7"/>
  <c r="F216" i="7"/>
  <c r="F217" i="7"/>
  <c r="F218" i="7"/>
  <c r="F219" i="7"/>
  <c r="F220" i="7"/>
  <c r="F221" i="7"/>
  <c r="F222" i="7"/>
  <c r="F223" i="7"/>
  <c r="F224" i="7"/>
  <c r="F225" i="7"/>
  <c r="F226" i="7"/>
  <c r="F227" i="7"/>
  <c r="F4" i="7"/>
  <c r="E5" i="7"/>
  <c r="E6" i="7"/>
  <c r="E7" i="7"/>
  <c r="E8" i="7"/>
  <c r="E9" i="7"/>
  <c r="E10" i="7"/>
  <c r="E11" i="7"/>
  <c r="E12" i="7"/>
  <c r="E13" i="7"/>
  <c r="E14" i="7"/>
  <c r="E15" i="7"/>
  <c r="E16" i="7"/>
  <c r="E17" i="7"/>
  <c r="E19" i="7"/>
  <c r="E20" i="7"/>
  <c r="E21" i="7"/>
  <c r="E22" i="7"/>
  <c r="E23" i="7"/>
  <c r="E24" i="7"/>
  <c r="E25" i="7"/>
  <c r="E26" i="7"/>
  <c r="E27" i="7"/>
  <c r="E28" i="7"/>
  <c r="E29" i="7"/>
  <c r="E30" i="7"/>
  <c r="E31" i="7"/>
  <c r="E32" i="7"/>
  <c r="E34" i="7"/>
  <c r="E35" i="7"/>
  <c r="E36" i="7"/>
  <c r="E37" i="7"/>
  <c r="E38" i="7"/>
  <c r="E39" i="7"/>
  <c r="E40" i="7"/>
  <c r="E41" i="7"/>
  <c r="E42" i="7"/>
  <c r="E43" i="7"/>
  <c r="E44" i="7"/>
  <c r="E45" i="7"/>
  <c r="E46" i="7"/>
  <c r="E47" i="7"/>
  <c r="E49" i="7"/>
  <c r="E50" i="7"/>
  <c r="E51" i="7"/>
  <c r="E52" i="7"/>
  <c r="E53" i="7"/>
  <c r="E54" i="7"/>
  <c r="E55" i="7"/>
  <c r="E56" i="7"/>
  <c r="E57" i="7"/>
  <c r="E58" i="7"/>
  <c r="E59" i="7"/>
  <c r="E60" i="7"/>
  <c r="E61" i="7"/>
  <c r="E62" i="7"/>
  <c r="E64" i="7"/>
  <c r="E65" i="7"/>
  <c r="E66" i="7"/>
  <c r="E67" i="7"/>
  <c r="E68" i="7"/>
  <c r="E69" i="7"/>
  <c r="E70" i="7"/>
  <c r="E71" i="7"/>
  <c r="E72" i="7"/>
  <c r="E73" i="7"/>
  <c r="E74" i="7"/>
  <c r="E75" i="7"/>
  <c r="E76" i="7"/>
  <c r="E77" i="7"/>
  <c r="E79" i="7"/>
  <c r="E80" i="7"/>
  <c r="E81" i="7"/>
  <c r="E82" i="7"/>
  <c r="E83" i="7"/>
  <c r="E84" i="7"/>
  <c r="E85" i="7"/>
  <c r="E86" i="7"/>
  <c r="E87" i="7"/>
  <c r="E88" i="7"/>
  <c r="E89" i="7"/>
  <c r="E90" i="7"/>
  <c r="E91" i="7"/>
  <c r="E92" i="7"/>
  <c r="E94" i="7"/>
  <c r="E95" i="7"/>
  <c r="E96" i="7"/>
  <c r="E97" i="7"/>
  <c r="E98" i="7"/>
  <c r="E99" i="7"/>
  <c r="E100" i="7"/>
  <c r="E101" i="7"/>
  <c r="E102" i="7"/>
  <c r="E103" i="7"/>
  <c r="E104" i="7"/>
  <c r="E105" i="7"/>
  <c r="E106" i="7"/>
  <c r="E107" i="7"/>
  <c r="E109" i="7"/>
  <c r="E110" i="7"/>
  <c r="E111" i="7"/>
  <c r="E112" i="7"/>
  <c r="E113" i="7"/>
  <c r="E114" i="7"/>
  <c r="E115" i="7"/>
  <c r="E116" i="7"/>
  <c r="E117" i="7"/>
  <c r="E118" i="7"/>
  <c r="E119" i="7"/>
  <c r="E120" i="7"/>
  <c r="E121" i="7"/>
  <c r="E122" i="7"/>
  <c r="E124" i="7"/>
  <c r="E125" i="7"/>
  <c r="E126" i="7"/>
  <c r="E127" i="7"/>
  <c r="E128" i="7"/>
  <c r="E129" i="7"/>
  <c r="E130" i="7"/>
  <c r="E131" i="7"/>
  <c r="E132" i="7"/>
  <c r="E133" i="7"/>
  <c r="E134" i="7"/>
  <c r="E135" i="7"/>
  <c r="E136" i="7"/>
  <c r="E137" i="7"/>
  <c r="E139" i="7"/>
  <c r="E140" i="7"/>
  <c r="E141" i="7"/>
  <c r="E142" i="7"/>
  <c r="E143" i="7"/>
  <c r="E144" i="7"/>
  <c r="E145" i="7"/>
  <c r="E146" i="7"/>
  <c r="E147" i="7"/>
  <c r="E148" i="7"/>
  <c r="E149" i="7"/>
  <c r="E150" i="7"/>
  <c r="E151" i="7"/>
  <c r="E152" i="7"/>
  <c r="E154" i="7"/>
  <c r="E155" i="7"/>
  <c r="E156" i="7"/>
  <c r="E157" i="7"/>
  <c r="E158" i="7"/>
  <c r="E159" i="7"/>
  <c r="E160" i="7"/>
  <c r="E161" i="7"/>
  <c r="E162" i="7"/>
  <c r="E163" i="7"/>
  <c r="E164" i="7"/>
  <c r="E165" i="7"/>
  <c r="E166" i="7"/>
  <c r="E167" i="7"/>
  <c r="E169" i="7"/>
  <c r="E170" i="7"/>
  <c r="E171" i="7"/>
  <c r="E172" i="7"/>
  <c r="E173" i="7"/>
  <c r="E174" i="7"/>
  <c r="E175" i="7"/>
  <c r="E176" i="7"/>
  <c r="E177" i="7"/>
  <c r="E178" i="7"/>
  <c r="E179" i="7"/>
  <c r="E180" i="7"/>
  <c r="E181" i="7"/>
  <c r="E182" i="7"/>
  <c r="E184" i="7"/>
  <c r="E185" i="7"/>
  <c r="E186" i="7"/>
  <c r="E187" i="7"/>
  <c r="E188" i="7"/>
  <c r="E189" i="7"/>
  <c r="E190" i="7"/>
  <c r="E191" i="7"/>
  <c r="E192" i="7"/>
  <c r="E193" i="7"/>
  <c r="E194" i="7"/>
  <c r="E195" i="7"/>
  <c r="E196" i="7"/>
  <c r="E197" i="7"/>
  <c r="E199" i="7"/>
  <c r="E200" i="7"/>
  <c r="E201" i="7"/>
  <c r="E202" i="7"/>
  <c r="E203" i="7"/>
  <c r="E204" i="7"/>
  <c r="E205" i="7"/>
  <c r="E206" i="7"/>
  <c r="E207" i="7"/>
  <c r="E208" i="7"/>
  <c r="E209" i="7"/>
  <c r="E210" i="7"/>
  <c r="E211" i="7"/>
  <c r="E212" i="7"/>
  <c r="E214" i="7"/>
  <c r="E215" i="7"/>
  <c r="E216" i="7"/>
  <c r="E217" i="7"/>
  <c r="E218" i="7"/>
  <c r="E219" i="7"/>
  <c r="E220" i="7"/>
  <c r="E221" i="7"/>
  <c r="E222" i="7"/>
  <c r="E223" i="7"/>
  <c r="E224" i="7"/>
  <c r="E225" i="7"/>
  <c r="E226" i="7"/>
  <c r="E227" i="7"/>
  <c r="E4" i="7"/>
  <c r="D19" i="7"/>
  <c r="D20" i="7"/>
  <c r="D21" i="7"/>
  <c r="D22" i="7"/>
  <c r="D23" i="7"/>
  <c r="D24" i="7"/>
  <c r="D25" i="7"/>
  <c r="D26" i="7"/>
  <c r="D27" i="7"/>
  <c r="D28" i="7"/>
  <c r="D29" i="7"/>
  <c r="D30" i="7"/>
  <c r="D31" i="7"/>
  <c r="D32" i="7"/>
  <c r="D34" i="7"/>
  <c r="D35" i="7"/>
  <c r="D36" i="7"/>
  <c r="D37" i="7"/>
  <c r="D38" i="7"/>
  <c r="D39" i="7"/>
  <c r="D40" i="7"/>
  <c r="D41" i="7"/>
  <c r="D42" i="7"/>
  <c r="D43" i="7"/>
  <c r="D44" i="7"/>
  <c r="D45" i="7"/>
  <c r="D46" i="7"/>
  <c r="D47" i="7"/>
  <c r="D49" i="7"/>
  <c r="D50" i="7"/>
  <c r="D51" i="7"/>
  <c r="D52" i="7"/>
  <c r="D53" i="7"/>
  <c r="D54" i="7"/>
  <c r="D55" i="7"/>
  <c r="D56" i="7"/>
  <c r="D57" i="7"/>
  <c r="D58" i="7"/>
  <c r="D59" i="7"/>
  <c r="D60" i="7"/>
  <c r="D61" i="7"/>
  <c r="D62" i="7"/>
  <c r="D64" i="7"/>
  <c r="D65" i="7"/>
  <c r="D66" i="7"/>
  <c r="D67" i="7"/>
  <c r="D68" i="7"/>
  <c r="D69" i="7"/>
  <c r="D70" i="7"/>
  <c r="D71" i="7"/>
  <c r="D72" i="7"/>
  <c r="D73" i="7"/>
  <c r="D74" i="7"/>
  <c r="D75" i="7"/>
  <c r="D76" i="7"/>
  <c r="D77"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9" i="7"/>
  <c r="D110" i="7"/>
  <c r="D111" i="7"/>
  <c r="D112" i="7"/>
  <c r="D113" i="7"/>
  <c r="D114" i="7"/>
  <c r="D115" i="7"/>
  <c r="D116" i="7"/>
  <c r="D117" i="7"/>
  <c r="D118" i="7"/>
  <c r="D119" i="7"/>
  <c r="D120" i="7"/>
  <c r="D121" i="7"/>
  <c r="D122" i="7"/>
  <c r="D124" i="7"/>
  <c r="D125" i="7"/>
  <c r="D126" i="7"/>
  <c r="D127" i="7"/>
  <c r="D128" i="7"/>
  <c r="D129" i="7"/>
  <c r="D130" i="7"/>
  <c r="D131" i="7"/>
  <c r="D132" i="7"/>
  <c r="D133" i="7"/>
  <c r="D134" i="7"/>
  <c r="D135" i="7"/>
  <c r="D136" i="7"/>
  <c r="D137" i="7"/>
  <c r="D139" i="7"/>
  <c r="D140" i="7"/>
  <c r="D141" i="7"/>
  <c r="D142" i="7"/>
  <c r="D143" i="7"/>
  <c r="D144" i="7"/>
  <c r="D145" i="7"/>
  <c r="D146" i="7"/>
  <c r="D147" i="7"/>
  <c r="D148" i="7"/>
  <c r="D149" i="7"/>
  <c r="D150" i="7"/>
  <c r="D151" i="7"/>
  <c r="D152" i="7"/>
  <c r="D154" i="7"/>
  <c r="D155" i="7"/>
  <c r="D156" i="7"/>
  <c r="D157" i="7"/>
  <c r="D158" i="7"/>
  <c r="D159" i="7"/>
  <c r="D160" i="7"/>
  <c r="D161" i="7"/>
  <c r="D162" i="7"/>
  <c r="D163" i="7"/>
  <c r="D164" i="7"/>
  <c r="D165" i="7"/>
  <c r="D166" i="7"/>
  <c r="D167" i="7"/>
  <c r="D169" i="7"/>
  <c r="D170" i="7"/>
  <c r="D171" i="7"/>
  <c r="D172" i="7"/>
  <c r="D173" i="7"/>
  <c r="D174" i="7"/>
  <c r="D175" i="7"/>
  <c r="D176" i="7"/>
  <c r="D177" i="7"/>
  <c r="D178" i="7"/>
  <c r="D179" i="7"/>
  <c r="D180" i="7"/>
  <c r="D181" i="7"/>
  <c r="D182" i="7"/>
  <c r="D184" i="7"/>
  <c r="D185" i="7"/>
  <c r="D186" i="7"/>
  <c r="D187" i="7"/>
  <c r="D188" i="7"/>
  <c r="D189" i="7"/>
  <c r="D190" i="7"/>
  <c r="D191" i="7"/>
  <c r="D192" i="7"/>
  <c r="D193" i="7"/>
  <c r="D194" i="7"/>
  <c r="D195" i="7"/>
  <c r="D196" i="7"/>
  <c r="D197" i="7"/>
  <c r="D199" i="7"/>
  <c r="D200" i="7"/>
  <c r="D201" i="7"/>
  <c r="D202" i="7"/>
  <c r="D203" i="7"/>
  <c r="D204" i="7"/>
  <c r="D205" i="7"/>
  <c r="D206" i="7"/>
  <c r="D207" i="7"/>
  <c r="D208" i="7"/>
  <c r="D209" i="7"/>
  <c r="D210" i="7"/>
  <c r="D211" i="7"/>
  <c r="D212" i="7"/>
  <c r="D214" i="7"/>
  <c r="D215" i="7"/>
  <c r="D216" i="7"/>
  <c r="D217" i="7"/>
  <c r="D218" i="7"/>
  <c r="D219" i="7"/>
  <c r="D220" i="7"/>
  <c r="D221" i="7"/>
  <c r="D222" i="7"/>
  <c r="D223" i="7"/>
  <c r="D224" i="7"/>
  <c r="D225" i="7"/>
  <c r="D226" i="7"/>
  <c r="D227" i="7"/>
  <c r="D5" i="7"/>
  <c r="D6" i="7"/>
  <c r="D7" i="7"/>
  <c r="D8" i="7"/>
  <c r="D9" i="7"/>
  <c r="D10" i="7"/>
  <c r="D11" i="7"/>
  <c r="D12" i="7"/>
  <c r="D13" i="7"/>
  <c r="D14" i="7"/>
  <c r="D15" i="7"/>
  <c r="D16" i="7"/>
  <c r="D17" i="7"/>
  <c r="D4" i="7"/>
  <c r="D23" i="1" l="1"/>
  <c r="D22" i="1"/>
  <c r="D20" i="1"/>
  <c r="D24" i="1"/>
  <c r="D21" i="1"/>
  <c r="D19" i="1"/>
  <c r="B18" i="1"/>
  <c r="J211" i="24"/>
  <c r="J212" i="24"/>
  <c r="J213" i="24"/>
  <c r="J214" i="24"/>
  <c r="J215" i="24"/>
  <c r="J216" i="24"/>
  <c r="J217" i="24"/>
  <c r="J218" i="24"/>
  <c r="J219" i="24"/>
  <c r="J220" i="24"/>
  <c r="J221" i="24"/>
  <c r="J222" i="24"/>
  <c r="J223" i="24"/>
  <c r="J224" i="24"/>
  <c r="J225" i="24"/>
  <c r="J226" i="24"/>
  <c r="J227" i="24"/>
  <c r="J206" i="24"/>
  <c r="J207" i="24"/>
  <c r="J208" i="24"/>
  <c r="J209" i="24"/>
  <c r="J5" i="24"/>
  <c r="J6" i="24"/>
  <c r="J7" i="24"/>
  <c r="J8" i="24"/>
  <c r="J9" i="24"/>
  <c r="J10" i="24"/>
  <c r="J11" i="24"/>
  <c r="J12" i="24"/>
  <c r="J13" i="24"/>
  <c r="J15" i="24"/>
  <c r="J16" i="24"/>
  <c r="J17" i="24"/>
  <c r="J18" i="24"/>
  <c r="J19" i="24"/>
  <c r="J20" i="24"/>
  <c r="J21" i="24"/>
  <c r="J22" i="24"/>
  <c r="J23" i="24"/>
  <c r="J24" i="24"/>
  <c r="J25" i="24"/>
  <c r="J27" i="24"/>
  <c r="J28" i="24"/>
  <c r="J29" i="24"/>
  <c r="J30" i="24"/>
  <c r="J31" i="24"/>
  <c r="J32" i="24"/>
  <c r="J33" i="24"/>
  <c r="J34" i="24"/>
  <c r="J35" i="24"/>
  <c r="J36" i="24"/>
  <c r="J37" i="24"/>
  <c r="J38" i="24"/>
  <c r="J40" i="24"/>
  <c r="J41" i="24"/>
  <c r="J42" i="24"/>
  <c r="J43" i="24"/>
  <c r="J44" i="24"/>
  <c r="J45" i="24"/>
  <c r="J46" i="24"/>
  <c r="J47" i="24"/>
  <c r="J48" i="24"/>
  <c r="J49" i="24"/>
  <c r="J50" i="24"/>
  <c r="J51" i="24"/>
  <c r="J53" i="24"/>
  <c r="J54" i="24"/>
  <c r="J55" i="24"/>
  <c r="J56" i="24"/>
  <c r="J57" i="24"/>
  <c r="J58" i="24"/>
  <c r="J59" i="24"/>
  <c r="J60" i="24"/>
  <c r="J61" i="24"/>
  <c r="J62" i="24"/>
  <c r="J63" i="24"/>
  <c r="J64" i="24"/>
  <c r="J66" i="24"/>
  <c r="J67" i="24"/>
  <c r="J68" i="24"/>
  <c r="J69" i="24"/>
  <c r="J70" i="24"/>
  <c r="J71" i="24"/>
  <c r="J72" i="24"/>
  <c r="J73" i="24"/>
  <c r="J74" i="24"/>
  <c r="J75" i="24"/>
  <c r="J76" i="24"/>
  <c r="J77" i="24"/>
  <c r="J79" i="24"/>
  <c r="J80" i="24"/>
  <c r="J81" i="24"/>
  <c r="J82" i="24"/>
  <c r="J83" i="24"/>
  <c r="J84" i="24"/>
  <c r="J85" i="24"/>
  <c r="J86" i="24"/>
  <c r="J87" i="24"/>
  <c r="J88" i="24"/>
  <c r="J89" i="24"/>
  <c r="J90" i="24"/>
  <c r="J92" i="24"/>
  <c r="J93" i="24"/>
  <c r="J94" i="24"/>
  <c r="J95" i="24"/>
  <c r="J96" i="24"/>
  <c r="J97" i="24"/>
  <c r="J98" i="24"/>
  <c r="J99" i="24"/>
  <c r="J100" i="24"/>
  <c r="J101" i="24"/>
  <c r="J102" i="24"/>
  <c r="J103" i="24"/>
  <c r="J105" i="24"/>
  <c r="J106" i="24"/>
  <c r="J107" i="24"/>
  <c r="J108" i="24"/>
  <c r="J109" i="24"/>
  <c r="J110" i="24"/>
  <c r="J111" i="24"/>
  <c r="J112" i="24"/>
  <c r="J113" i="24"/>
  <c r="J114" i="24"/>
  <c r="J115" i="24"/>
  <c r="J116" i="24"/>
  <c r="J117" i="24"/>
  <c r="J119" i="24"/>
  <c r="J120" i="24"/>
  <c r="J121" i="24"/>
  <c r="J122" i="24"/>
  <c r="J123" i="24"/>
  <c r="J124" i="24"/>
  <c r="J125" i="24"/>
  <c r="J126" i="24"/>
  <c r="J127" i="24"/>
  <c r="J128" i="24"/>
  <c r="J130" i="24"/>
  <c r="J131" i="24"/>
  <c r="J133" i="24"/>
  <c r="J134" i="24"/>
  <c r="J135" i="24"/>
  <c r="J136" i="24"/>
  <c r="J137" i="24"/>
  <c r="J138" i="24"/>
  <c r="J139" i="24"/>
  <c r="J140" i="24"/>
  <c r="J141" i="24"/>
  <c r="J142" i="24"/>
  <c r="J143" i="24"/>
  <c r="J144" i="24"/>
  <c r="J145" i="24"/>
  <c r="J147" i="24"/>
  <c r="J148" i="24"/>
  <c r="J149" i="24"/>
  <c r="J150" i="24"/>
  <c r="J151" i="24"/>
  <c r="J152" i="24"/>
  <c r="J153" i="24"/>
  <c r="J154" i="24"/>
  <c r="J155" i="24"/>
  <c r="J156" i="24"/>
  <c r="J157" i="24"/>
  <c r="J158" i="24"/>
  <c r="J159" i="24"/>
  <c r="J161" i="24"/>
  <c r="J162" i="24"/>
  <c r="J163" i="24"/>
  <c r="J164" i="24"/>
  <c r="J165" i="24"/>
  <c r="J166" i="24"/>
  <c r="J167" i="24"/>
  <c r="J168" i="24"/>
  <c r="J169" i="24"/>
  <c r="J170" i="24"/>
  <c r="J171" i="24"/>
  <c r="J172" i="24"/>
  <c r="J173" i="24"/>
  <c r="J174" i="24"/>
  <c r="J175" i="24"/>
  <c r="J177" i="24"/>
  <c r="J178" i="24"/>
  <c r="J179" i="24"/>
  <c r="J180" i="24"/>
  <c r="J181" i="24"/>
  <c r="J182" i="24"/>
  <c r="J183" i="24"/>
  <c r="J184" i="24"/>
  <c r="J185" i="24"/>
  <c r="J186" i="24"/>
  <c r="J187" i="24"/>
  <c r="J188" i="24"/>
  <c r="J189" i="24"/>
  <c r="J190" i="24"/>
  <c r="J191" i="24"/>
  <c r="J193" i="24"/>
  <c r="J195" i="24"/>
  <c r="J196" i="24"/>
  <c r="J197" i="24"/>
  <c r="J198" i="24"/>
  <c r="J199" i="24"/>
  <c r="J200" i="24"/>
  <c r="J201" i="24"/>
  <c r="J202" i="24"/>
  <c r="J203" i="24"/>
  <c r="J204" i="24"/>
  <c r="J205" i="24"/>
  <c r="J4" i="24"/>
  <c r="J5" i="23"/>
  <c r="J6" i="23"/>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54" i="23"/>
  <c r="J55" i="23"/>
  <c r="J56" i="23"/>
  <c r="J57" i="23"/>
  <c r="J58" i="23"/>
  <c r="J59" i="23"/>
  <c r="J60" i="23"/>
  <c r="J61" i="23"/>
  <c r="J62" i="23"/>
  <c r="J63" i="23"/>
  <c r="J64" i="23"/>
  <c r="J65" i="23"/>
  <c r="J66" i="23"/>
  <c r="J67" i="23"/>
  <c r="J68" i="23"/>
  <c r="J69" i="23"/>
  <c r="J70" i="23"/>
  <c r="J71" i="23"/>
  <c r="J72" i="23"/>
  <c r="J73" i="23"/>
  <c r="J74" i="23"/>
  <c r="J75" i="23"/>
  <c r="J76" i="23"/>
  <c r="J77" i="23"/>
  <c r="J78" i="23"/>
  <c r="J79" i="23"/>
  <c r="J80" i="23"/>
  <c r="J81" i="23"/>
  <c r="J82" i="23"/>
  <c r="J83" i="23"/>
  <c r="J84" i="23"/>
  <c r="J85" i="23"/>
  <c r="J86" i="23"/>
  <c r="J87" i="23"/>
  <c r="J88" i="23"/>
  <c r="J89" i="23"/>
  <c r="J90" i="23"/>
  <c r="J91" i="23"/>
  <c r="J92" i="23"/>
  <c r="J93" i="23"/>
  <c r="J94" i="23"/>
  <c r="J95" i="23"/>
  <c r="J96" i="23"/>
  <c r="J97" i="23"/>
  <c r="J98" i="23"/>
  <c r="J99" i="23"/>
  <c r="J100" i="23"/>
  <c r="J101" i="23"/>
  <c r="J102" i="23"/>
  <c r="J103" i="23"/>
  <c r="J104" i="23"/>
  <c r="J105" i="23"/>
  <c r="J106" i="23"/>
  <c r="J107" i="23"/>
  <c r="J108" i="23"/>
  <c r="J109" i="23"/>
  <c r="J110" i="23"/>
  <c r="J111" i="23"/>
  <c r="J112" i="23"/>
  <c r="J113" i="23"/>
  <c r="J114" i="23"/>
  <c r="J115" i="23"/>
  <c r="J116" i="23"/>
  <c r="J117" i="23"/>
  <c r="J118" i="23"/>
  <c r="J119" i="23"/>
  <c r="J120" i="23"/>
  <c r="J121" i="23"/>
  <c r="J122" i="23"/>
  <c r="J123" i="23"/>
  <c r="J124" i="23"/>
  <c r="J125" i="23"/>
  <c r="J126" i="23"/>
  <c r="J127" i="23"/>
  <c r="J128" i="23"/>
  <c r="J129" i="23"/>
  <c r="J130" i="23"/>
  <c r="J131" i="23"/>
  <c r="J132" i="23"/>
  <c r="J133" i="23"/>
  <c r="J134" i="23"/>
  <c r="J135" i="23"/>
  <c r="J136" i="23"/>
  <c r="J137" i="23"/>
  <c r="J138" i="23"/>
  <c r="J139" i="23"/>
  <c r="J140" i="23"/>
  <c r="J141" i="23"/>
  <c r="J142" i="23"/>
  <c r="J143" i="23"/>
  <c r="J144" i="23"/>
  <c r="J145" i="23"/>
  <c r="J146" i="23"/>
  <c r="J147" i="23"/>
  <c r="J148" i="23"/>
  <c r="J149" i="23"/>
  <c r="J150" i="23"/>
  <c r="J151" i="23"/>
  <c r="J152" i="23"/>
  <c r="J153" i="23"/>
  <c r="J154" i="23"/>
  <c r="J155" i="23"/>
  <c r="J156" i="23"/>
  <c r="J157" i="23"/>
  <c r="J158" i="23"/>
  <c r="J159" i="23"/>
  <c r="J160" i="23"/>
  <c r="J161" i="23"/>
  <c r="J162" i="23"/>
  <c r="J163" i="23"/>
  <c r="J164" i="23"/>
  <c r="J165" i="23"/>
  <c r="J166" i="23"/>
  <c r="J167" i="23"/>
  <c r="J168" i="23"/>
  <c r="J169" i="23"/>
  <c r="J170" i="23"/>
  <c r="J171" i="23"/>
  <c r="J172" i="23"/>
  <c r="J173" i="23"/>
  <c r="J174" i="23"/>
  <c r="J175" i="23"/>
  <c r="J176" i="23"/>
  <c r="J177" i="23"/>
  <c r="J178" i="23"/>
  <c r="J179" i="23"/>
  <c r="J180" i="23"/>
  <c r="J181" i="23"/>
  <c r="J182" i="23"/>
  <c r="J183" i="23"/>
  <c r="J184" i="23"/>
  <c r="J185" i="23"/>
  <c r="J186" i="23"/>
  <c r="J187" i="23"/>
  <c r="J188" i="23"/>
  <c r="J189" i="23"/>
  <c r="J190" i="23"/>
  <c r="J191" i="23"/>
  <c r="J192" i="23"/>
  <c r="J193" i="23"/>
  <c r="J194" i="23"/>
  <c r="J195" i="23"/>
  <c r="J196" i="23"/>
  <c r="J197" i="23"/>
  <c r="J198" i="23"/>
  <c r="J199" i="23"/>
  <c r="J200" i="23"/>
  <c r="J201" i="23"/>
  <c r="J202" i="23"/>
  <c r="J203" i="23"/>
  <c r="J204" i="23"/>
  <c r="J205" i="23"/>
  <c r="G205" i="23"/>
  <c r="G204" i="23"/>
  <c r="G203" i="23"/>
  <c r="G202" i="23"/>
  <c r="G201" i="23"/>
  <c r="G200" i="23"/>
  <c r="G199" i="23"/>
  <c r="G197" i="23"/>
  <c r="G196" i="23"/>
  <c r="G195" i="23"/>
  <c r="G194" i="23"/>
  <c r="G193" i="23"/>
  <c r="G192" i="23"/>
  <c r="G191" i="23"/>
  <c r="G190" i="23"/>
  <c r="G189" i="23"/>
  <c r="G188" i="23"/>
  <c r="G187" i="23"/>
  <c r="G186" i="23"/>
  <c r="G185" i="23"/>
  <c r="G184" i="23"/>
  <c r="G183" i="23"/>
  <c r="G181" i="23"/>
  <c r="G180" i="23"/>
  <c r="G179" i="23"/>
  <c r="G178" i="23"/>
  <c r="G177" i="23"/>
  <c r="G176" i="23"/>
  <c r="G175" i="23"/>
  <c r="G174" i="23"/>
  <c r="G173" i="23"/>
  <c r="G172" i="23"/>
  <c r="G171" i="23"/>
  <c r="G170" i="23"/>
  <c r="G169" i="23"/>
  <c r="G168" i="23"/>
  <c r="G167" i="23"/>
  <c r="G165" i="23"/>
  <c r="G164" i="23"/>
  <c r="G163" i="23"/>
  <c r="G162" i="23"/>
  <c r="G161" i="23"/>
  <c r="G160" i="23"/>
  <c r="G159" i="23"/>
  <c r="G158" i="23"/>
  <c r="G157" i="23"/>
  <c r="G156" i="23"/>
  <c r="G155" i="23"/>
  <c r="G154" i="23"/>
  <c r="G153" i="23"/>
  <c r="G151" i="23"/>
  <c r="G150" i="23"/>
  <c r="G149" i="23"/>
  <c r="G148" i="23"/>
  <c r="G147" i="23"/>
  <c r="G146" i="23"/>
  <c r="G145" i="23"/>
  <c r="G144" i="23"/>
  <c r="G143" i="23"/>
  <c r="G142" i="23"/>
  <c r="G141" i="23"/>
  <c r="G140" i="23"/>
  <c r="G139" i="23"/>
  <c r="G137" i="23"/>
  <c r="G136" i="23"/>
  <c r="G135" i="23"/>
  <c r="G134" i="23"/>
  <c r="G133" i="23"/>
  <c r="G132" i="23"/>
  <c r="G131" i="23"/>
  <c r="G130" i="23"/>
  <c r="G129" i="23"/>
  <c r="G128" i="23"/>
  <c r="G127" i="23"/>
  <c r="G125" i="23"/>
  <c r="G124" i="23"/>
  <c r="G123" i="23"/>
  <c r="G122" i="23"/>
  <c r="G121" i="23"/>
  <c r="G120" i="23"/>
  <c r="G119" i="23"/>
  <c r="G118" i="23"/>
  <c r="G117" i="23"/>
  <c r="G116" i="23"/>
  <c r="G115" i="23"/>
  <c r="G114" i="23"/>
  <c r="G112" i="23"/>
  <c r="G111" i="23"/>
  <c r="G110" i="23"/>
  <c r="G109" i="23"/>
  <c r="G108" i="23"/>
  <c r="G107" i="23"/>
  <c r="G106" i="23"/>
  <c r="G105" i="23"/>
  <c r="G104" i="23"/>
  <c r="G103" i="23"/>
  <c r="G102" i="23"/>
  <c r="G101" i="23"/>
  <c r="G99" i="23"/>
  <c r="G98" i="23"/>
  <c r="G97" i="23"/>
  <c r="G96" i="23"/>
  <c r="G95" i="23"/>
  <c r="G94" i="23"/>
  <c r="G93" i="23"/>
  <c r="G92" i="23"/>
  <c r="G91" i="23"/>
  <c r="G90" i="23"/>
  <c r="G89" i="23"/>
  <c r="G88" i="23"/>
  <c r="G87" i="23"/>
  <c r="G85" i="23"/>
  <c r="G84" i="23"/>
  <c r="G83" i="23"/>
  <c r="G82" i="23"/>
  <c r="G81" i="23"/>
  <c r="G80" i="23"/>
  <c r="G79" i="23"/>
  <c r="G78" i="23"/>
  <c r="G77" i="23"/>
  <c r="G76" i="23"/>
  <c r="G75" i="23"/>
  <c r="G74" i="23"/>
  <c r="G73" i="23"/>
  <c r="G71" i="23"/>
  <c r="G70" i="23"/>
  <c r="G69" i="23"/>
  <c r="G68" i="23"/>
  <c r="G67" i="23"/>
  <c r="G66" i="23"/>
  <c r="G65" i="23"/>
  <c r="G64" i="23"/>
  <c r="G63" i="23"/>
  <c r="G62" i="23"/>
  <c r="G61" i="23"/>
  <c r="G59" i="23"/>
  <c r="G58" i="23"/>
  <c r="G57" i="23"/>
  <c r="G56" i="23"/>
  <c r="G55" i="23"/>
  <c r="G54" i="23"/>
  <c r="G53" i="23"/>
  <c r="G52" i="23"/>
  <c r="G51" i="23"/>
  <c r="G50" i="23"/>
  <c r="G49" i="23"/>
  <c r="G47" i="23"/>
  <c r="G46" i="23"/>
  <c r="G45" i="23"/>
  <c r="G44" i="23"/>
  <c r="G43" i="23"/>
  <c r="G42" i="23"/>
  <c r="G41" i="23"/>
  <c r="G40" i="23"/>
  <c r="G39" i="23"/>
  <c r="G38" i="23"/>
  <c r="G37" i="23"/>
  <c r="G35" i="23"/>
  <c r="G34" i="23"/>
  <c r="G33" i="23"/>
  <c r="G32" i="23"/>
  <c r="G31" i="23"/>
  <c r="G30" i="23"/>
  <c r="G29" i="23"/>
  <c r="G28" i="23"/>
  <c r="G27" i="23"/>
  <c r="G26" i="23"/>
  <c r="G25" i="23"/>
  <c r="G23" i="23"/>
  <c r="G22" i="23"/>
  <c r="G21" i="23"/>
  <c r="G20" i="23"/>
  <c r="G19" i="23"/>
  <c r="G18" i="23"/>
  <c r="G17" i="23"/>
  <c r="G16" i="23"/>
  <c r="G15" i="23"/>
  <c r="G14" i="23"/>
  <c r="G12" i="23"/>
  <c r="G11" i="23"/>
  <c r="G10" i="23"/>
  <c r="G9" i="23"/>
  <c r="G8" i="23"/>
  <c r="G7" i="23"/>
  <c r="G6" i="23"/>
  <c r="G5" i="23"/>
  <c r="G4" i="23"/>
  <c r="T23" i="1" l="1"/>
  <c r="N23" i="1"/>
  <c r="T25" i="1"/>
  <c r="N25" i="1"/>
  <c r="T22" i="1"/>
  <c r="N22" i="1"/>
  <c r="N21" i="1"/>
  <c r="T21" i="1"/>
  <c r="N20" i="1"/>
  <c r="T20" i="1"/>
  <c r="N19" i="1"/>
  <c r="T19" i="1"/>
  <c r="T24" i="1"/>
  <c r="N24" i="1"/>
  <c r="P47" i="1"/>
  <c r="M47" i="1"/>
  <c r="L47" i="1"/>
  <c r="K47" i="1"/>
  <c r="U25" i="1"/>
  <c r="U19" i="1"/>
  <c r="U18" i="1"/>
  <c r="U13" i="1"/>
  <c r="C13" i="1"/>
  <c r="E3" i="21"/>
  <c r="F3" i="21" s="1"/>
  <c r="E5" i="21"/>
  <c r="F5" i="21" s="1"/>
  <c r="E2" i="21"/>
  <c r="F2" i="21" s="1"/>
  <c r="D47" i="1" l="1"/>
  <c r="D49" i="1" s="1"/>
  <c r="D51" i="1" s="1"/>
  <c r="B47" i="1"/>
  <c r="B49" i="1" s="1"/>
  <c r="B51" i="1" s="1"/>
  <c r="C47" i="1"/>
  <c r="C49" i="1" s="1"/>
  <c r="C51" i="1" s="1"/>
  <c r="I47" i="1"/>
  <c r="F47" i="1"/>
  <c r="H47" i="1"/>
  <c r="G47" i="1"/>
  <c r="G49" i="1" s="1"/>
  <c r="AA47" i="1"/>
  <c r="AA49" i="1" s="1"/>
  <c r="AA51" i="1" s="1"/>
  <c r="AA53" i="1" s="1"/>
  <c r="X47" i="1"/>
  <c r="N47" i="1"/>
  <c r="N49" i="1" s="1"/>
  <c r="T47" i="1"/>
  <c r="T49" i="1" s="1"/>
  <c r="T51" i="1" s="1"/>
  <c r="T53" i="1" s="1"/>
  <c r="R47" i="1"/>
  <c r="S47" i="1"/>
  <c r="U47" i="1"/>
  <c r="U49" i="1" s="1"/>
  <c r="T27" i="1"/>
  <c r="T30" i="1" s="1"/>
  <c r="T39" i="1" s="1"/>
  <c r="T43" i="1" s="1"/>
  <c r="N27" i="1"/>
  <c r="N30" i="1" s="1"/>
  <c r="N39" i="1" s="1"/>
  <c r="N43" i="1" s="1"/>
  <c r="B38" i="1"/>
  <c r="O58" i="18"/>
  <c r="N59" i="18"/>
  <c r="O21" i="18"/>
  <c r="AA13" i="1"/>
  <c r="P49" i="1"/>
  <c r="U68" i="18"/>
  <c r="T66" i="18"/>
  <c r="S66" i="18"/>
  <c r="T54" i="1" l="1"/>
  <c r="T59" i="1" s="1"/>
  <c r="P29" i="1"/>
  <c r="X49" i="1"/>
  <c r="X51" i="1" s="1"/>
  <c r="X53" i="1" s="1"/>
  <c r="I49" i="1"/>
  <c r="I51" i="1" s="1"/>
  <c r="I53" i="1" s="1"/>
  <c r="H49" i="1"/>
  <c r="H51" i="1" s="1"/>
  <c r="H53" i="1" s="1"/>
  <c r="F49" i="1"/>
  <c r="L49" i="1"/>
  <c r="L51" i="1" s="1"/>
  <c r="L53" i="1" s="1"/>
  <c r="K49" i="1"/>
  <c r="K51" i="1" s="1"/>
  <c r="K53" i="1" s="1"/>
  <c r="M49" i="1"/>
  <c r="M50" i="1"/>
  <c r="N51" i="1" s="1"/>
  <c r="N53" i="1" s="1"/>
  <c r="N54" i="1" s="1"/>
  <c r="N59" i="1" s="1"/>
  <c r="S49" i="1"/>
  <c r="R49" i="1"/>
  <c r="R51" i="1" s="1"/>
  <c r="R53" i="1" s="1"/>
  <c r="T67" i="1" l="1"/>
  <c r="N67" i="1"/>
  <c r="M51" i="1"/>
  <c r="M53" i="1" s="1"/>
  <c r="P50" i="1"/>
  <c r="P51" i="1" s="1"/>
  <c r="P53" i="1" s="1"/>
  <c r="O17" i="18"/>
  <c r="D14" i="18"/>
  <c r="E14" i="18"/>
  <c r="F14" i="18"/>
  <c r="G14" i="18"/>
  <c r="H14" i="18"/>
  <c r="I14" i="18"/>
  <c r="J14" i="18"/>
  <c r="K14" i="18"/>
  <c r="L14" i="18"/>
  <c r="M14" i="18"/>
  <c r="C14" i="18"/>
  <c r="E13" i="18"/>
  <c r="F13" i="18"/>
  <c r="G13" i="18"/>
  <c r="H13" i="18"/>
  <c r="I13" i="18"/>
  <c r="J13" i="18"/>
  <c r="K13" i="18"/>
  <c r="L13" i="18"/>
  <c r="M13" i="18"/>
  <c r="D13" i="18"/>
  <c r="C13" i="18"/>
  <c r="O16" i="18"/>
  <c r="G36" i="18"/>
  <c r="E7" i="17"/>
  <c r="D2" i="18"/>
  <c r="D11" i="18"/>
  <c r="D58" i="18"/>
  <c r="D57" i="18"/>
  <c r="D52" i="18"/>
  <c r="N5" i="18"/>
  <c r="B90" i="19"/>
  <c r="B91" i="19" s="1"/>
  <c r="N90" i="18"/>
  <c r="N87" i="18"/>
  <c r="N84" i="18"/>
  <c r="N81" i="18"/>
  <c r="J52" i="18"/>
  <c r="M62" i="18"/>
  <c r="M93" i="18"/>
  <c r="K93" i="18"/>
  <c r="D25" i="1" l="1"/>
  <c r="D27" i="1" s="1"/>
  <c r="D30" i="1" s="1"/>
  <c r="D39" i="1" s="1"/>
  <c r="D43" i="1" s="1"/>
  <c r="D54" i="1" s="1"/>
  <c r="D59" i="1" s="1"/>
  <c r="C25" i="1"/>
  <c r="AA25" i="1"/>
  <c r="B25" i="1"/>
  <c r="S51" i="1"/>
  <c r="S53" i="1" s="1"/>
  <c r="U50" i="1"/>
  <c r="U51" i="1" s="1"/>
  <c r="U53" i="1" s="1"/>
  <c r="N68" i="18"/>
  <c r="N69" i="18"/>
  <c r="N70" i="18"/>
  <c r="M76" i="18"/>
  <c r="L76" i="18"/>
  <c r="M65" i="18"/>
  <c r="L52" i="18"/>
  <c r="M52" i="18"/>
  <c r="L11" i="18"/>
  <c r="M11" i="18"/>
  <c r="M36" i="18"/>
  <c r="L36" i="18"/>
  <c r="M2" i="18"/>
  <c r="L2" i="18"/>
  <c r="M80" i="18"/>
  <c r="M79" i="18"/>
  <c r="N79" i="18" s="1"/>
  <c r="M58" i="18"/>
  <c r="M57" i="18"/>
  <c r="N57" i="18" s="1"/>
  <c r="M42" i="18"/>
  <c r="M41" i="18"/>
  <c r="N41" i="18" s="1"/>
  <c r="M17" i="18"/>
  <c r="N17" i="18" s="1"/>
  <c r="M16" i="18"/>
  <c r="N30" i="18"/>
  <c r="N27" i="18"/>
  <c r="N24" i="18"/>
  <c r="N6" i="18"/>
  <c r="N7" i="18"/>
  <c r="N18" i="18"/>
  <c r="N19" i="18"/>
  <c r="N20" i="18"/>
  <c r="N21" i="18"/>
  <c r="N22" i="18"/>
  <c r="N23" i="18"/>
  <c r="N25" i="18"/>
  <c r="N26" i="18"/>
  <c r="N28" i="18"/>
  <c r="N29" i="18"/>
  <c r="N31" i="18"/>
  <c r="N32" i="18"/>
  <c r="N43" i="18"/>
  <c r="N44" i="18"/>
  <c r="N45" i="18"/>
  <c r="N46" i="18"/>
  <c r="N47" i="18"/>
  <c r="N48" i="18"/>
  <c r="N60" i="18"/>
  <c r="N61" i="18"/>
  <c r="N71" i="18"/>
  <c r="N72" i="18"/>
  <c r="N80" i="18"/>
  <c r="N82" i="18"/>
  <c r="N83" i="18"/>
  <c r="N85" i="18"/>
  <c r="N86" i="18"/>
  <c r="N88" i="18"/>
  <c r="N89" i="18"/>
  <c r="N91" i="18"/>
  <c r="N92" i="18"/>
  <c r="N99" i="18"/>
  <c r="N100" i="18"/>
  <c r="N101" i="18"/>
  <c r="N108" i="18"/>
  <c r="N109" i="18"/>
  <c r="N110" i="18"/>
  <c r="N111" i="18"/>
  <c r="N112" i="18"/>
  <c r="M33" i="18"/>
  <c r="K113" i="18"/>
  <c r="L113" i="18"/>
  <c r="J113" i="18"/>
  <c r="I113" i="18"/>
  <c r="H113" i="18"/>
  <c r="G113" i="18"/>
  <c r="F113" i="18"/>
  <c r="E113" i="18"/>
  <c r="D113" i="18"/>
  <c r="C113" i="18"/>
  <c r="L102" i="18"/>
  <c r="K102" i="18"/>
  <c r="J102" i="18"/>
  <c r="I102" i="18"/>
  <c r="H102" i="18"/>
  <c r="G102" i="18"/>
  <c r="F102" i="18"/>
  <c r="E102" i="18"/>
  <c r="D102" i="18"/>
  <c r="C102" i="18"/>
  <c r="L93" i="18"/>
  <c r="J93" i="18"/>
  <c r="I93" i="18"/>
  <c r="H93" i="18"/>
  <c r="G93" i="18"/>
  <c r="F93" i="18"/>
  <c r="E93" i="18"/>
  <c r="D93" i="18"/>
  <c r="C93" i="18"/>
  <c r="L73" i="18"/>
  <c r="K73" i="18"/>
  <c r="J73" i="18"/>
  <c r="I73" i="18"/>
  <c r="H73" i="18"/>
  <c r="G73" i="18"/>
  <c r="F73" i="18"/>
  <c r="E73" i="18"/>
  <c r="D73" i="18"/>
  <c r="C73" i="18"/>
  <c r="D62" i="18"/>
  <c r="E62" i="18"/>
  <c r="F62" i="18"/>
  <c r="G62" i="18"/>
  <c r="H62" i="18"/>
  <c r="I62" i="18"/>
  <c r="J62" i="18"/>
  <c r="K62" i="18"/>
  <c r="L62" i="18"/>
  <c r="C62" i="18"/>
  <c r="D49" i="18"/>
  <c r="E49" i="18"/>
  <c r="F49" i="18"/>
  <c r="G49" i="18"/>
  <c r="H49" i="18"/>
  <c r="I49" i="18"/>
  <c r="J49" i="18"/>
  <c r="K49" i="18"/>
  <c r="L49" i="18"/>
  <c r="C49" i="18"/>
  <c r="D33" i="18"/>
  <c r="E33" i="18"/>
  <c r="F33" i="18"/>
  <c r="G33" i="18"/>
  <c r="H33" i="18"/>
  <c r="I33" i="18"/>
  <c r="O33" i="18" s="1"/>
  <c r="J33" i="18"/>
  <c r="K33" i="18"/>
  <c r="L33" i="18"/>
  <c r="C33" i="18"/>
  <c r="E2" i="18"/>
  <c r="F2" i="18"/>
  <c r="G2" i="18"/>
  <c r="H2" i="18"/>
  <c r="I2" i="18"/>
  <c r="J2" i="18"/>
  <c r="K2" i="18"/>
  <c r="C2" i="18"/>
  <c r="D96" i="18"/>
  <c r="E96" i="18"/>
  <c r="F96" i="18"/>
  <c r="G96" i="18"/>
  <c r="H96" i="18"/>
  <c r="I96" i="18"/>
  <c r="J96" i="18"/>
  <c r="K96" i="18"/>
  <c r="L96" i="18"/>
  <c r="C96" i="18"/>
  <c r="D76" i="18"/>
  <c r="E76" i="18"/>
  <c r="F76" i="18"/>
  <c r="G76" i="18"/>
  <c r="H76" i="18"/>
  <c r="I76" i="18"/>
  <c r="J76" i="18"/>
  <c r="K76" i="18"/>
  <c r="C76" i="18"/>
  <c r="D65" i="18"/>
  <c r="E65" i="18"/>
  <c r="F65" i="18"/>
  <c r="G65" i="18"/>
  <c r="H65" i="18"/>
  <c r="I65" i="18"/>
  <c r="J65" i="18"/>
  <c r="K65" i="18"/>
  <c r="L65" i="18"/>
  <c r="C65" i="18"/>
  <c r="E52" i="18"/>
  <c r="F52" i="18"/>
  <c r="H52" i="18"/>
  <c r="I52" i="18"/>
  <c r="K52" i="18"/>
  <c r="C52" i="18"/>
  <c r="D36" i="18"/>
  <c r="E36" i="18"/>
  <c r="F36" i="18"/>
  <c r="H36" i="18"/>
  <c r="I36" i="18"/>
  <c r="J36" i="18"/>
  <c r="K36" i="18"/>
  <c r="C36" i="18"/>
  <c r="C11" i="18"/>
  <c r="E11" i="18"/>
  <c r="F11" i="18"/>
  <c r="G11" i="18"/>
  <c r="H11" i="18"/>
  <c r="I11" i="18"/>
  <c r="J11" i="18"/>
  <c r="K11" i="18"/>
  <c r="B86" i="19"/>
  <c r="C86" i="19" s="1"/>
  <c r="C85" i="19"/>
  <c r="B81" i="19"/>
  <c r="C81" i="19" s="1"/>
  <c r="C80" i="19"/>
  <c r="C79" i="19"/>
  <c r="C78" i="19"/>
  <c r="C77" i="19"/>
  <c r="C76" i="19"/>
  <c r="B72" i="19"/>
  <c r="C72" i="19" s="1"/>
  <c r="C71" i="19"/>
  <c r="C70" i="19"/>
  <c r="C69" i="19"/>
  <c r="C64" i="19"/>
  <c r="C63" i="19"/>
  <c r="C62" i="19"/>
  <c r="C61" i="19"/>
  <c r="C60" i="19"/>
  <c r="C59" i="19"/>
  <c r="C58" i="19"/>
  <c r="C57" i="19"/>
  <c r="C56" i="19"/>
  <c r="C55" i="19"/>
  <c r="C54" i="19"/>
  <c r="B54" i="19"/>
  <c r="B65" i="19" s="1"/>
  <c r="C65" i="19" s="1"/>
  <c r="C53" i="19"/>
  <c r="C52" i="19"/>
  <c r="C51" i="19"/>
  <c r="C50" i="19"/>
  <c r="B46" i="19"/>
  <c r="C46" i="19" s="1"/>
  <c r="C45" i="19"/>
  <c r="C44" i="19"/>
  <c r="C43" i="19"/>
  <c r="C42" i="19"/>
  <c r="C41" i="19"/>
  <c r="C40" i="19"/>
  <c r="C39" i="19"/>
  <c r="C38" i="19"/>
  <c r="C37" i="19"/>
  <c r="C36" i="19"/>
  <c r="C35" i="19"/>
  <c r="C34" i="19"/>
  <c r="C33" i="19"/>
  <c r="B29" i="19"/>
  <c r="C29" i="19" s="1"/>
  <c r="C28" i="19"/>
  <c r="C27" i="19"/>
  <c r="C26" i="19"/>
  <c r="C25" i="19"/>
  <c r="C24" i="19"/>
  <c r="C23" i="19"/>
  <c r="C22" i="19"/>
  <c r="C21" i="19"/>
  <c r="C20" i="19"/>
  <c r="C19" i="19"/>
  <c r="C18" i="19"/>
  <c r="C17" i="19"/>
  <c r="C16" i="19"/>
  <c r="C15" i="19"/>
  <c r="C14" i="19"/>
  <c r="C13" i="19"/>
  <c r="C12" i="19"/>
  <c r="C11" i="19"/>
  <c r="C10" i="19"/>
  <c r="C9" i="19"/>
  <c r="C8" i="19"/>
  <c r="C7" i="19"/>
  <c r="C6" i="19"/>
  <c r="C5" i="19"/>
  <c r="C4" i="19"/>
  <c r="C3" i="19"/>
  <c r="D67" i="1" l="1"/>
  <c r="F50" i="1"/>
  <c r="F51" i="1" s="1"/>
  <c r="F53" i="1" s="1"/>
  <c r="G50" i="1"/>
  <c r="G51" i="1" s="1"/>
  <c r="G53" i="1" s="1"/>
  <c r="M54" i="18"/>
  <c r="M55" i="18"/>
  <c r="H55" i="18"/>
  <c r="D55" i="18"/>
  <c r="O62" i="18" s="1"/>
  <c r="I54" i="18"/>
  <c r="N58" i="18"/>
  <c r="E54" i="18"/>
  <c r="D54" i="18"/>
  <c r="M38" i="18"/>
  <c r="L38" i="18"/>
  <c r="D37" i="18"/>
  <c r="D38" i="18"/>
  <c r="N42" i="18"/>
  <c r="D3" i="18"/>
  <c r="H53" i="18"/>
  <c r="H37" i="18"/>
  <c r="I37" i="18"/>
  <c r="N49" i="18"/>
  <c r="I66" i="18"/>
  <c r="J66" i="18"/>
  <c r="F37" i="18"/>
  <c r="C66" i="18"/>
  <c r="N33" i="18"/>
  <c r="E12" i="18"/>
  <c r="H66" i="18"/>
  <c r="E37" i="18"/>
  <c r="M66" i="18"/>
  <c r="L37" i="18"/>
  <c r="E66" i="18"/>
  <c r="N113" i="18"/>
  <c r="L66" i="18"/>
  <c r="D66" i="18"/>
  <c r="M37" i="18"/>
  <c r="J37" i="18"/>
  <c r="K66" i="18"/>
  <c r="K37" i="18"/>
  <c r="G66" i="18"/>
  <c r="M12" i="18"/>
  <c r="F66" i="18"/>
  <c r="K12" i="18"/>
  <c r="L12" i="18"/>
  <c r="J12" i="18"/>
  <c r="K53" i="18"/>
  <c r="N62" i="18"/>
  <c r="D12" i="18"/>
  <c r="I12" i="18"/>
  <c r="M53" i="18"/>
  <c r="I53" i="18"/>
  <c r="L77" i="18"/>
  <c r="G12" i="18"/>
  <c r="H12" i="18"/>
  <c r="N73" i="18"/>
  <c r="M77" i="18"/>
  <c r="F53" i="18"/>
  <c r="L53" i="18"/>
  <c r="F12" i="18"/>
  <c r="E53" i="18"/>
  <c r="N93" i="18"/>
  <c r="P2" i="18"/>
  <c r="D53" i="18"/>
  <c r="J53" i="18"/>
  <c r="C53" i="18"/>
  <c r="K3" i="18"/>
  <c r="I77" i="18"/>
  <c r="H77" i="18"/>
  <c r="G77" i="18"/>
  <c r="F77" i="18"/>
  <c r="E77" i="18"/>
  <c r="C77" i="18"/>
  <c r="D77" i="18"/>
  <c r="K77" i="18"/>
  <c r="J77" i="18"/>
  <c r="I3" i="18"/>
  <c r="H3" i="18"/>
  <c r="G3" i="18"/>
  <c r="M3" i="18"/>
  <c r="E3" i="18"/>
  <c r="J3" i="18"/>
  <c r="F3" i="18"/>
  <c r="L3" i="18"/>
  <c r="C3" i="18"/>
  <c r="N16" i="18"/>
  <c r="I97" i="18"/>
  <c r="G97" i="18"/>
  <c r="F97" i="18"/>
  <c r="C12" i="18"/>
  <c r="C97" i="18"/>
  <c r="E97" i="18"/>
  <c r="L97" i="18"/>
  <c r="D97" i="18"/>
  <c r="K97" i="18"/>
  <c r="J97" i="18"/>
  <c r="H97" i="18"/>
  <c r="C37" i="18"/>
  <c r="S137" i="17"/>
  <c r="R137" i="17"/>
  <c r="Q137" i="17"/>
  <c r="P137" i="17"/>
  <c r="K137" i="17"/>
  <c r="J137" i="17"/>
  <c r="I137" i="17"/>
  <c r="H137" i="17"/>
  <c r="I127" i="17"/>
  <c r="G127" i="17"/>
  <c r="E127" i="17" s="1"/>
  <c r="J117" i="17"/>
  <c r="I117" i="17"/>
  <c r="H117" i="17"/>
  <c r="E117" i="17" s="1"/>
  <c r="G117" i="17"/>
  <c r="K107" i="17"/>
  <c r="J107" i="17"/>
  <c r="I107" i="17"/>
  <c r="H107" i="17"/>
  <c r="G107" i="17"/>
  <c r="C107" i="17"/>
  <c r="J98" i="17"/>
  <c r="M97" i="17"/>
  <c r="J97" i="17"/>
  <c r="I97" i="17"/>
  <c r="H97" i="17"/>
  <c r="C97" i="17"/>
  <c r="Q87" i="17"/>
  <c r="P87" i="17"/>
  <c r="L87" i="17"/>
  <c r="K87" i="17"/>
  <c r="J87" i="17"/>
  <c r="I87" i="17"/>
  <c r="H87" i="17"/>
  <c r="E87" i="17" s="1"/>
  <c r="C87" i="17"/>
  <c r="E77" i="17"/>
  <c r="C77" i="17"/>
  <c r="F67" i="17"/>
  <c r="E67" i="17"/>
  <c r="I57" i="17"/>
  <c r="H57" i="17"/>
  <c r="F57" i="17"/>
  <c r="J47" i="17"/>
  <c r="I47" i="17"/>
  <c r="H47" i="17"/>
  <c r="G47" i="17"/>
  <c r="F47" i="17"/>
  <c r="I37" i="17"/>
  <c r="E37" i="17" s="1"/>
  <c r="H37" i="17"/>
  <c r="F37" i="17"/>
  <c r="K27" i="17"/>
  <c r="J27" i="17"/>
  <c r="I27" i="17"/>
  <c r="G27" i="17"/>
  <c r="F27" i="17"/>
  <c r="P17" i="17"/>
  <c r="O17" i="17"/>
  <c r="K17" i="17"/>
  <c r="J17" i="17"/>
  <c r="H17" i="17"/>
  <c r="C17" i="17"/>
  <c r="R7" i="17"/>
  <c r="Q7" i="17"/>
  <c r="P7" i="17"/>
  <c r="K7" i="17"/>
  <c r="C7" i="17"/>
  <c r="O42" i="18" l="1"/>
  <c r="O59" i="18"/>
  <c r="O41" i="18"/>
  <c r="O73" i="18"/>
  <c r="O70" i="18"/>
  <c r="O57" i="18"/>
  <c r="O93" i="18"/>
  <c r="O69" i="18"/>
  <c r="O68" i="18"/>
  <c r="O5" i="18"/>
  <c r="O90" i="18"/>
  <c r="O79" i="18"/>
  <c r="O87" i="18"/>
  <c r="O80" i="18"/>
  <c r="O84" i="18"/>
  <c r="O81" i="18"/>
  <c r="N66" i="18"/>
  <c r="O30" i="18"/>
  <c r="O24" i="18"/>
  <c r="O27" i="18"/>
  <c r="O18" i="18"/>
  <c r="O43" i="18"/>
  <c r="O49" i="18"/>
  <c r="O7" i="18"/>
  <c r="O99" i="18"/>
  <c r="E47" i="17"/>
  <c r="E107" i="17"/>
  <c r="E57" i="17"/>
  <c r="E17" i="17"/>
  <c r="E137" i="17"/>
  <c r="E27" i="17"/>
  <c r="E97" i="17"/>
  <c r="N20" i="11" l="1"/>
  <c r="R25" i="1"/>
  <c r="P25" i="1" l="1"/>
  <c r="P19" i="1"/>
  <c r="P18" i="1"/>
  <c r="S25" i="1"/>
  <c r="S19" i="1"/>
  <c r="S18" i="1"/>
  <c r="R19" i="1"/>
  <c r="R18" i="1"/>
  <c r="X25" i="1"/>
  <c r="I25" i="1"/>
  <c r="H25" i="1"/>
  <c r="G25" i="1"/>
  <c r="F25" i="1"/>
  <c r="L20" i="1"/>
  <c r="L21" i="1"/>
  <c r="M22" i="1"/>
  <c r="M25" i="1"/>
  <c r="M18" i="1"/>
  <c r="U20" i="1"/>
  <c r="U21" i="1"/>
  <c r="U22" i="1"/>
  <c r="U23" i="1"/>
  <c r="U24" i="1"/>
  <c r="I24" i="1"/>
  <c r="H23" i="1"/>
  <c r="H22" i="1"/>
  <c r="F21" i="1"/>
  <c r="I20" i="1"/>
  <c r="X19" i="1"/>
  <c r="F13" i="1"/>
  <c r="G13" i="1"/>
  <c r="H13" i="1"/>
  <c r="I13" i="1"/>
  <c r="X13" i="1"/>
  <c r="R13" i="1"/>
  <c r="S13" i="1"/>
  <c r="L13" i="1"/>
  <c r="K13" i="1"/>
  <c r="M13" i="1"/>
  <c r="P13" i="1"/>
  <c r="F23" i="1" l="1"/>
  <c r="H21" i="1"/>
  <c r="C22" i="1"/>
  <c r="B22" i="1"/>
  <c r="AA22" i="1"/>
  <c r="X22" i="1"/>
  <c r="C23" i="1"/>
  <c r="AA23" i="1"/>
  <c r="B23" i="1"/>
  <c r="G22" i="1"/>
  <c r="X23" i="1"/>
  <c r="C24" i="1"/>
  <c r="AA24" i="1"/>
  <c r="B24" i="1"/>
  <c r="G23" i="1"/>
  <c r="I21" i="1"/>
  <c r="X24" i="1"/>
  <c r="F24" i="1"/>
  <c r="X21" i="1"/>
  <c r="H24" i="1"/>
  <c r="G24" i="1"/>
  <c r="I22" i="1"/>
  <c r="C21" i="1"/>
  <c r="B21" i="1"/>
  <c r="AA21" i="1"/>
  <c r="G21" i="1"/>
  <c r="F22" i="1"/>
  <c r="I23" i="1"/>
  <c r="K20" i="1"/>
  <c r="K21" i="1"/>
  <c r="M19" i="1"/>
  <c r="K22" i="1"/>
  <c r="M20" i="1"/>
  <c r="L18" i="1"/>
  <c r="K24" i="1"/>
  <c r="M21" i="1"/>
  <c r="L19" i="1"/>
  <c r="K18" i="1"/>
  <c r="K19" i="1"/>
  <c r="L22" i="1"/>
  <c r="P24" i="1"/>
  <c r="R24" i="1"/>
  <c r="S24" i="1"/>
  <c r="R23" i="1"/>
  <c r="P23" i="1"/>
  <c r="S23" i="1"/>
  <c r="S22" i="1"/>
  <c r="R22" i="1"/>
  <c r="P22" i="1"/>
  <c r="P21" i="1"/>
  <c r="U27" i="1"/>
  <c r="U30" i="1" s="1"/>
  <c r="S21" i="1"/>
  <c r="R21" i="1"/>
  <c r="C20" i="1"/>
  <c r="B20" i="1"/>
  <c r="AA20" i="1"/>
  <c r="S20" i="1"/>
  <c r="H20" i="1"/>
  <c r="G20" i="1"/>
  <c r="F20" i="1"/>
  <c r="X20" i="1"/>
  <c r="R20" i="1"/>
  <c r="P20" i="1"/>
  <c r="G19" i="1"/>
  <c r="F19" i="1"/>
  <c r="C19" i="1"/>
  <c r="AA19" i="1"/>
  <c r="B19" i="1"/>
  <c r="I19" i="1"/>
  <c r="H19" i="1"/>
  <c r="C18" i="1"/>
  <c r="AA18" i="1"/>
  <c r="X18" i="1"/>
  <c r="G18" i="1"/>
  <c r="F18" i="1"/>
  <c r="H18" i="1"/>
  <c r="I18" i="1"/>
  <c r="K25" i="1"/>
  <c r="L25" i="1"/>
  <c r="L23" i="1"/>
  <c r="M23" i="1"/>
  <c r="K23" i="1"/>
  <c r="L24" i="1"/>
  <c r="M24" i="1"/>
  <c r="F27" i="1" l="1"/>
  <c r="C27" i="1"/>
  <c r="X27" i="1"/>
  <c r="X30" i="1" s="1"/>
  <c r="S27" i="1"/>
  <c r="S30" i="1" s="1"/>
  <c r="P27" i="1"/>
  <c r="P30" i="1" s="1"/>
  <c r="R27" i="1"/>
  <c r="R30" i="1" s="1"/>
  <c r="B27" i="1"/>
  <c r="AA27" i="1"/>
  <c r="AA30" i="1" s="1"/>
  <c r="U39" i="1"/>
  <c r="M27" i="1"/>
  <c r="M30" i="1" s="1"/>
  <c r="L27" i="1"/>
  <c r="L30" i="1" s="1"/>
  <c r="K27" i="1"/>
  <c r="K30" i="1" s="1"/>
  <c r="U43" i="1" l="1"/>
  <c r="U54" i="1" s="1"/>
  <c r="U59" i="1" s="1"/>
  <c r="U67" i="1" s="1"/>
  <c r="B30" i="1"/>
  <c r="B39" i="1" s="1"/>
  <c r="B43" i="1" s="1"/>
  <c r="B54" i="1" s="1"/>
  <c r="B59" i="1" s="1"/>
  <c r="C30" i="1"/>
  <c r="C39" i="1" s="1"/>
  <c r="C43" i="1" s="1"/>
  <c r="C54" i="1" s="1"/>
  <c r="C59" i="1" s="1"/>
  <c r="P39" i="1"/>
  <c r="P43" i="1" s="1"/>
  <c r="P54" i="1" s="1"/>
  <c r="P59" i="1" s="1"/>
  <c r="S39" i="1"/>
  <c r="S43" i="1" s="1"/>
  <c r="S54" i="1" s="1"/>
  <c r="R39" i="1"/>
  <c r="R43" i="1" s="1"/>
  <c r="R54" i="1" s="1"/>
  <c r="R59" i="1" s="1"/>
  <c r="AA39" i="1"/>
  <c r="AA43" i="1" s="1"/>
  <c r="AA54" i="1" s="1"/>
  <c r="AA59" i="1" s="1"/>
  <c r="M39" i="1"/>
  <c r="M43" i="1" s="1"/>
  <c r="M54" i="1" s="1"/>
  <c r="M59" i="1" s="1"/>
  <c r="L39" i="1"/>
  <c r="L43" i="1" s="1"/>
  <c r="K39" i="1"/>
  <c r="K43" i="1" s="1"/>
  <c r="K54" i="1" s="1"/>
  <c r="U75" i="1" l="1"/>
  <c r="B67" i="1"/>
  <c r="C67" i="1"/>
  <c r="AA67" i="1"/>
  <c r="AA87" i="1" s="1"/>
  <c r="K59" i="1"/>
  <c r="L54" i="1"/>
  <c r="L59" i="1" s="1"/>
  <c r="P67" i="1"/>
  <c r="R67" i="1"/>
  <c r="S59" i="1"/>
  <c r="I27" i="1"/>
  <c r="I30" i="1" s="1"/>
  <c r="X39" i="1"/>
  <c r="X43" i="1" s="1"/>
  <c r="X54" i="1" s="1"/>
  <c r="G27" i="1"/>
  <c r="H27" i="1"/>
  <c r="I39" i="1" l="1"/>
  <c r="I43" i="1" s="1"/>
  <c r="I54" i="1" s="1"/>
  <c r="H30" i="1"/>
  <c r="H39" i="1" s="1"/>
  <c r="H43" i="1" s="1"/>
  <c r="H54" i="1" s="1"/>
  <c r="G30" i="1"/>
  <c r="G39" i="1" s="1"/>
  <c r="G43" i="1" s="1"/>
  <c r="G54" i="1" s="1"/>
  <c r="G59" i="1" s="1"/>
  <c r="F30" i="1"/>
  <c r="F39" i="1" s="1"/>
  <c r="F43" i="1" s="1"/>
  <c r="F54" i="1" s="1"/>
  <c r="K67" i="1"/>
  <c r="L67" i="1"/>
  <c r="M67" i="1"/>
  <c r="S67" i="1"/>
  <c r="D97" i="17"/>
  <c r="D77" i="17"/>
  <c r="K75" i="1" l="1"/>
  <c r="G67" i="1"/>
  <c r="D107" i="17"/>
  <c r="D87" i="17"/>
  <c r="D127" i="17"/>
  <c r="D117" i="17"/>
  <c r="X59" i="1"/>
  <c r="H59" i="1"/>
  <c r="I59" i="1"/>
  <c r="I67" i="1" s="1"/>
  <c r="I75" i="1" s="1"/>
  <c r="D137" i="17" l="1"/>
  <c r="X67" i="1"/>
  <c r="X87" i="1" s="1"/>
  <c r="H67" i="1"/>
  <c r="H75" i="1" s="1"/>
  <c r="D17" i="17"/>
  <c r="D37" i="17" l="1"/>
  <c r="D47" i="17" l="1"/>
  <c r="D27" i="17" l="1"/>
  <c r="F59" i="1"/>
  <c r="F67" i="1" l="1"/>
  <c r="D7"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tc={360F8494-82A7-4CC7-940C-06F5D172FEFC}</author>
    <author>tc={53CC9A61-8615-453B-9173-08EA359DC660}</author>
  </authors>
  <commentList>
    <comment ref="A54" authorId="0" shapeId="0" xr:uid="{360F8494-82A7-4CC7-940C-06F5D172FEFC}">
      <text>
        <t>[Opmerkingenthread]
U kunt deze opmerkingenthread lezen in uw versie van Excel. Eventuele wijzigingen aan de thread gaan echter verloren als het bestand wordt geopend in een nieuwere versie van Excel. Meer informatie: https://go.microsoft.com/fwlink/?linkid=870924
Opmerking:
    @Wouter Oosterom De toegevoegde getallen zorgen voor fout in V-zoeken denk ik</t>
      </text>
    </comment>
    <comment ref="B54" authorId="1" shapeId="0" xr:uid="{53CC9A61-8615-453B-9173-08EA359DC660}">
      <text>
        <t>[Opmerkingenthread]
U kunt deze opmerkingenthread lezen in uw versie van Excel. Eventuele wijzigingen aan de thread gaan echter verloren als het bestand wordt geopend in een nieuwere versie van Excel. Meer informatie: https://go.microsoft.com/fwlink/?linkid=870924
Opmerking:
    @Wouter Oosterom Ckeck, is dit  kinderkliniek die psychiatrie declareert? Het lijkt erop dat dit niet meetelt in omzet op tabblad uitvraag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tc={9A448401-2438-4661-98B7-59FD1CE419A9}</author>
    <author>tc={987F624A-B089-4795-837D-75C5B6F8D5A1}</author>
    <author>tc={8824F183-987A-4E83-B051-F4B2FDC55FB6}</author>
    <author>tc={32615133-EF94-4829-B71A-E2607D752AA3}</author>
  </authors>
  <commentList>
    <comment ref="C2" authorId="0" shapeId="0" xr:uid="{9A448401-2438-4661-98B7-59FD1CE419A9}">
      <text>
        <t>[Opmerkingenthread]
U kunt deze opmerkingenthread lezen in uw versie van Excel. Eventuele wijzigingen aan de thread gaan echter verloren als het bestand wordt geopend in een nieuwere versie van Excel. Meer informatie: https://go.microsoft.com/fwlink/?linkid=870924
Opmerking:
    Aangenomen dat er 7 vakantiedagen per jaar niet in het weekend vallen.</t>
      </text>
    </comment>
    <comment ref="C3" authorId="1" shapeId="0" xr:uid="{987F624A-B089-4795-837D-75C5B6F8D5A1}">
      <text>
        <t>[Opmerkingenthread]
U kunt deze opmerkingenthread lezen in uw versie van Excel. Eventuele wijzigingen aan de thread gaan echter verloren als het bestand wordt geopend in een nieuwere versie van Excel. Meer informatie: https://go.microsoft.com/fwlink/?linkid=870924
Opmerking:
    Aangenomen dat er 7 vakantiedagen per jaar niet in het weekend vallen.</t>
      </text>
    </comment>
    <comment ref="C4" authorId="2" shapeId="0" xr:uid="{8824F183-987A-4E83-B051-F4B2FDC55FB6}">
      <text>
        <t>[Opmerkingenthread]
U kunt deze opmerkingenthread lezen in uw versie van Excel. Eventuele wijzigingen aan de thread gaan echter verloren als het bestand wordt geopend in een nieuwere versie van Excel. Meer informatie: https://go.microsoft.com/fwlink/?linkid=870924
Opmerking:
    Aangenomen dat er 7 vakantiedagen per jaar niet in het weekend vallen.</t>
      </text>
    </comment>
    <comment ref="C5" authorId="3" shapeId="0" xr:uid="{32615133-EF94-4829-B71A-E2607D752AA3}">
      <text>
        <t>[Opmerkingenthread]
U kunt deze opmerkingenthread lezen in uw versie van Excel. Eventuele wijzigingen aan de thread gaan echter verloren als het bestand wordt geopend in een nieuwere versie van Excel. Meer informatie: https://go.microsoft.com/fwlink/?linkid=870924
Opmerking:
    Aangenomen dat er 7 vakantiedagen per jaar niet in het weekend vallen.</t>
      </text>
    </comment>
  </commentList>
</comments>
</file>

<file path=xl/sharedStrings.xml><?xml version="1.0" encoding="utf-8"?>
<sst xmlns="http://schemas.openxmlformats.org/spreadsheetml/2006/main" count="2805" uniqueCount="1075">
  <si>
    <t>Eenheid</t>
  </si>
  <si>
    <t>Families First</t>
  </si>
  <si>
    <t>Uur</t>
  </si>
  <si>
    <t>Flexibele assertieve community treatment (FACT)</t>
  </si>
  <si>
    <t>Multidimensionale familietherapie (MDFT)</t>
  </si>
  <si>
    <t>Begeleiding individueel basis</t>
  </si>
  <si>
    <t>Begeleiding individueel specialistisch</t>
  </si>
  <si>
    <t>Begeleiding groep basis</t>
  </si>
  <si>
    <t>Begeleiding groep specialistisch</t>
  </si>
  <si>
    <t>Behandeling groep</t>
  </si>
  <si>
    <t>Behandeling individueel</t>
  </si>
  <si>
    <t>Behandeling individueel specialistisch</t>
  </si>
  <si>
    <t>Behandeling regulier psychiatrie</t>
  </si>
  <si>
    <t>Kortdurend verblijf begeleiding (zonder huisvestingskosten)</t>
  </si>
  <si>
    <t>Kortdurend verblijf begeleiding (met huisvestingskosten)</t>
  </si>
  <si>
    <t>cao Jeugdzorg</t>
  </si>
  <si>
    <t>cao ggz</t>
  </si>
  <si>
    <t>cao ghz</t>
  </si>
  <si>
    <t>cao Ziekenhuizen</t>
  </si>
  <si>
    <t>Inschaling 1</t>
  </si>
  <si>
    <t>% inschaling 1</t>
  </si>
  <si>
    <t>Inschaling 2</t>
  </si>
  <si>
    <t>% inschaling 2</t>
  </si>
  <si>
    <t>Toelichting</t>
  </si>
  <si>
    <t>MBO 2</t>
  </si>
  <si>
    <t>5-11</t>
  </si>
  <si>
    <t>10-08</t>
  </si>
  <si>
    <t>25-11</t>
  </si>
  <si>
    <t>5-0</t>
  </si>
  <si>
    <t>MBO3</t>
  </si>
  <si>
    <t>6-11</t>
  </si>
  <si>
    <t>30-10</t>
  </si>
  <si>
    <t>45-12</t>
  </si>
  <si>
    <t>30-11</t>
  </si>
  <si>
    <t>35-11</t>
  </si>
  <si>
    <t>MBO4</t>
  </si>
  <si>
    <t>7-11</t>
  </si>
  <si>
    <t>40-12</t>
  </si>
  <si>
    <t>40-11</t>
  </si>
  <si>
    <t>HBO</t>
  </si>
  <si>
    <t>8-12</t>
  </si>
  <si>
    <t>9-12</t>
  </si>
  <si>
    <t>50-11</t>
  </si>
  <si>
    <t>55-11</t>
  </si>
  <si>
    <t>50-12</t>
  </si>
  <si>
    <t>HBO+</t>
  </si>
  <si>
    <t>10-12</t>
  </si>
  <si>
    <t>60-10</t>
  </si>
  <si>
    <t>55-12</t>
  </si>
  <si>
    <t>WO</t>
  </si>
  <si>
    <t>11-12</t>
  </si>
  <si>
    <t>65-12</t>
  </si>
  <si>
    <t>60-12</t>
  </si>
  <si>
    <t>65-14</t>
  </si>
  <si>
    <t>WO+</t>
  </si>
  <si>
    <t>12-13</t>
  </si>
  <si>
    <t>70-12</t>
  </si>
  <si>
    <t>70-14</t>
  </si>
  <si>
    <t>MS</t>
  </si>
  <si>
    <t>MS-6</t>
  </si>
  <si>
    <t>MS-4</t>
  </si>
  <si>
    <t>75-08</t>
  </si>
  <si>
    <t>MS-5</t>
  </si>
  <si>
    <t>Bruto maandloon volgens inschaling per functieniveau</t>
  </si>
  <si>
    <t>AMS</t>
  </si>
  <si>
    <t>Funtieboek</t>
  </si>
  <si>
    <t>1 (jeugdzorg-werkt.nl)</t>
  </si>
  <si>
    <t>perceel</t>
  </si>
  <si>
    <t>1. Ambulante gezinsinterventies</t>
  </si>
  <si>
    <t>2. Begeleiding</t>
  </si>
  <si>
    <t>3. Behandeling Jeugd LVB</t>
  </si>
  <si>
    <t>4. Dyslexie</t>
  </si>
  <si>
    <t>5. Jeugd GGZ</t>
  </si>
  <si>
    <t>7. Kortdurend verblijf</t>
  </si>
  <si>
    <t>product</t>
  </si>
  <si>
    <t xml:space="preserve">Behandeling groep </t>
  </si>
  <si>
    <t>Diagnostiek/ triage plus</t>
  </si>
  <si>
    <t>Behandeling ernstige enkelvoudige dyslexie</t>
  </si>
  <si>
    <t xml:space="preserve">Behandeling specialistisch psychiatrie </t>
  </si>
  <si>
    <t>Waarde</t>
  </si>
  <si>
    <t>Functiemix</t>
  </si>
  <si>
    <t>Herijking 2022</t>
  </si>
  <si>
    <t>Normatieve bepaling gemeente Almere</t>
  </si>
  <si>
    <t>Moet optellen tot 100%</t>
  </si>
  <si>
    <t>Inschaling volgens cao per functieniveau</t>
  </si>
  <si>
    <t>Gekozen cao</t>
  </si>
  <si>
    <t>JZ</t>
  </si>
  <si>
    <t>GHZ</t>
  </si>
  <si>
    <t>GGZ</t>
  </si>
  <si>
    <t>ZKN &amp; Ziekenhuizen</t>
  </si>
  <si>
    <t>Bruto uurloon</t>
  </si>
  <si>
    <t>Functiemix maal bruto-uurlonen</t>
  </si>
  <si>
    <t>Vakantieuitkering</t>
  </si>
  <si>
    <t>Wettelijk</t>
  </si>
  <si>
    <t>Eindejaarsuitkering</t>
  </si>
  <si>
    <t xml:space="preserve">Volgens leidende cao </t>
  </si>
  <si>
    <t>Incl vakantie en eindejaarsuitkering</t>
  </si>
  <si>
    <t>Werkgeverslasten (peildatum: 2024)</t>
  </si>
  <si>
    <t>WAO/WIA Aof (+toeslag kinderopvang)</t>
  </si>
  <si>
    <t>Gemiddeld: 7,25% + 0,5% toeslag kinderopvang (SZW Rijksbegroting 2024)</t>
  </si>
  <si>
    <t>WHK (WGA + ZW)</t>
  </si>
  <si>
    <t>WGA: gemiddeld 0,77%. ZW: gemiddeld 0,45% (SZW Rijksbegroting 2024)</t>
  </si>
  <si>
    <t>WW Awf</t>
  </si>
  <si>
    <t>Gemiddeld 3,89% (SZW Rijksbegroting 2024)</t>
  </si>
  <si>
    <t>Zvw werkgeversdeel</t>
  </si>
  <si>
    <t>Premie 2024 o.b.v. belastingdienst</t>
  </si>
  <si>
    <t>Pensioen werkgeversdeel</t>
  </si>
  <si>
    <t>Onderzoek HHM Alkmaar 2022</t>
  </si>
  <si>
    <t>Totaal werkgeverslasten</t>
  </si>
  <si>
    <t>Kijken naar totaal</t>
  </si>
  <si>
    <t>Opslag weekend en avond</t>
  </si>
  <si>
    <t>Gewogen ORT percentage</t>
  </si>
  <si>
    <t>Inclusief opslag</t>
  </si>
  <si>
    <t>Niet productieve uren</t>
  </si>
  <si>
    <t>Totaal uren per jaar</t>
  </si>
  <si>
    <t>Verlof (inclusief feestdagen)</t>
  </si>
  <si>
    <t>Zie tabblad 'Verlof'</t>
  </si>
  <si>
    <t>Ziekteverzuim</t>
  </si>
  <si>
    <t>Gemiddeld ziekteverzuim jeugdzorg Q1 - Q3 2023 (CBS Statline) + schatting Q4 van 7,5%</t>
  </si>
  <si>
    <t>Totaal werkbare uren minus verlof en ziekte</t>
  </si>
  <si>
    <t>Indirect niet-cliëntgebonden uren</t>
  </si>
  <si>
    <t>Productieve uren</t>
  </si>
  <si>
    <t>Totaal niet productieve uren</t>
  </si>
  <si>
    <t>Gecorrigeerd voor niet productieve uren</t>
  </si>
  <si>
    <t>Indirecte en overige kosten</t>
  </si>
  <si>
    <t>Overhead  (als percentage van totale directe personeelskosten)</t>
  </si>
  <si>
    <t>Totaal indirecte en overige kosten</t>
  </si>
  <si>
    <t>Totaal inclusief indirect en overig</t>
  </si>
  <si>
    <t>Risico, innovatie en resultaat</t>
  </si>
  <si>
    <t>Marge</t>
  </si>
  <si>
    <t>Uitgangspunt gemeente Almere</t>
  </si>
  <si>
    <t>Reiskosten</t>
  </si>
  <si>
    <t>Reiskosten per uur woon-werk</t>
  </si>
  <si>
    <t>Reiskosten per uur werk-werk</t>
  </si>
  <si>
    <t>Reëele kostprijs per begeleider per uur</t>
  </si>
  <si>
    <t>Dagdeelproducten</t>
  </si>
  <si>
    <t>Aantal uren per dagdeel</t>
  </si>
  <si>
    <t>Aantal cliënten per medewerker</t>
  </si>
  <si>
    <t>Reëele kostprijs per begeleider per cliënt per dagdeel</t>
  </si>
  <si>
    <t>Etmaalproducten</t>
  </si>
  <si>
    <t>Totaal aantal cliënten (groepsgrootte)</t>
  </si>
  <si>
    <t xml:space="preserve">Totaal aantal uren inzet gegeven functiemix per etmaal op de groep </t>
  </si>
  <si>
    <t>Normatieve huisvestingskosten (NHC) en normatieve inventariskosten (NIC) per etmaal</t>
  </si>
  <si>
    <t>Bebaseerd op Nza tarief NHC/NIC voor Z1004 Logeren ggz wonen Wlz, geschaald naar 100% bezettinsgpercentage.</t>
  </si>
  <si>
    <t>Hotelmatige kosten per bed per etmaal (nuts, schoonmaak, bewassing,  hygiëne, persoonlijke verzorging)</t>
  </si>
  <si>
    <t xml:space="preserve">Voedings- per cliënt per etmaal </t>
  </si>
  <si>
    <t>Reëele kostprijs per bed per etmaal</t>
  </si>
  <si>
    <t>Specifiek voor JGO</t>
  </si>
  <si>
    <t>Aantal uren per fte</t>
  </si>
  <si>
    <t>Kostprijs per fte (jaarbasis)</t>
  </si>
  <si>
    <t>Almere Jungle</t>
  </si>
  <si>
    <t>De Kinderkliniek</t>
  </si>
  <si>
    <t>Family Supporters BV</t>
  </si>
  <si>
    <t>Het KompASS</t>
  </si>
  <si>
    <t>Molemann Mental Health BV</t>
  </si>
  <si>
    <t>Opdidakt BV</t>
  </si>
  <si>
    <t>Stichting Pluryn</t>
  </si>
  <si>
    <t>RIOzorg</t>
  </si>
  <si>
    <t>Triade Vitree</t>
  </si>
  <si>
    <t>De Geheime Tuin BV</t>
  </si>
  <si>
    <t>Kwadrant Arkemeyde LVG ('s Heeren Loo)</t>
  </si>
  <si>
    <t>Gemiddeld</t>
  </si>
  <si>
    <t>Gewogen gemiddeld</t>
  </si>
  <si>
    <t>GENERIEK</t>
  </si>
  <si>
    <t>Omzet totaal</t>
  </si>
  <si>
    <t>Van totale productie in 2021</t>
  </si>
  <si>
    <t>Weging voor gewogen gemiddelde</t>
  </si>
  <si>
    <t xml:space="preserve"> </t>
  </si>
  <si>
    <t>Ziekteverzuim toelichting</t>
  </si>
  <si>
    <t>3,16% in 2021=452 ziektedagen  en 5,94% in 2022=681 verzuimdagen gerekend tm augustus 2022</t>
  </si>
  <si>
    <t>2,78% (tm juli)</t>
  </si>
  <si>
    <t>Als norm hanteren we een 7% verzuimpercentage voor 2023. We rekenen met een producitiviteit van 74% voor 2023.  Declarabiliteit 60-65%. Werkelijk verzuim: 2022 t/m periode 2022-08  8,88%. 2021: 7,31% regio Midden Nederland)</t>
  </si>
  <si>
    <t>Overhead</t>
  </si>
  <si>
    <t>Aanbieder had 82% opgegeven. Percentage weggehaald.</t>
  </si>
  <si>
    <t>overhead toelichting</t>
  </si>
  <si>
    <t>Overhead bedraagt 54,67% van de directe personeelskosten (hierin zit ook opleiding,arbo, wia, gratificaties etc.) meegenomen. Indien jullie deze laatste als directe personeelskosten meerekenen, bedraagd de overhead 50,45%.</t>
  </si>
  <si>
    <t>PERCEEL 1 BEGELEIDING</t>
  </si>
  <si>
    <t>Omzet perceel 1: begeleiding</t>
  </si>
  <si>
    <t>Weging voor gewogen gemiddelde ziekteverzuim</t>
  </si>
  <si>
    <t>Weging voor gewogen gemiddelde overhead</t>
  </si>
  <si>
    <t>Weging voor gewogen gemiddelde indirecte tijd</t>
  </si>
  <si>
    <t>Begeleiding individueel basis Indirece tijd</t>
  </si>
  <si>
    <t xml:space="preserve">Begeleiding individueel basis niet declarabel indirecte tijd </t>
  </si>
  <si>
    <t>Ja</t>
  </si>
  <si>
    <t>Begeleiding individueel basis toelichting indien nee</t>
  </si>
  <si>
    <t xml:space="preserve">Toelichting op Ja: We gebruiken altijd 50% van de indirecte tijd tijdens het gehele begeleidingstraject. Gezien de clientpopulatie van SHL (clienten met een verstandelijke beperking) is dit percentage indirect clientgebonden bijna altijd nodig. Het is noodzakelijk dat de indirecte tijd ook declarabel is. conform contract betekent dit dat we altijd inzetten op 66% directe clientgebonden tijd en 33% indirecte clientgebonden tijd. </t>
  </si>
  <si>
    <t>Begeleiding individueel specialistisch Indirece tijd</t>
  </si>
  <si>
    <t xml:space="preserve">Begeleiding individueel niet declarabel indirecte tijd </t>
  </si>
  <si>
    <t>Nee</t>
  </si>
  <si>
    <t>Begeleiding individueel toelichting indien nee</t>
  </si>
  <si>
    <t>48% is directe patientgebonden, 52% is indirect clientgebonden</t>
  </si>
  <si>
    <t xml:space="preserve">Dit product wordt gebruikt om te stapelen met verblijf. Daarmee wordt 1-op-1 begeleiding geleverd voor de client. Indirecte activiteiten ed vallen binnen het verblijfstarief. </t>
  </si>
  <si>
    <t>Begeleiding groep basis Indirece tijd</t>
  </si>
  <si>
    <t xml:space="preserve">Begeleiding groep basis niet declarabel indirecte tijd </t>
  </si>
  <si>
    <t>Begeleiding groep basis toelichting indien nee</t>
  </si>
  <si>
    <t>Indirecte patiëntgebonden zorgactiviteiten zijn bij ons bijvoorbeeld RTG gesprekken, gesprekken met school, met ouders. Het verwerken van gespreksverslagen. Het opstellen van zorgplannen. Het bespreken van de begeleiding van een cliënt tussen de praktijkbegeleider en trajectbegeleider etc. Al deze zaken vinden niet plaats tijdens de zorgactiviteiten maar juist daarbuiten. De doelgroep laat het niet toe om tijdens de dagbesteding andere dingen te gaan doen.</t>
  </si>
  <si>
    <t>De rapportages worden geschreven tijdens de dagbesteding. Overleggen en andere indirecte werkzaamheden worden buiten de openringsrijden van de dagbesteding gepland</t>
  </si>
  <si>
    <t>Begeleiding groep specialistisch Indirece tijd</t>
  </si>
  <si>
    <t xml:space="preserve">Begeleiding groep specialistisch niet declarabel indirecte tijd </t>
  </si>
  <si>
    <t>Begeleiding groep specialistisch toelichting indien nee</t>
  </si>
  <si>
    <t>Indirecte patiëntegebonden zorgactiviteiten zijn bij ons bijvoorbeeld RTG gesprekken, gesprekken met school, met ouders. Het verwerken van gespreksverslagen. Het opstellen van zorgplannen. Het bespreken van de begeleiding van een cliënt tussen de praktijkbegeleider en de trajectbegeleiders etc. Al deze zaken vinden niet plaats tijdens de zorgactiviteiten maar juist daarbuiten. De doelgroep laat het niet toe om tijdens de dagbesteding andere dingen te gaan doen.</t>
  </si>
  <si>
    <t>95% is directe patientgebonden tijd, 5% indirect patientgebonden tijd</t>
  </si>
  <si>
    <t>Kortdurend verblijf begeleiding Indirece tijd</t>
  </si>
  <si>
    <t xml:space="preserve">Kortdurend verblijf begeleiding niet declarabel indirecte tijd </t>
  </si>
  <si>
    <t>Kortdurend verblijf begeleiding toelichting indien nee</t>
  </si>
  <si>
    <t>Gemiddelde indirecte tijd van alle producten in perceel</t>
  </si>
  <si>
    <t>PERCEEL 2 PSYCHIATRIE BASIS</t>
  </si>
  <si>
    <t>Omzet perceel 2: psychiatrie basis</t>
  </si>
  <si>
    <t>Behandeling regulier psychiatrie Indirece tijd</t>
  </si>
  <si>
    <t xml:space="preserve">Behandeling regulier psychiatrie niet declarabel indirecte tijd </t>
  </si>
  <si>
    <t>Behandeling regulier psychiatrie toelichting indien nee</t>
  </si>
  <si>
    <t>57% is direct patiengebonden tijd en 43% is indirect patientgebonden tijd</t>
  </si>
  <si>
    <t>Het percentage directe vs indirecte tijd is 57% direct en 43% indirect over de periode van januari 2022 t/m augustus 2022. De professional besteed dus gemiddeld genomen per direct contactuur minder dan 60 minuten aan indirecte tijd</t>
  </si>
  <si>
    <t xml:space="preserve">Toelichting op ja: We gebruiken altijd 100% van de indirecte tijd tijdens het gehele begeleidingstraject. Gezien de clientpopulatie van SHL (clienten met een verstandelijke beperking met comorbiditeit) is dit percentage indirect clientgebonden bijna altijd nodig. Het is noodzakelijk dat de indirecte tijd ook declarabel is. conform contract betekent dit dat we altijd inzetten op 50% directe clientgebonden tijd en 50% indirecte clientgebonden tijd. </t>
  </si>
  <si>
    <t>Kortdurend verblijf grondslag psychiatrie Indirece tijd</t>
  </si>
  <si>
    <t xml:space="preserve">Kortdurend verblijf grondslag psychiatrie niet declarabel indirecte tijd </t>
  </si>
  <si>
    <t>Kortdurend verblijf grondslag psychiatrie toelichting indien nee</t>
  </si>
  <si>
    <t>PERCEEL 2 PSYCHIATRIE SPEC</t>
  </si>
  <si>
    <t>Omzet perceel 2: psychiatrie specialistisch</t>
  </si>
  <si>
    <t>Behandeling specialistisch psychiatrie Indirece tijd</t>
  </si>
  <si>
    <t xml:space="preserve">Behandeling specialistisch niet declarabel niet declarabel indirecte tijd </t>
  </si>
  <si>
    <t>Behandeling specialistisch niet declarabel toelichting indien nee</t>
  </si>
  <si>
    <t xml:space="preserve">Binnen Pluryn leveren we zorg op basis van multidisiplinaire teams. Dit hoort ook bij de problematieken van de doelgroep van Pluryn. Dit maakt dat onze verhouding directe / indirecte tijd ligt op respectievelijk 40%-45% directe tijd en 55%-60% indirecte tijd. Hierbij wordt er door Pluryn wel vanuit gegaan dat ALLE clientgebonden tijd declarabel is. </t>
  </si>
  <si>
    <t>Opdidakt</t>
  </si>
  <si>
    <t>RID</t>
  </si>
  <si>
    <t>PERCEEL 2 DYSLEXIE</t>
  </si>
  <si>
    <t>Omzet perceel 2: dyslexie</t>
  </si>
  <si>
    <t>ZIE BEREKENING HIERNAAST</t>
  </si>
  <si>
    <t>Behandeling ernstige enkelvoudige dyslexie Indirece tijd</t>
  </si>
  <si>
    <t xml:space="preserve">Behandeling ernstige enkelvoudige dyslexie niet declarabel indirecte tijd </t>
  </si>
  <si>
    <t>Behandeling ernstige enkelvoudige dyslexie toelichting indien nee</t>
  </si>
  <si>
    <t>PERCEEL 3 LVB</t>
  </si>
  <si>
    <t>Omzet perceel 3: LVB</t>
  </si>
  <si>
    <t>LVB: Behandeling individueel basis Indirece tijd</t>
  </si>
  <si>
    <t xml:space="preserve">LVB: Behandeling individueel basis niet declarabel indirecte tijd </t>
  </si>
  <si>
    <t>LVB: Behandeling individueel basis toelichting indien nee</t>
  </si>
  <si>
    <t xml:space="preserve">Toelichting op ja: We gebruiken altijd 50% van de indirecte tijd tijdens het gehele begeleidingstraject. Gezien de clientpopulatie van SHL (clienten met een verstandelijke beperking) is dit percentage indirect clientgebonden bijna altijd nodig. Het is noodzakelijk dat de indirecte tijd ook declarabel is. conform contract betekent dit dat we altijd inzetten op 57% directe clientgebonden tijd en 43% indirecte clientgebonden tijd. </t>
  </si>
  <si>
    <t>LVB: Behandeling groep basis Indirece tijd</t>
  </si>
  <si>
    <t xml:space="preserve">LVB: Behandeling groep basis niet declarabel indirecte tijd </t>
  </si>
  <si>
    <t>LVB: Behandeling groep basis toelichting indien nee</t>
  </si>
  <si>
    <t>LVB: Behandeling groep specialistisch Indirece tijd</t>
  </si>
  <si>
    <t xml:space="preserve">LVB: Behandeling groep specialistisch niet declarabel indirecte tijd </t>
  </si>
  <si>
    <t>LVB: Behandeling groep specialistisch toelichting indien nee</t>
  </si>
  <si>
    <t>Kortdurend verblijf grondslag lvb Indirece tijd</t>
  </si>
  <si>
    <t xml:space="preserve">Kortdurend verblijf grondslag lvb niet declarabel indirecte tijd </t>
  </si>
  <si>
    <t>Kortdurend verblijf grondslag lvb toelichting indien nee</t>
  </si>
  <si>
    <t>Curatieve ggz</t>
  </si>
  <si>
    <t>Omzet curatieve ggz</t>
  </si>
  <si>
    <t>curatieve ggz Indirece tijd</t>
  </si>
  <si>
    <t>niet uitgevraagd</t>
  </si>
  <si>
    <t xml:space="preserve">curatieve ggz niet declarabel indirecte tijd </t>
  </si>
  <si>
    <t>curatieve ggz toelichting indien nee</t>
  </si>
  <si>
    <t>Persoonlijke verzorging</t>
  </si>
  <si>
    <t>geen cijfers aangeleverd</t>
  </si>
  <si>
    <t>Persoonlijke verzorging basis Indirece tijd</t>
  </si>
  <si>
    <t xml:space="preserve">Persoonlijke verzorging basis niet declarabel indirecte tijd </t>
  </si>
  <si>
    <t>Persoonlijke verzorging toelichting indien nee</t>
  </si>
  <si>
    <t>Gemeente/regio</t>
  </si>
  <si>
    <t>Almere</t>
  </si>
  <si>
    <t>Almere (herijkt)</t>
  </si>
  <si>
    <t>Ijsselland</t>
  </si>
  <si>
    <t>West-Utrecht</t>
  </si>
  <si>
    <t>Heumen</t>
  </si>
  <si>
    <t>Noord-oost Brabant</t>
  </si>
  <si>
    <t>Foodvalley</t>
  </si>
  <si>
    <t>Alkmaar</t>
  </si>
  <si>
    <t>Nijmegen</t>
  </si>
  <si>
    <t>Rivierenland</t>
  </si>
  <si>
    <t>Weert</t>
  </si>
  <si>
    <t>Categorie</t>
  </si>
  <si>
    <t xml:space="preserve">begeleiding </t>
  </si>
  <si>
    <t>LVB</t>
  </si>
  <si>
    <t>Begeleiding Jeugd Ambulant</t>
  </si>
  <si>
    <t xml:space="preserve">	Jeugdhulp ambulant</t>
  </si>
  <si>
    <t>JH zonder verblijf</t>
  </si>
  <si>
    <t>Ambulant begeleiding</t>
  </si>
  <si>
    <t>Duurzaam ambulante jeugdhulp</t>
  </si>
  <si>
    <t>Ambulante jeugdhulp</t>
  </si>
  <si>
    <t>Ambulante begeleiding</t>
  </si>
  <si>
    <t>Perceel Jeugd met een Beperking - Begeleiding</t>
  </si>
  <si>
    <t>Product</t>
  </si>
  <si>
    <t>Ambulante begeleiding Licht individueel</t>
  </si>
  <si>
    <t>Ambulante begeleiding Midden individueel</t>
  </si>
  <si>
    <t>Begeleiding individueel licht</t>
  </si>
  <si>
    <t>Begeleiding individueel midden</t>
  </si>
  <si>
    <t>Reguliere Begeleiding</t>
  </si>
  <si>
    <t>Begeleiding basis</t>
  </si>
  <si>
    <t>Jeugdhulp ambulant regulier: begeleiding individuel</t>
  </si>
  <si>
    <t>Begeleiding</t>
  </si>
  <si>
    <t>Reguliere begeleiding Jeugd</t>
  </si>
  <si>
    <t>Begeleiding regulier individueel</t>
  </si>
  <si>
    <t>Begeleiding individueel- licht</t>
  </si>
  <si>
    <t>Begeleiding individueel- midden</t>
  </si>
  <si>
    <t>Jaar</t>
  </si>
  <si>
    <t>uur</t>
  </si>
  <si>
    <t>minuut (omgerekend naar uur)</t>
  </si>
  <si>
    <t>Tarief</t>
  </si>
  <si>
    <t>Tarief 2</t>
  </si>
  <si>
    <t>GHZ 30-60, GGZ 45-60, J 7</t>
  </si>
  <si>
    <t>GHZ 40-60, GGZ 45-60. J 7-9</t>
  </si>
  <si>
    <t>Productiviteit</t>
  </si>
  <si>
    <t>Noordoost Brabant</t>
  </si>
  <si>
    <t>Ambulante begeleiding Zwaar individueel</t>
  </si>
  <si>
    <t>Begeleiding individueel zwaar</t>
  </si>
  <si>
    <t>begeleiding specialistisch</t>
  </si>
  <si>
    <t>Jeugdhulp ambulant specialistisch begeleiding individueel</t>
  </si>
  <si>
    <t>Begeleiding specialistisch individueel</t>
  </si>
  <si>
    <t>Begeleiding individueel- zwaar</t>
  </si>
  <si>
    <t>Gespecialiseerde begeleiding</t>
  </si>
  <si>
    <t>Specialistische begeleiding Jeugd</t>
  </si>
  <si>
    <t>Specialistische Begeleiding</t>
  </si>
  <si>
    <t>minuut</t>
  </si>
  <si>
    <t>GHZ 45-65, GGZ 50-60, SW8</t>
  </si>
  <si>
    <t>ambulant groep</t>
  </si>
  <si>
    <t>Ambulante begeleiding Licht groep</t>
  </si>
  <si>
    <t>Ambulante begeleiding Midden groep</t>
  </si>
  <si>
    <t>Jeugdhulp ambulant regulier: begeleiding groep</t>
  </si>
  <si>
    <t>Begeleiding regulier groep</t>
  </si>
  <si>
    <t>Begeleiding groep- licht</t>
  </si>
  <si>
    <t>Begeleiding groep- midden</t>
  </si>
  <si>
    <t>dagdeel</t>
  </si>
  <si>
    <t>Uur (omgerekend naar dd, 4u)</t>
  </si>
  <si>
    <t>ambulant begeleiding</t>
  </si>
  <si>
    <t>Ambulante begeleiding Zwaar groep</t>
  </si>
  <si>
    <t>Jeugdhulp ambulant specialistisch begeleiding groep</t>
  </si>
  <si>
    <t>Begeleiding specialistisch groep</t>
  </si>
  <si>
    <t>Begeleiding groep- zwaar</t>
  </si>
  <si>
    <t>Kortdurend verblijf begeleiding</t>
  </si>
  <si>
    <t>Perceel Jeugd- en Opvoedhulp - Verblijf met begeleiding</t>
  </si>
  <si>
    <t>Logeren</t>
  </si>
  <si>
    <t>Verblijf</t>
  </si>
  <si>
    <t>Perceel Jeugd GGZ - Logeren</t>
  </si>
  <si>
    <t>Verblijf begeleiding- Midden Kamer training centrum J&amp;O</t>
  </si>
  <si>
    <t>Verblijf begeleiding- Midden gezinshuis J&amp;O</t>
  </si>
  <si>
    <t>Logeren regulier etmaal</t>
  </si>
  <si>
    <t>Kortdurend Verblijf</t>
  </si>
  <si>
    <t>Logeren- Licht/ midden etmaal</t>
  </si>
  <si>
    <t>etmaal</t>
  </si>
  <si>
    <t>Vervoer zonder rolstoel 12+</t>
  </si>
  <si>
    <t>Zuidoost-Utrecht</t>
  </si>
  <si>
    <t>ROB Nijmegen</t>
  </si>
  <si>
    <t>Vervoer</t>
  </si>
  <si>
    <t>Jeugdhulpvervoer</t>
  </si>
  <si>
    <t>Perceel Jeugd met een Beperking - Vervoer</t>
  </si>
  <si>
    <t>vervoer zonder rolstoel 12+</t>
  </si>
  <si>
    <t>Vervoer regulier</t>
  </si>
  <si>
    <t>Vervoer groep</t>
  </si>
  <si>
    <t>Vervoer basis</t>
  </si>
  <si>
    <t>Vervoer: inspanningsgericht</t>
  </si>
  <si>
    <t>vervoer met roelstoel en/of 12</t>
  </si>
  <si>
    <t>Vervoer rolstoel gebonden</t>
  </si>
  <si>
    <t>Vervoer rolstoel</t>
  </si>
  <si>
    <t>Vervoer individueel</t>
  </si>
  <si>
    <t>Vervoer in rolstoel</t>
  </si>
  <si>
    <t>Behandeling regulier (jggz)</t>
  </si>
  <si>
    <t>behandeling grondslag psychiatrie (waaronder dyslexie)</t>
  </si>
  <si>
    <t>ggz</t>
  </si>
  <si>
    <t>JGGZ</t>
  </si>
  <si>
    <t>Perceel Jeugd GGZ - Behandeling</t>
  </si>
  <si>
    <t>behandeling regulier psychiatrie</t>
  </si>
  <si>
    <t>Generalistische basis GGZ (GB-GGZ) Jeugd 
Behandeling</t>
  </si>
  <si>
    <t>Behandeling basis Jeugd GGZ</t>
  </si>
  <si>
    <t>gb ggz</t>
  </si>
  <si>
    <t>Jeugd ggz behandeling regulier / generalistisch</t>
  </si>
  <si>
    <t>behandeling basis ggz</t>
  </si>
  <si>
    <t>Behandeling ggz generalistisch</t>
  </si>
  <si>
    <t>Behandeling individueel- licht JGGZ</t>
  </si>
  <si>
    <t>GGZ 55-70, MS, GHZ 65</t>
  </si>
  <si>
    <t>Behandeling specialistisch (jggz)</t>
  </si>
  <si>
    <t>behandeling specialistisch psychiatrie</t>
  </si>
  <si>
    <t>Jeugd-ggz behandeling specialistisch</t>
  </si>
  <si>
    <t>Specialistische GGZ (S-GGZ) Jeugd 
Behandeling</t>
  </si>
  <si>
    <t>Specialistische Jeugd GGz (incl. obs en diagnostiek)</t>
  </si>
  <si>
    <t>s ggz 1</t>
  </si>
  <si>
    <t>s ggz 2</t>
  </si>
  <si>
    <t>s ggz hoogspecialistisch</t>
  </si>
  <si>
    <t>Jeugd ggz behandeling specialistisch</t>
  </si>
  <si>
    <t>behandeling specialistische ggz</t>
  </si>
  <si>
    <t>Behandeling ggz specialistisch</t>
  </si>
  <si>
    <t>Behandeling individueel- zwaar JGGZ</t>
  </si>
  <si>
    <t>minut</t>
  </si>
  <si>
    <t>GGZ 55-70, MS</t>
  </si>
  <si>
    <t>Behandeling EED</t>
  </si>
  <si>
    <t>Noordoost-Brabant</t>
  </si>
  <si>
    <t>EED</t>
  </si>
  <si>
    <t>jggz</t>
  </si>
  <si>
    <t>Dyslexie</t>
  </si>
  <si>
    <t>Ambulant EED</t>
  </si>
  <si>
    <t>Hulp bij dyslexie</t>
  </si>
  <si>
    <t>behandeling EED</t>
  </si>
  <si>
    <t>Jeugd-ggz behandeling specialistisch (dyslexie)</t>
  </si>
  <si>
    <t>EED behandeling</t>
  </si>
  <si>
    <t>Lopende behandeling EED</t>
  </si>
  <si>
    <t xml:space="preserve">Dyslexie onderzoek, diagnostiek en behandeling </t>
  </si>
  <si>
    <t>Behandeling dyslexie</t>
  </si>
  <si>
    <t>Ambulant dyslexie</t>
  </si>
  <si>
    <t>behandeling ggz EED behandeling</t>
  </si>
  <si>
    <t>4% HBO+, 86% WO, 10% WO+</t>
  </si>
  <si>
    <t>Behandeling individueel LVB</t>
  </si>
  <si>
    <t>behandeling grondslag lichte verstandelijke beperking</t>
  </si>
  <si>
    <t>Behandeling Jeugd Ambulant</t>
  </si>
  <si>
    <t>Perceel Jeugd met een Beperking - Behandeling</t>
  </si>
  <si>
    <t>Perceel Jeugd met een Beperking</t>
  </si>
  <si>
    <t>Ambulante behandeling specialistisch</t>
  </si>
  <si>
    <t>Behandeling individueel- midden</t>
  </si>
  <si>
    <t>Behandeling individueel- zwaar</t>
  </si>
  <si>
    <t>Behandeling individueel (L)VG Crisis</t>
  </si>
  <si>
    <t>Ambulante Behandeling J&amp;O en J_x0002_LVG</t>
  </si>
  <si>
    <t>Orthopedagogische behandeling specialistisch</t>
  </si>
  <si>
    <t>GHZ 45-65, GGZ 55-64, J 8-11</t>
  </si>
  <si>
    <t>Behandeling groep basis LVB</t>
  </si>
  <si>
    <t>Zuidoost Utrecht</t>
  </si>
  <si>
    <t>J&amp;O</t>
  </si>
  <si>
    <t>Dagbehandeling</t>
  </si>
  <si>
    <t>Dagbehandeling regulier:
inspanningsgericht</t>
  </si>
  <si>
    <t>Behandeling groep- licht</t>
  </si>
  <si>
    <t>Behandeling groep- midden</t>
  </si>
  <si>
    <t xml:space="preserve">Dagbehandeling </t>
  </si>
  <si>
    <t>Dagbehandeling (intersectoraal) Jeugd)</t>
  </si>
  <si>
    <t>Behandeling groep specialistisch LVB</t>
  </si>
  <si>
    <t>Dagbehandeling specialistisch:
inspanningsgericht</t>
  </si>
  <si>
    <t>Behandeling groep- zwaar</t>
  </si>
  <si>
    <t>Dagbehandeling  specialistisch</t>
  </si>
  <si>
    <t>Kortdurend verblijf LVB</t>
  </si>
  <si>
    <t>Respijtzorg Logeren</t>
  </si>
  <si>
    <t>Perceel Jeugd met een Beperking - Verblijf met begeleiding</t>
  </si>
  <si>
    <t>Respijtzorg Logeren Regulier (groepsgrootte 4)</t>
  </si>
  <si>
    <t>Respijtzorg Logeren Specialistisch (groepsgrootte 4)</t>
  </si>
  <si>
    <t>Verblijf begeleiding- Zwaar leefgroep J&amp;O</t>
  </si>
  <si>
    <t>Logeren intensief etmaal</t>
  </si>
  <si>
    <t>Logeren- Zwaar etmaal</t>
  </si>
  <si>
    <t>Verblijf begeleiding- Zwaar fasehuis J&amp;O</t>
  </si>
  <si>
    <t>Kortdurend verblijf Respijtzorg</t>
  </si>
  <si>
    <t>Kortdurend verblijf Intensief</t>
  </si>
  <si>
    <t>Zorg met verblijf Pakket 1  ZZP (Incl. Dagbesteding)</t>
  </si>
  <si>
    <t>Zorg met verblijf Pakket 2 ZZP (Incl. Behandeling en Dagbesteding)</t>
  </si>
  <si>
    <t>Verblijf begeleiding- licht JmB</t>
  </si>
  <si>
    <t>Verblijf begeleiding- midden JmB</t>
  </si>
  <si>
    <t>Verblijf begeleiding- Zwaar Beschermd Wonen</t>
  </si>
  <si>
    <t>Verblijf begeleiding- Zwaar Beschermd Wonen Plus</t>
  </si>
  <si>
    <t>GHZ 45-65, GGZ 35-45</t>
  </si>
  <si>
    <t>Functie</t>
  </si>
  <si>
    <t>Voorbeeld</t>
  </si>
  <si>
    <t>Medisch Specialist</t>
  </si>
  <si>
    <t>psychiater/kinderarts</t>
  </si>
  <si>
    <t>WO++</t>
  </si>
  <si>
    <t>klinisch psycholoog/psychotherapeut</t>
  </si>
  <si>
    <t>GZ-psycholoog</t>
  </si>
  <si>
    <t xml:space="preserve">WO </t>
  </si>
  <si>
    <t>psycholoog/pedagoog/SPV</t>
  </si>
  <si>
    <t xml:space="preserve">HBO </t>
  </si>
  <si>
    <t>verpleegkundige/SPH</t>
  </si>
  <si>
    <t>Slaapdienst vergoedingen</t>
  </si>
  <si>
    <t xml:space="preserve"> GGZ</t>
  </si>
  <si>
    <t>De werknemer met een salaris tot nr. 49 van de inpassingstabel ontvangt: een vergoeding van € 33,97 (01-06-2021); € 34,65 (01-07-2022); € 35,34 (01- 05-2023); 36,05 (01-01-2024) per slaapdienst ongeacht het aantal uren van deze dienst en een compensatie in tijd van ¼ van de uren van de slaapdienst. 2. De werkgever kan na overleg met de ondernemingsraad bepalen dat lid 1 van dit artikel vervalt en de werknemer in plaats daarvan een compensatie in tijd krijgt van ½ van de uren van de slaapdienst.</t>
  </si>
  <si>
    <t>Uren, doorgebracht in (nacht)aanwezigheidsdienst, worden als halve werkuren aangemerkt. Deze halve werkuren worden in tijd gecompenseerd. Op verzoek van de werknemer kan van deze compensatie in tijd worden afgeweken en worden de halve werkuren door de werkgever uitbetaald door middel van een vergoeding op uurbasis ter hoogte van het actuele uurloon van de werknemer op het moment van het verrichten van de nachtaanwezigheidsdienst</t>
  </si>
  <si>
    <t>Halve uren vergoed</t>
  </si>
  <si>
    <t>Jeugdhulp</t>
  </si>
  <si>
    <t>Ontvangt de werknemer van de werkgever de opdracht om een slaap- of waakdienst te doen, volgens artikel 6.4.3? Dan ontvangt de werknemer een vergoeding voor doorbetaalde vrije tijd ter grootte van de helft van het aantal uren dat hij slaap- of waakdienst doet. Moet de werknemer tijdens de slaap- of waakdienst noodzakelijk werk doen, dan ontvangt de werknemer ook salaris over het aantal uren dat hij werkt binnen de slaap- of waakdienst.</t>
  </si>
  <si>
    <t>Aanbieder</t>
  </si>
  <si>
    <t>Gedeclareerd 2021</t>
  </si>
  <si>
    <t>Relatieve aandeel</t>
  </si>
  <si>
    <t>Connected Together</t>
  </si>
  <si>
    <t>Cooperatie Boer en Zorg</t>
  </si>
  <si>
    <t>Cumulus Home</t>
  </si>
  <si>
    <t>DBA BV</t>
  </si>
  <si>
    <t>De Zorgcoach BV</t>
  </si>
  <si>
    <t>Doenersdreef Zorg BV</t>
  </si>
  <si>
    <t>Jeugd &amp; Gezin BV</t>
  </si>
  <si>
    <t>Jeugd Advies-en Begeleiding Jade</t>
  </si>
  <si>
    <t>Leveo Care BV</t>
  </si>
  <si>
    <t>Max Ernst GGZ</t>
  </si>
  <si>
    <t>Nieuwland Opleidingen BV</t>
  </si>
  <si>
    <t>Omega Groep</t>
  </si>
  <si>
    <t>Paidos</t>
  </si>
  <si>
    <t>Philadelphia</t>
  </si>
  <si>
    <t>Sensa Zorg</t>
  </si>
  <si>
    <t>St. Tenderhands Care</t>
  </si>
  <si>
    <t>Switch to Go</t>
  </si>
  <si>
    <t>Timon</t>
  </si>
  <si>
    <t>Zorgondersteuning La Fleur BV</t>
  </si>
  <si>
    <t>Totaal</t>
  </si>
  <si>
    <t>Behandeling Psychiatrie Regulier</t>
  </si>
  <si>
    <t>Accare</t>
  </si>
  <si>
    <t>Behandeling Psychiatrie Specialistisch (excl. curatieve ggz kinderarts)</t>
  </si>
  <si>
    <t>Flevostate</t>
  </si>
  <si>
    <t>Behandeling LVB</t>
  </si>
  <si>
    <t>Stichting Altra</t>
  </si>
  <si>
    <t>Leestalent BV</t>
  </si>
  <si>
    <t>Psychologische Dienstverlening Ijsselgroep</t>
  </si>
  <si>
    <t>Regionaal Instituut voor Dyslexie</t>
  </si>
  <si>
    <t>Stichting Taalhulp</t>
  </si>
  <si>
    <t>Curatieve GGZ</t>
  </si>
  <si>
    <t>Totaal 2021 bovenstaande contracten</t>
  </si>
  <si>
    <t>Totaal 2021 excl kinderartsen</t>
  </si>
  <si>
    <t>CAO</t>
  </si>
  <si>
    <t>Ziekenhuizen</t>
  </si>
  <si>
    <t>1-0</t>
  </si>
  <si>
    <t>10-00</t>
  </si>
  <si>
    <t>5-00</t>
  </si>
  <si>
    <t>SW</t>
  </si>
  <si>
    <t>1-1</t>
  </si>
  <si>
    <t>10-01</t>
  </si>
  <si>
    <t>5-01</t>
  </si>
  <si>
    <t>5-1</t>
  </si>
  <si>
    <t>1-2</t>
  </si>
  <si>
    <t>10-02</t>
  </si>
  <si>
    <t>5-02</t>
  </si>
  <si>
    <t>5-2</t>
  </si>
  <si>
    <t>1-3</t>
  </si>
  <si>
    <t>10-03</t>
  </si>
  <si>
    <t>5-03</t>
  </si>
  <si>
    <t>5-3</t>
  </si>
  <si>
    <t>1-4</t>
  </si>
  <si>
    <t>10-04</t>
  </si>
  <si>
    <t>5-04</t>
  </si>
  <si>
    <t>5-4</t>
  </si>
  <si>
    <t>1-5</t>
  </si>
  <si>
    <t>10-05</t>
  </si>
  <si>
    <t>5-05</t>
  </si>
  <si>
    <t>5-5</t>
  </si>
  <si>
    <t>1-6</t>
  </si>
  <si>
    <t>10-06</t>
  </si>
  <si>
    <t>5-06</t>
  </si>
  <si>
    <t>5-6</t>
  </si>
  <si>
    <t>1-7</t>
  </si>
  <si>
    <t>10-07</t>
  </si>
  <si>
    <t>5-07</t>
  </si>
  <si>
    <t>5-7</t>
  </si>
  <si>
    <t>1-8</t>
  </si>
  <si>
    <t>5-08</t>
  </si>
  <si>
    <t>5-8</t>
  </si>
  <si>
    <t>1-9</t>
  </si>
  <si>
    <t>5-09</t>
  </si>
  <si>
    <t>5-9</t>
  </si>
  <si>
    <t>1-10</t>
  </si>
  <si>
    <t>15-00</t>
  </si>
  <si>
    <t>10-0</t>
  </si>
  <si>
    <t>1-11</t>
  </si>
  <si>
    <t>15-01</t>
  </si>
  <si>
    <t>10-1</t>
  </si>
  <si>
    <t>1-12</t>
  </si>
  <si>
    <t>15-02</t>
  </si>
  <si>
    <t>10-2</t>
  </si>
  <si>
    <t>1-13</t>
  </si>
  <si>
    <t>15-03</t>
  </si>
  <si>
    <t>10-3</t>
  </si>
  <si>
    <t>2-0</t>
  </si>
  <si>
    <t>15-04</t>
  </si>
  <si>
    <t>10-4</t>
  </si>
  <si>
    <t>2-1</t>
  </si>
  <si>
    <t>15-05</t>
  </si>
  <si>
    <t>10-5</t>
  </si>
  <si>
    <t>2-2</t>
  </si>
  <si>
    <t>15-06</t>
  </si>
  <si>
    <t>10-6</t>
  </si>
  <si>
    <t>2-3</t>
  </si>
  <si>
    <t>15-07</t>
  </si>
  <si>
    <t>10-7</t>
  </si>
  <si>
    <t>2-4</t>
  </si>
  <si>
    <t>15-08</t>
  </si>
  <si>
    <t>10-8</t>
  </si>
  <si>
    <t>2-5</t>
  </si>
  <si>
    <t>15-09</t>
  </si>
  <si>
    <t>10-9</t>
  </si>
  <si>
    <t>2-6</t>
  </si>
  <si>
    <t>10-09</t>
  </si>
  <si>
    <t>10-10</t>
  </si>
  <si>
    <t>2-7</t>
  </si>
  <si>
    <t>20-00</t>
  </si>
  <si>
    <t>15-0</t>
  </si>
  <si>
    <t>2-8</t>
  </si>
  <si>
    <t>20-01</t>
  </si>
  <si>
    <t>15-1</t>
  </si>
  <si>
    <t>2-9</t>
  </si>
  <si>
    <t>20-02</t>
  </si>
  <si>
    <t>15-2</t>
  </si>
  <si>
    <t>2-10</t>
  </si>
  <si>
    <t>20-03</t>
  </si>
  <si>
    <t>15-3</t>
  </si>
  <si>
    <t>2-11</t>
  </si>
  <si>
    <t>20-04</t>
  </si>
  <si>
    <t>15-4</t>
  </si>
  <si>
    <t>2-12</t>
  </si>
  <si>
    <t>20-05</t>
  </si>
  <si>
    <t>15-5</t>
  </si>
  <si>
    <t>2-13</t>
  </si>
  <si>
    <t>20-06</t>
  </si>
  <si>
    <t>15-6</t>
  </si>
  <si>
    <t>3-0</t>
  </si>
  <si>
    <t>20-07</t>
  </si>
  <si>
    <t>15-7</t>
  </si>
  <si>
    <t>3-1</t>
  </si>
  <si>
    <t>20-08</t>
  </si>
  <si>
    <t>15-8</t>
  </si>
  <si>
    <t>3-2</t>
  </si>
  <si>
    <t>20-09</t>
  </si>
  <si>
    <t>15-9</t>
  </si>
  <si>
    <t>3-3</t>
  </si>
  <si>
    <t>20-10</t>
  </si>
  <si>
    <t>15-10</t>
  </si>
  <si>
    <t>3-4</t>
  </si>
  <si>
    <t>15-11</t>
  </si>
  <si>
    <t>3-5</t>
  </si>
  <si>
    <t>25-00</t>
  </si>
  <si>
    <t>20-0</t>
  </si>
  <si>
    <t>3-6</t>
  </si>
  <si>
    <t>25-01</t>
  </si>
  <si>
    <t>20-1</t>
  </si>
  <si>
    <t>3-7</t>
  </si>
  <si>
    <t>25-02</t>
  </si>
  <si>
    <t>20-2</t>
  </si>
  <si>
    <t>3-8</t>
  </si>
  <si>
    <t>25-03</t>
  </si>
  <si>
    <t>20-3</t>
  </si>
  <si>
    <t>3-9</t>
  </si>
  <si>
    <t>25-04</t>
  </si>
  <si>
    <t>20-4</t>
  </si>
  <si>
    <t>3-10</t>
  </si>
  <si>
    <t>25-05</t>
  </si>
  <si>
    <t>20-5</t>
  </si>
  <si>
    <t>3-11</t>
  </si>
  <si>
    <t>25-06</t>
  </si>
  <si>
    <t>20-6</t>
  </si>
  <si>
    <t>3-12</t>
  </si>
  <si>
    <t>25-07</t>
  </si>
  <si>
    <t>20-7</t>
  </si>
  <si>
    <t>3-13</t>
  </si>
  <si>
    <t>25-08</t>
  </si>
  <si>
    <t>20-8</t>
  </si>
  <si>
    <t>4-0</t>
  </si>
  <si>
    <t>25-09</t>
  </si>
  <si>
    <t>20-9</t>
  </si>
  <si>
    <t>4-1</t>
  </si>
  <si>
    <t>25-10</t>
  </si>
  <si>
    <t>4-2</t>
  </si>
  <si>
    <t>20-11</t>
  </si>
  <si>
    <t>4-3</t>
  </si>
  <si>
    <t>30-00</t>
  </si>
  <si>
    <t>25-0</t>
  </si>
  <si>
    <t>4-4</t>
  </si>
  <si>
    <t>30-01</t>
  </si>
  <si>
    <t>25-1</t>
  </si>
  <si>
    <t>4-5</t>
  </si>
  <si>
    <t>30-02</t>
  </si>
  <si>
    <t>25-2</t>
  </si>
  <si>
    <t>4-6</t>
  </si>
  <si>
    <t>30-03</t>
  </si>
  <si>
    <t>25-3</t>
  </si>
  <si>
    <t>4-7</t>
  </si>
  <si>
    <t>30-04</t>
  </si>
  <si>
    <t>25-4</t>
  </si>
  <si>
    <t>4-8</t>
  </si>
  <si>
    <t>30-05</t>
  </si>
  <si>
    <t>25-5</t>
  </si>
  <si>
    <t>4-9</t>
  </si>
  <si>
    <t>30-06</t>
  </si>
  <si>
    <t>25-6</t>
  </si>
  <si>
    <t>4-10</t>
  </si>
  <si>
    <t>30-07</t>
  </si>
  <si>
    <t>25-7</t>
  </si>
  <si>
    <t>4-11</t>
  </si>
  <si>
    <t>30-08</t>
  </si>
  <si>
    <t>25-8</t>
  </si>
  <si>
    <t>4-12</t>
  </si>
  <si>
    <t>30-09</t>
  </si>
  <si>
    <t>25-9</t>
  </si>
  <si>
    <t>4-13</t>
  </si>
  <si>
    <t>35-00</t>
  </si>
  <si>
    <t>30-0</t>
  </si>
  <si>
    <t>35-01</t>
  </si>
  <si>
    <t>30-1</t>
  </si>
  <si>
    <t>35-02</t>
  </si>
  <si>
    <t>30-2</t>
  </si>
  <si>
    <t>35-03</t>
  </si>
  <si>
    <t>30-3</t>
  </si>
  <si>
    <t>35-04</t>
  </si>
  <si>
    <t>30-4</t>
  </si>
  <si>
    <t>35-05</t>
  </si>
  <si>
    <t>30-5</t>
  </si>
  <si>
    <t>35-06</t>
  </si>
  <si>
    <t>30-6</t>
  </si>
  <si>
    <t>35-07</t>
  </si>
  <si>
    <t>30-7</t>
  </si>
  <si>
    <t>35-08</t>
  </si>
  <si>
    <t>30-8</t>
  </si>
  <si>
    <t>5-10</t>
  </si>
  <si>
    <t>35-09</t>
  </si>
  <si>
    <t>30-9</t>
  </si>
  <si>
    <t>35-10</t>
  </si>
  <si>
    <t>5-12</t>
  </si>
  <si>
    <t>5-13</t>
  </si>
  <si>
    <t>40-00</t>
  </si>
  <si>
    <t>35-0</t>
  </si>
  <si>
    <t>6-0</t>
  </si>
  <si>
    <t>40-01</t>
  </si>
  <si>
    <t>35-1</t>
  </si>
  <si>
    <t>6-1</t>
  </si>
  <si>
    <t>40-02</t>
  </si>
  <si>
    <t>35-2</t>
  </si>
  <si>
    <t>6-2</t>
  </si>
  <si>
    <t>40-03</t>
  </si>
  <si>
    <t>35-3</t>
  </si>
  <si>
    <t>6-3</t>
  </si>
  <si>
    <t>40-04</t>
  </si>
  <si>
    <t>35-4</t>
  </si>
  <si>
    <t>6-4</t>
  </si>
  <si>
    <t>40-05</t>
  </si>
  <si>
    <t>35-5</t>
  </si>
  <si>
    <t>6-5</t>
  </si>
  <si>
    <t>40-06</t>
  </si>
  <si>
    <t>35-6</t>
  </si>
  <si>
    <t>6-6</t>
  </si>
  <si>
    <t>40-07</t>
  </si>
  <si>
    <t>35-7</t>
  </si>
  <si>
    <t>6-7</t>
  </si>
  <si>
    <t>40-08</t>
  </si>
  <si>
    <t>35-8</t>
  </si>
  <si>
    <t>6-8</t>
  </si>
  <si>
    <t>40-09</t>
  </si>
  <si>
    <t>35-9</t>
  </si>
  <si>
    <t>6-9</t>
  </si>
  <si>
    <t>40-10</t>
  </si>
  <si>
    <t>6-10</t>
  </si>
  <si>
    <t>40-0</t>
  </si>
  <si>
    <t>6-12</t>
  </si>
  <si>
    <t>40-1</t>
  </si>
  <si>
    <t>6-13</t>
  </si>
  <si>
    <t>45-00</t>
  </si>
  <si>
    <t>40-2</t>
  </si>
  <si>
    <t>7-0</t>
  </si>
  <si>
    <t>45-01</t>
  </si>
  <si>
    <t>40-3</t>
  </si>
  <si>
    <t>7-1</t>
  </si>
  <si>
    <t>45-02</t>
  </si>
  <si>
    <t>40-4</t>
  </si>
  <si>
    <t>7-2</t>
  </si>
  <si>
    <t>45-03</t>
  </si>
  <si>
    <t>40-5</t>
  </si>
  <si>
    <t>7-3</t>
  </si>
  <si>
    <t>45-04</t>
  </si>
  <si>
    <t>40-6</t>
  </si>
  <si>
    <t>7-4</t>
  </si>
  <si>
    <t>45-05</t>
  </si>
  <si>
    <t>40-7</t>
  </si>
  <si>
    <t>7-5</t>
  </si>
  <si>
    <t>45-06</t>
  </si>
  <si>
    <t>40-8</t>
  </si>
  <si>
    <t>7-6</t>
  </si>
  <si>
    <t>45-07</t>
  </si>
  <si>
    <t>40-9</t>
  </si>
  <si>
    <t>7-7</t>
  </si>
  <si>
    <t>45-08</t>
  </si>
  <si>
    <t>7-8</t>
  </si>
  <si>
    <t>45-09</t>
  </si>
  <si>
    <t>7-9</t>
  </si>
  <si>
    <t>45-10</t>
  </si>
  <si>
    <t>7-10</t>
  </si>
  <si>
    <t>45-11</t>
  </si>
  <si>
    <t>45-0</t>
  </si>
  <si>
    <t>45-1</t>
  </si>
  <si>
    <t>7-12</t>
  </si>
  <si>
    <t>45-2</t>
  </si>
  <si>
    <t>7-13</t>
  </si>
  <si>
    <t>50-00</t>
  </si>
  <si>
    <t>45-3</t>
  </si>
  <si>
    <t>8-0</t>
  </si>
  <si>
    <t>50-01</t>
  </si>
  <si>
    <t>45-4</t>
  </si>
  <si>
    <t>8-1</t>
  </si>
  <si>
    <t>50-02</t>
  </si>
  <si>
    <t>45-5</t>
  </si>
  <si>
    <t>8-2</t>
  </si>
  <si>
    <t>50-03</t>
  </si>
  <si>
    <t>45-6</t>
  </si>
  <si>
    <t>8-3</t>
  </si>
  <si>
    <t>50-04</t>
  </si>
  <si>
    <t>45-7</t>
  </si>
  <si>
    <t>8-4</t>
  </si>
  <si>
    <t>50-05</t>
  </si>
  <si>
    <t>45-8</t>
  </si>
  <si>
    <t>8-5</t>
  </si>
  <si>
    <t>50-06</t>
  </si>
  <si>
    <t>45-9</t>
  </si>
  <si>
    <t>8-6</t>
  </si>
  <si>
    <t>50-07</t>
  </si>
  <si>
    <t>8-7</t>
  </si>
  <si>
    <t>50-08</t>
  </si>
  <si>
    <t>8-8</t>
  </si>
  <si>
    <t>50-09</t>
  </si>
  <si>
    <t>8-9</t>
  </si>
  <si>
    <t>50-10</t>
  </si>
  <si>
    <t>50-0</t>
  </si>
  <si>
    <t>8-10</t>
  </si>
  <si>
    <t>50-1</t>
  </si>
  <si>
    <t>8-11</t>
  </si>
  <si>
    <t>50-2</t>
  </si>
  <si>
    <t>55-00</t>
  </si>
  <si>
    <t>50-3</t>
  </si>
  <si>
    <t>8-13</t>
  </si>
  <si>
    <t>55-01</t>
  </si>
  <si>
    <t>50-4</t>
  </si>
  <si>
    <t>9-0</t>
  </si>
  <si>
    <t>55-02</t>
  </si>
  <si>
    <t>50-5</t>
  </si>
  <si>
    <t>9-1</t>
  </si>
  <si>
    <t>55-03</t>
  </si>
  <si>
    <t>50-6</t>
  </si>
  <si>
    <t>9-2</t>
  </si>
  <si>
    <t>55-04</t>
  </si>
  <si>
    <t>50-7</t>
  </si>
  <si>
    <t>9-3</t>
  </si>
  <si>
    <t>55-05</t>
  </si>
  <si>
    <t>50-8</t>
  </si>
  <si>
    <t>9-4</t>
  </si>
  <si>
    <t>55-06</t>
  </si>
  <si>
    <t>50-9</t>
  </si>
  <si>
    <t>9-5</t>
  </si>
  <si>
    <t>55-07</t>
  </si>
  <si>
    <t>9-6</t>
  </si>
  <si>
    <t>55-08</t>
  </si>
  <si>
    <t>9-7</t>
  </si>
  <si>
    <t>55-09</t>
  </si>
  <si>
    <t>9-8</t>
  </si>
  <si>
    <t>55-10</t>
  </si>
  <si>
    <t>55-0</t>
  </si>
  <si>
    <t>9-9</t>
  </si>
  <si>
    <t>55-1</t>
  </si>
  <si>
    <t>9-10</t>
  </si>
  <si>
    <t>55-2</t>
  </si>
  <si>
    <t>9-11</t>
  </si>
  <si>
    <t>60-00</t>
  </si>
  <si>
    <t>55-3</t>
  </si>
  <si>
    <t>60-01</t>
  </si>
  <si>
    <t>55-4</t>
  </si>
  <si>
    <t>9-13</t>
  </si>
  <si>
    <t>60-02</t>
  </si>
  <si>
    <t>55-5</t>
  </si>
  <si>
    <t>60-03</t>
  </si>
  <si>
    <t>55-6</t>
  </si>
  <si>
    <t>60-04</t>
  </si>
  <si>
    <t>55-7</t>
  </si>
  <si>
    <t>60-05</t>
  </si>
  <si>
    <t>55-8</t>
  </si>
  <si>
    <t>60-06</t>
  </si>
  <si>
    <t>55-9</t>
  </si>
  <si>
    <t>60-07</t>
  </si>
  <si>
    <t>60-08</t>
  </si>
  <si>
    <t>60-09</t>
  </si>
  <si>
    <t>60-0</t>
  </si>
  <si>
    <t>60-1</t>
  </si>
  <si>
    <t>65-00</t>
  </si>
  <si>
    <t>60-2</t>
  </si>
  <si>
    <t>65-01</t>
  </si>
  <si>
    <t>60-3</t>
  </si>
  <si>
    <t>10-11</t>
  </si>
  <si>
    <t>65-02</t>
  </si>
  <si>
    <t>60-4</t>
  </si>
  <si>
    <t>65-03</t>
  </si>
  <si>
    <t>60-5</t>
  </si>
  <si>
    <t>10-13</t>
  </si>
  <si>
    <t>65-04</t>
  </si>
  <si>
    <t>60-6</t>
  </si>
  <si>
    <t>11-0</t>
  </si>
  <si>
    <t>65-05</t>
  </si>
  <si>
    <t>60-7</t>
  </si>
  <si>
    <t>11-1</t>
  </si>
  <si>
    <t>65-06</t>
  </si>
  <si>
    <t>60-8</t>
  </si>
  <si>
    <t>11-2</t>
  </si>
  <si>
    <t>65-07</t>
  </si>
  <si>
    <t>60-9</t>
  </si>
  <si>
    <t>11-3</t>
  </si>
  <si>
    <t>65-08</t>
  </si>
  <si>
    <t>11-4</t>
  </si>
  <si>
    <t>65-09</t>
  </si>
  <si>
    <t>60-11</t>
  </si>
  <si>
    <t>11-5</t>
  </si>
  <si>
    <t>65-10</t>
  </si>
  <si>
    <t>11-6</t>
  </si>
  <si>
    <t>65-11</t>
  </si>
  <si>
    <t>60-13</t>
  </si>
  <si>
    <t>11-7</t>
  </si>
  <si>
    <t>65-0</t>
  </si>
  <si>
    <t>11-8</t>
  </si>
  <si>
    <t>65-1</t>
  </si>
  <si>
    <t>11-9</t>
  </si>
  <si>
    <t>70-00</t>
  </si>
  <si>
    <t>65-2</t>
  </si>
  <si>
    <t>11-10</t>
  </si>
  <si>
    <t>70-01</t>
  </si>
  <si>
    <t>65-3</t>
  </si>
  <si>
    <t>11-11</t>
  </si>
  <si>
    <t>70-02</t>
  </si>
  <si>
    <t>65-4</t>
  </si>
  <si>
    <t>70-03</t>
  </si>
  <si>
    <t>65-5</t>
  </si>
  <si>
    <t>11-13</t>
  </si>
  <si>
    <t>70-04</t>
  </si>
  <si>
    <t>65-6</t>
  </si>
  <si>
    <t>12-0</t>
  </si>
  <si>
    <t>70-05</t>
  </si>
  <si>
    <t>65-7</t>
  </si>
  <si>
    <t>12-1</t>
  </si>
  <si>
    <t>70-06</t>
  </si>
  <si>
    <t>65-8</t>
  </si>
  <si>
    <t>12-2</t>
  </si>
  <si>
    <t>70-07</t>
  </si>
  <si>
    <t>65-9</t>
  </si>
  <si>
    <t>12-3</t>
  </si>
  <si>
    <t>70-08</t>
  </si>
  <si>
    <t>12-4</t>
  </si>
  <si>
    <t>70-09</t>
  </si>
  <si>
    <t>12-5</t>
  </si>
  <si>
    <t>70-10</t>
  </si>
  <si>
    <t>12-6</t>
  </si>
  <si>
    <t>70-11</t>
  </si>
  <si>
    <t>65-13</t>
  </si>
  <si>
    <t>12-7</t>
  </si>
  <si>
    <t>12-8</t>
  </si>
  <si>
    <t>65-15</t>
  </si>
  <si>
    <t>12-9</t>
  </si>
  <si>
    <t>75-00</t>
  </si>
  <si>
    <t>65-16</t>
  </si>
  <si>
    <t>12-10</t>
  </si>
  <si>
    <t>75-01</t>
  </si>
  <si>
    <t>70-0</t>
  </si>
  <si>
    <t>12-11</t>
  </si>
  <si>
    <t>75-02</t>
  </si>
  <si>
    <t>70-1</t>
  </si>
  <si>
    <t>12-12</t>
  </si>
  <si>
    <t>75-03</t>
  </si>
  <si>
    <t>70-2</t>
  </si>
  <si>
    <t>75-04</t>
  </si>
  <si>
    <t>70-3</t>
  </si>
  <si>
    <t>13-0</t>
  </si>
  <si>
    <t>75-05</t>
  </si>
  <si>
    <t>70-4</t>
  </si>
  <si>
    <t>13-1</t>
  </si>
  <si>
    <t>75-06</t>
  </si>
  <si>
    <t>70-5</t>
  </si>
  <si>
    <t>13-2</t>
  </si>
  <si>
    <t>75-07</t>
  </si>
  <si>
    <t>70-6</t>
  </si>
  <si>
    <t>13-3</t>
  </si>
  <si>
    <t>70-7</t>
  </si>
  <si>
    <t>13-4</t>
  </si>
  <si>
    <t>75-09</t>
  </si>
  <si>
    <t>70-8</t>
  </si>
  <si>
    <t>13-5</t>
  </si>
  <si>
    <t>75-10</t>
  </si>
  <si>
    <t>70-9</t>
  </si>
  <si>
    <t>13-6</t>
  </si>
  <si>
    <t>75-11</t>
  </si>
  <si>
    <t>13-7</t>
  </si>
  <si>
    <t>75-12</t>
  </si>
  <si>
    <t>13-8</t>
  </si>
  <si>
    <t>75-13</t>
  </si>
  <si>
    <t>13-9</t>
  </si>
  <si>
    <t>75-14</t>
  </si>
  <si>
    <t>70-13</t>
  </si>
  <si>
    <t>13-10</t>
  </si>
  <si>
    <t>13-11</t>
  </si>
  <si>
    <t>80-00</t>
  </si>
  <si>
    <t>70-15</t>
  </si>
  <si>
    <t>13-12</t>
  </si>
  <si>
    <t>80-01</t>
  </si>
  <si>
    <t>75-0</t>
  </si>
  <si>
    <t>13-13</t>
  </si>
  <si>
    <t>80-02</t>
  </si>
  <si>
    <t>75-1</t>
  </si>
  <si>
    <t>14-0</t>
  </si>
  <si>
    <t>80-03</t>
  </si>
  <si>
    <t>75-2</t>
  </si>
  <si>
    <t>14-1</t>
  </si>
  <si>
    <t>80-04</t>
  </si>
  <si>
    <t>75-3</t>
  </si>
  <si>
    <t>14-2</t>
  </si>
  <si>
    <t>80-05</t>
  </si>
  <si>
    <t>75-4</t>
  </si>
  <si>
    <t>14-3</t>
  </si>
  <si>
    <t>80-06</t>
  </si>
  <si>
    <t>75-5</t>
  </si>
  <si>
    <t>14-4</t>
  </si>
  <si>
    <t>80-07</t>
  </si>
  <si>
    <t>75-6</t>
  </si>
  <si>
    <t>14-5</t>
  </si>
  <si>
    <t>80-08</t>
  </si>
  <si>
    <t>75-7</t>
  </si>
  <si>
    <t>14-6</t>
  </si>
  <si>
    <t>80-09</t>
  </si>
  <si>
    <t>75-8</t>
  </si>
  <si>
    <t>14-7</t>
  </si>
  <si>
    <t>80-10</t>
  </si>
  <si>
    <t>75-9</t>
  </si>
  <si>
    <t>14-8</t>
  </si>
  <si>
    <t>80-11</t>
  </si>
  <si>
    <t>14-9</t>
  </si>
  <si>
    <t>80-12</t>
  </si>
  <si>
    <t>14-10</t>
  </si>
  <si>
    <t>80-13</t>
  </si>
  <si>
    <t>14-11</t>
  </si>
  <si>
    <t>80-14</t>
  </si>
  <si>
    <t>14-12</t>
  </si>
  <si>
    <t>14-13</t>
  </si>
  <si>
    <t>MS-0</t>
  </si>
  <si>
    <t>75-15</t>
  </si>
  <si>
    <t>MS-1</t>
  </si>
  <si>
    <t>75-16</t>
  </si>
  <si>
    <t>MS-2</t>
  </si>
  <si>
    <t>75-17</t>
  </si>
  <si>
    <t>MS-3</t>
  </si>
  <si>
    <t>80-0</t>
  </si>
  <si>
    <t>80-1</t>
  </si>
  <si>
    <t>80-2</t>
  </si>
  <si>
    <t>80-3</t>
  </si>
  <si>
    <t>80-4</t>
  </si>
  <si>
    <t>80-5</t>
  </si>
  <si>
    <t>80-6</t>
  </si>
  <si>
    <t>80-7</t>
  </si>
  <si>
    <t>80-8</t>
  </si>
  <si>
    <t>80-9</t>
  </si>
  <si>
    <t>15-12</t>
  </si>
  <si>
    <t>15-13</t>
  </si>
  <si>
    <t>80-15</t>
  </si>
  <si>
    <t>80-16</t>
  </si>
  <si>
    <t>80-17</t>
  </si>
  <si>
    <t>Gemiddeld salaris 2024</t>
  </si>
  <si>
    <t>ZKN</t>
  </si>
  <si>
    <t>FWG 60-12</t>
  </si>
  <si>
    <t>zkn.nl/?file=7749&amp;m=1706608523&amp;action=file.download</t>
  </si>
  <si>
    <t>Bron:</t>
  </si>
  <si>
    <t>Salaristabellen.pdf (denederlandseggz.nl)</t>
  </si>
  <si>
    <t>Akkoord over aanvullende loonsverhoging ggz (denederlandseggz.nl)</t>
  </si>
  <si>
    <t>.</t>
  </si>
  <si>
    <t>CAO GGZ</t>
  </si>
  <si>
    <r>
      <t xml:space="preserve">1-8-2024 </t>
    </r>
    <r>
      <rPr>
        <sz val="9"/>
        <color theme="1"/>
        <rFont val="Arial"/>
        <family val="2"/>
        <scheme val="minor"/>
      </rPr>
      <t>eenmalige uitkering 1% jaarsalaris</t>
    </r>
  </si>
  <si>
    <t>Salarisschalen-Cao-Jeugdzorg-2021-2023-mei 2023.pdf (jeugdzorg-werkt.nl)</t>
  </si>
  <si>
    <t>Akkoord over Cao Jeugdzorg » Jeugdzorg Nederland</t>
  </si>
  <si>
    <t>CAO JZ</t>
  </si>
  <si>
    <r>
      <t xml:space="preserve">1-1-2024
</t>
    </r>
    <r>
      <rPr>
        <sz val="9"/>
        <color theme="1"/>
        <rFont val="Arial"/>
        <family val="2"/>
        <scheme val="minor"/>
      </rPr>
      <t>8%</t>
    </r>
  </si>
  <si>
    <r>
      <t xml:space="preserve">1-6-2024
</t>
    </r>
    <r>
      <rPr>
        <sz val="9"/>
        <color theme="1"/>
        <rFont val="Arial"/>
        <family val="2"/>
        <scheme val="minor"/>
      </rPr>
      <t>1,25%</t>
    </r>
  </si>
  <si>
    <r>
      <t xml:space="preserve">1-3-2025
</t>
    </r>
    <r>
      <rPr>
        <sz val="9"/>
        <color theme="1"/>
        <rFont val="Arial"/>
        <family val="2"/>
        <scheme val="minor"/>
      </rPr>
      <t>3%</t>
    </r>
  </si>
  <si>
    <t>Salaristabellen 2021-2024 (vgn.nl)</t>
  </si>
  <si>
    <t>Salaristabellen 2021-2024 (lad.nl)</t>
  </si>
  <si>
    <t>Nieuwe salaristabellen CAO Gehandicaptenzorg | Vereniging Gehandicaptenzorg Nederland (vgn.nl)</t>
  </si>
  <si>
    <t>CAO GHZ</t>
  </si>
  <si>
    <t>Cao</t>
  </si>
  <si>
    <t>Bruto uren</t>
  </si>
  <si>
    <t>Feestdagen</t>
  </si>
  <si>
    <t>Verlof</t>
  </si>
  <si>
    <t>Procentueel</t>
  </si>
  <si>
    <t>Bronnen</t>
  </si>
  <si>
    <t>Cao ggz 2021-2024</t>
  </si>
  <si>
    <t>Cao ghz 2021-2024</t>
  </si>
  <si>
    <t>Cao jeugdzorg 2021-2023</t>
  </si>
  <si>
    <t>Cao zkn 2024-2025</t>
  </si>
  <si>
    <t>Cao Ziekenhuizen 2023-2025</t>
  </si>
  <si>
    <t>Werktijden</t>
  </si>
  <si>
    <t>Tijden</t>
  </si>
  <si>
    <r>
      <t xml:space="preserve">ORT </t>
    </r>
    <r>
      <rPr>
        <sz val="9"/>
        <color theme="1"/>
        <rFont val="Arial"/>
        <family val="2"/>
        <scheme val="minor"/>
      </rPr>
      <t>(cao jz)</t>
    </r>
  </si>
  <si>
    <t>Aandeel in totale werktijd perceel 1</t>
  </si>
  <si>
    <t>Binnen werktijden</t>
  </si>
  <si>
    <t>07:00 - 19:00</t>
  </si>
  <si>
    <t>Ochtend doordeweeks</t>
  </si>
  <si>
    <t>06:00 - 07:00</t>
  </si>
  <si>
    <t>Avond doordeweeks</t>
  </si>
  <si>
    <t>19:00 - 22:00</t>
  </si>
  <si>
    <t>'s Nachts</t>
  </si>
  <si>
    <t>22:00 - 06:00</t>
  </si>
  <si>
    <t>Zaterdag</t>
  </si>
  <si>
    <t>06:00 - 22:00</t>
  </si>
  <si>
    <t>Zondag</t>
  </si>
  <si>
    <t>ORT opslag perceel 1</t>
  </si>
  <si>
    <t>transformatieprikkel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</si>
</sst>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4" formatCode="_ &quot;€&quot;\ * #,##0.00_ ;_ &quot;€&quot;\ * \-#,##0.00_ ;_ &quot;€&quot;\ * &quot;-&quot;??_ ;_ @_ "/>
    <numFmt numFmtId="164" formatCode="0.0%"/>
    <numFmt numFmtId="165" formatCode="_ &quot;€&quot;\ * #,##0.00000_ ;_ &quot;€&quot;\ * \-#,##0.00000_ ;_ &quot;€&quot;\ * &quot;-&quot;??_ ;_ @_ "/>
    <numFmt numFmtId="166" formatCode="_(&quot;€&quot;* #,##0.00_);_(&quot;€&quot;* \(#,##0.00\);_(&quot;€&quot;* &quot;-&quot;??_);_(@_)"/>
    <numFmt numFmtId="167" formatCode="0.00000000%"/>
  </numFmts>
  <fonts count="34"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9"/>
      <color theme="1"/>
      <name val="Arial"/>
      <family val="2"/>
      <scheme val="minor"/>
    </font>
    <font>
      <sz val="8"/>
      <color theme="1"/>
      <name val="Arial"/>
      <family val="2"/>
      <scheme val="minor"/>
    </font>
    <font>
      <sz val="8"/>
      <color theme="0"/>
      <name val="Arial"/>
      <family val="2"/>
      <scheme val="minor"/>
    </font>
    <font>
      <b/>
      <sz val="8"/>
      <color theme="1"/>
      <name val="Arial"/>
      <family val="2"/>
      <scheme val="minor"/>
    </font>
    <font>
      <u/>
      <sz val="8"/>
      <color theme="1"/>
      <name val="Arial"/>
      <family val="2"/>
      <scheme val="minor"/>
    </font>
    <font>
      <sz val="8"/>
      <name val="Arial"/>
      <family val="2"/>
      <scheme val="minor"/>
    </font>
    <font>
      <sz val="8"/>
      <color theme="9"/>
      <name val="Arial"/>
      <family val="2"/>
      <scheme val="minor"/>
    </font>
    <font>
      <b/>
      <sz val="8"/>
      <name val="Arial"/>
      <family val="2"/>
      <scheme val="minor"/>
    </font>
    <font>
      <u/>
      <sz val="11"/>
      <color theme="10"/>
      <name val="Arial"/>
      <family val="2"/>
      <scheme val="minor"/>
    </font>
    <font>
      <b/>
      <sz val="9"/>
      <color theme="1"/>
      <name val="Arial"/>
      <family val="2"/>
      <scheme val="minor"/>
    </font>
    <font>
      <b/>
      <sz val="8"/>
      <color theme="0"/>
      <name val="Arial"/>
      <family val="2"/>
      <scheme val="minor"/>
    </font>
    <font>
      <sz val="9"/>
      <color theme="0"/>
      <name val="Arial"/>
      <family val="2"/>
      <scheme val="minor"/>
    </font>
    <font>
      <sz val="11"/>
      <color rgb="FF3F3F76"/>
      <name val="Arial"/>
      <family val="2"/>
      <scheme val="minor"/>
    </font>
    <font>
      <b/>
      <sz val="15"/>
      <color theme="3"/>
      <name val="Arial"/>
      <family val="2"/>
      <scheme val="minor"/>
    </font>
    <font>
      <b/>
      <sz val="9"/>
      <color theme="0"/>
      <name val="Arial"/>
      <family val="2"/>
      <scheme val="minor"/>
    </font>
    <font>
      <b/>
      <sz val="11"/>
      <color theme="1"/>
      <name val="Arial"/>
      <family val="2"/>
      <scheme val="minor"/>
    </font>
    <font>
      <u/>
      <sz val="8"/>
      <name val="Arial"/>
      <family val="2"/>
      <scheme val="minor"/>
    </font>
    <font>
      <i/>
      <sz val="8"/>
      <name val="Arial"/>
      <family val="2"/>
      <scheme val="minor"/>
    </font>
    <font>
      <sz val="9"/>
      <name val="Arial"/>
      <family val="2"/>
      <scheme val="minor"/>
    </font>
    <font>
      <u/>
      <sz val="9"/>
      <color theme="10"/>
      <name val="Arial"/>
      <family val="2"/>
      <scheme val="minor"/>
    </font>
    <font>
      <b/>
      <sz val="9"/>
      <name val="Arial"/>
      <family val="2"/>
      <scheme val="minor"/>
    </font>
    <font>
      <sz val="9"/>
      <color rgb="FF000000"/>
      <name val="Arial"/>
      <family val="2"/>
      <scheme val="minor"/>
    </font>
    <font>
      <sz val="10"/>
      <color rgb="FF000000"/>
      <name val="Times New Roman"/>
      <family val="1"/>
    </font>
    <font>
      <sz val="9"/>
      <color rgb="FF000000"/>
      <name val="Arial"/>
      <family val="2"/>
    </font>
    <font>
      <b/>
      <sz val="9"/>
      <color theme="2"/>
      <name val="Arial"/>
      <family val="2"/>
      <scheme val="minor"/>
    </font>
    <font>
      <sz val="8"/>
      <color rgb="FF000000"/>
      <name val="Verdana"/>
      <family val="2"/>
    </font>
    <font>
      <sz val="8"/>
      <color rgb="FFFF0000"/>
      <name val="Arial"/>
      <family val="2"/>
      <scheme val="minor"/>
    </font>
    <font>
      <b/>
      <sz val="8"/>
      <color rgb="FFFF0000"/>
      <name val="Arial"/>
      <family val="2"/>
      <scheme val="minor"/>
    </font>
    <font>
      <sz val="9"/>
      <color theme="10"/>
      <name val="Arial"/>
      <family val="2"/>
      <scheme val="minor"/>
    </font>
    <font>
      <i/>
      <sz val="8"/>
      <color rgb="FFFF0000"/>
      <name val="Arial"/>
      <family val="2"/>
      <scheme val="minor"/>
    </font>
  </fonts>
  <fills count="24">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4" tint="0.79998168889431442"/>
        <bgColor indexed="64"/>
      </patternFill>
    </fill>
    <fill>
      <patternFill patternType="solid">
        <fgColor rgb="FFFFFF00"/>
        <bgColor rgb="FF000000"/>
      </patternFill>
    </fill>
    <fill>
      <patternFill patternType="solid">
        <fgColor theme="5"/>
        <bgColor indexed="64"/>
      </patternFill>
    </fill>
    <fill>
      <patternFill patternType="solid">
        <fgColor theme="5" tint="0.79998168889431442"/>
        <bgColor indexed="64"/>
      </patternFill>
    </fill>
    <fill>
      <patternFill patternType="solid">
        <fgColor theme="6"/>
        <bgColor indexed="64"/>
      </patternFill>
    </fill>
    <fill>
      <patternFill patternType="solid">
        <fgColor theme="3"/>
        <bgColor indexed="64"/>
      </patternFill>
    </fill>
    <fill>
      <patternFill patternType="solid">
        <fgColor rgb="FFFFCC99"/>
      </patternFill>
    </fill>
    <fill>
      <patternFill patternType="solid">
        <fgColor theme="3" tint="0.89999084444715716"/>
        <bgColor indexed="64"/>
      </patternFill>
    </fill>
    <fill>
      <patternFill patternType="solid">
        <fgColor theme="5" tint="0.59999389629810485"/>
        <bgColor indexed="64"/>
      </patternFill>
    </fill>
    <fill>
      <patternFill patternType="solid">
        <fgColor theme="1"/>
        <bgColor indexed="64"/>
      </patternFill>
    </fill>
    <fill>
      <patternFill patternType="solid">
        <fgColor theme="7" tint="0.89999084444715716"/>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2" tint="-4.9989318521683403E-2"/>
        <bgColor indexed="64"/>
      </patternFill>
    </fill>
    <fill>
      <patternFill patternType="solid">
        <fgColor theme="4" tint="0.39997558519241921"/>
        <bgColor indexed="64"/>
      </patternFill>
    </fill>
    <fill>
      <patternFill patternType="solid">
        <fgColor theme="9"/>
        <bgColor indexed="64"/>
      </patternFill>
    </fill>
    <fill>
      <patternFill patternType="solid">
        <fgColor rgb="FF00B050"/>
        <bgColor indexed="64"/>
      </patternFill>
    </fill>
    <fill>
      <patternFill patternType="solid">
        <fgColor rgb="FFC6FAD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6">
    <xf numFmtId="0" fontId="0"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applyNumberFormat="0" applyFill="0" applyBorder="0" applyAlignment="0" applyProtection="0"/>
    <xf numFmtId="9" fontId="3" fillId="0" borderId="0" applyFont="0" applyFill="0" applyBorder="0" applyAlignment="0" applyProtection="0"/>
    <xf numFmtId="0" fontId="3" fillId="0" borderId="0"/>
    <xf numFmtId="0" fontId="16" fillId="12" borderId="13" applyNumberFormat="0" applyAlignment="0" applyProtection="0"/>
    <xf numFmtId="0" fontId="17" fillId="0" borderId="14" applyNumberFormat="0" applyFill="0" applyAlignment="0" applyProtection="0"/>
    <xf numFmtId="0" fontId="2" fillId="0" borderId="0"/>
    <xf numFmtId="0" fontId="4" fillId="0" borderId="0"/>
    <xf numFmtId="0" fontId="23" fillId="0" borderId="0" applyNumberFormat="0" applyFill="0" applyBorder="0" applyAlignment="0" applyProtection="0"/>
    <xf numFmtId="0" fontId="26" fillId="0" borderId="0"/>
    <xf numFmtId="0" fontId="26" fillId="0" borderId="0"/>
    <xf numFmtId="0" fontId="26" fillId="0" borderId="0"/>
    <xf numFmtId="0" fontId="1" fillId="0" borderId="0"/>
  </cellStyleXfs>
  <cellXfs count="313">
    <xf numFmtId="0" fontId="0" fillId="0" borderId="0" xfId="0"/>
    <xf numFmtId="0" fontId="5" fillId="0" borderId="0" xfId="0" applyFont="1"/>
    <xf numFmtId="9" fontId="9" fillId="6" borderId="2" xfId="1" applyNumberFormat="1" applyFont="1" applyFill="1" applyBorder="1" applyAlignment="1">
      <alignment horizontal="left" vertical="top"/>
    </xf>
    <xf numFmtId="9" fontId="9" fillId="2" borderId="2" xfId="1" applyNumberFormat="1" applyFont="1" applyFill="1" applyBorder="1" applyAlignment="1" applyProtection="1">
      <alignment horizontal="right" vertical="top"/>
    </xf>
    <xf numFmtId="9" fontId="9" fillId="0" borderId="0" xfId="1" applyNumberFormat="1" applyFont="1" applyAlignment="1" applyProtection="1">
      <alignment horizontal="left" vertical="top" wrapText="1"/>
      <protection locked="0" hidden="1"/>
    </xf>
    <xf numFmtId="9" fontId="9" fillId="2" borderId="0" xfId="1" applyNumberFormat="1" applyFont="1" applyFill="1" applyBorder="1" applyAlignment="1" applyProtection="1">
      <alignment horizontal="right" vertical="top"/>
    </xf>
    <xf numFmtId="9" fontId="9" fillId="5" borderId="3" xfId="1" applyNumberFormat="1" applyFont="1" applyFill="1" applyBorder="1" applyAlignment="1" applyProtection="1">
      <alignment horizontal="right" vertical="top"/>
      <protection locked="0" hidden="1"/>
    </xf>
    <xf numFmtId="9" fontId="9" fillId="5" borderId="3" xfId="1" applyNumberFormat="1" applyFont="1" applyFill="1" applyBorder="1" applyAlignment="1" applyProtection="1">
      <alignment horizontal="left" vertical="top"/>
      <protection locked="0" hidden="1"/>
    </xf>
    <xf numFmtId="9" fontId="9" fillId="5" borderId="0" xfId="1" applyNumberFormat="1" applyFont="1" applyFill="1" applyBorder="1" applyAlignment="1" applyProtection="1">
      <alignment horizontal="right" vertical="top"/>
      <protection locked="0" hidden="1"/>
    </xf>
    <xf numFmtId="9" fontId="9" fillId="4" borderId="2" xfId="1" applyNumberFormat="1" applyFont="1" applyFill="1" applyBorder="1" applyAlignment="1">
      <alignment horizontal="left" vertical="top"/>
    </xf>
    <xf numFmtId="9" fontId="9" fillId="7" borderId="0" xfId="1" applyNumberFormat="1" applyFont="1" applyFill="1" applyBorder="1" applyAlignment="1" applyProtection="1">
      <alignment horizontal="right" vertical="top"/>
      <protection locked="0" hidden="1"/>
    </xf>
    <xf numFmtId="9" fontId="9" fillId="0" borderId="0" xfId="1" applyNumberFormat="1" applyFont="1" applyFill="1" applyBorder="1" applyAlignment="1" applyProtection="1">
      <alignment horizontal="left" vertical="top" wrapText="1"/>
      <protection locked="0" hidden="1"/>
    </xf>
    <xf numFmtId="9" fontId="9" fillId="5" borderId="0" xfId="1" applyNumberFormat="1" applyFont="1" applyFill="1" applyBorder="1" applyAlignment="1" applyProtection="1">
      <alignment horizontal="left" vertical="top"/>
      <protection locked="0" hidden="1"/>
    </xf>
    <xf numFmtId="44" fontId="11" fillId="4" borderId="0" xfId="1" applyFont="1" applyFill="1" applyBorder="1" applyAlignment="1" applyProtection="1">
      <alignment horizontal="right" vertical="top"/>
    </xf>
    <xf numFmtId="165" fontId="11" fillId="4" borderId="0" xfId="1" applyNumberFormat="1" applyFont="1" applyFill="1" applyBorder="1" applyAlignment="1" applyProtection="1">
      <alignment horizontal="left" vertical="top"/>
    </xf>
    <xf numFmtId="44" fontId="11" fillId="4" borderId="0" xfId="1" applyFont="1" applyFill="1" applyBorder="1" applyAlignment="1" applyProtection="1">
      <alignment horizontal="left" vertical="top"/>
    </xf>
    <xf numFmtId="0" fontId="4" fillId="0" borderId="0" xfId="3" quotePrefix="1"/>
    <xf numFmtId="0" fontId="12" fillId="0" borderId="0" xfId="4"/>
    <xf numFmtId="49" fontId="0" fillId="0" borderId="0" xfId="0" applyNumberFormat="1"/>
    <xf numFmtId="2" fontId="0" fillId="0" borderId="0" xfId="0" applyNumberFormat="1"/>
    <xf numFmtId="44" fontId="10" fillId="4" borderId="0" xfId="1" applyFont="1" applyFill="1" applyBorder="1" applyAlignment="1">
      <alignment horizontal="right" vertical="top"/>
    </xf>
    <xf numFmtId="44" fontId="9" fillId="5" borderId="3" xfId="1" applyFont="1" applyFill="1" applyBorder="1" applyAlignment="1" applyProtection="1">
      <alignment horizontal="right" vertical="top"/>
      <protection locked="0" hidden="1"/>
    </xf>
    <xf numFmtId="44" fontId="9" fillId="2" borderId="2" xfId="1" applyFont="1" applyFill="1" applyBorder="1" applyAlignment="1" applyProtection="1">
      <alignment horizontal="right" vertical="top"/>
    </xf>
    <xf numFmtId="49" fontId="6" fillId="3" borderId="0" xfId="0" applyNumberFormat="1" applyFont="1" applyFill="1" applyAlignment="1">
      <alignment horizontal="left" wrapText="1"/>
    </xf>
    <xf numFmtId="0" fontId="7" fillId="0" borderId="0" xfId="0" applyFont="1" applyAlignment="1">
      <alignment horizontal="right" wrapText="1"/>
    </xf>
    <xf numFmtId="0" fontId="8" fillId="0" borderId="0" xfId="0" applyFont="1" applyAlignment="1">
      <alignment wrapText="1"/>
    </xf>
    <xf numFmtId="0" fontId="5" fillId="0" borderId="0" xfId="0" applyFont="1" applyAlignment="1">
      <alignment wrapText="1"/>
    </xf>
    <xf numFmtId="44" fontId="9" fillId="4" borderId="2" xfId="1" applyFont="1" applyFill="1" applyBorder="1" applyAlignment="1" applyProtection="1">
      <alignment horizontal="right" vertical="top"/>
    </xf>
    <xf numFmtId="10" fontId="9" fillId="4" borderId="6" xfId="0" applyNumberFormat="1" applyFont="1" applyFill="1" applyBorder="1" applyAlignment="1" applyProtection="1">
      <alignment horizontal="right" vertical="top"/>
      <protection locked="0"/>
    </xf>
    <xf numFmtId="0" fontId="5" fillId="4" borderId="0" xfId="0" applyFont="1" applyFill="1"/>
    <xf numFmtId="49" fontId="6" fillId="8" borderId="0" xfId="0" applyNumberFormat="1" applyFont="1" applyFill="1" applyAlignment="1">
      <alignment horizontal="left" wrapText="1"/>
    </xf>
    <xf numFmtId="49" fontId="6" fillId="10" borderId="0" xfId="0" applyNumberFormat="1" applyFont="1" applyFill="1" applyAlignment="1">
      <alignment horizontal="left" wrapText="1"/>
    </xf>
    <xf numFmtId="9" fontId="9" fillId="2" borderId="2" xfId="2" applyFont="1" applyFill="1" applyBorder="1" applyAlignment="1" applyProtection="1">
      <alignment horizontal="right" vertical="top"/>
    </xf>
    <xf numFmtId="0" fontId="5" fillId="0" borderId="0" xfId="0" applyFont="1" applyAlignment="1">
      <alignment horizontal="right" wrapText="1"/>
    </xf>
    <xf numFmtId="9" fontId="9" fillId="0" borderId="0" xfId="1" applyNumberFormat="1" applyFont="1" applyAlignment="1" applyProtection="1">
      <alignment horizontal="right" vertical="top" wrapText="1"/>
      <protection locked="0" hidden="1"/>
    </xf>
    <xf numFmtId="9" fontId="9" fillId="0" borderId="0" xfId="1" applyNumberFormat="1" applyFont="1" applyFill="1" applyBorder="1" applyAlignment="1" applyProtection="1">
      <alignment horizontal="right" vertical="top" wrapText="1"/>
      <protection locked="0" hidden="1"/>
    </xf>
    <xf numFmtId="0" fontId="15" fillId="11" borderId="0" xfId="0" applyFont="1" applyFill="1"/>
    <xf numFmtId="0" fontId="13" fillId="0" borderId="0" xfId="0" applyFont="1"/>
    <xf numFmtId="0" fontId="0" fillId="0" borderId="1" xfId="0" applyBorder="1"/>
    <xf numFmtId="0" fontId="17" fillId="0" borderId="14" xfId="8"/>
    <xf numFmtId="0" fontId="0" fillId="2" borderId="0" xfId="0" applyFill="1"/>
    <xf numFmtId="0" fontId="0" fillId="6" borderId="0" xfId="0" applyFill="1"/>
    <xf numFmtId="0" fontId="0" fillId="6" borderId="0" xfId="0" applyFill="1" applyAlignment="1">
      <alignment wrapText="1"/>
    </xf>
    <xf numFmtId="0" fontId="0" fillId="0" borderId="0" xfId="0" applyAlignment="1">
      <alignment wrapText="1"/>
    </xf>
    <xf numFmtId="44" fontId="0" fillId="6" borderId="0" xfId="1" applyFont="1" applyFill="1" applyAlignment="1">
      <alignment wrapText="1"/>
    </xf>
    <xf numFmtId="0" fontId="0" fillId="2" borderId="0" xfId="0" applyFill="1" applyAlignment="1">
      <alignment wrapText="1"/>
    </xf>
    <xf numFmtId="44" fontId="0" fillId="6" borderId="0" xfId="0" applyNumberFormat="1" applyFill="1" applyAlignment="1">
      <alignment wrapText="1"/>
    </xf>
    <xf numFmtId="0" fontId="19" fillId="0" borderId="0" xfId="9" applyFont="1"/>
    <xf numFmtId="0" fontId="2" fillId="0" borderId="0" xfId="9"/>
    <xf numFmtId="42" fontId="2" fillId="0" borderId="0" xfId="9" applyNumberFormat="1"/>
    <xf numFmtId="10" fontId="2" fillId="0" borderId="0" xfId="9" applyNumberFormat="1"/>
    <xf numFmtId="42" fontId="19" fillId="0" borderId="0" xfId="9" applyNumberFormat="1" applyFont="1"/>
    <xf numFmtId="10" fontId="19" fillId="0" borderId="0" xfId="9" applyNumberFormat="1" applyFont="1"/>
    <xf numFmtId="0" fontId="0" fillId="15" borderId="0" xfId="0" applyFill="1"/>
    <xf numFmtId="0" fontId="0" fillId="15" borderId="0" xfId="0" applyFill="1" applyAlignment="1">
      <alignment vertical="center" textRotation="90"/>
    </xf>
    <xf numFmtId="0" fontId="0" fillId="0" borderId="0" xfId="0" applyAlignment="1">
      <alignment vertical="center" wrapText="1"/>
    </xf>
    <xf numFmtId="0" fontId="0" fillId="0" borderId="0" xfId="0" quotePrefix="1" applyAlignment="1">
      <alignment vertical="center" wrapText="1"/>
    </xf>
    <xf numFmtId="9" fontId="0" fillId="0" borderId="0" xfId="0" applyNumberFormat="1"/>
    <xf numFmtId="10" fontId="0" fillId="0" borderId="0" xfId="0" applyNumberFormat="1"/>
    <xf numFmtId="0" fontId="0" fillId="13" borderId="0" xfId="0" applyFill="1"/>
    <xf numFmtId="9" fontId="13" fillId="2" borderId="0" xfId="2" applyFont="1" applyFill="1"/>
    <xf numFmtId="10" fontId="9" fillId="2" borderId="6" xfId="2" applyNumberFormat="1" applyFont="1" applyFill="1" applyBorder="1" applyAlignment="1" applyProtection="1">
      <alignment horizontal="right" vertical="top"/>
      <protection locked="0"/>
    </xf>
    <xf numFmtId="164" fontId="9" fillId="2" borderId="2" xfId="0" applyNumberFormat="1" applyFont="1" applyFill="1" applyBorder="1" applyAlignment="1" applyProtection="1">
      <alignment horizontal="right" vertical="top"/>
      <protection locked="0"/>
    </xf>
    <xf numFmtId="9" fontId="0" fillId="0" borderId="0" xfId="2" applyFont="1"/>
    <xf numFmtId="164" fontId="0" fillId="2" borderId="0" xfId="2" applyNumberFormat="1" applyFont="1" applyFill="1"/>
    <xf numFmtId="0" fontId="20" fillId="0" borderId="0" xfId="0" applyFont="1" applyAlignment="1">
      <alignment wrapText="1"/>
    </xf>
    <xf numFmtId="0" fontId="9" fillId="0" borderId="0" xfId="0" applyFont="1"/>
    <xf numFmtId="0" fontId="9" fillId="0" borderId="0" xfId="0" applyFont="1" applyAlignment="1">
      <alignment wrapText="1"/>
    </xf>
    <xf numFmtId="44" fontId="9" fillId="4" borderId="0" xfId="1" applyFont="1" applyFill="1" applyBorder="1" applyAlignment="1">
      <alignment horizontal="right" vertical="top"/>
    </xf>
    <xf numFmtId="0" fontId="9" fillId="0" borderId="0" xfId="0" applyFont="1" applyAlignment="1">
      <alignment vertical="top" wrapText="1"/>
    </xf>
    <xf numFmtId="44" fontId="9" fillId="4" borderId="0" xfId="1" applyFont="1" applyFill="1" applyBorder="1" applyAlignment="1" applyProtection="1">
      <alignment horizontal="left" vertical="top"/>
    </xf>
    <xf numFmtId="0" fontId="21" fillId="0" borderId="0" xfId="0" applyFont="1" applyAlignment="1">
      <alignment wrapText="1"/>
    </xf>
    <xf numFmtId="164" fontId="9" fillId="2" borderId="2" xfId="1" applyNumberFormat="1" applyFont="1" applyFill="1" applyBorder="1" applyAlignment="1" applyProtection="1">
      <alignment horizontal="right" vertical="top"/>
      <protection locked="0"/>
    </xf>
    <xf numFmtId="10" fontId="9" fillId="2" borderId="6" xfId="1" applyNumberFormat="1" applyFont="1" applyFill="1" applyBorder="1" applyAlignment="1" applyProtection="1">
      <alignment horizontal="right" vertical="top"/>
      <protection locked="0"/>
    </xf>
    <xf numFmtId="0" fontId="11" fillId="0" borderId="0" xfId="0" applyFont="1" applyAlignment="1">
      <alignment vertical="top" wrapText="1"/>
    </xf>
    <xf numFmtId="44" fontId="9" fillId="4" borderId="0" xfId="1" applyFont="1" applyFill="1" applyBorder="1" applyAlignment="1" applyProtection="1">
      <alignment horizontal="right" vertical="top"/>
    </xf>
    <xf numFmtId="0" fontId="20" fillId="0" borderId="0" xfId="0" applyFont="1" applyAlignment="1">
      <alignment vertical="top" wrapText="1"/>
    </xf>
    <xf numFmtId="0" fontId="9" fillId="4" borderId="0" xfId="0" applyFont="1" applyFill="1" applyAlignment="1">
      <alignment horizontal="right" vertical="top"/>
    </xf>
    <xf numFmtId="0" fontId="9" fillId="4" borderId="0" xfId="0" applyFont="1" applyFill="1" applyAlignment="1">
      <alignment horizontal="left" vertical="top"/>
    </xf>
    <xf numFmtId="10" fontId="9" fillId="2" borderId="2" xfId="0" applyNumberFormat="1" applyFont="1" applyFill="1" applyBorder="1" applyAlignment="1">
      <alignment horizontal="right" vertical="top"/>
    </xf>
    <xf numFmtId="10" fontId="9" fillId="4" borderId="2" xfId="0" applyNumberFormat="1" applyFont="1" applyFill="1" applyBorder="1" applyAlignment="1" applyProtection="1">
      <alignment horizontal="left" vertical="top"/>
      <protection locked="0"/>
    </xf>
    <xf numFmtId="10" fontId="9" fillId="2" borderId="2" xfId="2" applyNumberFormat="1" applyFont="1" applyFill="1" applyBorder="1" applyAlignment="1" applyProtection="1">
      <alignment horizontal="right" vertical="top"/>
      <protection locked="0"/>
    </xf>
    <xf numFmtId="0" fontId="21" fillId="4" borderId="0" xfId="0" applyFont="1" applyFill="1" applyAlignment="1">
      <alignment horizontal="right" vertical="top"/>
    </xf>
    <xf numFmtId="10" fontId="9" fillId="2" borderId="2" xfId="0" applyNumberFormat="1" applyFont="1" applyFill="1" applyBorder="1" applyAlignment="1" applyProtection="1">
      <alignment horizontal="right" vertical="top"/>
      <protection locked="0"/>
    </xf>
    <xf numFmtId="1" fontId="21" fillId="4" borderId="0" xfId="0" applyNumberFormat="1" applyFont="1" applyFill="1" applyAlignment="1">
      <alignment horizontal="right" vertical="top"/>
    </xf>
    <xf numFmtId="164" fontId="9" fillId="0" borderId="0" xfId="0" applyNumberFormat="1" applyFont="1"/>
    <xf numFmtId="1" fontId="21" fillId="4" borderId="0" xfId="0" applyNumberFormat="1" applyFont="1" applyFill="1" applyAlignment="1" applyProtection="1">
      <alignment horizontal="right" vertical="top"/>
      <protection locked="0"/>
    </xf>
    <xf numFmtId="10" fontId="9" fillId="4" borderId="0" xfId="0" applyNumberFormat="1" applyFont="1" applyFill="1" applyAlignment="1" applyProtection="1">
      <alignment horizontal="left" vertical="top"/>
      <protection locked="0"/>
    </xf>
    <xf numFmtId="164" fontId="21" fillId="4" borderId="7" xfId="0" applyNumberFormat="1" applyFont="1" applyFill="1" applyBorder="1" applyAlignment="1" applyProtection="1">
      <alignment horizontal="right" vertical="top"/>
      <protection locked="0"/>
    </xf>
    <xf numFmtId="164" fontId="21" fillId="4" borderId="7" xfId="0" applyNumberFormat="1" applyFont="1" applyFill="1" applyBorder="1" applyAlignment="1">
      <alignment horizontal="left" vertical="top"/>
    </xf>
    <xf numFmtId="166" fontId="9" fillId="4" borderId="0" xfId="1" applyNumberFormat="1" applyFont="1" applyFill="1" applyBorder="1" applyAlignment="1" applyProtection="1">
      <alignment horizontal="right" vertical="top"/>
    </xf>
    <xf numFmtId="166" fontId="9" fillId="4" borderId="0" xfId="1" applyNumberFormat="1" applyFont="1" applyFill="1" applyBorder="1" applyAlignment="1" applyProtection="1">
      <alignment horizontal="left" vertical="top"/>
    </xf>
    <xf numFmtId="0" fontId="21" fillId="0" borderId="0" xfId="0" applyFont="1" applyAlignment="1">
      <alignment vertical="top" wrapText="1"/>
    </xf>
    <xf numFmtId="164" fontId="21" fillId="4" borderId="4" xfId="0" applyNumberFormat="1" applyFont="1" applyFill="1" applyBorder="1" applyAlignment="1">
      <alignment horizontal="right" vertical="top"/>
    </xf>
    <xf numFmtId="164" fontId="21" fillId="4" borderId="4" xfId="0" applyNumberFormat="1" applyFont="1" applyFill="1" applyBorder="1" applyAlignment="1">
      <alignment horizontal="left" vertical="top"/>
    </xf>
    <xf numFmtId="10" fontId="21" fillId="4" borderId="4" xfId="0" applyNumberFormat="1" applyFont="1" applyFill="1" applyBorder="1" applyAlignment="1">
      <alignment horizontal="left" vertical="top"/>
    </xf>
    <xf numFmtId="10" fontId="21" fillId="4" borderId="0" xfId="0" applyNumberFormat="1" applyFont="1" applyFill="1" applyAlignment="1">
      <alignment horizontal="left" vertical="top"/>
    </xf>
    <xf numFmtId="10" fontId="21" fillId="4" borderId="0" xfId="0" applyNumberFormat="1" applyFont="1" applyFill="1" applyAlignment="1">
      <alignment horizontal="right" vertical="top"/>
    </xf>
    <xf numFmtId="164" fontId="9" fillId="2" borderId="8" xfId="0" applyNumberFormat="1" applyFont="1" applyFill="1" applyBorder="1" applyAlignment="1" applyProtection="1">
      <alignment horizontal="right" vertical="top"/>
      <protection locked="0"/>
    </xf>
    <xf numFmtId="10" fontId="21" fillId="4" borderId="4" xfId="0" applyNumberFormat="1" applyFont="1" applyFill="1" applyBorder="1" applyAlignment="1">
      <alignment horizontal="right" vertical="top"/>
    </xf>
    <xf numFmtId="44" fontId="9" fillId="2" borderId="2" xfId="0" applyNumberFormat="1" applyFont="1" applyFill="1" applyBorder="1" applyAlignment="1" applyProtection="1">
      <alignment horizontal="right" vertical="top"/>
      <protection locked="0"/>
    </xf>
    <xf numFmtId="44" fontId="9" fillId="2" borderId="6" xfId="0" applyNumberFormat="1" applyFont="1" applyFill="1" applyBorder="1" applyAlignment="1" applyProtection="1">
      <alignment horizontal="right" vertical="top"/>
      <protection locked="0"/>
    </xf>
    <xf numFmtId="0" fontId="9" fillId="4" borderId="0" xfId="0" applyFont="1" applyFill="1"/>
    <xf numFmtId="0" fontId="9" fillId="4" borderId="7" xfId="0" applyFont="1" applyFill="1" applyBorder="1"/>
    <xf numFmtId="0" fontId="11" fillId="4" borderId="0" xfId="0" applyFont="1" applyFill="1"/>
    <xf numFmtId="0" fontId="9" fillId="0" borderId="11" xfId="0" applyFont="1" applyBorder="1" applyAlignment="1">
      <alignment wrapText="1"/>
    </xf>
    <xf numFmtId="0" fontId="9" fillId="2" borderId="10" xfId="0" applyFont="1" applyFill="1" applyBorder="1" applyAlignment="1" applyProtection="1">
      <alignment horizontal="right" vertical="top"/>
      <protection locked="0"/>
    </xf>
    <xf numFmtId="0" fontId="9" fillId="2" borderId="9" xfId="0" applyFont="1" applyFill="1" applyBorder="1" applyAlignment="1" applyProtection="1">
      <alignment horizontal="right" vertical="top"/>
      <protection locked="0"/>
    </xf>
    <xf numFmtId="0" fontId="9" fillId="4" borderId="4" xfId="0" applyFont="1" applyFill="1" applyBorder="1"/>
    <xf numFmtId="44" fontId="11" fillId="4" borderId="0" xfId="1" applyFont="1" applyFill="1" applyBorder="1"/>
    <xf numFmtId="44" fontId="9" fillId="2" borderId="12" xfId="1" applyFont="1" applyFill="1" applyBorder="1" applyAlignment="1" applyProtection="1">
      <alignment horizontal="right" vertical="top"/>
      <protection locked="0"/>
    </xf>
    <xf numFmtId="44" fontId="9" fillId="0" borderId="0" xfId="0" applyNumberFormat="1" applyFont="1"/>
    <xf numFmtId="44" fontId="11" fillId="4" borderId="0" xfId="0" applyNumberFormat="1" applyFont="1" applyFill="1"/>
    <xf numFmtId="0" fontId="22" fillId="4" borderId="16" xfId="0" applyFont="1" applyFill="1" applyBorder="1"/>
    <xf numFmtId="44" fontId="22" fillId="4" borderId="17" xfId="1" applyFont="1" applyFill="1" applyBorder="1"/>
    <xf numFmtId="0" fontId="22" fillId="4" borderId="0" xfId="0" applyFont="1" applyFill="1"/>
    <xf numFmtId="0" fontId="22" fillId="4" borderId="19" xfId="0" applyFont="1" applyFill="1" applyBorder="1"/>
    <xf numFmtId="9" fontId="22" fillId="4" borderId="0" xfId="2" applyFont="1" applyFill="1" applyBorder="1"/>
    <xf numFmtId="0" fontId="22" fillId="14" borderId="16" xfId="0" applyFont="1" applyFill="1" applyBorder="1"/>
    <xf numFmtId="9" fontId="22" fillId="14" borderId="17" xfId="0" applyNumberFormat="1" applyFont="1" applyFill="1" applyBorder="1"/>
    <xf numFmtId="10" fontId="22" fillId="14" borderId="17" xfId="0" applyNumberFormat="1" applyFont="1" applyFill="1" applyBorder="1"/>
    <xf numFmtId="164" fontId="22" fillId="2" borderId="0" xfId="0" applyNumberFormat="1" applyFont="1" applyFill="1"/>
    <xf numFmtId="0" fontId="22" fillId="0" borderId="19" xfId="0" applyFont="1" applyBorder="1"/>
    <xf numFmtId="9" fontId="22" fillId="0" borderId="0" xfId="0" applyNumberFormat="1" applyFont="1"/>
    <xf numFmtId="10" fontId="22" fillId="0" borderId="0" xfId="0" applyNumberFormat="1" applyFont="1"/>
    <xf numFmtId="0" fontId="22" fillId="0" borderId="0" xfId="0" applyFont="1"/>
    <xf numFmtId="0" fontId="22" fillId="13" borderId="0" xfId="0" applyFont="1" applyFill="1"/>
    <xf numFmtId="0" fontId="22" fillId="14" borderId="19" xfId="0" applyFont="1" applyFill="1" applyBorder="1"/>
    <xf numFmtId="9" fontId="22" fillId="14" borderId="0" xfId="0" applyNumberFormat="1" applyFont="1" applyFill="1"/>
    <xf numFmtId="10" fontId="22" fillId="14" borderId="0" xfId="0" applyNumberFormat="1" applyFont="1" applyFill="1"/>
    <xf numFmtId="9" fontId="22" fillId="3" borderId="0" xfId="0" applyNumberFormat="1" applyFont="1" applyFill="1"/>
    <xf numFmtId="9" fontId="22" fillId="0" borderId="22" xfId="0" applyNumberFormat="1" applyFont="1" applyBorder="1"/>
    <xf numFmtId="10" fontId="22" fillId="0" borderId="22" xfId="0" applyNumberFormat="1" applyFont="1" applyBorder="1"/>
    <xf numFmtId="0" fontId="22" fillId="15" borderId="0" xfId="0" applyFont="1" applyFill="1"/>
    <xf numFmtId="0" fontId="22" fillId="4" borderId="21" xfId="0" applyFont="1" applyFill="1" applyBorder="1"/>
    <xf numFmtId="0" fontId="22" fillId="4" borderId="22" xfId="0" applyFont="1" applyFill="1" applyBorder="1"/>
    <xf numFmtId="9" fontId="22" fillId="14" borderId="0" xfId="2" applyFont="1" applyFill="1" applyBorder="1"/>
    <xf numFmtId="0" fontId="22" fillId="6" borderId="16" xfId="0" applyFont="1" applyFill="1" applyBorder="1"/>
    <xf numFmtId="9" fontId="22" fillId="0" borderId="17" xfId="0" applyNumberFormat="1" applyFont="1" applyBorder="1"/>
    <xf numFmtId="0" fontId="22" fillId="0" borderId="17" xfId="0" applyFont="1" applyBorder="1"/>
    <xf numFmtId="10" fontId="22" fillId="0" borderId="17" xfId="0" applyNumberFormat="1" applyFont="1" applyBorder="1"/>
    <xf numFmtId="164" fontId="22" fillId="13" borderId="0" xfId="2" applyNumberFormat="1" applyFont="1" applyFill="1" applyBorder="1"/>
    <xf numFmtId="164" fontId="22" fillId="13" borderId="0" xfId="0" applyNumberFormat="1" applyFont="1" applyFill="1"/>
    <xf numFmtId="0" fontId="22" fillId="0" borderId="21" xfId="0" applyFont="1" applyBorder="1"/>
    <xf numFmtId="0" fontId="22" fillId="0" borderId="22" xfId="0" applyFont="1" applyBorder="1"/>
    <xf numFmtId="9" fontId="22" fillId="3" borderId="17" xfId="0" quotePrefix="1" applyNumberFormat="1" applyFont="1" applyFill="1" applyBorder="1"/>
    <xf numFmtId="9" fontId="22" fillId="13" borderId="0" xfId="2" applyFont="1" applyFill="1" applyBorder="1"/>
    <xf numFmtId="0" fontId="22" fillId="14" borderId="23" xfId="0" applyFont="1" applyFill="1" applyBorder="1"/>
    <xf numFmtId="9" fontId="22" fillId="14" borderId="24" xfId="0" applyNumberFormat="1" applyFont="1" applyFill="1" applyBorder="1"/>
    <xf numFmtId="164" fontId="22" fillId="2" borderId="0" xfId="2" applyNumberFormat="1" applyFont="1" applyFill="1" applyBorder="1"/>
    <xf numFmtId="44" fontId="22" fillId="4" borderId="0" xfId="1" applyFont="1" applyFill="1" applyBorder="1"/>
    <xf numFmtId="9" fontId="22" fillId="3" borderId="0" xfId="2" applyFont="1" applyFill="1" applyBorder="1"/>
    <xf numFmtId="44" fontId="22" fillId="2" borderId="17" xfId="1" applyFont="1" applyFill="1" applyBorder="1"/>
    <xf numFmtId="9" fontId="22" fillId="2" borderId="0" xfId="2" applyFont="1" applyFill="1" applyBorder="1"/>
    <xf numFmtId="9" fontId="22" fillId="3" borderId="0" xfId="2" applyFont="1" applyFill="1"/>
    <xf numFmtId="9" fontId="22" fillId="0" borderId="17" xfId="2" applyFont="1" applyBorder="1"/>
    <xf numFmtId="44" fontId="22" fillId="13" borderId="0" xfId="1" applyFont="1" applyFill="1" applyBorder="1"/>
    <xf numFmtId="164" fontId="22" fillId="14" borderId="0" xfId="2" applyNumberFormat="1" applyFont="1" applyFill="1" applyBorder="1"/>
    <xf numFmtId="0" fontId="22" fillId="14" borderId="0" xfId="0" applyFont="1" applyFill="1"/>
    <xf numFmtId="9" fontId="22" fillId="4" borderId="22" xfId="2" applyFont="1" applyFill="1" applyBorder="1"/>
    <xf numFmtId="164" fontId="22" fillId="4" borderId="0" xfId="2" applyNumberFormat="1" applyFont="1" applyFill="1" applyBorder="1"/>
    <xf numFmtId="0" fontId="22" fillId="17" borderId="23" xfId="0" applyFont="1" applyFill="1" applyBorder="1"/>
    <xf numFmtId="9" fontId="22" fillId="4" borderId="24" xfId="0" applyNumberFormat="1" applyFont="1" applyFill="1" applyBorder="1"/>
    <xf numFmtId="9" fontId="22" fillId="4" borderId="22" xfId="0" applyNumberFormat="1" applyFont="1" applyFill="1" applyBorder="1"/>
    <xf numFmtId="9" fontId="22" fillId="2" borderId="0" xfId="0" applyNumberFormat="1" applyFont="1" applyFill="1"/>
    <xf numFmtId="164" fontId="22" fillId="16" borderId="0" xfId="2" applyNumberFormat="1" applyFont="1" applyFill="1" applyBorder="1"/>
    <xf numFmtId="0" fontId="22" fillId="16" borderId="0" xfId="0" applyFont="1" applyFill="1"/>
    <xf numFmtId="9" fontId="22" fillId="17" borderId="24" xfId="0" applyNumberFormat="1" applyFont="1" applyFill="1" applyBorder="1"/>
    <xf numFmtId="167" fontId="22" fillId="3" borderId="17" xfId="2" quotePrefix="1" applyNumberFormat="1" applyFont="1" applyFill="1" applyBorder="1"/>
    <xf numFmtId="0" fontId="4" fillId="0" borderId="0" xfId="0" applyFont="1"/>
    <xf numFmtId="0" fontId="14" fillId="3" borderId="0" xfId="10" applyFont="1" applyFill="1"/>
    <xf numFmtId="0" fontId="9" fillId="18" borderId="0" xfId="7" applyFont="1" applyFill="1" applyBorder="1"/>
    <xf numFmtId="0" fontId="7" fillId="0" borderId="0" xfId="0" applyFont="1"/>
    <xf numFmtId="0" fontId="5" fillId="18" borderId="0" xfId="0" applyFont="1" applyFill="1"/>
    <xf numFmtId="10" fontId="5" fillId="20" borderId="0" xfId="2" applyNumberFormat="1" applyFont="1" applyFill="1"/>
    <xf numFmtId="0" fontId="14" fillId="3" borderId="0" xfId="10" applyFont="1" applyFill="1" applyAlignment="1">
      <alignment wrapText="1"/>
    </xf>
    <xf numFmtId="0" fontId="6" fillId="3" borderId="0" xfId="10" applyFont="1" applyFill="1" applyAlignment="1">
      <alignment wrapText="1"/>
    </xf>
    <xf numFmtId="0" fontId="14" fillId="0" borderId="0" xfId="0" applyFont="1" applyAlignment="1">
      <alignment horizontal="left" vertical="center"/>
    </xf>
    <xf numFmtId="49" fontId="14" fillId="0" borderId="0" xfId="0" applyNumberFormat="1" applyFont="1" applyAlignment="1">
      <alignment horizontal="left" vertical="center" wrapText="1"/>
    </xf>
    <xf numFmtId="49" fontId="6" fillId="0" borderId="0" xfId="0" applyNumberFormat="1" applyFont="1" applyAlignment="1">
      <alignment horizontal="left" wrapText="1"/>
    </xf>
    <xf numFmtId="9" fontId="9" fillId="0" borderId="0" xfId="1" applyNumberFormat="1" applyFont="1" applyFill="1" applyBorder="1" applyAlignment="1">
      <alignment horizontal="left" vertical="top"/>
    </xf>
    <xf numFmtId="9" fontId="9" fillId="0" borderId="0" xfId="1" applyNumberFormat="1" applyFont="1" applyFill="1" applyBorder="1" applyAlignment="1" applyProtection="1">
      <alignment horizontal="left" vertical="top"/>
    </xf>
    <xf numFmtId="9" fontId="9" fillId="0" borderId="0" xfId="1" applyNumberFormat="1" applyFont="1" applyFill="1" applyBorder="1" applyAlignment="1" applyProtection="1">
      <alignment horizontal="left" vertical="top"/>
      <protection locked="0" hidden="1"/>
    </xf>
    <xf numFmtId="44" fontId="9" fillId="0" borderId="0" xfId="1" applyFont="1" applyFill="1" applyBorder="1" applyAlignment="1">
      <alignment horizontal="right" vertical="top"/>
    </xf>
    <xf numFmtId="9" fontId="9" fillId="0" borderId="0" xfId="1" applyNumberFormat="1" applyFont="1" applyFill="1" applyBorder="1" applyAlignment="1" applyProtection="1">
      <alignment horizontal="right" vertical="top"/>
      <protection locked="0" hidden="1"/>
    </xf>
    <xf numFmtId="44" fontId="9" fillId="0" borderId="0" xfId="1" applyFont="1" applyFill="1" applyBorder="1" applyAlignment="1" applyProtection="1">
      <alignment horizontal="left" vertical="top"/>
    </xf>
    <xf numFmtId="9" fontId="9" fillId="0" borderId="0" xfId="1" applyNumberFormat="1" applyFont="1" applyFill="1" applyBorder="1" applyAlignment="1" applyProtection="1">
      <alignment horizontal="left" vertical="top"/>
      <protection locked="0"/>
    </xf>
    <xf numFmtId="10" fontId="9" fillId="0" borderId="0" xfId="1" applyNumberFormat="1" applyFont="1" applyFill="1" applyBorder="1" applyAlignment="1" applyProtection="1">
      <alignment horizontal="left" vertical="top"/>
      <protection locked="0"/>
    </xf>
    <xf numFmtId="165" fontId="11" fillId="0" borderId="0" xfId="1" applyNumberFormat="1" applyFont="1" applyFill="1" applyBorder="1" applyAlignment="1" applyProtection="1">
      <alignment horizontal="left" vertical="top"/>
    </xf>
    <xf numFmtId="0" fontId="9" fillId="0" borderId="0" xfId="0" applyFont="1" applyAlignment="1">
      <alignment horizontal="left" vertical="top"/>
    </xf>
    <xf numFmtId="10" fontId="9" fillId="0" borderId="0" xfId="0" applyNumberFormat="1" applyFont="1" applyAlignment="1" applyProtection="1">
      <alignment horizontal="left" vertical="top"/>
      <protection locked="0"/>
    </xf>
    <xf numFmtId="44" fontId="11" fillId="0" borderId="0" xfId="1" applyFont="1" applyFill="1" applyBorder="1" applyAlignment="1" applyProtection="1">
      <alignment horizontal="left" vertical="top"/>
    </xf>
    <xf numFmtId="164" fontId="9" fillId="0" borderId="0" xfId="0" applyNumberFormat="1" applyFont="1" applyAlignment="1" applyProtection="1">
      <alignment horizontal="left" vertical="top" wrapText="1"/>
      <protection locked="0"/>
    </xf>
    <xf numFmtId="164" fontId="21" fillId="0" borderId="0" xfId="0" applyNumberFormat="1" applyFont="1" applyAlignment="1">
      <alignment horizontal="left" vertical="top"/>
    </xf>
    <xf numFmtId="166" fontId="9" fillId="0" borderId="0" xfId="1" applyNumberFormat="1" applyFont="1" applyFill="1" applyBorder="1" applyAlignment="1" applyProtection="1">
      <alignment horizontal="left" vertical="top"/>
    </xf>
    <xf numFmtId="10" fontId="21" fillId="0" borderId="0" xfId="0" applyNumberFormat="1" applyFont="1" applyAlignment="1">
      <alignment horizontal="left" vertical="top"/>
    </xf>
    <xf numFmtId="49" fontId="6" fillId="21" borderId="0" xfId="0" applyNumberFormat="1" applyFont="1" applyFill="1" applyAlignment="1">
      <alignment horizontal="left" wrapText="1"/>
    </xf>
    <xf numFmtId="49" fontId="6" fillId="11" borderId="0" xfId="0" applyNumberFormat="1" applyFont="1" applyFill="1" applyAlignment="1">
      <alignment horizontal="left" wrapText="1"/>
    </xf>
    <xf numFmtId="49" fontId="6" fillId="22" borderId="0" xfId="0" applyNumberFormat="1" applyFont="1" applyFill="1" applyAlignment="1">
      <alignment horizontal="left" wrapText="1"/>
    </xf>
    <xf numFmtId="9" fontId="9" fillId="23" borderId="2" xfId="1" applyNumberFormat="1" applyFont="1" applyFill="1" applyBorder="1" applyAlignment="1">
      <alignment horizontal="left" vertical="top"/>
    </xf>
    <xf numFmtId="9" fontId="9" fillId="23" borderId="2" xfId="1" applyNumberFormat="1" applyFont="1" applyFill="1" applyBorder="1" applyAlignment="1" applyProtection="1">
      <alignment horizontal="left" vertical="top"/>
    </xf>
    <xf numFmtId="9" fontId="9" fillId="23" borderId="2" xfId="1" applyNumberFormat="1" applyFont="1" applyFill="1" applyBorder="1" applyAlignment="1" applyProtection="1">
      <alignment horizontal="left" vertical="top"/>
      <protection locked="0"/>
    </xf>
    <xf numFmtId="10" fontId="9" fillId="23" borderId="2" xfId="1" applyNumberFormat="1" applyFont="1" applyFill="1" applyBorder="1" applyAlignment="1" applyProtection="1">
      <alignment horizontal="left" vertical="top"/>
      <protection locked="0"/>
    </xf>
    <xf numFmtId="10" fontId="9" fillId="23" borderId="2" xfId="0" applyNumberFormat="1" applyFont="1" applyFill="1" applyBorder="1" applyAlignment="1" applyProtection="1">
      <alignment horizontal="left" vertical="top"/>
      <protection locked="0"/>
    </xf>
    <xf numFmtId="10" fontId="9" fillId="23" borderId="9" xfId="0" applyNumberFormat="1" applyFont="1" applyFill="1" applyBorder="1" applyAlignment="1" applyProtection="1">
      <alignment horizontal="left" vertical="top"/>
      <protection locked="0"/>
    </xf>
    <xf numFmtId="10" fontId="9" fillId="23" borderId="2" xfId="0" applyNumberFormat="1" applyFont="1" applyFill="1" applyBorder="1" applyAlignment="1" applyProtection="1">
      <alignment horizontal="left" vertical="top" wrapText="1"/>
      <protection locked="0"/>
    </xf>
    <xf numFmtId="0" fontId="13" fillId="19" borderId="0" xfId="0" applyFont="1" applyFill="1"/>
    <xf numFmtId="0" fontId="23" fillId="0" borderId="0" xfId="11"/>
    <xf numFmtId="0" fontId="23" fillId="0" borderId="0" xfId="11" applyBorder="1" applyAlignment="1"/>
    <xf numFmtId="0" fontId="0" fillId="19" borderId="0" xfId="0" applyFill="1" applyAlignment="1">
      <alignment horizontal="right"/>
    </xf>
    <xf numFmtId="0" fontId="0" fillId="19" borderId="0" xfId="0" applyFill="1"/>
    <xf numFmtId="0" fontId="0" fillId="9" borderId="0" xfId="0" applyFill="1"/>
    <xf numFmtId="14" fontId="13" fillId="19" borderId="0" xfId="0" applyNumberFormat="1" applyFont="1" applyFill="1" applyAlignment="1">
      <alignment horizontal="right" vertical="top"/>
    </xf>
    <xf numFmtId="14" fontId="24" fillId="19" borderId="0" xfId="0" applyNumberFormat="1" applyFont="1" applyFill="1" applyAlignment="1">
      <alignment vertical="top"/>
    </xf>
    <xf numFmtId="14" fontId="13" fillId="19" borderId="0" xfId="0" applyNumberFormat="1" applyFont="1" applyFill="1" applyAlignment="1">
      <alignment vertical="top" wrapText="1"/>
    </xf>
    <xf numFmtId="14" fontId="13" fillId="9" borderId="0" xfId="0" applyNumberFormat="1" applyFont="1" applyFill="1" applyAlignment="1">
      <alignment vertical="top" wrapText="1"/>
    </xf>
    <xf numFmtId="0" fontId="24" fillId="0" borderId="0" xfId="0" applyFont="1"/>
    <xf numFmtId="0" fontId="0" fillId="0" borderId="0" xfId="0" applyAlignment="1">
      <alignment horizontal="right"/>
    </xf>
    <xf numFmtId="1" fontId="25" fillId="0" borderId="0" xfId="0" applyNumberFormat="1" applyFont="1" applyAlignment="1">
      <alignment vertical="top" shrinkToFit="1"/>
    </xf>
    <xf numFmtId="1" fontId="27" fillId="0" borderId="0" xfId="12" applyNumberFormat="1" applyFont="1" applyAlignment="1">
      <alignment vertical="top" shrinkToFit="1"/>
    </xf>
    <xf numFmtId="1" fontId="25" fillId="0" borderId="0" xfId="12" applyNumberFormat="1" applyFont="1" applyAlignment="1">
      <alignment horizontal="right" vertical="top" shrinkToFit="1"/>
    </xf>
    <xf numFmtId="1" fontId="25" fillId="0" borderId="0" xfId="0" applyNumberFormat="1" applyFont="1" applyAlignment="1">
      <alignment horizontal="right" vertical="top" shrinkToFit="1"/>
    </xf>
    <xf numFmtId="0" fontId="4" fillId="9" borderId="0" xfId="0" applyFont="1" applyFill="1"/>
    <xf numFmtId="10" fontId="4" fillId="0" borderId="0" xfId="2" applyNumberFormat="1" applyFont="1"/>
    <xf numFmtId="10" fontId="4" fillId="0" borderId="0" xfId="0" applyNumberFormat="1" applyFont="1"/>
    <xf numFmtId="49" fontId="0" fillId="19" borderId="0" xfId="0" applyNumberFormat="1" applyFill="1"/>
    <xf numFmtId="0" fontId="4" fillId="0" borderId="0" xfId="0" applyFont="1" applyAlignment="1">
      <alignment horizontal="right"/>
    </xf>
    <xf numFmtId="0" fontId="4" fillId="19" borderId="0" xfId="3" applyFill="1"/>
    <xf numFmtId="1" fontId="27" fillId="0" borderId="0" xfId="13" applyNumberFormat="1" applyFont="1" applyAlignment="1">
      <alignment vertical="top" shrinkToFit="1"/>
    </xf>
    <xf numFmtId="1" fontId="0" fillId="0" borderId="0" xfId="0" applyNumberFormat="1" applyAlignment="1">
      <alignment horizontal="right"/>
    </xf>
    <xf numFmtId="1" fontId="0" fillId="0" borderId="0" xfId="0" applyNumberFormat="1"/>
    <xf numFmtId="10" fontId="0" fillId="0" borderId="0" xfId="2" applyNumberFormat="1" applyFont="1"/>
    <xf numFmtId="0" fontId="0" fillId="3" borderId="0" xfId="0" applyFill="1"/>
    <xf numFmtId="0" fontId="28" fillId="3" borderId="0" xfId="0" applyFont="1" applyFill="1" applyAlignment="1">
      <alignment wrapText="1"/>
    </xf>
    <xf numFmtId="0" fontId="0" fillId="6" borderId="0" xfId="2" applyNumberFormat="1" applyFont="1" applyFill="1"/>
    <xf numFmtId="49" fontId="13" fillId="19" borderId="0" xfId="0" applyNumberFormat="1" applyFont="1" applyFill="1"/>
    <xf numFmtId="0" fontId="23" fillId="19" borderId="0" xfId="11" applyFill="1"/>
    <xf numFmtId="14" fontId="13" fillId="19" borderId="0" xfId="0" applyNumberFormat="1" applyFont="1" applyFill="1"/>
    <xf numFmtId="14" fontId="13" fillId="19" borderId="0" xfId="0" applyNumberFormat="1" applyFont="1" applyFill="1" applyAlignment="1">
      <alignment horizontal="right"/>
    </xf>
    <xf numFmtId="1" fontId="25" fillId="0" borderId="0" xfId="14" applyNumberFormat="1" applyFont="1" applyAlignment="1">
      <alignment horizontal="right" vertical="top" shrinkToFit="1"/>
    </xf>
    <xf numFmtId="1" fontId="25" fillId="0" borderId="0" xfId="14" applyNumberFormat="1" applyFont="1" applyAlignment="1">
      <alignment vertical="top" shrinkToFit="1"/>
    </xf>
    <xf numFmtId="1" fontId="29" fillId="0" borderId="0" xfId="14" applyNumberFormat="1" applyFont="1" applyAlignment="1">
      <alignment vertical="top" shrinkToFit="1"/>
    </xf>
    <xf numFmtId="49" fontId="4" fillId="19" borderId="0" xfId="3" applyNumberFormat="1" applyFill="1"/>
    <xf numFmtId="1" fontId="25" fillId="0" borderId="0" xfId="12" applyNumberFormat="1" applyFont="1" applyAlignment="1">
      <alignment vertical="top" shrinkToFit="1"/>
    </xf>
    <xf numFmtId="1" fontId="22" fillId="0" borderId="0" xfId="0" applyNumberFormat="1" applyFont="1" applyAlignment="1">
      <alignment vertical="top"/>
    </xf>
    <xf numFmtId="1" fontId="0" fillId="0" borderId="0" xfId="0" applyNumberFormat="1" applyAlignment="1">
      <alignment vertical="top" wrapText="1"/>
    </xf>
    <xf numFmtId="1" fontId="22" fillId="6" borderId="0" xfId="0" applyNumberFormat="1" applyFont="1" applyFill="1" applyAlignment="1">
      <alignment wrapText="1"/>
    </xf>
    <xf numFmtId="0" fontId="23" fillId="0" borderId="0" xfId="4" applyFont="1"/>
    <xf numFmtId="44" fontId="9" fillId="2" borderId="0" xfId="1" applyFont="1" applyFill="1" applyBorder="1" applyAlignment="1" applyProtection="1">
      <alignment horizontal="right" vertical="top"/>
      <protection locked="0"/>
    </xf>
    <xf numFmtId="10" fontId="9" fillId="23" borderId="0" xfId="0" applyNumberFormat="1" applyFont="1" applyFill="1" applyAlignment="1" applyProtection="1">
      <alignment horizontal="left" vertical="top"/>
      <protection locked="0"/>
    </xf>
    <xf numFmtId="44" fontId="4" fillId="0" borderId="0" xfId="1" applyFont="1"/>
    <xf numFmtId="0" fontId="9" fillId="4" borderId="0" xfId="0" applyFont="1" applyFill="1" applyAlignment="1">
      <alignment wrapText="1"/>
    </xf>
    <xf numFmtId="2" fontId="9" fillId="0" borderId="0" xfId="0" applyNumberFormat="1" applyFont="1"/>
    <xf numFmtId="0" fontId="0" fillId="0" borderId="0" xfId="2" applyNumberFormat="1" applyFont="1"/>
    <xf numFmtId="2" fontId="9" fillId="2" borderId="12" xfId="0" applyNumberFormat="1" applyFont="1" applyFill="1" applyBorder="1" applyAlignment="1" applyProtection="1">
      <alignment horizontal="right" vertical="top"/>
      <protection locked="0"/>
    </xf>
    <xf numFmtId="10" fontId="9" fillId="23" borderId="9" xfId="0" applyNumberFormat="1" applyFont="1" applyFill="1" applyBorder="1" applyAlignment="1" applyProtection="1">
      <alignment horizontal="left" vertical="top" wrapText="1"/>
      <protection locked="0"/>
    </xf>
    <xf numFmtId="10" fontId="9" fillId="23" borderId="2" xfId="4" applyNumberFormat="1" applyFont="1" applyFill="1" applyBorder="1" applyAlignment="1" applyProtection="1">
      <alignment horizontal="left" vertical="top" wrapText="1"/>
      <protection locked="0"/>
    </xf>
    <xf numFmtId="44" fontId="9" fillId="4" borderId="0" xfId="0" applyNumberFormat="1" applyFont="1" applyFill="1" applyAlignment="1">
      <alignment wrapText="1"/>
    </xf>
    <xf numFmtId="164" fontId="9" fillId="2" borderId="10" xfId="0" applyNumberFormat="1" applyFont="1" applyFill="1" applyBorder="1" applyAlignment="1" applyProtection="1">
      <alignment horizontal="right" vertical="top"/>
      <protection locked="0"/>
    </xf>
    <xf numFmtId="44" fontId="11" fillId="4" borderId="0" xfId="0" applyNumberFormat="1" applyFont="1" applyFill="1" applyAlignment="1">
      <alignment vertical="top" wrapText="1"/>
    </xf>
    <xf numFmtId="0" fontId="11" fillId="4" borderId="0" xfId="0" applyFont="1" applyFill="1" applyAlignment="1">
      <alignment vertical="top" wrapText="1"/>
    </xf>
    <xf numFmtId="0" fontId="20" fillId="4" borderId="0" xfId="0" applyFont="1" applyFill="1" applyAlignment="1">
      <alignment wrapText="1"/>
    </xf>
    <xf numFmtId="0" fontId="0" fillId="0" borderId="0" xfId="0" quotePrefix="1"/>
    <xf numFmtId="164" fontId="0" fillId="0" borderId="0" xfId="0" applyNumberFormat="1" applyAlignment="1">
      <alignment horizontal="right"/>
    </xf>
    <xf numFmtId="164" fontId="0" fillId="0" borderId="0" xfId="0" applyNumberFormat="1"/>
    <xf numFmtId="164" fontId="13" fillId="0" borderId="0" xfId="2" applyNumberFormat="1" applyFont="1"/>
    <xf numFmtId="0" fontId="13" fillId="0" borderId="0" xfId="0" applyFont="1" applyAlignment="1">
      <alignment wrapText="1"/>
    </xf>
    <xf numFmtId="49" fontId="0" fillId="19" borderId="0" xfId="0" quotePrefix="1" applyNumberFormat="1" applyFill="1"/>
    <xf numFmtId="15" fontId="0" fillId="0" borderId="0" xfId="0" applyNumberFormat="1"/>
    <xf numFmtId="0" fontId="0" fillId="3" borderId="0" xfId="0" applyFill="1" applyAlignment="1">
      <alignment wrapText="1"/>
    </xf>
    <xf numFmtId="0" fontId="32" fillId="0" borderId="0" xfId="4" applyFont="1"/>
    <xf numFmtId="1" fontId="9" fillId="2" borderId="10" xfId="0" applyNumberFormat="1" applyFont="1" applyFill="1" applyBorder="1" applyAlignment="1" applyProtection="1">
      <alignment horizontal="right" vertical="top"/>
      <protection locked="0"/>
    </xf>
    <xf numFmtId="1" fontId="9" fillId="2" borderId="9" xfId="0" applyNumberFormat="1" applyFont="1" applyFill="1" applyBorder="1" applyAlignment="1" applyProtection="1">
      <alignment horizontal="right" vertical="top"/>
      <protection locked="0"/>
    </xf>
    <xf numFmtId="0" fontId="1" fillId="0" borderId="0" xfId="9" applyFont="1"/>
    <xf numFmtId="0" fontId="14" fillId="8" borderId="1" xfId="0" applyFont="1" applyFill="1" applyBorder="1" applyAlignment="1">
      <alignment horizontal="left" vertical="center"/>
    </xf>
    <xf numFmtId="0" fontId="14" fillId="11" borderId="1" xfId="0" applyFont="1" applyFill="1" applyBorder="1" applyAlignment="1">
      <alignment horizontal="left" vertical="center"/>
    </xf>
    <xf numFmtId="49" fontId="14" fillId="11" borderId="5" xfId="0" applyNumberFormat="1" applyFont="1" applyFill="1" applyBorder="1" applyAlignment="1">
      <alignment horizontal="left" vertical="center" wrapText="1"/>
    </xf>
    <xf numFmtId="0" fontId="14" fillId="10" borderId="1" xfId="0" applyFont="1" applyFill="1" applyBorder="1" applyAlignment="1">
      <alignment horizontal="left" vertical="center"/>
    </xf>
    <xf numFmtId="49" fontId="14" fillId="10" borderId="5" xfId="0" applyNumberFormat="1" applyFont="1" applyFill="1" applyBorder="1" applyAlignment="1">
      <alignment horizontal="left" vertical="center" wrapText="1"/>
    </xf>
    <xf numFmtId="0" fontId="14" fillId="21" borderId="1" xfId="0" applyFont="1" applyFill="1" applyBorder="1" applyAlignment="1">
      <alignment horizontal="left" vertical="center"/>
    </xf>
    <xf numFmtId="49" fontId="14" fillId="21" borderId="5" xfId="0" applyNumberFormat="1" applyFont="1" applyFill="1" applyBorder="1" applyAlignment="1">
      <alignment horizontal="left" vertical="center" wrapText="1"/>
    </xf>
    <xf numFmtId="49" fontId="14" fillId="8" borderId="5" xfId="0" applyNumberFormat="1" applyFont="1" applyFill="1" applyBorder="1" applyAlignment="1">
      <alignment horizontal="left" vertical="center" wrapText="1"/>
    </xf>
    <xf numFmtId="0" fontId="14" fillId="3" borderId="1" xfId="0" applyFont="1" applyFill="1" applyBorder="1" applyAlignment="1">
      <alignment horizontal="left" vertical="center"/>
    </xf>
    <xf numFmtId="49" fontId="14" fillId="3" borderId="5" xfId="0" applyNumberFormat="1" applyFont="1" applyFill="1" applyBorder="1" applyAlignment="1">
      <alignment horizontal="left" vertical="center" wrapText="1"/>
    </xf>
    <xf numFmtId="164" fontId="33" fillId="4" borderId="4" xfId="0" applyNumberFormat="1" applyFont="1" applyFill="1" applyBorder="1" applyAlignment="1">
      <alignment horizontal="right" vertical="top"/>
    </xf>
    <xf numFmtId="0" fontId="30" fillId="0" borderId="0" xfId="0" applyFont="1"/>
    <xf numFmtId="0" fontId="30" fillId="0" borderId="0" xfId="0" applyFont="1" applyAlignment="1">
      <alignment wrapText="1"/>
    </xf>
    <xf numFmtId="44" fontId="31" fillId="4" borderId="0" xfId="1" applyFont="1" applyFill="1" applyBorder="1" applyAlignment="1" applyProtection="1">
      <alignment horizontal="right" vertical="top"/>
    </xf>
    <xf numFmtId="0" fontId="14" fillId="22" borderId="1" xfId="0" applyFont="1" applyFill="1" applyBorder="1" applyAlignment="1">
      <alignment horizontal="left" vertical="center"/>
    </xf>
    <xf numFmtId="49" fontId="14" fillId="22" borderId="5" xfId="0" applyNumberFormat="1" applyFont="1" applyFill="1" applyBorder="1" applyAlignment="1">
      <alignment horizontal="left" vertical="center" wrapText="1"/>
    </xf>
    <xf numFmtId="0" fontId="15" fillId="11" borderId="0" xfId="0" applyFont="1" applyFill="1" applyAlignment="1">
      <alignment horizontal="center"/>
    </xf>
    <xf numFmtId="0" fontId="0" fillId="3" borderId="17" xfId="0" applyFill="1" applyBorder="1" applyAlignment="1">
      <alignment horizontal="center" vertical="center" textRotation="90"/>
    </xf>
    <xf numFmtId="0" fontId="0" fillId="3" borderId="0" xfId="0" applyFill="1" applyAlignment="1">
      <alignment horizontal="center" vertical="center" textRotation="90"/>
    </xf>
    <xf numFmtId="44" fontId="22" fillId="4" borderId="17" xfId="1" applyFont="1" applyFill="1" applyBorder="1" applyAlignment="1">
      <alignment horizontal="center" vertical="center"/>
    </xf>
    <xf numFmtId="44" fontId="22" fillId="4" borderId="0" xfId="1" applyFont="1" applyFill="1" applyBorder="1" applyAlignment="1">
      <alignment horizontal="center" vertical="center"/>
    </xf>
    <xf numFmtId="44" fontId="22" fillId="4" borderId="22" xfId="1" applyFont="1" applyFill="1" applyBorder="1" applyAlignment="1">
      <alignment horizontal="center" vertical="center"/>
    </xf>
    <xf numFmtId="10" fontId="22" fillId="4" borderId="17" xfId="0" applyNumberFormat="1" applyFont="1" applyFill="1" applyBorder="1" applyAlignment="1">
      <alignment horizontal="center" vertical="center"/>
    </xf>
    <xf numFmtId="10" fontId="22" fillId="4" borderId="0" xfId="0" applyNumberFormat="1" applyFont="1" applyFill="1" applyAlignment="1">
      <alignment horizontal="center" vertical="center"/>
    </xf>
    <xf numFmtId="10" fontId="22" fillId="4" borderId="22" xfId="0" applyNumberFormat="1" applyFont="1" applyFill="1" applyBorder="1" applyAlignment="1">
      <alignment horizontal="center" vertical="center"/>
    </xf>
    <xf numFmtId="0" fontId="0" fillId="3" borderId="16" xfId="0" applyFill="1" applyBorder="1" applyAlignment="1">
      <alignment horizontal="center" vertical="center" textRotation="90" wrapText="1"/>
    </xf>
    <xf numFmtId="0" fontId="0" fillId="3" borderId="19" xfId="0" applyFill="1" applyBorder="1" applyAlignment="1">
      <alignment horizontal="center" vertical="center" textRotation="90" wrapText="1"/>
    </xf>
    <xf numFmtId="0" fontId="0" fillId="3" borderId="21" xfId="0" applyFill="1" applyBorder="1" applyAlignment="1">
      <alignment horizontal="center" vertical="center" textRotation="90" wrapText="1"/>
    </xf>
    <xf numFmtId="0" fontId="0" fillId="3" borderId="25" xfId="0" applyFill="1" applyBorder="1" applyAlignment="1">
      <alignment horizontal="center" vertical="center" textRotation="90" wrapText="1"/>
    </xf>
    <xf numFmtId="0" fontId="0" fillId="3" borderId="26" xfId="0" applyFill="1" applyBorder="1" applyAlignment="1">
      <alignment horizontal="center" vertical="center" textRotation="90" wrapText="1"/>
    </xf>
    <xf numFmtId="0" fontId="0" fillId="3" borderId="15" xfId="0" applyFill="1" applyBorder="1" applyAlignment="1">
      <alignment horizontal="center" vertical="center" textRotation="90" wrapText="1"/>
    </xf>
    <xf numFmtId="0" fontId="0" fillId="3" borderId="18" xfId="0" applyFill="1" applyBorder="1" applyAlignment="1">
      <alignment horizontal="center" vertical="center" textRotation="90"/>
    </xf>
    <xf numFmtId="0" fontId="0" fillId="3" borderId="20" xfId="0" applyFill="1" applyBorder="1" applyAlignment="1">
      <alignment horizontal="center" vertical="center" textRotation="90"/>
    </xf>
    <xf numFmtId="0" fontId="0" fillId="3" borderId="17" xfId="0" applyFill="1" applyBorder="1" applyAlignment="1">
      <alignment horizontal="center" vertical="center" textRotation="90" wrapText="1"/>
    </xf>
    <xf numFmtId="0" fontId="0" fillId="3" borderId="0" xfId="0" applyFill="1" applyAlignment="1">
      <alignment horizontal="center" vertical="center" textRotation="90" wrapText="1"/>
    </xf>
    <xf numFmtId="0" fontId="18" fillId="3" borderId="0" xfId="0" applyFont="1" applyFill="1" applyAlignment="1">
      <alignment horizontal="center" vertical="center" textRotation="90" wrapText="1"/>
    </xf>
    <xf numFmtId="0" fontId="18" fillId="10" borderId="0" xfId="0" applyFont="1" applyFill="1" applyAlignment="1">
      <alignment horizontal="center" vertical="center" textRotation="90" wrapText="1"/>
    </xf>
    <xf numFmtId="0" fontId="18" fillId="8" borderId="0" xfId="0" applyFont="1" applyFill="1" applyAlignment="1">
      <alignment horizontal="center" vertical="center" textRotation="90" wrapText="1"/>
    </xf>
    <xf numFmtId="0" fontId="0" fillId="0" borderId="0" xfId="0" applyAlignment="1">
      <alignment horizontal="center" wrapText="1"/>
    </xf>
  </cellXfs>
  <cellStyles count="16">
    <cellStyle name="Hyperlink" xfId="4" builtinId="8"/>
    <cellStyle name="Hyperlink 2" xfId="11" xr:uid="{04204011-4D1C-469C-A2C6-2BA7E09180B9}"/>
    <cellStyle name="Invoer" xfId="7" builtinId="20"/>
    <cellStyle name="Kop 1" xfId="8" builtinId="16"/>
    <cellStyle name="Normal 2" xfId="10" xr:uid="{927006FA-35E0-494B-80E3-6F975507F2DF}"/>
    <cellStyle name="Procent" xfId="2" builtinId="5"/>
    <cellStyle name="Procent 2" xfId="5" xr:uid="{0E998733-680C-40BE-B76E-436BAA874899}"/>
    <cellStyle name="Standaard" xfId="0" builtinId="0"/>
    <cellStyle name="Standaard 2" xfId="3" xr:uid="{E69A9383-35C1-4081-B39C-B35BD35AE3B7}"/>
    <cellStyle name="Standaard 3" xfId="6" xr:uid="{6DF82BA9-725C-4975-B911-AF7743E9595E}"/>
    <cellStyle name="Standaard 3 2" xfId="12" xr:uid="{0A30CC93-33D6-4755-969E-15C115DA5B2E}"/>
    <cellStyle name="Standaard 4" xfId="9" xr:uid="{0D834EDD-5657-4A4B-AA16-3676D6905230}"/>
    <cellStyle name="Standaard 4 2" xfId="13" xr:uid="{2CF1B270-4B18-4395-BC8F-65037928B3E7}"/>
    <cellStyle name="Standaard 5" xfId="14" xr:uid="{FF60DDC4-52C4-400F-864E-7AFFBC5D48D1}"/>
    <cellStyle name="Standaard 6" xfId="15" xr:uid="{772D9CF4-03D8-48C2-848E-08782FE81CA8}"/>
    <cellStyle name="Valuta" xfId="1" builtinId="4"/>
  </cellStyles>
  <dxfs count="0"/>
  <tableStyles count="0" defaultTableStyle="TableStyleMedium2" defaultPivotStyle="PivotStyleLight16"/>
  <colors>
    <mruColors>
      <color rgb="FFC6FA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Wouter Oosterom" id="{F5F33A13-E97B-408E-855D-5DBF33F3C4CF}" userId="wouter.oosterom@significant.nl" providerId="PeoplePicker"/>
  <person displayName="Coby Peeters" id="{CD86B5A8-8961-42CC-B477-5AD0204A5355}" userId="S::Coby.Peeters@significant.nl::f3da4161-1cf0-444a-a8ab-e19f5d274716" providerId="AD"/>
  <person displayName="Vince Rijnberg" id="{2430AF0E-879E-4E29-A67C-D6291BB4812E}" userId="S::vince.rijnberg@significant.nl::8f0bfe46-8725-480e-b8b6-94f870d5ba60" providerId="AD"/>
</personList>
</file>

<file path=xl/theme/theme1.xml><?xml version="1.0" encoding="utf-8"?>
<a:theme xmlns:a="http://schemas.openxmlformats.org/drawingml/2006/main" name="Significant">
  <a:themeElements>
    <a:clrScheme name="Significant">
      <a:dk1>
        <a:srgbClr val="000000"/>
      </a:dk1>
      <a:lt1>
        <a:srgbClr val="FFFFFF"/>
      </a:lt1>
      <a:dk2>
        <a:srgbClr val="002856"/>
      </a:dk2>
      <a:lt2>
        <a:srgbClr val="FFFFFF"/>
      </a:lt2>
      <a:accent1>
        <a:srgbClr val="F59100"/>
      </a:accent1>
      <a:accent2>
        <a:srgbClr val="33B5B3"/>
      </a:accent2>
      <a:accent3>
        <a:srgbClr val="0082D7"/>
      </a:accent3>
      <a:accent4>
        <a:srgbClr val="002856"/>
      </a:accent4>
      <a:accent5>
        <a:srgbClr val="E61E64"/>
      </a:accent5>
      <a:accent6>
        <a:srgbClr val="A21A80"/>
      </a:accent6>
      <a:hlink>
        <a:srgbClr val="F47B20"/>
      </a:hlink>
      <a:folHlink>
        <a:srgbClr val="00B0F0"/>
      </a:folHlink>
    </a:clrScheme>
    <a:fontScheme name="Significant">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4" dT="2022-10-04T09:03:12.42" personId="{CD86B5A8-8961-42CC-B477-5AD0204A5355}" id="{360F8494-82A7-4CC7-940C-06F5D172FEFC}">
    <text>@Wouter Oosterom De toegevoegde getallen zorgen voor fout in V-zoeken denk ik</text>
    <mentions>
      <mention mentionpersonId="{F5F33A13-E97B-408E-855D-5DBF33F3C4CF}" mentionId="{CF975E1C-B824-4051-B120-9C407F88F1A5}" startIndex="0" length="16"/>
    </mentions>
  </threadedComment>
  <threadedComment ref="B54" dT="2022-10-04T09:00:46.79" personId="{CD86B5A8-8961-42CC-B477-5AD0204A5355}" id="{53CC9A61-8615-453B-9173-08EA359DC660}">
    <text>@Wouter Oosterom Ckeck, is dit  kinderkliniek die psychiatrie declareert? Het lijkt erop dat dit niet meetelt in omzet op tabblad uitvraag</text>
    <mentions>
      <mention mentionpersonId="{F5F33A13-E97B-408E-855D-5DBF33F3C4CF}" mentionId="{F7BAE443-F3CF-4128-9469-763C197CCDB4}" startIndex="0" length="16"/>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3-04-18T11:26:02.07" personId="{2430AF0E-879E-4E29-A67C-D6291BB4812E}" id="{9A448401-2438-4661-98B7-59FD1CE419A9}">
    <text>Aangenomen dat er 7 vakantiedagen per jaar niet in het weekend vallen.</text>
  </threadedComment>
  <threadedComment ref="C3" dT="2023-04-18T11:26:02.07" personId="{2430AF0E-879E-4E29-A67C-D6291BB4812E}" id="{987F624A-B089-4795-837D-75C5B6F8D5A1}">
    <text>Aangenomen dat er 7 vakantiedagen per jaar niet in het weekend vallen.</text>
  </threadedComment>
  <threadedComment ref="C4" dT="2023-04-18T11:26:02.07" personId="{2430AF0E-879E-4E29-A67C-D6291BB4812E}" id="{8824F183-987A-4E83-B051-F4B2FDC55FB6}">
    <text>Aangenomen dat er 7 vakantiedagen per jaar niet in het weekend vallen.</text>
  </threadedComment>
  <threadedComment ref="C5" dT="2023-04-18T11:26:02.07" personId="{2430AF0E-879E-4E29-A67C-D6291BB4812E}" id="{32615133-EF94-4829-B71A-E2607D752AA3}">
    <text>Aangenomen dat er 7 vakantiedagen per jaar niet in het weekend vallen.</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zwstatline.cbs.nl/" TargetMode="External"/><Relationship Id="rId1" Type="http://schemas.openxmlformats.org/officeDocument/2006/relationships/hyperlink" Target="https://azwstatline.cbs.n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zkn.nl/?file=7749&amp;m=1706608523&amp;action=file.download"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cms.denederlandseggz.nl/assets/common/Salaristabellen.pdf" TargetMode="External"/><Relationship Id="rId7" Type="http://schemas.openxmlformats.org/officeDocument/2006/relationships/hyperlink" Target="https://cms.denederlandseggz.nl/assets/common/Salaristabellen.pdf" TargetMode="External"/><Relationship Id="rId2" Type="http://schemas.openxmlformats.org/officeDocument/2006/relationships/hyperlink" Target="https://cms.denederlandseggz.nl/assets/common/Salaristabellen.pdf" TargetMode="External"/><Relationship Id="rId1" Type="http://schemas.openxmlformats.org/officeDocument/2006/relationships/hyperlink" Target="https://cms.denederlandseggz.nl/assets/common/Salaristabellen.pdf" TargetMode="External"/><Relationship Id="rId6" Type="http://schemas.openxmlformats.org/officeDocument/2006/relationships/hyperlink" Target="https://www.denederlandseggz.nl/nieuws/2023/akkoord-over-aanvullende-loonsverhoging-ggz" TargetMode="External"/><Relationship Id="rId5" Type="http://schemas.openxmlformats.org/officeDocument/2006/relationships/hyperlink" Target="https://cms.denederlandseggz.nl/assets/common/Salaristabellen.pdf" TargetMode="External"/><Relationship Id="rId4" Type="http://schemas.openxmlformats.org/officeDocument/2006/relationships/hyperlink" Target="https://cms.denederlandseggz.nl/assets/common/Salaristabellen.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jeugdzorgnederland.nl/actueel/akkoord-over-jeugdzorg-cao/" TargetMode="External"/><Relationship Id="rId2" Type="http://schemas.openxmlformats.org/officeDocument/2006/relationships/hyperlink" Target="https://www.jeugdzorg-werkt.nl/sites/fcb_jeugdzorg/files/2023-05/Salarisschalen-Cao-Jeugdzorg-2021-2023-mei%202023.pdf" TargetMode="External"/><Relationship Id="rId1" Type="http://schemas.openxmlformats.org/officeDocument/2006/relationships/hyperlink" Target="https://www.jeugdzorg-werkt.nl/sites/fcb_jeugdzorg/files/2023-05/Salarisschalen-Cao-Jeugdzorg-2021-2023-mei%202023.pdf" TargetMode="External"/><Relationship Id="rId5" Type="http://schemas.openxmlformats.org/officeDocument/2006/relationships/hyperlink" Target="https://www.jeugdzorgnederland.nl/actueel/akkoord-over-jeugdzorg-cao/" TargetMode="External"/><Relationship Id="rId4" Type="http://schemas.openxmlformats.org/officeDocument/2006/relationships/hyperlink" Target="https://www.jeugdzorgnederland.nl/actueel/akkoord-over-jeugdzorg-cao/" TargetMode="Externa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vgn.nl/cao-nieuws/nieuwe-salaristabellen-cao-gehandicaptenzorg" TargetMode="External"/><Relationship Id="rId7" Type="http://schemas.openxmlformats.org/officeDocument/2006/relationships/hyperlink" Target="https://www.lad.nl/wp-content/uploads/2022/04/Salaristabellen-Cao-Gehandicaptenzorg-2021-2024-1.pdf" TargetMode="External"/><Relationship Id="rId2" Type="http://schemas.openxmlformats.org/officeDocument/2006/relationships/hyperlink" Target="https://www.vgn.nl/system/files/2022-04/Salaristabellen%202021-2024.pdf" TargetMode="External"/><Relationship Id="rId1" Type="http://schemas.openxmlformats.org/officeDocument/2006/relationships/hyperlink" Target="https://www.vgn.nl/system/files/2022-04/Salaristabellen%202021-2024.pdf" TargetMode="External"/><Relationship Id="rId6" Type="http://schemas.openxmlformats.org/officeDocument/2006/relationships/hyperlink" Target="https://www.vgn.nl/cao-nieuws/nieuwe-salaristabellen-cao-gehandicaptenzorg" TargetMode="External"/><Relationship Id="rId5" Type="http://schemas.openxmlformats.org/officeDocument/2006/relationships/hyperlink" Target="https://www.vgn.nl/cao-nieuws/nieuwe-salaristabellen-cao-gehandicaptenzorg" TargetMode="External"/><Relationship Id="rId4" Type="http://schemas.openxmlformats.org/officeDocument/2006/relationships/hyperlink" Target="https://www.vgn.nl/cao-nieuws/nieuwe-salaristabellen-cao-gehandicaptenzorg" TargetMode="External"/></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jeugdzorg-werkt.nl/sites/fcb_jeugdzorg/files/2022-06/Bijlage-11-Functieboek-Cao-Jeugdzorg-2021-2023-compleet.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C97"/>
  <sheetViews>
    <sheetView tabSelected="1" zoomScale="140" zoomScaleNormal="140" workbookViewId="0">
      <pane xSplit="1" ySplit="3" topLeftCell="N4" activePane="bottomRight" state="frozen"/>
      <selection pane="topRight" activeCell="H25" sqref="H25"/>
      <selection pane="bottomLeft" activeCell="H25" sqref="H25"/>
      <selection pane="bottomRight" activeCell="AD9" sqref="AD9"/>
    </sheetView>
  </sheetViews>
  <sheetFormatPr defaultColWidth="9" defaultRowHeight="11.25" x14ac:dyDescent="0.2"/>
  <cols>
    <col min="1" max="1" width="37.140625" style="26" customWidth="1"/>
    <col min="2" max="2" width="25.42578125" style="26" customWidth="1"/>
    <col min="3" max="3" width="23.28515625" style="26" customWidth="1"/>
    <col min="4" max="4" width="21.140625" style="26" customWidth="1"/>
    <col min="5" max="5" width="4.85546875" style="1" customWidth="1"/>
    <col min="6" max="6" width="18.28515625" style="1" customWidth="1"/>
    <col min="7" max="7" width="12.85546875" style="1" customWidth="1"/>
    <col min="8" max="8" width="15.5703125" style="1" customWidth="1"/>
    <col min="9" max="9" width="14.85546875" style="1" customWidth="1"/>
    <col min="10" max="10" width="2" style="26" customWidth="1"/>
    <col min="11" max="11" width="19.85546875" style="26" customWidth="1"/>
    <col min="12" max="12" width="20.42578125" style="26" customWidth="1"/>
    <col min="13" max="13" width="19.7109375" style="26" customWidth="1"/>
    <col min="14" max="14" width="20.140625" style="26" customWidth="1"/>
    <col min="15" max="15" width="3.85546875" style="26" customWidth="1"/>
    <col min="16" max="16" width="17.42578125" style="26" customWidth="1"/>
    <col min="17" max="17" width="2.85546875" style="26" customWidth="1"/>
    <col min="18" max="18" width="16" style="26" customWidth="1"/>
    <col min="19" max="19" width="19.85546875" style="26" customWidth="1"/>
    <col min="20" max="20" width="14.7109375" style="26" customWidth="1"/>
    <col min="21" max="21" width="14.5703125" style="26" customWidth="1"/>
    <col min="22" max="22" width="5.5703125" style="1" customWidth="1"/>
    <col min="23" max="23" width="1.85546875" style="1" customWidth="1"/>
    <col min="24" max="24" width="10.85546875" style="1" hidden="1" customWidth="1"/>
    <col min="25" max="25" width="46.85546875" style="1" hidden="1" customWidth="1"/>
    <col min="26" max="26" width="1.85546875" style="1" hidden="1" customWidth="1"/>
    <col min="27" max="27" width="10.85546875" style="1" hidden="1" customWidth="1"/>
    <col min="28" max="28" width="46.85546875" style="1" hidden="1" customWidth="1"/>
    <col min="29" max="29" width="1.85546875" style="1" customWidth="1"/>
    <col min="30" max="16384" width="9" style="1"/>
  </cols>
  <sheetData>
    <row r="1" spans="1:29" ht="14.85" customHeight="1" x14ac:dyDescent="0.2">
      <c r="A1" s="24" t="s">
        <v>67</v>
      </c>
      <c r="B1" s="282" t="s">
        <v>68</v>
      </c>
      <c r="C1" s="282" t="s">
        <v>68</v>
      </c>
      <c r="D1" s="282" t="s">
        <v>68</v>
      </c>
      <c r="F1" s="275" t="s">
        <v>69</v>
      </c>
      <c r="G1" s="275" t="s">
        <v>69</v>
      </c>
      <c r="H1" s="275" t="s">
        <v>69</v>
      </c>
      <c r="I1" s="275" t="s">
        <v>69</v>
      </c>
      <c r="J1" s="177"/>
      <c r="K1" s="277" t="s">
        <v>70</v>
      </c>
      <c r="L1" s="277" t="s">
        <v>70</v>
      </c>
      <c r="M1" s="277" t="s">
        <v>70</v>
      </c>
      <c r="N1" s="277" t="s">
        <v>70</v>
      </c>
      <c r="O1" s="177"/>
      <c r="P1" s="279" t="s">
        <v>71</v>
      </c>
      <c r="Q1" s="24"/>
      <c r="R1" s="274" t="s">
        <v>72</v>
      </c>
      <c r="S1" s="274" t="s">
        <v>72</v>
      </c>
      <c r="T1" s="274" t="s">
        <v>72</v>
      </c>
      <c r="U1" s="274" t="s">
        <v>72</v>
      </c>
      <c r="X1" s="288" t="s">
        <v>73</v>
      </c>
      <c r="Y1" s="288"/>
      <c r="AA1" s="288" t="s">
        <v>73</v>
      </c>
      <c r="AB1" s="288"/>
    </row>
    <row r="2" spans="1:29" ht="22.9" customHeight="1" x14ac:dyDescent="0.2">
      <c r="A2" s="24" t="s">
        <v>74</v>
      </c>
      <c r="B2" s="283" t="s">
        <v>1</v>
      </c>
      <c r="C2" s="283" t="s">
        <v>3</v>
      </c>
      <c r="D2" s="283" t="s">
        <v>4</v>
      </c>
      <c r="F2" s="276" t="s">
        <v>5</v>
      </c>
      <c r="G2" s="276" t="s">
        <v>6</v>
      </c>
      <c r="H2" s="276" t="s">
        <v>7</v>
      </c>
      <c r="I2" s="276" t="s">
        <v>8</v>
      </c>
      <c r="J2" s="178"/>
      <c r="K2" s="278" t="s">
        <v>75</v>
      </c>
      <c r="L2" s="278" t="s">
        <v>10</v>
      </c>
      <c r="M2" s="278" t="s">
        <v>11</v>
      </c>
      <c r="N2" s="278" t="s">
        <v>76</v>
      </c>
      <c r="O2" s="178"/>
      <c r="P2" s="280" t="s">
        <v>77</v>
      </c>
      <c r="Q2" s="24"/>
      <c r="R2" s="281" t="s">
        <v>12</v>
      </c>
      <c r="S2" s="281" t="s">
        <v>78</v>
      </c>
      <c r="T2" s="281" t="s">
        <v>76</v>
      </c>
      <c r="U2" s="281" t="s">
        <v>9</v>
      </c>
      <c r="X2" s="289" t="s">
        <v>13</v>
      </c>
      <c r="Y2" s="289"/>
      <c r="AA2" s="289" t="s">
        <v>14</v>
      </c>
      <c r="AB2" s="289"/>
    </row>
    <row r="3" spans="1:29" x14ac:dyDescent="0.2">
      <c r="A3" s="1"/>
      <c r="B3" s="23" t="s">
        <v>79</v>
      </c>
      <c r="C3" s="23" t="s">
        <v>79</v>
      </c>
      <c r="D3" s="23" t="s">
        <v>79</v>
      </c>
      <c r="F3" s="197" t="s">
        <v>79</v>
      </c>
      <c r="G3" s="197" t="s">
        <v>79</v>
      </c>
      <c r="H3" s="197" t="s">
        <v>79</v>
      </c>
      <c r="I3" s="197" t="s">
        <v>79</v>
      </c>
      <c r="J3" s="179"/>
      <c r="K3" s="31" t="s">
        <v>79</v>
      </c>
      <c r="L3" s="31" t="s">
        <v>79</v>
      </c>
      <c r="M3" s="31" t="s">
        <v>79</v>
      </c>
      <c r="N3" s="31" t="s">
        <v>79</v>
      </c>
      <c r="O3" s="179"/>
      <c r="P3" s="196" t="s">
        <v>79</v>
      </c>
      <c r="Q3" s="1"/>
      <c r="R3" s="30" t="s">
        <v>79</v>
      </c>
      <c r="S3" s="30" t="s">
        <v>79</v>
      </c>
      <c r="T3" s="30" t="s">
        <v>79</v>
      </c>
      <c r="U3" s="30" t="s">
        <v>79</v>
      </c>
      <c r="X3" s="198" t="s">
        <v>79</v>
      </c>
      <c r="Y3" s="198" t="s">
        <v>23</v>
      </c>
      <c r="AA3" s="198" t="s">
        <v>79</v>
      </c>
      <c r="AB3" s="198" t="s">
        <v>23</v>
      </c>
    </row>
    <row r="4" spans="1:29" x14ac:dyDescent="0.2">
      <c r="A4" s="65" t="s">
        <v>80</v>
      </c>
      <c r="B4" s="27"/>
      <c r="C4" s="27"/>
      <c r="D4" s="27"/>
      <c r="E4" s="66"/>
      <c r="F4" s="27"/>
      <c r="G4" s="27"/>
      <c r="H4" s="27"/>
      <c r="I4" s="27"/>
      <c r="J4" s="180"/>
      <c r="K4" s="27"/>
      <c r="L4" s="27"/>
      <c r="M4" s="27"/>
      <c r="N4" s="27"/>
      <c r="O4" s="180"/>
      <c r="P4" s="27"/>
      <c r="Q4" s="65"/>
      <c r="R4" s="27"/>
      <c r="S4" s="27"/>
      <c r="T4" s="27"/>
      <c r="U4" s="27"/>
      <c r="V4" s="66"/>
      <c r="W4" s="66"/>
      <c r="X4" s="27"/>
      <c r="Y4" s="9"/>
      <c r="Z4" s="66"/>
      <c r="AA4" s="27"/>
      <c r="AB4" s="9"/>
      <c r="AC4" s="66"/>
    </row>
    <row r="5" spans="1:29" ht="11.45" customHeight="1" x14ac:dyDescent="0.2">
      <c r="A5" s="67" t="s">
        <v>24</v>
      </c>
      <c r="B5" s="3">
        <v>0</v>
      </c>
      <c r="C5" s="3"/>
      <c r="D5" s="3">
        <v>0</v>
      </c>
      <c r="E5" s="66"/>
      <c r="F5" s="3">
        <v>0</v>
      </c>
      <c r="G5" s="3">
        <v>0</v>
      </c>
      <c r="H5" s="3">
        <v>0</v>
      </c>
      <c r="I5" s="3">
        <v>0</v>
      </c>
      <c r="J5" s="180"/>
      <c r="K5" s="3">
        <v>0</v>
      </c>
      <c r="L5" s="3">
        <v>0</v>
      </c>
      <c r="M5" s="3">
        <v>0</v>
      </c>
      <c r="N5" s="3">
        <v>0</v>
      </c>
      <c r="O5" s="180"/>
      <c r="P5" s="3">
        <v>0</v>
      </c>
      <c r="Q5" s="67"/>
      <c r="R5" s="3">
        <v>0</v>
      </c>
      <c r="S5" s="3">
        <v>0</v>
      </c>
      <c r="T5" s="3">
        <v>0</v>
      </c>
      <c r="U5" s="3">
        <v>0</v>
      </c>
      <c r="V5" s="66"/>
      <c r="W5" s="66"/>
      <c r="X5" s="3">
        <v>0</v>
      </c>
      <c r="Y5" s="199"/>
      <c r="Z5" s="66"/>
      <c r="AA5" s="3">
        <v>0</v>
      </c>
      <c r="AB5" s="199"/>
      <c r="AC5" s="66"/>
    </row>
    <row r="6" spans="1:29" x14ac:dyDescent="0.2">
      <c r="A6" s="67" t="s">
        <v>29</v>
      </c>
      <c r="B6" s="3">
        <v>0</v>
      </c>
      <c r="C6" s="3"/>
      <c r="D6" s="3">
        <v>0</v>
      </c>
      <c r="E6" s="66"/>
      <c r="F6" s="3">
        <v>0</v>
      </c>
      <c r="G6" s="3">
        <v>0</v>
      </c>
      <c r="H6" s="3">
        <v>0</v>
      </c>
      <c r="I6" s="3">
        <v>0</v>
      </c>
      <c r="J6" s="180"/>
      <c r="K6" s="3">
        <v>0</v>
      </c>
      <c r="L6" s="3">
        <v>0</v>
      </c>
      <c r="M6" s="3">
        <v>0</v>
      </c>
      <c r="N6" s="3">
        <v>0</v>
      </c>
      <c r="O6" s="180"/>
      <c r="P6" s="3">
        <v>0</v>
      </c>
      <c r="Q6" s="67"/>
      <c r="R6" s="3">
        <v>0</v>
      </c>
      <c r="S6" s="3">
        <v>0</v>
      </c>
      <c r="T6" s="3">
        <v>0</v>
      </c>
      <c r="U6" s="3">
        <v>0</v>
      </c>
      <c r="V6" s="66"/>
      <c r="W6" s="66"/>
      <c r="X6" s="3">
        <v>0</v>
      </c>
      <c r="Y6" s="199"/>
      <c r="Z6" s="66"/>
      <c r="AA6" s="3">
        <v>0</v>
      </c>
      <c r="AB6" s="199"/>
      <c r="AC6" s="66"/>
    </row>
    <row r="7" spans="1:29" x14ac:dyDescent="0.2">
      <c r="A7" s="67" t="s">
        <v>35</v>
      </c>
      <c r="B7" s="3">
        <v>0</v>
      </c>
      <c r="C7" s="3"/>
      <c r="D7" s="3">
        <v>0</v>
      </c>
      <c r="E7" s="66"/>
      <c r="F7" s="3">
        <v>0.9</v>
      </c>
      <c r="G7" s="3">
        <v>0</v>
      </c>
      <c r="H7" s="3">
        <v>0.5</v>
      </c>
      <c r="I7" s="3">
        <v>0.18</v>
      </c>
      <c r="J7" s="181"/>
      <c r="K7" s="3">
        <v>0.45</v>
      </c>
      <c r="L7" s="3">
        <v>0</v>
      </c>
      <c r="M7" s="3">
        <v>0</v>
      </c>
      <c r="N7" s="3">
        <v>0</v>
      </c>
      <c r="O7" s="181"/>
      <c r="P7" s="3">
        <v>0</v>
      </c>
      <c r="Q7" s="67"/>
      <c r="R7" s="3">
        <v>0</v>
      </c>
      <c r="S7" s="3">
        <v>0</v>
      </c>
      <c r="T7" s="3">
        <v>0</v>
      </c>
      <c r="U7" s="3">
        <v>0</v>
      </c>
      <c r="V7" s="66"/>
      <c r="W7" s="66"/>
      <c r="X7" s="3">
        <v>0.5</v>
      </c>
      <c r="Y7" s="200" t="s">
        <v>82</v>
      </c>
      <c r="Z7" s="66"/>
      <c r="AA7" s="3">
        <v>0.5</v>
      </c>
      <c r="AB7" s="200" t="s">
        <v>82</v>
      </c>
      <c r="AC7" s="66"/>
    </row>
    <row r="8" spans="1:29" x14ac:dyDescent="0.2">
      <c r="A8" s="67" t="s">
        <v>39</v>
      </c>
      <c r="B8" s="3">
        <v>0</v>
      </c>
      <c r="C8" s="3">
        <v>0.66700000000000004</v>
      </c>
      <c r="D8" s="3">
        <v>0</v>
      </c>
      <c r="E8" s="66"/>
      <c r="F8" s="3">
        <v>0.1</v>
      </c>
      <c r="G8" s="3">
        <v>0.44</v>
      </c>
      <c r="H8" s="3">
        <v>0.5</v>
      </c>
      <c r="I8" s="3">
        <v>0.55000000000000004</v>
      </c>
      <c r="J8" s="181"/>
      <c r="K8" s="3">
        <v>0</v>
      </c>
      <c r="L8" s="3">
        <v>0.2</v>
      </c>
      <c r="M8" s="5">
        <v>0.1</v>
      </c>
      <c r="N8" s="5">
        <v>0.05</v>
      </c>
      <c r="O8" s="181"/>
      <c r="P8" s="5">
        <v>0</v>
      </c>
      <c r="Q8" s="67"/>
      <c r="R8" s="5">
        <v>0.15</v>
      </c>
      <c r="S8" s="3">
        <v>0.05</v>
      </c>
      <c r="T8" s="3">
        <v>0.05</v>
      </c>
      <c r="U8" s="3">
        <v>0.15</v>
      </c>
      <c r="V8" s="66"/>
      <c r="W8" s="66"/>
      <c r="X8" s="3">
        <v>0.5</v>
      </c>
      <c r="Y8" s="200" t="s">
        <v>82</v>
      </c>
      <c r="Z8" s="66"/>
      <c r="AA8" s="3">
        <v>0.5</v>
      </c>
      <c r="AB8" s="200" t="s">
        <v>82</v>
      </c>
      <c r="AC8" s="66"/>
    </row>
    <row r="9" spans="1:29" x14ac:dyDescent="0.2">
      <c r="A9" s="4" t="s">
        <v>45</v>
      </c>
      <c r="B9" s="5">
        <v>0.8</v>
      </c>
      <c r="C9" s="5">
        <v>0</v>
      </c>
      <c r="D9" s="5">
        <v>0.93</v>
      </c>
      <c r="E9" s="66"/>
      <c r="F9" s="5">
        <v>0</v>
      </c>
      <c r="G9" s="5">
        <v>0.44</v>
      </c>
      <c r="H9" s="5">
        <v>0</v>
      </c>
      <c r="I9" s="5">
        <v>0.13</v>
      </c>
      <c r="J9" s="181"/>
      <c r="K9" s="3">
        <v>0.45</v>
      </c>
      <c r="L9" s="3">
        <v>0.1</v>
      </c>
      <c r="M9" s="5">
        <v>0.2</v>
      </c>
      <c r="N9" s="5">
        <v>0.1</v>
      </c>
      <c r="O9" s="181"/>
      <c r="P9" s="5">
        <v>0.1</v>
      </c>
      <c r="Q9" s="4"/>
      <c r="R9" s="5">
        <v>0.05</v>
      </c>
      <c r="S9" s="5">
        <v>0.1</v>
      </c>
      <c r="T9" s="5">
        <v>0.1</v>
      </c>
      <c r="U9" s="5">
        <v>0</v>
      </c>
      <c r="V9" s="66"/>
      <c r="W9" s="66"/>
      <c r="X9" s="5">
        <v>0</v>
      </c>
      <c r="Y9" s="199"/>
      <c r="Z9" s="66"/>
      <c r="AA9" s="5">
        <v>0</v>
      </c>
      <c r="AB9" s="199"/>
      <c r="AC9" s="66"/>
    </row>
    <row r="10" spans="1:29" x14ac:dyDescent="0.2">
      <c r="A10" s="4" t="s">
        <v>49</v>
      </c>
      <c r="B10" s="5">
        <v>0</v>
      </c>
      <c r="C10" s="5">
        <v>0.25</v>
      </c>
      <c r="D10" s="5">
        <v>0</v>
      </c>
      <c r="E10" s="66"/>
      <c r="F10" s="5">
        <v>0</v>
      </c>
      <c r="G10" s="5">
        <v>0</v>
      </c>
      <c r="H10" s="5">
        <v>0</v>
      </c>
      <c r="I10" s="5">
        <v>0.12</v>
      </c>
      <c r="J10" s="181"/>
      <c r="K10" s="5">
        <v>0.03</v>
      </c>
      <c r="L10" s="5">
        <v>0.4</v>
      </c>
      <c r="M10" s="5">
        <v>0.35</v>
      </c>
      <c r="N10" s="5">
        <v>0.55000000000000004</v>
      </c>
      <c r="O10" s="181"/>
      <c r="P10" s="5">
        <v>0.8</v>
      </c>
      <c r="Q10" s="4"/>
      <c r="R10" s="5">
        <v>0.55000000000000004</v>
      </c>
      <c r="S10" s="5">
        <v>0.55000000000000004</v>
      </c>
      <c r="T10" s="5">
        <v>0.55000000000000004</v>
      </c>
      <c r="U10" s="5">
        <v>0.55000000000000004</v>
      </c>
      <c r="V10" s="66"/>
      <c r="W10" s="66"/>
      <c r="X10" s="5">
        <v>0</v>
      </c>
      <c r="Y10" s="199"/>
      <c r="Z10" s="66"/>
      <c r="AA10" s="5">
        <v>0</v>
      </c>
      <c r="AB10" s="199"/>
      <c r="AC10" s="66"/>
    </row>
    <row r="11" spans="1:29" x14ac:dyDescent="0.2">
      <c r="A11" s="4" t="s">
        <v>54</v>
      </c>
      <c r="B11" s="5">
        <v>0.2</v>
      </c>
      <c r="C11" s="5">
        <v>0.05</v>
      </c>
      <c r="D11" s="5">
        <v>7.0000000000000007E-2</v>
      </c>
      <c r="E11" s="66"/>
      <c r="F11" s="5">
        <v>0</v>
      </c>
      <c r="G11" s="5">
        <v>0.12</v>
      </c>
      <c r="H11" s="5">
        <v>0</v>
      </c>
      <c r="I11" s="5">
        <v>0.02</v>
      </c>
      <c r="J11" s="181"/>
      <c r="K11" s="5">
        <v>7.0000000000000007E-2</v>
      </c>
      <c r="L11" s="5">
        <v>0.3</v>
      </c>
      <c r="M11" s="5">
        <v>0.3</v>
      </c>
      <c r="N11" s="5">
        <v>0.25</v>
      </c>
      <c r="O11" s="181"/>
      <c r="P11" s="5">
        <v>0.1</v>
      </c>
      <c r="Q11" s="4"/>
      <c r="R11" s="5">
        <v>0.25</v>
      </c>
      <c r="S11" s="5">
        <v>0.25</v>
      </c>
      <c r="T11" s="5">
        <v>0.25</v>
      </c>
      <c r="U11" s="5">
        <v>0.3</v>
      </c>
      <c r="V11" s="66"/>
      <c r="W11" s="66"/>
      <c r="X11" s="5">
        <v>0</v>
      </c>
      <c r="Y11" s="199"/>
      <c r="Z11" s="66"/>
      <c r="AA11" s="5">
        <v>0</v>
      </c>
      <c r="AB11" s="199"/>
      <c r="AC11" s="66"/>
    </row>
    <row r="12" spans="1:29" x14ac:dyDescent="0.2">
      <c r="A12" s="4" t="s">
        <v>58</v>
      </c>
      <c r="B12" s="5">
        <v>0</v>
      </c>
      <c r="C12" s="5">
        <v>0.03</v>
      </c>
      <c r="D12" s="5">
        <v>0</v>
      </c>
      <c r="E12" s="66"/>
      <c r="F12" s="5">
        <v>0</v>
      </c>
      <c r="G12" s="5">
        <v>0</v>
      </c>
      <c r="H12" s="5">
        <v>0</v>
      </c>
      <c r="I12" s="5">
        <v>0</v>
      </c>
      <c r="J12" s="181"/>
      <c r="K12" s="5">
        <v>0</v>
      </c>
      <c r="L12" s="5">
        <v>0</v>
      </c>
      <c r="M12" s="5">
        <v>0.05</v>
      </c>
      <c r="N12" s="5">
        <v>0.05</v>
      </c>
      <c r="O12" s="181"/>
      <c r="P12" s="5">
        <v>0</v>
      </c>
      <c r="Q12" s="4"/>
      <c r="R12" s="5">
        <v>0</v>
      </c>
      <c r="S12" s="5">
        <v>0.05</v>
      </c>
      <c r="T12" s="5">
        <v>0.05</v>
      </c>
      <c r="U12" s="5">
        <v>0</v>
      </c>
      <c r="V12" s="66"/>
      <c r="W12" s="66"/>
      <c r="X12" s="5">
        <v>0</v>
      </c>
      <c r="Y12" s="199"/>
      <c r="Z12" s="66"/>
      <c r="AA12" s="5">
        <v>0</v>
      </c>
      <c r="AB12" s="199"/>
      <c r="AC12" s="66"/>
    </row>
    <row r="13" spans="1:29" x14ac:dyDescent="0.2">
      <c r="A13" s="67"/>
      <c r="B13" s="6">
        <f>IF(SUM(B$5:B$12)=0,"",SUM(B$5:B$12))</f>
        <v>1</v>
      </c>
      <c r="C13" s="6">
        <f>IF(SUM(C$5:C$12)=0,"",SUM(C$5:C$12))</f>
        <v>0.99700000000000011</v>
      </c>
      <c r="D13" s="6">
        <f>IF(SUM(D$5:D$12)=0,"",SUM(D$5:D$12))</f>
        <v>1</v>
      </c>
      <c r="E13" s="66"/>
      <c r="F13" s="6">
        <f>IF(SUM(F$5:F$12)=0,"",SUM(F$5:F$12))</f>
        <v>1</v>
      </c>
      <c r="G13" s="6">
        <f>IF(SUM(G$5:G$12)=0,"",SUM(G$5:G$12))</f>
        <v>1</v>
      </c>
      <c r="H13" s="6">
        <f>IF(SUM(H$5:H$12)=0,"",SUM(H$5:H$12))</f>
        <v>1</v>
      </c>
      <c r="I13" s="6">
        <f>IF(SUM(I$5:I$12)=0,"",SUM(I$5:I$12))</f>
        <v>1</v>
      </c>
      <c r="J13" s="182"/>
      <c r="K13" s="6">
        <f>IF(SUM(K$5:K$12)=0,"",SUM(K$5:K$12))</f>
        <v>1</v>
      </c>
      <c r="L13" s="6">
        <f>IF(SUM(L$5:L$12)=0,"",SUM(L$5:L$12))</f>
        <v>1</v>
      </c>
      <c r="M13" s="6">
        <f>IF(SUM(M$5:M$12)=0,"",SUM(M$5:M$12))</f>
        <v>1</v>
      </c>
      <c r="N13" s="6">
        <f>IF(SUM(N$5:N$12)=0,"",SUM(N$5:N$12))</f>
        <v>1</v>
      </c>
      <c r="O13" s="182"/>
      <c r="P13" s="6">
        <f>IF(SUM(P$5:P$12)=0,"",SUM(P$5:P$12))</f>
        <v>1</v>
      </c>
      <c r="Q13" s="67"/>
      <c r="R13" s="6">
        <f>IF(SUM(R$5:R$12)=0,"",SUM(R$5:R$12))</f>
        <v>1</v>
      </c>
      <c r="S13" s="6">
        <f>IF(SUM(S$5:S$12)=0,"",SUM(S$5:S$12))</f>
        <v>1</v>
      </c>
      <c r="T13" s="6">
        <f>IF(SUM(T$5:T$12)=0,"",SUM(T$5:T$12))</f>
        <v>1</v>
      </c>
      <c r="U13" s="6">
        <f>IF(SUM(U$5:U$12)=0,"",SUM(U$5:U$12))</f>
        <v>1</v>
      </c>
      <c r="V13" s="66"/>
      <c r="W13" s="66"/>
      <c r="X13" s="6">
        <f>IF(SUM(X$5:X$12)=0,"",SUM(X$5:X$12))</f>
        <v>1</v>
      </c>
      <c r="Y13" s="7" t="s">
        <v>83</v>
      </c>
      <c r="Z13" s="66"/>
      <c r="AA13" s="6">
        <f>IF(SUM(AA$5:AA$12)=0,"",SUM(AA$5:AA$12))</f>
        <v>1</v>
      </c>
      <c r="AB13" s="7" t="s">
        <v>83</v>
      </c>
      <c r="AC13" s="66"/>
    </row>
    <row r="14" spans="1:29" x14ac:dyDescent="0.2">
      <c r="A14" s="65" t="s">
        <v>84</v>
      </c>
      <c r="B14" s="8"/>
      <c r="C14" s="8"/>
      <c r="D14" s="8"/>
      <c r="E14" s="66"/>
      <c r="F14" s="8"/>
      <c r="G14" s="8"/>
      <c r="H14" s="8"/>
      <c r="I14" s="8"/>
      <c r="J14" s="180"/>
      <c r="K14" s="8"/>
      <c r="L14" s="8"/>
      <c r="M14" s="8"/>
      <c r="N14" s="8"/>
      <c r="O14" s="180"/>
      <c r="P14" s="8"/>
      <c r="Q14" s="65"/>
      <c r="R14" s="8"/>
      <c r="S14" s="8"/>
      <c r="T14" s="8"/>
      <c r="U14" s="8"/>
      <c r="V14" s="66"/>
      <c r="W14" s="66"/>
      <c r="X14" s="8"/>
      <c r="Y14" s="9"/>
      <c r="Z14" s="66"/>
      <c r="AA14" s="8"/>
      <c r="AB14" s="9"/>
      <c r="AC14" s="66"/>
    </row>
    <row r="15" spans="1:29" x14ac:dyDescent="0.2">
      <c r="A15" s="67" t="s">
        <v>85</v>
      </c>
      <c r="B15" s="5" t="s">
        <v>86</v>
      </c>
      <c r="C15" s="5" t="s">
        <v>86</v>
      </c>
      <c r="D15" s="5" t="s">
        <v>86</v>
      </c>
      <c r="E15" s="66"/>
      <c r="F15" s="10" t="s">
        <v>86</v>
      </c>
      <c r="G15" s="10" t="s">
        <v>86</v>
      </c>
      <c r="H15" s="10" t="s">
        <v>86</v>
      </c>
      <c r="I15" s="10" t="s">
        <v>86</v>
      </c>
      <c r="J15" s="181"/>
      <c r="K15" s="10" t="s">
        <v>87</v>
      </c>
      <c r="L15" s="10" t="s">
        <v>87</v>
      </c>
      <c r="M15" s="10" t="s">
        <v>87</v>
      </c>
      <c r="N15" s="10" t="s">
        <v>88</v>
      </c>
      <c r="O15" s="181"/>
      <c r="P15" s="10" t="s">
        <v>88</v>
      </c>
      <c r="Q15" s="67"/>
      <c r="R15" s="10" t="s">
        <v>88</v>
      </c>
      <c r="S15" s="10" t="s">
        <v>88</v>
      </c>
      <c r="T15" s="10" t="s">
        <v>88</v>
      </c>
      <c r="U15" s="10" t="s">
        <v>88</v>
      </c>
      <c r="V15" s="66"/>
      <c r="W15" s="66"/>
      <c r="X15" s="10" t="s">
        <v>86</v>
      </c>
      <c r="Y15" s="200"/>
      <c r="Z15" s="66"/>
      <c r="AA15" s="10" t="s">
        <v>86</v>
      </c>
      <c r="AB15" s="200"/>
      <c r="AC15" s="66"/>
    </row>
    <row r="16" spans="1:29" x14ac:dyDescent="0.2">
      <c r="A16" s="11"/>
      <c r="B16" s="68"/>
      <c r="C16" s="68"/>
      <c r="D16" s="68"/>
      <c r="E16" s="66"/>
      <c r="F16" s="68"/>
      <c r="G16" s="68"/>
      <c r="H16" s="68"/>
      <c r="I16" s="68"/>
      <c r="J16" s="183"/>
      <c r="K16" s="68"/>
      <c r="L16" s="68"/>
      <c r="M16" s="68"/>
      <c r="N16" s="68"/>
      <c r="O16" s="183"/>
      <c r="P16" s="68"/>
      <c r="Q16" s="11"/>
      <c r="R16" s="68"/>
      <c r="S16" s="68"/>
      <c r="T16" s="68"/>
      <c r="U16" s="68"/>
      <c r="V16" s="66"/>
      <c r="W16" s="66"/>
      <c r="X16" s="68"/>
      <c r="Y16" s="68"/>
      <c r="Z16" s="66"/>
      <c r="AA16" s="68"/>
      <c r="AB16" s="68"/>
      <c r="AC16" s="66"/>
    </row>
    <row r="17" spans="1:29" ht="22.5" x14ac:dyDescent="0.2">
      <c r="A17" s="65" t="s">
        <v>63</v>
      </c>
      <c r="B17" s="8"/>
      <c r="C17" s="8"/>
      <c r="D17" s="8"/>
      <c r="E17" s="66"/>
      <c r="F17" s="8"/>
      <c r="G17" s="8"/>
      <c r="H17" s="8"/>
      <c r="I17" s="8"/>
      <c r="J17" s="183"/>
      <c r="K17" s="8"/>
      <c r="L17" s="8"/>
      <c r="M17" s="8"/>
      <c r="N17" s="8"/>
      <c r="O17" s="183"/>
      <c r="P17" s="8"/>
      <c r="Q17" s="65"/>
      <c r="R17" s="8"/>
      <c r="S17" s="8"/>
      <c r="T17" s="8"/>
      <c r="U17" s="8"/>
      <c r="V17" s="66"/>
      <c r="W17" s="66"/>
      <c r="X17" s="8"/>
      <c r="Y17" s="68"/>
      <c r="Z17" s="66"/>
      <c r="AA17" s="8"/>
      <c r="AB17" s="68"/>
      <c r="AC17" s="66"/>
    </row>
    <row r="18" spans="1:29" x14ac:dyDescent="0.2">
      <c r="A18" s="67" t="s">
        <v>24</v>
      </c>
      <c r="B18" s="21">
        <f>IFERROR(IF(B$15="JZ",Inschaling!$B13,IF(B$15="GGZ",Inschaling!$H13,IF(Kostprijsmodel!B$15="GHZ",Inschaling!$N13,IF(Kostprijsmodel!B$15="SW",Inschaling!#REF!,"")))),"")</f>
        <v>3080.6258742</v>
      </c>
      <c r="C18" s="21">
        <f>IFERROR(IF(C$15="JZ",Inschaling!$B13,IF(C$15="GGZ",Inschaling!$H13,IF(Kostprijsmodel!C$15="GHZ",Inschaling!$N13,IF(Kostprijsmodel!C$15="SW",Inschaling!#REF!,"")))),"")</f>
        <v>3080.6258742</v>
      </c>
      <c r="D18" s="21">
        <f>IFERROR(IF(D$15="JZ",Inschaling!$B13,IF(D$15="GGZ",Inschaling!$H13,IF(Kostprijsmodel!D$15="GHZ",Inschaling!$N13,IF(Kostprijsmodel!D$15="SW",Inschaling!#REF!,"")))),"")</f>
        <v>3080.6258742</v>
      </c>
      <c r="E18" s="66"/>
      <c r="F18" s="21">
        <f>IFERROR(IF(F$15="JZ",Inschaling!$B13,IF(F$15="GGZ",Inschaling!$H13,IF(Kostprijsmodel!F$15="GHZ",Inschaling!$N13,IF(Kostprijsmodel!F$15="SW",Inschaling!#REF!,"")))),"")</f>
        <v>3080.6258742</v>
      </c>
      <c r="G18" s="21">
        <f>IFERROR(IF(G$15="JZ",Inschaling!$B13,IF(G$15="GGZ",Inschaling!$H13,IF(Kostprijsmodel!G$15="GHZ",Inschaling!$N13,IF(Kostprijsmodel!G$15="SW",Inschaling!#REF!,"")))),"")</f>
        <v>3080.6258742</v>
      </c>
      <c r="H18" s="21">
        <f>IFERROR(IF(H$15="JZ",Inschaling!$B13,IF(H$15="GGZ",Inschaling!$H13,IF(Kostprijsmodel!H$15="GHZ",Inschaling!$N13,IF(Kostprijsmodel!H$15="SW",Inschaling!#REF!,"")))),"")</f>
        <v>3080.6258742</v>
      </c>
      <c r="I18" s="21">
        <f>IFERROR(IF(I$15="JZ",Inschaling!$B13,IF(I$15="GGZ",Inschaling!$H13,IF(Kostprijsmodel!I$15="GHZ",Inschaling!$N13,IF(Kostprijsmodel!I$15="SW",Inschaling!#REF!,"")))),"")</f>
        <v>3080.6258742</v>
      </c>
      <c r="J18" s="184"/>
      <c r="K18" s="21">
        <f>IFERROR(IF(K$15="JZ",Inschaling!$B13,IF(K$15="GGZ",Inschaling!$H13,IF(Kostprijsmodel!K$15="GHZ",Inschaling!$N13,IF(Kostprijsmodel!K$15="SW",Inschaling!#REF!,"")))),"")</f>
        <v>2743.2675000000004</v>
      </c>
      <c r="L18" s="21">
        <f>IFERROR(IF(L$15="JZ",Inschaling!$B13,IF(L$15="GGZ",Inschaling!$H13,IF(Kostprijsmodel!L$15="GHZ",Inschaling!$N13,IF(Kostprijsmodel!L$15="SW",Inschaling!#REF!,"")))),"")</f>
        <v>2743.2675000000004</v>
      </c>
      <c r="M18" s="21">
        <f>IFERROR(IF(M$15="JZ",Inschaling!$B13,IF(M$15="GGZ",Inschaling!$H13,IF(Kostprijsmodel!M$15="GHZ",Inschaling!$N13,IF(Kostprijsmodel!M$15="SW",Inschaling!#REF!,"")))),"")</f>
        <v>2743.2675000000004</v>
      </c>
      <c r="N18" s="21">
        <f>IFERROR(IF(N$15="JZ",Inschaling!$B13,IF(N$15="GGZ",Inschaling!$H13,IF(Kostprijsmodel!N$15="GHZ",Inschaling!$N13,IF(Kostprijsmodel!N$15="SW",Inschaling!#REF!,"")))),"")</f>
        <v>2311.5243000000005</v>
      </c>
      <c r="O18" s="184"/>
      <c r="P18" s="21">
        <f>IFERROR(IF(P$15="JZ",Inschaling!$B13,IF(P$15="GGZ",Inschaling!$H13,IF(Kostprijsmodel!P$15="GHZ",Inschaling!$N13,IF(Kostprijsmodel!P$15="SW",Inschaling!#REF!,"")))),"")</f>
        <v>2311.5243000000005</v>
      </c>
      <c r="Q18" s="67"/>
      <c r="R18" s="21">
        <f>IFERROR(IF(R$15="JZ",Inschaling!$B13,IF(R$15="GGZ",Inschaling!$H13,IF(Kostprijsmodel!R$15="GHZ",Inschaling!$N13,IF(Kostprijsmodel!R$15="SW",Inschaling!#REF!,"")))),"")</f>
        <v>2311.5243000000005</v>
      </c>
      <c r="S18" s="21">
        <f>IFERROR(IF(S$15="JZ",Inschaling!$B13,IF(S$15="GGZ",Inschaling!$H13,IF(Kostprijsmodel!S$15="GHZ",Inschaling!$N13,IF(Kostprijsmodel!S$15="SW",Inschaling!#REF!,"")))),"")</f>
        <v>2311.5243000000005</v>
      </c>
      <c r="T18" s="21">
        <f>IFERROR(IF(T$15="JZ",Inschaling!$B13,IF(T$15="GGZ",Inschaling!$H13,IF(Kostprijsmodel!T$15="GHZ",Inschaling!$N13,IF(Kostprijsmodel!T$15="SW",Inschaling!#REF!,"")))),"")</f>
        <v>2311.5243000000005</v>
      </c>
      <c r="U18" s="21">
        <f>IFERROR(IF(U$15="JZ",Inschaling!$B13,IF(U$15="GGZ",Inschaling!$H13,IF(Kostprijsmodel!U$15="GHZ",Inschaling!$N13,IF(Kostprijsmodel!U$15="SW",Inschaling!#REF!,"")))),"")</f>
        <v>2311.5243000000005</v>
      </c>
      <c r="V18" s="66"/>
      <c r="W18" s="66"/>
      <c r="X18" s="21">
        <f>IFERROR(IF(X$15="JZ",Inschaling!$B13,IF(X$15="GGZ",Inschaling!$H13,IF(Kostprijsmodel!X$15="GHZ",Inschaling!$N13,IF(Kostprijsmodel!X$15="SW",Inschaling!#REF!,"")))),"")</f>
        <v>3080.6258742</v>
      </c>
      <c r="Y18" s="6"/>
      <c r="Z18" s="66"/>
      <c r="AA18" s="21">
        <f>IFERROR(IF(AA$15="JZ",Inschaling!$B13,IF(AA$15="GGZ",Inschaling!$H13,IF(Kostprijsmodel!AA$15="GHZ",Inschaling!$N13,IF(Kostprijsmodel!AA$15="SW",Inschaling!#REF!,"")))),"")</f>
        <v>3080.6258742</v>
      </c>
      <c r="AB18" s="6"/>
      <c r="AC18" s="66"/>
    </row>
    <row r="19" spans="1:29" x14ac:dyDescent="0.2">
      <c r="A19" s="67" t="s">
        <v>29</v>
      </c>
      <c r="B19" s="21">
        <f>IFERROR(IF(B$15="JZ",Inschaling!$B14,IF(B$15="GGZ",Inschaling!$H14,IF(Kostprijsmodel!B$15="GHZ",Inschaling!$N14,IF(Kostprijsmodel!B$15="SW",Inschaling!#REF!,"")))),"")</f>
        <v>3321.3389343750005</v>
      </c>
      <c r="C19" s="21">
        <f>IFERROR(IF(C$15="JZ",Inschaling!$B14,IF(C$15="GGZ",Inschaling!$H14,IF(Kostprijsmodel!C$15="GHZ",Inschaling!$N14,IF(Kostprijsmodel!C$15="SW",Inschaling!#REF!,"")))),"")</f>
        <v>3321.3389343750005</v>
      </c>
      <c r="D19" s="21">
        <f>IFERROR(IF(D$15="JZ",Inschaling!$B14,IF(D$15="GGZ",Inschaling!$H14,IF(Kostprijsmodel!D$15="GHZ",Inschaling!$N14,IF(Kostprijsmodel!D$15="SW",Inschaling!#REF!,"")))),"")</f>
        <v>3321.3389343750005</v>
      </c>
      <c r="E19" s="66"/>
      <c r="F19" s="21">
        <f>IFERROR(IF(F$15="JZ",Inschaling!$B14,IF(F$15="GGZ",Inschaling!$H14,IF(Kostprijsmodel!F$15="GHZ",Inschaling!$N14,IF(Kostprijsmodel!F$15="SW",Inschaling!#REF!,"")))),"")</f>
        <v>3321.3389343750005</v>
      </c>
      <c r="G19" s="21">
        <f>IFERROR(IF(G$15="JZ",Inschaling!$B14,IF(G$15="GGZ",Inschaling!$H14,IF(Kostprijsmodel!G$15="GHZ",Inschaling!$N14,IF(Kostprijsmodel!G$15="SW",Inschaling!#REF!,"")))),"")</f>
        <v>3321.3389343750005</v>
      </c>
      <c r="H19" s="21">
        <f>IFERROR(IF(H$15="JZ",Inschaling!$B14,IF(H$15="GGZ",Inschaling!$H14,IF(Kostprijsmodel!H$15="GHZ",Inschaling!$N14,IF(Kostprijsmodel!H$15="SW",Inschaling!#REF!,"")))),"")</f>
        <v>3321.3389343750005</v>
      </c>
      <c r="I19" s="21">
        <f>IFERROR(IF(I$15="JZ",Inschaling!$B14,IF(I$15="GGZ",Inschaling!$H14,IF(Kostprijsmodel!I$15="GHZ",Inschaling!$N14,IF(Kostprijsmodel!I$15="SW",Inschaling!#REF!,"")))),"")</f>
        <v>3321.3389343750005</v>
      </c>
      <c r="J19" s="184"/>
      <c r="K19" s="21">
        <f>IFERROR(IF(K$15="JZ",Inschaling!$B14,IF(K$15="GGZ",Inschaling!$H14,IF(Kostprijsmodel!K$15="GHZ",Inschaling!$N14,IF(Kostprijsmodel!K$15="SW",Inschaling!#REF!,"")))),"")</f>
        <v>2997.3512500000002</v>
      </c>
      <c r="L19" s="21">
        <f>IFERROR(IF(L$15="JZ",Inschaling!$B14,IF(L$15="GGZ",Inschaling!$H14,IF(Kostprijsmodel!L$15="GHZ",Inschaling!$N14,IF(Kostprijsmodel!L$15="SW",Inschaling!#REF!,"")))),"")</f>
        <v>2997.3512500000002</v>
      </c>
      <c r="M19" s="21">
        <f>IFERROR(IF(M$15="JZ",Inschaling!$B14,IF(M$15="GGZ",Inschaling!$H14,IF(Kostprijsmodel!M$15="GHZ",Inschaling!$N14,IF(Kostprijsmodel!M$15="SW",Inschaling!#REF!,"")))),"")</f>
        <v>2997.3512500000002</v>
      </c>
      <c r="N19" s="21">
        <f>IFERROR(IF(N$15="JZ",Inschaling!$B14,IF(N$15="GGZ",Inschaling!$H14,IF(Kostprijsmodel!N$15="GHZ",Inschaling!$N14,IF(Kostprijsmodel!N$15="SW",Inschaling!#REF!,"")))),"")</f>
        <v>3237.1129999999998</v>
      </c>
      <c r="O19" s="184"/>
      <c r="P19" s="21">
        <f>IFERROR(IF(P$15="JZ",Inschaling!$B14,IF(P$15="GGZ",Inschaling!$H14,IF(Kostprijsmodel!P$15="GHZ",Inschaling!$N14,IF(Kostprijsmodel!P$15="SW",Inschaling!#REF!,"")))),"")</f>
        <v>3237.1129999999998</v>
      </c>
      <c r="Q19" s="67"/>
      <c r="R19" s="21">
        <f>IFERROR(IF(R$15="JZ",Inschaling!$B14,IF(R$15="GGZ",Inschaling!$H14,IF(Kostprijsmodel!R$15="GHZ",Inschaling!$N14,IF(Kostprijsmodel!R$15="SW",Inschaling!#REF!,"")))),"")</f>
        <v>3237.1129999999998</v>
      </c>
      <c r="S19" s="21">
        <f>IFERROR(IF(S$15="JZ",Inschaling!$B14,IF(S$15="GGZ",Inschaling!$H14,IF(Kostprijsmodel!S$15="GHZ",Inschaling!$N14,IF(Kostprijsmodel!S$15="SW",Inschaling!#REF!,"")))),"")</f>
        <v>3237.1129999999998</v>
      </c>
      <c r="T19" s="21">
        <f>IFERROR(IF(T$15="JZ",Inschaling!$B14,IF(T$15="GGZ",Inschaling!$H14,IF(Kostprijsmodel!T$15="GHZ",Inschaling!$N14,IF(Kostprijsmodel!T$15="SW",Inschaling!#REF!,"")))),"")</f>
        <v>3237.1129999999998</v>
      </c>
      <c r="U19" s="21">
        <f>IFERROR(IF(U$15="JZ",Inschaling!$B14,IF(U$15="GGZ",Inschaling!$H14,IF(Kostprijsmodel!U$15="GHZ",Inschaling!$N14,IF(Kostprijsmodel!U$15="SW",Inschaling!#REF!,"")))),"")</f>
        <v>3237.1129999999998</v>
      </c>
      <c r="V19" s="66"/>
      <c r="W19" s="66"/>
      <c r="X19" s="21">
        <f>IFERROR(IF(X$15="JZ",Inschaling!$B14,IF(X$15="GGZ",Inschaling!$H14,IF(Kostprijsmodel!X$15="GHZ",Inschaling!$N14,IF(Kostprijsmodel!X$15="SW",Inschaling!#REF!,"")))),"")</f>
        <v>3321.3389343750005</v>
      </c>
      <c r="Y19" s="6"/>
      <c r="Z19" s="66"/>
      <c r="AA19" s="21">
        <f>IFERROR(IF(AA$15="JZ",Inschaling!$B14,IF(AA$15="GGZ",Inschaling!$H14,IF(Kostprijsmodel!AA$15="GHZ",Inschaling!$N14,IF(Kostprijsmodel!AA$15="SW",Inschaling!#REF!,"")))),"")</f>
        <v>3321.3389343750005</v>
      </c>
      <c r="AB19" s="6"/>
      <c r="AC19" s="66"/>
    </row>
    <row r="20" spans="1:29" x14ac:dyDescent="0.2">
      <c r="A20" s="67" t="s">
        <v>35</v>
      </c>
      <c r="B20" s="21">
        <f>IFERROR(IF(B$15="JZ",Inschaling!$B15,IF(B$15="GGZ",Inschaling!$H15,IF(Kostprijsmodel!B$15="GHZ",Inschaling!$N15,IF(Kostprijsmodel!B$15="SW",Inschaling!#REF!,"")))),"")</f>
        <v>3593.2819293000007</v>
      </c>
      <c r="C20" s="21">
        <f>IFERROR(IF(C$15="JZ",Inschaling!$B15,IF(C$15="GGZ",Inschaling!$H15,IF(Kostprijsmodel!C$15="GHZ",Inschaling!$N15,IF(Kostprijsmodel!C$15="SW",Inschaling!#REF!,"")))),"")</f>
        <v>3593.2819293000007</v>
      </c>
      <c r="D20" s="21">
        <f>IFERROR(IF(D$15="JZ",Inschaling!$B15,IF(D$15="GGZ",Inschaling!$H15,IF(Kostprijsmodel!D$15="GHZ",Inschaling!$N15,IF(Kostprijsmodel!D$15="SW",Inschaling!#REF!,"")))),"")</f>
        <v>3593.2819293000007</v>
      </c>
      <c r="E20" s="66"/>
      <c r="F20" s="21">
        <f>IFERROR(IF(F$15="JZ",Inschaling!$B15,IF(F$15="GGZ",Inschaling!$H15,IF(Kostprijsmodel!F$15="GHZ",Inschaling!$N15,IF(Kostprijsmodel!F$15="SW",Inschaling!#REF!,"")))),"")</f>
        <v>3593.2819293000007</v>
      </c>
      <c r="G20" s="21">
        <f>IFERROR(IF(G$15="JZ",Inschaling!$B15,IF(G$15="GGZ",Inschaling!$H15,IF(Kostprijsmodel!G$15="GHZ",Inschaling!$N15,IF(Kostprijsmodel!G$15="SW",Inschaling!#REF!,"")))),"")</f>
        <v>3593.2819293000007</v>
      </c>
      <c r="H20" s="21">
        <f>IFERROR(IF(H$15="JZ",Inschaling!$B15,IF(H$15="GGZ",Inschaling!$H15,IF(Kostprijsmodel!H$15="GHZ",Inschaling!$N15,IF(Kostprijsmodel!H$15="SW",Inschaling!#REF!,"")))),"")</f>
        <v>3593.2819293000007</v>
      </c>
      <c r="I20" s="21">
        <f>IFERROR(IF(I$15="JZ",Inschaling!$B15,IF(I$15="GGZ",Inschaling!$H15,IF(Kostprijsmodel!I$15="GHZ",Inschaling!$N15,IF(Kostprijsmodel!I$15="SW",Inschaling!#REF!,"")))),"")</f>
        <v>3593.2819293000007</v>
      </c>
      <c r="J20" s="184"/>
      <c r="K20" s="21">
        <f>IFERROR(IF(K$15="JZ",Inschaling!$B15,IF(K$15="GGZ",Inschaling!$H15,IF(Kostprijsmodel!K$15="GHZ",Inschaling!$N15,IF(Kostprijsmodel!K$15="SW",Inschaling!#REF!,"")))),"")</f>
        <v>3485.1362500000005</v>
      </c>
      <c r="L20" s="21">
        <f>IFERROR(IF(L$15="JZ",Inschaling!$B15,IF(L$15="GGZ",Inschaling!$H15,IF(Kostprijsmodel!L$15="GHZ",Inschaling!$N15,IF(Kostprijsmodel!L$15="SW",Inschaling!#REF!,"")))),"")</f>
        <v>3485.1362500000005</v>
      </c>
      <c r="M20" s="21">
        <f>IFERROR(IF(M$15="JZ",Inschaling!$B15,IF(M$15="GGZ",Inschaling!$H15,IF(Kostprijsmodel!M$15="GHZ",Inschaling!$N15,IF(Kostprijsmodel!M$15="SW",Inschaling!#REF!,"")))),"")</f>
        <v>3485.1362500000005</v>
      </c>
      <c r="N20" s="21">
        <f>IFERROR(IF(N$15="JZ",Inschaling!$B15,IF(N$15="GGZ",Inschaling!$H15,IF(Kostprijsmodel!N$15="GHZ",Inschaling!$N15,IF(Kostprijsmodel!N$15="SW",Inschaling!#REF!,"")))),"")</f>
        <v>3336.9888000000001</v>
      </c>
      <c r="O20" s="184"/>
      <c r="P20" s="21">
        <f>IFERROR(IF(P$15="JZ",Inschaling!$B15,IF(P$15="GGZ",Inschaling!$H15,IF(Kostprijsmodel!P$15="GHZ",Inschaling!$N15,IF(Kostprijsmodel!P$15="SW",Inschaling!#REF!,"")))),"")</f>
        <v>3336.9888000000001</v>
      </c>
      <c r="Q20" s="67"/>
      <c r="R20" s="21">
        <f>IFERROR(IF(R$15="JZ",Inschaling!$B15,IF(R$15="GGZ",Inschaling!$H15,IF(Kostprijsmodel!R$15="GHZ",Inschaling!$N15,IF(Kostprijsmodel!R$15="SW",Inschaling!#REF!,"")))),"")</f>
        <v>3336.9888000000001</v>
      </c>
      <c r="S20" s="21">
        <f>IFERROR(IF(S$15="JZ",Inschaling!$B15,IF(S$15="GGZ",Inschaling!$H15,IF(Kostprijsmodel!S$15="GHZ",Inschaling!$N15,IF(Kostprijsmodel!S$15="SW",Inschaling!#REF!,"")))),"")</f>
        <v>3336.9888000000001</v>
      </c>
      <c r="T20" s="21">
        <f>IFERROR(IF(T$15="JZ",Inschaling!$B15,IF(T$15="GGZ",Inschaling!$H15,IF(Kostprijsmodel!T$15="GHZ",Inschaling!$N15,IF(Kostprijsmodel!T$15="SW",Inschaling!#REF!,"")))),"")</f>
        <v>3336.9888000000001</v>
      </c>
      <c r="U20" s="21">
        <f>IFERROR(IF(U$15="JZ",Inschaling!$B15,IF(U$15="GGZ",Inschaling!$H15,IF(Kostprijsmodel!U$15="GHZ",Inschaling!$N15,IF(Kostprijsmodel!U$15="SW",Inschaling!#REF!,"")))),"")</f>
        <v>3336.9888000000001</v>
      </c>
      <c r="V20" s="66"/>
      <c r="W20" s="66"/>
      <c r="X20" s="21">
        <f>IFERROR(IF(X$15="JZ",Inschaling!$B15,IF(X$15="GGZ",Inschaling!$H15,IF(Kostprijsmodel!X$15="GHZ",Inschaling!$N15,IF(Kostprijsmodel!X$15="SW",Inschaling!#REF!,"")))),"")</f>
        <v>3593.2819293000007</v>
      </c>
      <c r="Y20" s="6"/>
      <c r="Z20" s="66"/>
      <c r="AA20" s="21">
        <f>IFERROR(IF(AA$15="JZ",Inschaling!$B15,IF(AA$15="GGZ",Inschaling!$H15,IF(Kostprijsmodel!AA$15="GHZ",Inschaling!$N15,IF(Kostprijsmodel!AA$15="SW",Inschaling!#REF!,"")))),"")</f>
        <v>3593.2819293000007</v>
      </c>
      <c r="AB20" s="6"/>
      <c r="AC20" s="66"/>
    </row>
    <row r="21" spans="1:29" x14ac:dyDescent="0.2">
      <c r="A21" s="67" t="s">
        <v>39</v>
      </c>
      <c r="B21" s="21">
        <f>IFERROR(IF(B$15="JZ",Inschaling!$B16,IF(B$15="GGZ",Inschaling!$H16,IF(Kostprijsmodel!B$15="GHZ",Inschaling!$N16,IF(Kostprijsmodel!B$15="SW",Inschaling!#REF!,"")))),"")</f>
        <v>4078.0533921749998</v>
      </c>
      <c r="C21" s="21">
        <f>IFERROR(IF(C$15="JZ",Inschaling!$B16,IF(C$15="GGZ",Inschaling!$H16,IF(Kostprijsmodel!C$15="GHZ",Inschaling!$N16,IF(Kostprijsmodel!C$15="SW",Inschaling!#REF!,"")))),"")</f>
        <v>4078.0533921749998</v>
      </c>
      <c r="D21" s="21">
        <f>IFERROR(IF(D$15="JZ",Inschaling!$B16,IF(D$15="GGZ",Inschaling!$H16,IF(Kostprijsmodel!D$15="GHZ",Inschaling!$N16,IF(Kostprijsmodel!D$15="SW",Inschaling!#REF!,"")))),"")</f>
        <v>4078.0533921749998</v>
      </c>
      <c r="E21" s="66"/>
      <c r="F21" s="21">
        <f>IFERROR(IF(F$15="JZ",Inschaling!$B16,IF(F$15="GGZ",Inschaling!$H16,IF(Kostprijsmodel!F$15="GHZ",Inschaling!$N16,IF(Kostprijsmodel!F$15="SW",Inschaling!#REF!,"")))),"")</f>
        <v>4078.0533921749998</v>
      </c>
      <c r="G21" s="21">
        <f>IFERROR(IF(G$15="JZ",Inschaling!$B16,IF(G$15="GGZ",Inschaling!$H16,IF(Kostprijsmodel!G$15="GHZ",Inschaling!$N16,IF(Kostprijsmodel!G$15="SW",Inschaling!#REF!,"")))),"")</f>
        <v>4078.0533921749998</v>
      </c>
      <c r="H21" s="21">
        <f>IFERROR(IF(H$15="JZ",Inschaling!$B16,IF(H$15="GGZ",Inschaling!$H16,IF(Kostprijsmodel!H$15="GHZ",Inschaling!$N16,IF(Kostprijsmodel!H$15="SW",Inschaling!#REF!,"")))),"")</f>
        <v>4078.0533921749998</v>
      </c>
      <c r="I21" s="21">
        <f>IFERROR(IF(I$15="JZ",Inschaling!$B16,IF(I$15="GGZ",Inschaling!$H16,IF(Kostprijsmodel!I$15="GHZ",Inschaling!$N16,IF(Kostprijsmodel!I$15="SW",Inschaling!#REF!,"")))),"")</f>
        <v>4078.0533921749998</v>
      </c>
      <c r="J21" s="184"/>
      <c r="K21" s="21">
        <f>IFERROR(IF(K$15="JZ",Inschaling!$B16,IF(K$15="GGZ",Inschaling!$H16,IF(Kostprijsmodel!K$15="GHZ",Inschaling!$N16,IF(Kostprijsmodel!K$15="SW",Inschaling!#REF!,"")))),"")</f>
        <v>3828.5000000000005</v>
      </c>
      <c r="L21" s="21">
        <f>IFERROR(IF(L$15="JZ",Inschaling!$B16,IF(L$15="GGZ",Inschaling!$H16,IF(Kostprijsmodel!L$15="GHZ",Inschaling!$N16,IF(Kostprijsmodel!L$15="SW",Inschaling!#REF!,"")))),"")</f>
        <v>3828.5000000000005</v>
      </c>
      <c r="M21" s="21">
        <f>IFERROR(IF(M$15="JZ",Inschaling!$B16,IF(M$15="GGZ",Inschaling!$H16,IF(Kostprijsmodel!M$15="GHZ",Inschaling!$N16,IF(Kostprijsmodel!M$15="SW",Inschaling!#REF!,"")))),"")</f>
        <v>3828.5000000000005</v>
      </c>
      <c r="N21" s="21">
        <f>IFERROR(IF(N$15="JZ",Inschaling!$B16,IF(N$15="GGZ",Inschaling!$H16,IF(Kostprijsmodel!N$15="GHZ",Inschaling!$N16,IF(Kostprijsmodel!N$15="SW",Inschaling!#REF!,"")))),"")</f>
        <v>4263.4594500000003</v>
      </c>
      <c r="O21" s="184"/>
      <c r="P21" s="21">
        <f>IFERROR(IF(P$15="JZ",Inschaling!$B16,IF(P$15="GGZ",Inschaling!$H16,IF(Kostprijsmodel!P$15="GHZ",Inschaling!$N16,IF(Kostprijsmodel!P$15="SW",Inschaling!#REF!,"")))),"")</f>
        <v>4263.4594500000003</v>
      </c>
      <c r="Q21" s="67"/>
      <c r="R21" s="21">
        <f>IFERROR(IF(R$15="JZ",Inschaling!$B16,IF(R$15="GGZ",Inschaling!$H16,IF(Kostprijsmodel!R$15="GHZ",Inschaling!$N16,IF(Kostprijsmodel!R$15="SW",Inschaling!#REF!,"")))),"")</f>
        <v>4263.4594500000003</v>
      </c>
      <c r="S21" s="21">
        <f>IFERROR(IF(S$15="JZ",Inschaling!$B16,IF(S$15="GGZ",Inschaling!$H16,IF(Kostprijsmodel!S$15="GHZ",Inschaling!$N16,IF(Kostprijsmodel!S$15="SW",Inschaling!#REF!,"")))),"")</f>
        <v>4263.4594500000003</v>
      </c>
      <c r="T21" s="21">
        <f>IFERROR(IF(T$15="JZ",Inschaling!$B16,IF(T$15="GGZ",Inschaling!$H16,IF(Kostprijsmodel!T$15="GHZ",Inschaling!$N16,IF(Kostprijsmodel!T$15="SW",Inschaling!#REF!,"")))),"")</f>
        <v>4263.4594500000003</v>
      </c>
      <c r="U21" s="21">
        <f>IFERROR(IF(U$15="JZ",Inschaling!$B16,IF(U$15="GGZ",Inschaling!$H16,IF(Kostprijsmodel!U$15="GHZ",Inschaling!$N16,IF(Kostprijsmodel!U$15="SW",Inschaling!#REF!,"")))),"")</f>
        <v>4263.4594500000003</v>
      </c>
      <c r="V21" s="66"/>
      <c r="W21" s="66"/>
      <c r="X21" s="21">
        <f>IFERROR(IF(X$15="JZ",Inschaling!$B16,IF(X$15="GGZ",Inschaling!$H16,IF(Kostprijsmodel!X$15="GHZ",Inschaling!$N16,IF(Kostprijsmodel!X$15="SW",Inschaling!#REF!,"")))),"")</f>
        <v>4078.0533921749998</v>
      </c>
      <c r="Y21" s="6"/>
      <c r="Z21" s="66"/>
      <c r="AA21" s="21">
        <f>IFERROR(IF(AA$15="JZ",Inschaling!$B16,IF(AA$15="GGZ",Inschaling!$H16,IF(Kostprijsmodel!AA$15="GHZ",Inschaling!$N16,IF(Kostprijsmodel!AA$15="SW",Inschaling!#REF!,"")))),"")</f>
        <v>4078.0533921749998</v>
      </c>
      <c r="AB21" s="6"/>
      <c r="AC21" s="66"/>
    </row>
    <row r="22" spans="1:29" x14ac:dyDescent="0.2">
      <c r="A22" s="4" t="s">
        <v>45</v>
      </c>
      <c r="B22" s="21">
        <f>IFERROR(IF(B$15="JZ",Inschaling!$B17,IF(B$15="GGZ",Inschaling!$H17,IF(Kostprijsmodel!B$15="GHZ",Inschaling!$N17,IF(Kostprijsmodel!B$15="SW",Inschaling!#REF!,"")))),"")</f>
        <v>4453.7171655375005</v>
      </c>
      <c r="C22" s="21">
        <f>IFERROR(IF(C$15="JZ",Inschaling!$B17,IF(C$15="GGZ",Inschaling!$H17,IF(Kostprijsmodel!C$15="GHZ",Inschaling!$N17,IF(Kostprijsmodel!C$15="SW",Inschaling!#REF!,"")))),"")</f>
        <v>4453.7171655375005</v>
      </c>
      <c r="D22" s="21">
        <f>IFERROR(IF(D$15="JZ",Inschaling!$B17,IF(D$15="GGZ",Inschaling!$H17,IF(Kostprijsmodel!D$15="GHZ",Inschaling!$N17,IF(Kostprijsmodel!D$15="SW",Inschaling!#REF!,"")))),"")</f>
        <v>4453.7171655375005</v>
      </c>
      <c r="E22" s="66"/>
      <c r="F22" s="21">
        <f>IFERROR(IF(F$15="JZ",Inschaling!$B17,IF(F$15="GGZ",Inschaling!$H17,IF(Kostprijsmodel!F$15="GHZ",Inschaling!$N17,IF(Kostprijsmodel!F$15="SW",Inschaling!#REF!,"")))),"")</f>
        <v>4453.7171655375005</v>
      </c>
      <c r="G22" s="21">
        <f>IFERROR(IF(G$15="JZ",Inschaling!$B17,IF(G$15="GGZ",Inschaling!$H17,IF(Kostprijsmodel!G$15="GHZ",Inschaling!$N17,IF(Kostprijsmodel!G$15="SW",Inschaling!#REF!,"")))),"")</f>
        <v>4453.7171655375005</v>
      </c>
      <c r="H22" s="21">
        <f>IFERROR(IF(H$15="JZ",Inschaling!$B17,IF(H$15="GGZ",Inschaling!$H17,IF(Kostprijsmodel!H$15="GHZ",Inschaling!$N17,IF(Kostprijsmodel!H$15="SW",Inschaling!#REF!,"")))),"")</f>
        <v>4453.7171655375005</v>
      </c>
      <c r="I22" s="21">
        <f>IFERROR(IF(I$15="JZ",Inschaling!$B17,IF(I$15="GGZ",Inschaling!$H17,IF(Kostprijsmodel!I$15="GHZ",Inschaling!$N17,IF(Kostprijsmodel!I$15="SW",Inschaling!#REF!,"")))),"")</f>
        <v>4453.7171655375005</v>
      </c>
      <c r="J22" s="184"/>
      <c r="K22" s="21">
        <f>IFERROR(IF(K$15="JZ",Inschaling!$B17,IF(K$15="GGZ",Inschaling!$H17,IF(Kostprijsmodel!K$15="GHZ",Inschaling!$N17,IF(Kostprijsmodel!K$15="SW",Inschaling!#REF!,"")))),"")</f>
        <v>4440.5950000000003</v>
      </c>
      <c r="L22" s="21">
        <f>IFERROR(IF(L$15="JZ",Inschaling!$B17,IF(L$15="GGZ",Inschaling!$H17,IF(Kostprijsmodel!L$15="GHZ",Inschaling!$N17,IF(Kostprijsmodel!L$15="SW",Inschaling!#REF!,"")))),"")</f>
        <v>4440.5950000000003</v>
      </c>
      <c r="M22" s="21">
        <f>IFERROR(IF(M$15="JZ",Inschaling!$B17,IF(M$15="GGZ",Inschaling!$H17,IF(Kostprijsmodel!M$15="GHZ",Inschaling!$N17,IF(Kostprijsmodel!M$15="SW",Inschaling!#REF!,"")))),"")</f>
        <v>4440.5950000000003</v>
      </c>
      <c r="N22" s="21">
        <f>IFERROR(IF(N$15="JZ",Inschaling!$B17,IF(N$15="GGZ",Inschaling!$H17,IF(Kostprijsmodel!N$15="GHZ",Inschaling!$N17,IF(Kostprijsmodel!N$15="SW",Inschaling!#REF!,"")))),"")</f>
        <v>4768.5517500000005</v>
      </c>
      <c r="O22" s="184"/>
      <c r="P22" s="21">
        <f>IFERROR(IF(P$15="JZ",Inschaling!$B17,IF(P$15="GGZ",Inschaling!$H17,IF(Kostprijsmodel!P$15="GHZ",Inschaling!$N17,IF(Kostprijsmodel!P$15="SW",Inschaling!#REF!,"")))),"")</f>
        <v>4768.5517500000005</v>
      </c>
      <c r="Q22" s="4"/>
      <c r="R22" s="21">
        <f>IFERROR(IF(R$15="JZ",Inschaling!$B17,IF(R$15="GGZ",Inschaling!$H17,IF(Kostprijsmodel!R$15="GHZ",Inschaling!$N17,IF(Kostprijsmodel!R$15="SW",Inschaling!#REF!,"")))),"")</f>
        <v>4768.5517500000005</v>
      </c>
      <c r="S22" s="21">
        <f>IFERROR(IF(S$15="JZ",Inschaling!$B17,IF(S$15="GGZ",Inschaling!$H17,IF(Kostprijsmodel!S$15="GHZ",Inschaling!$N17,IF(Kostprijsmodel!S$15="SW",Inschaling!#REF!,"")))),"")</f>
        <v>4768.5517500000005</v>
      </c>
      <c r="T22" s="21">
        <f>IFERROR(IF(T$15="JZ",Inschaling!$B17,IF(T$15="GGZ",Inschaling!$H17,IF(Kostprijsmodel!T$15="GHZ",Inschaling!$N17,IF(Kostprijsmodel!T$15="SW",Inschaling!#REF!,"")))),"")</f>
        <v>4768.5517500000005</v>
      </c>
      <c r="U22" s="21">
        <f>IFERROR(IF(U$15="JZ",Inschaling!$B17,IF(U$15="GGZ",Inschaling!$H17,IF(Kostprijsmodel!U$15="GHZ",Inschaling!$N17,IF(Kostprijsmodel!U$15="SW",Inschaling!#REF!,"")))),"")</f>
        <v>4768.5517500000005</v>
      </c>
      <c r="V22" s="66"/>
      <c r="W22" s="66"/>
      <c r="X22" s="21">
        <f>IFERROR(IF(X$15="JZ",Inschaling!$B17,IF(X$15="GGZ",Inschaling!$H17,IF(Kostprijsmodel!X$15="GHZ",Inschaling!$N17,IF(Kostprijsmodel!X$15="SW",Inschaling!#REF!,"")))),"")</f>
        <v>4453.7171655375005</v>
      </c>
      <c r="Y22" s="6"/>
      <c r="Z22" s="66"/>
      <c r="AA22" s="21">
        <f>IFERROR(IF(AA$15="JZ",Inschaling!$B17,IF(AA$15="GGZ",Inschaling!$H17,IF(Kostprijsmodel!AA$15="GHZ",Inschaling!$N17,IF(Kostprijsmodel!AA$15="SW",Inschaling!#REF!,"")))),"")</f>
        <v>4453.7171655375005</v>
      </c>
      <c r="AB22" s="6"/>
      <c r="AC22" s="66"/>
    </row>
    <row r="23" spans="1:29" x14ac:dyDescent="0.2">
      <c r="A23" s="4" t="s">
        <v>49</v>
      </c>
      <c r="B23" s="21">
        <f>IFERROR(IF(B$15="JZ",Inschaling!$B18,IF(B$15="GGZ",Inschaling!$H18,IF(Kostprijsmodel!B$15="GHZ",Inschaling!$N18,IF(Kostprijsmodel!B$15="SW",Inschaling!#REF!,"")))),"")</f>
        <v>5354.9029185750005</v>
      </c>
      <c r="C23" s="21">
        <f>IFERROR(IF(C$15="JZ",Inschaling!$B18,IF(C$15="GGZ",Inschaling!$H18,IF(Kostprijsmodel!C$15="GHZ",Inschaling!$N18,IF(Kostprijsmodel!C$15="SW",Inschaling!#REF!,"")))),"")</f>
        <v>5354.9029185750005</v>
      </c>
      <c r="D23" s="21">
        <f>IFERROR(IF(D$15="JZ",Inschaling!$B18,IF(D$15="GGZ",Inschaling!$H18,IF(Kostprijsmodel!D$15="GHZ",Inschaling!$N18,IF(Kostprijsmodel!D$15="SW",Inschaling!#REF!,"")))),"")</f>
        <v>5354.9029185750005</v>
      </c>
      <c r="E23" s="66"/>
      <c r="F23" s="21">
        <f>IFERROR(IF(F$15="JZ",Inschaling!$B18,IF(F$15="GGZ",Inschaling!$H18,IF(Kostprijsmodel!F$15="GHZ",Inschaling!$N18,IF(Kostprijsmodel!F$15="SW",Inschaling!#REF!,"")))),"")</f>
        <v>5354.9029185750005</v>
      </c>
      <c r="G23" s="21">
        <f>IFERROR(IF(G$15="JZ",Inschaling!$B18,IF(G$15="GGZ",Inschaling!$H18,IF(Kostprijsmodel!G$15="GHZ",Inschaling!$N18,IF(Kostprijsmodel!G$15="SW",Inschaling!#REF!,"")))),"")</f>
        <v>5354.9029185750005</v>
      </c>
      <c r="H23" s="21">
        <f>IFERROR(IF(H$15="JZ",Inschaling!$B18,IF(H$15="GGZ",Inschaling!$H18,IF(Kostprijsmodel!H$15="GHZ",Inschaling!$N18,IF(Kostprijsmodel!H$15="SW",Inschaling!#REF!,"")))),"")</f>
        <v>5354.9029185750005</v>
      </c>
      <c r="I23" s="21">
        <f>IFERROR(IF(I$15="JZ",Inschaling!$B18,IF(I$15="GGZ",Inschaling!$H18,IF(Kostprijsmodel!I$15="GHZ",Inschaling!$N18,IF(Kostprijsmodel!I$15="SW",Inschaling!#REF!,"")))),"")</f>
        <v>5354.9029185750005</v>
      </c>
      <c r="J23" s="184"/>
      <c r="K23" s="21">
        <f>IFERROR(IF(K$15="JZ",Inschaling!$B18,IF(K$15="GGZ",Inschaling!$H18,IF(Kostprijsmodel!K$15="GHZ",Inschaling!$N18,IF(Kostprijsmodel!K$15="SW",Inschaling!#REF!,"")))),"")</f>
        <v>5508.3125000000009</v>
      </c>
      <c r="L23" s="21">
        <f>IFERROR(IF(L$15="JZ",Inschaling!$B18,IF(L$15="GGZ",Inschaling!$H18,IF(Kostprijsmodel!L$15="GHZ",Inschaling!$N18,IF(Kostprijsmodel!L$15="SW",Inschaling!#REF!,"")))),"")</f>
        <v>5508.3125000000009</v>
      </c>
      <c r="M23" s="21">
        <f>IFERROR(IF(M$15="JZ",Inschaling!$B18,IF(M$15="GGZ",Inschaling!$H18,IF(Kostprijsmodel!M$15="GHZ",Inschaling!$N18,IF(Kostprijsmodel!M$15="SW",Inschaling!#REF!,"")))),"")</f>
        <v>5508.3125000000009</v>
      </c>
      <c r="N23" s="21">
        <f>IFERROR(IF(N$15="JZ",Inschaling!$B18,IF(N$15="GGZ",Inschaling!$H18,IF(Kostprijsmodel!N$15="GHZ",Inschaling!$N18,IF(Kostprijsmodel!N$15="SW",Inschaling!#REF!,"")))),"")</f>
        <v>5465.0241000000005</v>
      </c>
      <c r="O23" s="184"/>
      <c r="P23" s="21">
        <f>IFERROR(IF(P$15="JZ",Inschaling!$B18,IF(P$15="GGZ",Inschaling!$H18,IF(Kostprijsmodel!P$15="GHZ",Inschaling!$N18,IF(Kostprijsmodel!P$15="SW",Inschaling!#REF!,"")))),"")</f>
        <v>5465.0241000000005</v>
      </c>
      <c r="Q23" s="4"/>
      <c r="R23" s="21">
        <f>IFERROR(IF(R$15="JZ",Inschaling!$B18,IF(R$15="GGZ",Inschaling!$H18,IF(Kostprijsmodel!R$15="GHZ",Inschaling!$N18,IF(Kostprijsmodel!R$15="SW",Inschaling!#REF!,"")))),"")</f>
        <v>5465.0241000000005</v>
      </c>
      <c r="S23" s="21">
        <f>IFERROR(IF(S$15="JZ",Inschaling!$B18,IF(S$15="GGZ",Inschaling!$H18,IF(Kostprijsmodel!S$15="GHZ",Inschaling!$N18,IF(Kostprijsmodel!S$15="SW",Inschaling!#REF!,"")))),"")</f>
        <v>5465.0241000000005</v>
      </c>
      <c r="T23" s="21">
        <f>IFERROR(IF(T$15="JZ",Inschaling!$B18,IF(T$15="GGZ",Inschaling!$H18,IF(Kostprijsmodel!T$15="GHZ",Inschaling!$N18,IF(Kostprijsmodel!T$15="SW",Inschaling!#REF!,"")))),"")</f>
        <v>5465.0241000000005</v>
      </c>
      <c r="U23" s="21">
        <f>IFERROR(IF(U$15="JZ",Inschaling!$B18,IF(U$15="GGZ",Inschaling!$H18,IF(Kostprijsmodel!U$15="GHZ",Inschaling!$N18,IF(Kostprijsmodel!U$15="SW",Inschaling!#REF!,"")))),"")</f>
        <v>5465.0241000000005</v>
      </c>
      <c r="V23" s="66"/>
      <c r="W23" s="66"/>
      <c r="X23" s="21">
        <f>IFERROR(IF(X$15="JZ",Inschaling!$B18,IF(X$15="GGZ",Inschaling!$H18,IF(Kostprijsmodel!X$15="GHZ",Inschaling!$N18,IF(Kostprijsmodel!X$15="SW",Inschaling!#REF!,"")))),"")</f>
        <v>5354.9029185750005</v>
      </c>
      <c r="Y23" s="6"/>
      <c r="Z23" s="66"/>
      <c r="AA23" s="21">
        <f>IFERROR(IF(AA$15="JZ",Inschaling!$B18,IF(AA$15="GGZ",Inschaling!$H18,IF(Kostprijsmodel!AA$15="GHZ",Inschaling!$N18,IF(Kostprijsmodel!AA$15="SW",Inschaling!#REF!,"")))),"")</f>
        <v>5354.9029185750005</v>
      </c>
      <c r="AB23" s="6"/>
      <c r="AC23" s="66"/>
    </row>
    <row r="24" spans="1:29" x14ac:dyDescent="0.2">
      <c r="A24" s="4" t="s">
        <v>54</v>
      </c>
      <c r="B24" s="21">
        <f>IFERROR(IF(B$15="JZ",Inschaling!$B19,IF(B$15="GGZ",Inschaling!$H19,IF(Kostprijsmodel!B$15="GHZ",Inschaling!$N19,IF(Kostprijsmodel!B$15="SW",Inschaling!#REF!,"")))),"")</f>
        <v>5748.9104885625002</v>
      </c>
      <c r="C24" s="21">
        <f>IFERROR(IF(C$15="JZ",Inschaling!$B19,IF(C$15="GGZ",Inschaling!$H19,IF(Kostprijsmodel!C$15="GHZ",Inschaling!$N19,IF(Kostprijsmodel!C$15="SW",Inschaling!#REF!,"")))),"")</f>
        <v>5748.9104885625002</v>
      </c>
      <c r="D24" s="21">
        <f>IFERROR(IF(D$15="JZ",Inschaling!$B19,IF(D$15="GGZ",Inschaling!$H19,IF(Kostprijsmodel!D$15="GHZ",Inschaling!$N19,IF(Kostprijsmodel!D$15="SW",Inschaling!#REF!,"")))),"")</f>
        <v>5748.9104885625002</v>
      </c>
      <c r="E24" s="66"/>
      <c r="F24" s="21">
        <f>IFERROR(IF(F$15="JZ",Inschaling!$B19,IF(F$15="GGZ",Inschaling!$H19,IF(Kostprijsmodel!F$15="GHZ",Inschaling!$N19,IF(Kostprijsmodel!F$15="SW",Inschaling!#REF!,"")))),"")</f>
        <v>5748.9104885625002</v>
      </c>
      <c r="G24" s="21">
        <f>IFERROR(IF(G$15="JZ",Inschaling!$B19,IF(G$15="GGZ",Inschaling!$H19,IF(Kostprijsmodel!G$15="GHZ",Inschaling!$N19,IF(Kostprijsmodel!G$15="SW",Inschaling!#REF!,"")))),"")</f>
        <v>5748.9104885625002</v>
      </c>
      <c r="H24" s="21">
        <f>IFERROR(IF(H$15="JZ",Inschaling!$B19,IF(H$15="GGZ",Inschaling!$H19,IF(Kostprijsmodel!H$15="GHZ",Inschaling!$N19,IF(Kostprijsmodel!H$15="SW",Inschaling!#REF!,"")))),"")</f>
        <v>5748.9104885625002</v>
      </c>
      <c r="I24" s="21">
        <f>IFERROR(IF(I$15="JZ",Inschaling!$B19,IF(I$15="GGZ",Inschaling!$H19,IF(Kostprijsmodel!I$15="GHZ",Inschaling!$N19,IF(Kostprijsmodel!I$15="SW",Inschaling!#REF!,"")))),"")</f>
        <v>5748.9104885625002</v>
      </c>
      <c r="J24" s="184"/>
      <c r="K24" s="21">
        <f>IFERROR(IF(K$15="JZ",Inschaling!$B19,IF(K$15="GGZ",Inschaling!$H19,IF(Kostprijsmodel!K$15="GHZ",Inschaling!$N19,IF(Kostprijsmodel!K$15="SW",Inschaling!#REF!,"")))),"")</f>
        <v>6521.4700000000012</v>
      </c>
      <c r="L24" s="21">
        <f>IFERROR(IF(L$15="JZ",Inschaling!$B19,IF(L$15="GGZ",Inschaling!$H19,IF(Kostprijsmodel!L$15="GHZ",Inschaling!$N19,IF(Kostprijsmodel!L$15="SW",Inschaling!#REF!,"")))),"")</f>
        <v>6521.4700000000012</v>
      </c>
      <c r="M24" s="21">
        <f>IFERROR(IF(M$15="JZ",Inschaling!$B19,IF(M$15="GGZ",Inschaling!$H19,IF(Kostprijsmodel!M$15="GHZ",Inschaling!$N19,IF(Kostprijsmodel!M$15="SW",Inschaling!#REF!,"")))),"")</f>
        <v>6521.4700000000012</v>
      </c>
      <c r="N24" s="21">
        <f>IFERROR(IF(N$15="JZ",Inschaling!$B19,IF(N$15="GGZ",Inschaling!$H19,IF(Kostprijsmodel!N$15="GHZ",Inschaling!$N19,IF(Kostprijsmodel!N$15="SW",Inschaling!#REF!,"")))),"")</f>
        <v>6444.8209500000003</v>
      </c>
      <c r="O24" s="184"/>
      <c r="P24" s="21">
        <f>IFERROR(IF(P$15="JZ",Inschaling!$B19,IF(P$15="GGZ",Inschaling!$H19,IF(Kostprijsmodel!P$15="GHZ",Inschaling!$N19,IF(Kostprijsmodel!P$15="SW",Inschaling!#REF!,"")))),"")</f>
        <v>6444.8209500000003</v>
      </c>
      <c r="Q24" s="4"/>
      <c r="R24" s="21">
        <f>IFERROR(IF(R$15="JZ",Inschaling!$B19,IF(R$15="GGZ",Inschaling!$H19,IF(Kostprijsmodel!R$15="GHZ",Inschaling!$N19,IF(Kostprijsmodel!R$15="SW",Inschaling!#REF!,"")))),"")</f>
        <v>6444.8209500000003</v>
      </c>
      <c r="S24" s="21">
        <f>IFERROR(IF(S$15="JZ",Inschaling!$B19,IF(S$15="GGZ",Inschaling!$H19,IF(Kostprijsmodel!S$15="GHZ",Inschaling!$N19,IF(Kostprijsmodel!S$15="SW",Inschaling!#REF!,"")))),"")</f>
        <v>6444.8209500000003</v>
      </c>
      <c r="T24" s="21">
        <f>IFERROR(IF(T$15="JZ",Inschaling!$B19,IF(T$15="GGZ",Inschaling!$H19,IF(Kostprijsmodel!T$15="GHZ",Inschaling!$N19,IF(Kostprijsmodel!T$15="SW",Inschaling!#REF!,"")))),"")</f>
        <v>6444.8209500000003</v>
      </c>
      <c r="U24" s="21">
        <f>IFERROR(IF(U$15="JZ",Inschaling!$B19,IF(U$15="GGZ",Inschaling!$H19,IF(Kostprijsmodel!U$15="GHZ",Inschaling!$N19,IF(Kostprijsmodel!U$15="SW",Inschaling!#REF!,"")))),"")</f>
        <v>6444.8209500000003</v>
      </c>
      <c r="V24" s="66"/>
      <c r="W24" s="66"/>
      <c r="X24" s="21">
        <f>IFERROR(IF(X$15="JZ",Inschaling!$B19,IF(X$15="GGZ",Inschaling!$H19,IF(Kostprijsmodel!X$15="GHZ",Inschaling!$N19,IF(Kostprijsmodel!X$15="SW",Inschaling!#REF!,"")))),"")</f>
        <v>5748.9104885625002</v>
      </c>
      <c r="Y24" s="6"/>
      <c r="Z24" s="66"/>
      <c r="AA24" s="21">
        <f>IFERROR(IF(AA$15="JZ",Inschaling!$B19,IF(AA$15="GGZ",Inschaling!$H19,IF(Kostprijsmodel!AA$15="GHZ",Inschaling!$N19,IF(Kostprijsmodel!AA$15="SW",Inschaling!#REF!,"")))),"")</f>
        <v>5748.9104885625002</v>
      </c>
      <c r="AB24" s="6"/>
      <c r="AC24" s="66"/>
    </row>
    <row r="25" spans="1:29" x14ac:dyDescent="0.2">
      <c r="A25" s="4" t="s">
        <v>64</v>
      </c>
      <c r="B25" s="21">
        <f>IFERROR(IF(B$15="JZ",Inschaling!$B20,IF(B$15="GGZ",Inschaling!$H20,IF(Kostprijsmodel!B$15="GHZ",Inschaling!$N20,IF(Kostprijsmodel!B$15="SW",Inschaling!#REF!,"")))),"")</f>
        <v>9764.7767999999996</v>
      </c>
      <c r="C25" s="21">
        <f>IFERROR(IF(C$15="JZ",Inschaling!$B20,IF(C$15="GGZ",Inschaling!$H20,IF(Kostprijsmodel!C$15="GHZ",Inschaling!$N20,IF(Kostprijsmodel!C$15="SW",Inschaling!#REF!,"")))),"")</f>
        <v>9764.7767999999996</v>
      </c>
      <c r="D25" s="21">
        <f>IFERROR(IF(D$15="JZ",Inschaling!$B20,IF(D$15="GGZ",Inschaling!$H20,IF(Kostprijsmodel!D$15="GHZ",Inschaling!$N20,IF(Kostprijsmodel!D$15="SW",Inschaling!#REF!,"")))),"")</f>
        <v>9764.7767999999996</v>
      </c>
      <c r="E25" s="66"/>
      <c r="F25" s="21">
        <f>IFERROR(IF(F$15="JZ",Inschaling!$B20,IF(F$15="GGZ",Inschaling!$H20,IF(Kostprijsmodel!F$15="GHZ",Inschaling!$N20,IF(Kostprijsmodel!F$15="SW",Inschaling!#REF!,"")))),"")</f>
        <v>9764.7767999999996</v>
      </c>
      <c r="G25" s="21">
        <f>IFERROR(IF(G$15="JZ",Inschaling!$B20,IF(G$15="GGZ",Inschaling!$H20,IF(Kostprijsmodel!G$15="GHZ",Inschaling!$N20,IF(Kostprijsmodel!G$15="SW",Inschaling!#REF!,"")))),"")</f>
        <v>9764.7767999999996</v>
      </c>
      <c r="H25" s="21">
        <f>IFERROR(IF(H$15="JZ",Inschaling!$B20,IF(H$15="GGZ",Inschaling!$H20,IF(Kostprijsmodel!H$15="GHZ",Inschaling!$N20,IF(Kostprijsmodel!H$15="SW",Inschaling!#REF!,"")))),"")</f>
        <v>9764.7767999999996</v>
      </c>
      <c r="I25" s="21">
        <f>IFERROR(IF(I$15="JZ",Inschaling!$B20,IF(I$15="GGZ",Inschaling!$H20,IF(Kostprijsmodel!I$15="GHZ",Inschaling!$N20,IF(Kostprijsmodel!I$15="SW",Inschaling!#REF!,"")))),"")</f>
        <v>9764.7767999999996</v>
      </c>
      <c r="J25" s="184"/>
      <c r="K25" s="21">
        <f>IFERROR(IF(K$15="JZ",Inschaling!$B20,IF(K$15="GGZ",Inschaling!$H20,IF(Kostprijsmodel!K$15="GHZ",Inschaling!$N20,IF(Kostprijsmodel!K$15="SW",Inschaling!#REF!,"")))),"")</f>
        <v>9764.7767999999996</v>
      </c>
      <c r="L25" s="21">
        <f>IFERROR(IF(L$15="JZ",Inschaling!$B20,IF(L$15="GGZ",Inschaling!$H20,IF(Kostprijsmodel!L$15="GHZ",Inschaling!$N20,IF(Kostprijsmodel!L$15="SW",Inschaling!#REF!,"")))),"")</f>
        <v>9764.7767999999996</v>
      </c>
      <c r="M25" s="21">
        <f>IFERROR(IF(M$15="JZ",Inschaling!$B20,IF(M$15="GGZ",Inschaling!$H20,IF(Kostprijsmodel!M$15="GHZ",Inschaling!$N20,IF(Kostprijsmodel!M$15="SW",Inschaling!#REF!,"")))),"")</f>
        <v>9764.7767999999996</v>
      </c>
      <c r="N25" s="21">
        <f>IFERROR(IF(N$15="JZ",Inschaling!$B20,IF(N$15="GGZ",Inschaling!$H20,IF(Kostprijsmodel!N$15="GHZ",Inschaling!$N20,IF(Kostprijsmodel!N$15="SW",Inschaling!#REF!,"")))),"")</f>
        <v>9764.7767999999996</v>
      </c>
      <c r="O25" s="184"/>
      <c r="P25" s="21">
        <f>IFERROR(IF(P$15="JZ",Inschaling!$B20,IF(P$15="GGZ",Inschaling!$H20,IF(Kostprijsmodel!P$15="GHZ",Inschaling!$N20,IF(Kostprijsmodel!P$15="SW",Inschaling!#REF!,"")))),"")</f>
        <v>9764.7767999999996</v>
      </c>
      <c r="Q25" s="4"/>
      <c r="R25" s="21">
        <f>IFERROR(IF(R$15="JZ",Inschaling!$B20,IF(R$15="GGZ",Inschaling!$H20,IF(Kostprijsmodel!R$15="GHZ",Inschaling!$N20,IF(Kostprijsmodel!R$15="SW",Inschaling!#REF!,"")))),"")</f>
        <v>9764.7767999999996</v>
      </c>
      <c r="S25" s="21">
        <f>IFERROR(IF(S$15="JZ",Inschaling!$B20,IF(S$15="GGZ",Inschaling!$H20,IF(Kostprijsmodel!S$15="GHZ",Inschaling!$N20,IF(Kostprijsmodel!S$15="SW",Inschaling!#REF!,"")))),"")</f>
        <v>9764.7767999999996</v>
      </c>
      <c r="T25" s="21">
        <f>IFERROR(IF(T$15="JZ",Inschaling!$B20,IF(T$15="GGZ",Inschaling!$H20,IF(Kostprijsmodel!T$15="GHZ",Inschaling!$N20,IF(Kostprijsmodel!T$15="SW",Inschaling!#REF!,"")))),"")</f>
        <v>9764.7767999999996</v>
      </c>
      <c r="U25" s="21">
        <f>IFERROR(IF(U$15="JZ",Inschaling!$B20,IF(U$15="GGZ",Inschaling!$H20,IF(Kostprijsmodel!U$15="GHZ",Inschaling!$N20,IF(Kostprijsmodel!U$15="SW",Inschaling!#REF!,"")))),"")</f>
        <v>9764.7767999999996</v>
      </c>
      <c r="V25" s="66"/>
      <c r="W25" s="66"/>
      <c r="X25" s="21">
        <f>IFERROR(IF(X$15="JZ",Inschaling!$B20,IF(X$15="GGZ",Inschaling!$H20,IF(Kostprijsmodel!X$15="GHZ",Inschaling!$N20,IF(Kostprijsmodel!X$15="SW",Inschaling!#REF!,"")))),"")</f>
        <v>9764.7767999999996</v>
      </c>
      <c r="Y25" s="6"/>
      <c r="Z25" s="66"/>
      <c r="AA25" s="21">
        <f>IFERROR(IF(AA$15="JZ",Inschaling!$B20,IF(AA$15="GGZ",Inschaling!$H20,IF(Kostprijsmodel!AA$15="GHZ",Inschaling!$N20,IF(Kostprijsmodel!AA$15="SW",Inschaling!#REF!,"")))),"")</f>
        <v>9764.7767999999996</v>
      </c>
      <c r="AB25" s="6"/>
      <c r="AC25" s="66"/>
    </row>
    <row r="26" spans="1:29" x14ac:dyDescent="0.2">
      <c r="A26" s="11"/>
      <c r="B26" s="8"/>
      <c r="C26" s="8"/>
      <c r="D26" s="8"/>
      <c r="E26" s="66"/>
      <c r="F26" s="8"/>
      <c r="G26" s="8"/>
      <c r="H26" s="8"/>
      <c r="I26" s="8"/>
      <c r="J26" s="182"/>
      <c r="K26" s="8"/>
      <c r="L26" s="8"/>
      <c r="M26" s="8"/>
      <c r="N26" s="8"/>
      <c r="O26" s="182"/>
      <c r="P26" s="8"/>
      <c r="Q26" s="11"/>
      <c r="R26" s="8"/>
      <c r="S26" s="8"/>
      <c r="T26" s="8"/>
      <c r="U26" s="8"/>
      <c r="V26" s="66"/>
      <c r="W26" s="66"/>
      <c r="X26" s="8"/>
      <c r="Y26" s="12"/>
      <c r="Z26" s="66"/>
      <c r="AA26" s="8"/>
      <c r="AB26" s="12"/>
      <c r="AC26" s="66"/>
    </row>
    <row r="27" spans="1:29" x14ac:dyDescent="0.2">
      <c r="A27" s="69" t="s">
        <v>90</v>
      </c>
      <c r="B27" s="13">
        <f>SUMPRODUCT(B5:B12,B18:B25)/156</f>
        <v>30.209973270144236</v>
      </c>
      <c r="C27" s="13">
        <f>SUMPRODUCT(C5:C12,C18:C25)/156</f>
        <v>29.738308786234619</v>
      </c>
      <c r="D27" s="13">
        <f>SUMPRODUCT(D5:D12,D18:D25)/156</f>
        <v>29.130645500956735</v>
      </c>
      <c r="E27" s="66"/>
      <c r="F27" s="13">
        <f>SUMPRODUCT(F5:F12,F18:F25)/156</f>
        <v>23.344609458894237</v>
      </c>
      <c r="G27" s="13">
        <f>SUMPRODUCT(G5:G12,G18:G25)/156</f>
        <v>28.486207077057696</v>
      </c>
      <c r="H27" s="13">
        <f>SUMPRODUCT(H5:H12,H18:H25)/156</f>
        <v>24.587613209855771</v>
      </c>
      <c r="I27" s="13">
        <f>SUMPRODUCT(I5:I12,I18:I25)/156</f>
        <v>27.091473746733172</v>
      </c>
      <c r="J27" s="185"/>
      <c r="K27" s="13">
        <f>SUMPRODUCT(K5:K12,K18:K25)/156</f>
        <v>26.848277804487186</v>
      </c>
      <c r="L27" s="13">
        <f>SUMPRODUCT(L5:L12,L18:L25)/156</f>
        <v>34.420035256410259</v>
      </c>
      <c r="M27" s="13">
        <f>SUMPRODUCT(M5:M12,M18:M25)/156</f>
        <v>36.176655224358981</v>
      </c>
      <c r="N27" s="13">
        <f>SUMPRODUCT(N5:N12,N18:N25)/156</f>
        <v>37.148945384615395</v>
      </c>
      <c r="O27" s="185"/>
      <c r="P27" s="13">
        <f>SUMPRODUCT(P5:P12,P18:P25)/156</f>
        <v>35.213824038461539</v>
      </c>
      <c r="Q27" s="69"/>
      <c r="R27" s="13">
        <f>SUMPRODUCT(R5:R12,R18:R25)/156</f>
        <v>35.223814086538468</v>
      </c>
      <c r="S27" s="13">
        <f>SUMPRODUCT(S5:S12,S18:S25)/156</f>
        <v>37.148945384615395</v>
      </c>
      <c r="T27" s="13">
        <f>SUMPRODUCT(T5:T12,T18:T25)/156</f>
        <v>37.148945384615395</v>
      </c>
      <c r="U27" s="13">
        <f>SUMPRODUCT(U5:U12,U18:U25)/156</f>
        <v>35.761079855769239</v>
      </c>
      <c r="V27" s="66"/>
      <c r="W27" s="66"/>
      <c r="X27" s="13">
        <f>SUMPRODUCT(X5:X12,X18:X25)/156</f>
        <v>24.587613209855771</v>
      </c>
      <c r="Y27" s="70" t="s">
        <v>91</v>
      </c>
      <c r="Z27" s="66"/>
      <c r="AA27" s="13">
        <f>SUMPRODUCT(AA5:AA12,AA18:AA25)/156</f>
        <v>24.587613209855771</v>
      </c>
      <c r="AB27" s="70" t="s">
        <v>91</v>
      </c>
      <c r="AC27" s="66"/>
    </row>
    <row r="28" spans="1:29" x14ac:dyDescent="0.2">
      <c r="A28" s="71" t="s">
        <v>92</v>
      </c>
      <c r="B28" s="72">
        <v>0.08</v>
      </c>
      <c r="C28" s="72">
        <v>0.08</v>
      </c>
      <c r="D28" s="72">
        <v>0.08</v>
      </c>
      <c r="E28" s="66"/>
      <c r="F28" s="72">
        <v>0.08</v>
      </c>
      <c r="G28" s="72">
        <v>0.08</v>
      </c>
      <c r="H28" s="72">
        <v>0.08</v>
      </c>
      <c r="I28" s="72">
        <v>0.08</v>
      </c>
      <c r="J28" s="186"/>
      <c r="K28" s="72">
        <v>0.08</v>
      </c>
      <c r="L28" s="72">
        <v>0.08</v>
      </c>
      <c r="M28" s="72">
        <v>0.08</v>
      </c>
      <c r="N28" s="72">
        <v>0.08</v>
      </c>
      <c r="O28" s="186"/>
      <c r="P28" s="72">
        <v>0.08</v>
      </c>
      <c r="Q28" s="71"/>
      <c r="R28" s="72">
        <v>0.08</v>
      </c>
      <c r="S28" s="72">
        <v>0.08</v>
      </c>
      <c r="T28" s="72">
        <v>0.08</v>
      </c>
      <c r="U28" s="72">
        <v>0.08</v>
      </c>
      <c r="V28" s="66"/>
      <c r="W28" s="66"/>
      <c r="X28" s="72">
        <v>0.08</v>
      </c>
      <c r="Y28" s="201" t="s">
        <v>93</v>
      </c>
      <c r="Z28" s="66"/>
      <c r="AA28" s="72">
        <v>0.08</v>
      </c>
      <c r="AB28" s="201" t="s">
        <v>93</v>
      </c>
      <c r="AC28" s="66"/>
    </row>
    <row r="29" spans="1:29" x14ac:dyDescent="0.2">
      <c r="A29" s="71" t="s">
        <v>94</v>
      </c>
      <c r="B29" s="73">
        <v>8.3000000000000004E-2</v>
      </c>
      <c r="C29" s="73">
        <v>8.3000000000000004E-2</v>
      </c>
      <c r="D29" s="73">
        <v>8.3000000000000004E-2</v>
      </c>
      <c r="E29" s="66"/>
      <c r="F29" s="73">
        <v>8.3000000000000004E-2</v>
      </c>
      <c r="G29" s="73">
        <v>8.3000000000000004E-2</v>
      </c>
      <c r="H29" s="73">
        <v>8.3000000000000004E-2</v>
      </c>
      <c r="I29" s="73">
        <v>8.3000000000000004E-2</v>
      </c>
      <c r="J29" s="187"/>
      <c r="K29" s="73">
        <v>8.3299999999999999E-2</v>
      </c>
      <c r="L29" s="73">
        <v>8.3299999999999999E-2</v>
      </c>
      <c r="M29" s="73">
        <v>8.3299999999999999E-2</v>
      </c>
      <c r="N29" s="73">
        <v>8.3299999999999999E-2</v>
      </c>
      <c r="O29" s="187"/>
      <c r="P29" s="73">
        <f>8.33%/2</f>
        <v>4.165E-2</v>
      </c>
      <c r="Q29" s="71"/>
      <c r="R29" s="73">
        <v>8.3299999999999999E-2</v>
      </c>
      <c r="S29" s="73">
        <v>8.3299999999999999E-2</v>
      </c>
      <c r="T29" s="73">
        <v>8.3299999999999999E-2</v>
      </c>
      <c r="U29" s="73">
        <v>8.3299999999999999E-2</v>
      </c>
      <c r="V29" s="66"/>
      <c r="W29" s="66"/>
      <c r="X29" s="73">
        <v>8.3000000000000004E-2</v>
      </c>
      <c r="Y29" s="202" t="s">
        <v>95</v>
      </c>
      <c r="Z29" s="66"/>
      <c r="AA29" s="73">
        <v>8.3000000000000004E-2</v>
      </c>
      <c r="AB29" s="202" t="s">
        <v>95</v>
      </c>
      <c r="AC29" s="66"/>
    </row>
    <row r="30" spans="1:29" x14ac:dyDescent="0.2">
      <c r="A30" s="74" t="s">
        <v>96</v>
      </c>
      <c r="B30" s="13">
        <f>B27*(1+B28)*(1+B29)</f>
        <v>35.334793135691505</v>
      </c>
      <c r="C30" s="13">
        <f>C27*(1+C28)*(1+C29)</f>
        <v>34.783115488731461</v>
      </c>
      <c r="D30" s="13">
        <f>D27*(1+D28)*(1+D29)</f>
        <v>34.072368203739032</v>
      </c>
      <c r="E30" s="66"/>
      <c r="F30" s="13">
        <f>F27*(1+F28)*(1+F29)</f>
        <v>27.304789007501057</v>
      </c>
      <c r="G30" s="13">
        <f>G27*(1+G28)*(1+G29)</f>
        <v>33.318607245609762</v>
      </c>
      <c r="H30" s="13">
        <f>H27*(1+H28)*(1+H29)</f>
        <v>28.758655914775705</v>
      </c>
      <c r="I30" s="13">
        <f>I27*(1+I28)*(1+I29)</f>
        <v>31.687271353128988</v>
      </c>
      <c r="J30" s="188"/>
      <c r="K30" s="13">
        <f>K27*(1+K28+K29)</f>
        <v>31.232601569959943</v>
      </c>
      <c r="L30" s="13">
        <f>L27*(1+L28+L29)</f>
        <v>40.040827013782057</v>
      </c>
      <c r="M30" s="13">
        <f>M27*(1+M28+M29)</f>
        <v>42.084303022496805</v>
      </c>
      <c r="N30" s="13">
        <f>N27*(1+N28+N29)</f>
        <v>43.215368165923088</v>
      </c>
      <c r="O30" s="188"/>
      <c r="P30" s="13">
        <f>P27*(1+P28+P29)</f>
        <v>39.497585732740383</v>
      </c>
      <c r="Q30" s="74"/>
      <c r="R30" s="13">
        <f>R27*(1+R28+R29)</f>
        <v>40.975862926870199</v>
      </c>
      <c r="S30" s="13">
        <f>S27*(1+S28+S29)</f>
        <v>43.215368165923088</v>
      </c>
      <c r="T30" s="13">
        <f>T27*(1+T28+T29)</f>
        <v>43.215368165923088</v>
      </c>
      <c r="U30" s="13">
        <f>U27*(1+U28+U29)</f>
        <v>41.600864196216357</v>
      </c>
      <c r="V30" s="66"/>
      <c r="W30" s="66"/>
      <c r="X30" s="13">
        <f>X27*(1+X28)*(1+X29)</f>
        <v>28.758655914775705</v>
      </c>
      <c r="Y30" s="14"/>
      <c r="Z30" s="66"/>
      <c r="AA30" s="13">
        <f>AA27*(1+AA28)*(1+AA29)</f>
        <v>28.758655914775705</v>
      </c>
      <c r="AB30" s="14"/>
      <c r="AC30" s="66"/>
    </row>
    <row r="31" spans="1:29" x14ac:dyDescent="0.2">
      <c r="A31" s="69"/>
      <c r="B31" s="75"/>
      <c r="C31" s="75"/>
      <c r="D31" s="75"/>
      <c r="E31" s="66"/>
      <c r="F31" s="75"/>
      <c r="G31" s="75"/>
      <c r="H31" s="75"/>
      <c r="I31" s="75"/>
      <c r="J31" s="185"/>
      <c r="K31" s="75"/>
      <c r="L31" s="75"/>
      <c r="M31" s="75"/>
      <c r="N31" s="75"/>
      <c r="O31" s="185"/>
      <c r="P31" s="75"/>
      <c r="Q31" s="69"/>
      <c r="R31" s="75"/>
      <c r="S31" s="75"/>
      <c r="T31" s="75"/>
      <c r="U31" s="75"/>
      <c r="V31" s="66"/>
      <c r="W31" s="66"/>
      <c r="X31" s="75"/>
      <c r="Y31" s="70"/>
      <c r="Z31" s="66"/>
      <c r="AA31" s="75"/>
      <c r="AB31" s="70"/>
      <c r="AC31" s="66"/>
    </row>
    <row r="32" spans="1:29" x14ac:dyDescent="0.2">
      <c r="A32" s="76" t="s">
        <v>97</v>
      </c>
      <c r="B32" s="77"/>
      <c r="C32" s="77"/>
      <c r="D32" s="77"/>
      <c r="E32" s="66"/>
      <c r="F32" s="77"/>
      <c r="G32" s="77"/>
      <c r="H32" s="77"/>
      <c r="I32" s="77"/>
      <c r="J32" s="189"/>
      <c r="K32" s="77"/>
      <c r="L32" s="77"/>
      <c r="M32" s="77"/>
      <c r="N32" s="77"/>
      <c r="O32" s="189"/>
      <c r="P32" s="77"/>
      <c r="Q32" s="76"/>
      <c r="R32" s="77"/>
      <c r="S32" s="77"/>
      <c r="T32" s="77"/>
      <c r="U32" s="77"/>
      <c r="V32" s="66"/>
      <c r="W32" s="66"/>
      <c r="X32" s="77"/>
      <c r="Y32" s="78"/>
      <c r="Z32" s="66"/>
      <c r="AA32" s="77"/>
      <c r="AB32" s="78"/>
      <c r="AC32" s="66"/>
    </row>
    <row r="33" spans="1:29" ht="22.5" x14ac:dyDescent="0.2">
      <c r="A33" s="69" t="s">
        <v>98</v>
      </c>
      <c r="B33" s="79">
        <v>7.7499999999999999E-2</v>
      </c>
      <c r="C33" s="79">
        <v>7.7499999999999999E-2</v>
      </c>
      <c r="D33" s="79">
        <v>7.7499999999999999E-2</v>
      </c>
      <c r="E33" s="66"/>
      <c r="F33" s="79">
        <v>7.7499999999999999E-2</v>
      </c>
      <c r="G33" s="79">
        <v>7.7499999999999999E-2</v>
      </c>
      <c r="H33" s="79">
        <v>7.7499999999999999E-2</v>
      </c>
      <c r="I33" s="79">
        <v>7.7499999999999999E-2</v>
      </c>
      <c r="J33" s="190"/>
      <c r="K33" s="79">
        <v>7.7499999999999999E-2</v>
      </c>
      <c r="L33" s="79">
        <v>7.7499999999999999E-2</v>
      </c>
      <c r="M33" s="79">
        <v>7.7499999999999999E-2</v>
      </c>
      <c r="N33" s="79">
        <v>7.7499999999999999E-2</v>
      </c>
      <c r="O33" s="190"/>
      <c r="P33" s="79">
        <v>7.7499999999999999E-2</v>
      </c>
      <c r="Q33" s="69"/>
      <c r="R33" s="79">
        <f>7.25%+0.5%</f>
        <v>7.7499999999999999E-2</v>
      </c>
      <c r="S33" s="79">
        <v>7.7499999999999999E-2</v>
      </c>
      <c r="T33" s="79">
        <v>7.7499999999999999E-2</v>
      </c>
      <c r="U33" s="79">
        <v>7.7499999999999999E-2</v>
      </c>
      <c r="V33" s="66"/>
      <c r="W33" s="66"/>
      <c r="X33" s="79">
        <v>7.7499999999999999E-2</v>
      </c>
      <c r="Y33" s="205" t="s">
        <v>99</v>
      </c>
      <c r="Z33" s="66"/>
      <c r="AA33" s="79">
        <v>7.7499999999999999E-2</v>
      </c>
      <c r="AB33" s="205" t="s">
        <v>99</v>
      </c>
      <c r="AC33" s="66"/>
    </row>
    <row r="34" spans="1:29" ht="22.5" x14ac:dyDescent="0.2">
      <c r="A34" s="67" t="s">
        <v>100</v>
      </c>
      <c r="B34" s="79">
        <v>1.2200000000000001E-2</v>
      </c>
      <c r="C34" s="79">
        <v>1.2200000000000001E-2</v>
      </c>
      <c r="D34" s="79">
        <v>1.2200000000000001E-2</v>
      </c>
      <c r="E34" s="66"/>
      <c r="F34" s="79">
        <v>1.2200000000000001E-2</v>
      </c>
      <c r="G34" s="79">
        <v>1.2200000000000001E-2</v>
      </c>
      <c r="H34" s="79">
        <v>1.2200000000000001E-2</v>
      </c>
      <c r="I34" s="79">
        <v>1.2200000000000001E-2</v>
      </c>
      <c r="J34" s="190"/>
      <c r="K34" s="79">
        <v>1.2200000000000001E-2</v>
      </c>
      <c r="L34" s="79">
        <v>1.2200000000000001E-2</v>
      </c>
      <c r="M34" s="79">
        <v>1.2200000000000001E-2</v>
      </c>
      <c r="N34" s="79">
        <v>1.2200000000000001E-2</v>
      </c>
      <c r="O34" s="190"/>
      <c r="P34" s="79">
        <v>1.2200000000000001E-2</v>
      </c>
      <c r="Q34" s="67"/>
      <c r="R34" s="79">
        <f>0.77%+0.45%</f>
        <v>1.2200000000000001E-2</v>
      </c>
      <c r="S34" s="79">
        <v>1.2200000000000001E-2</v>
      </c>
      <c r="T34" s="79">
        <v>1.2200000000000001E-2</v>
      </c>
      <c r="U34" s="79">
        <v>1.2200000000000001E-2</v>
      </c>
      <c r="V34" s="66"/>
      <c r="W34" s="66"/>
      <c r="X34" s="79">
        <v>1.2200000000000001E-2</v>
      </c>
      <c r="Y34" s="205" t="s">
        <v>101</v>
      </c>
      <c r="Z34" s="66"/>
      <c r="AA34" s="79">
        <v>1.2200000000000001E-2</v>
      </c>
      <c r="AB34" s="205" t="s">
        <v>101</v>
      </c>
      <c r="AC34" s="66"/>
    </row>
    <row r="35" spans="1:29" x14ac:dyDescent="0.2">
      <c r="A35" s="67" t="s">
        <v>102</v>
      </c>
      <c r="B35" s="79">
        <v>3.8899999999999997E-2</v>
      </c>
      <c r="C35" s="79">
        <v>3.8899999999999997E-2</v>
      </c>
      <c r="D35" s="79">
        <v>3.8899999999999997E-2</v>
      </c>
      <c r="E35" s="66"/>
      <c r="F35" s="79">
        <v>3.8899999999999997E-2</v>
      </c>
      <c r="G35" s="79">
        <v>3.8899999999999997E-2</v>
      </c>
      <c r="H35" s="79">
        <v>3.8899999999999997E-2</v>
      </c>
      <c r="I35" s="79">
        <v>3.8899999999999997E-2</v>
      </c>
      <c r="J35" s="190"/>
      <c r="K35" s="79">
        <v>3.8899999999999997E-2</v>
      </c>
      <c r="L35" s="79">
        <v>3.8899999999999997E-2</v>
      </c>
      <c r="M35" s="79">
        <v>3.8899999999999997E-2</v>
      </c>
      <c r="N35" s="79">
        <v>3.8899999999999997E-2</v>
      </c>
      <c r="O35" s="190"/>
      <c r="P35" s="79">
        <v>3.8899999999999997E-2</v>
      </c>
      <c r="Q35" s="67"/>
      <c r="R35" s="79">
        <v>3.8899999999999997E-2</v>
      </c>
      <c r="S35" s="79">
        <v>3.8899999999999997E-2</v>
      </c>
      <c r="T35" s="79">
        <v>3.8899999999999997E-2</v>
      </c>
      <c r="U35" s="79">
        <v>3.8899999999999997E-2</v>
      </c>
      <c r="V35" s="66"/>
      <c r="W35" s="66"/>
      <c r="X35" s="79">
        <v>3.8899999999999997E-2</v>
      </c>
      <c r="Y35" s="205" t="s">
        <v>103</v>
      </c>
      <c r="Z35" s="66"/>
      <c r="AA35" s="79">
        <v>3.8899999999999997E-2</v>
      </c>
      <c r="AB35" s="205" t="s">
        <v>103</v>
      </c>
      <c r="AC35" s="66"/>
    </row>
    <row r="36" spans="1:29" x14ac:dyDescent="0.2">
      <c r="A36" s="67" t="s">
        <v>104</v>
      </c>
      <c r="B36" s="79">
        <v>6.5699999999999995E-2</v>
      </c>
      <c r="C36" s="79">
        <v>6.5699999999999995E-2</v>
      </c>
      <c r="D36" s="79">
        <v>6.5699999999999995E-2</v>
      </c>
      <c r="E36" s="66"/>
      <c r="F36" s="79">
        <v>6.5699999999999995E-2</v>
      </c>
      <c r="G36" s="79">
        <v>6.5699999999999995E-2</v>
      </c>
      <c r="H36" s="79">
        <v>6.5699999999999995E-2</v>
      </c>
      <c r="I36" s="79">
        <v>6.5699999999999995E-2</v>
      </c>
      <c r="J36" s="190"/>
      <c r="K36" s="79">
        <v>6.5699999999999995E-2</v>
      </c>
      <c r="L36" s="79">
        <v>6.5699999999999995E-2</v>
      </c>
      <c r="M36" s="79">
        <v>6.5699999999999995E-2</v>
      </c>
      <c r="N36" s="79">
        <v>6.5699999999999995E-2</v>
      </c>
      <c r="O36" s="190"/>
      <c r="P36" s="79">
        <v>6.5699999999999995E-2</v>
      </c>
      <c r="Q36" s="67"/>
      <c r="R36" s="79">
        <v>6.5699999999999995E-2</v>
      </c>
      <c r="S36" s="79">
        <v>6.5699999999999995E-2</v>
      </c>
      <c r="T36" s="79">
        <v>6.5699999999999995E-2</v>
      </c>
      <c r="U36" s="79">
        <v>6.5699999999999995E-2</v>
      </c>
      <c r="V36" s="66"/>
      <c r="W36" s="66"/>
      <c r="X36" s="79">
        <v>6.5699999999999995E-2</v>
      </c>
      <c r="Y36" s="205" t="s">
        <v>105</v>
      </c>
      <c r="Z36" s="66"/>
      <c r="AA36" s="79">
        <v>6.5699999999999995E-2</v>
      </c>
      <c r="AB36" s="205" t="s">
        <v>105</v>
      </c>
      <c r="AC36" s="66"/>
    </row>
    <row r="37" spans="1:29" x14ac:dyDescent="0.2">
      <c r="A37" s="67" t="s">
        <v>106</v>
      </c>
      <c r="B37" s="79">
        <v>0.10299999999999999</v>
      </c>
      <c r="C37" s="79">
        <v>0.10299999999999999</v>
      </c>
      <c r="D37" s="79">
        <v>0.10299999999999999</v>
      </c>
      <c r="E37" s="66"/>
      <c r="F37" s="79">
        <v>0.10299999999999999</v>
      </c>
      <c r="G37" s="79">
        <v>0.10299999999999999</v>
      </c>
      <c r="H37" s="79">
        <v>0.10299999999999999</v>
      </c>
      <c r="I37" s="79">
        <v>0.10299999999999999</v>
      </c>
      <c r="J37" s="190"/>
      <c r="K37" s="79">
        <v>0.10299999999999999</v>
      </c>
      <c r="L37" s="79">
        <v>0.10299999999999999</v>
      </c>
      <c r="M37" s="79">
        <v>0.10299999999999999</v>
      </c>
      <c r="N37" s="79">
        <v>0.10299999999999999</v>
      </c>
      <c r="O37" s="190"/>
      <c r="P37" s="79">
        <v>0.10299999999999999</v>
      </c>
      <c r="Q37" s="67"/>
      <c r="R37" s="79">
        <v>0.10299999999999999</v>
      </c>
      <c r="S37" s="79">
        <v>0.10299999999999999</v>
      </c>
      <c r="T37" s="79">
        <v>0.10299999999999999</v>
      </c>
      <c r="U37" s="79">
        <v>0.10299999999999999</v>
      </c>
      <c r="V37" s="66"/>
      <c r="W37" s="66"/>
      <c r="X37" s="79">
        <v>0.10299999999999999</v>
      </c>
      <c r="Y37" s="205" t="s">
        <v>107</v>
      </c>
      <c r="Z37" s="66"/>
      <c r="AA37" s="79">
        <v>0.10299999999999999</v>
      </c>
      <c r="AB37" s="205" t="s">
        <v>107</v>
      </c>
      <c r="AC37" s="66"/>
    </row>
    <row r="38" spans="1:29" x14ac:dyDescent="0.2">
      <c r="A38" s="67" t="s">
        <v>108</v>
      </c>
      <c r="B38" s="28">
        <f>SUM(B33:B37)</f>
        <v>0.29729999999999995</v>
      </c>
      <c r="C38" s="28">
        <f>SUM(C33:C37)</f>
        <v>0.29729999999999995</v>
      </c>
      <c r="D38" s="28">
        <f>SUM(D33:D37)</f>
        <v>0.29729999999999995</v>
      </c>
      <c r="E38" s="66"/>
      <c r="F38" s="28">
        <f>SUM(F33:F37)</f>
        <v>0.29729999999999995</v>
      </c>
      <c r="G38" s="28">
        <f>SUM(G33:G37)</f>
        <v>0.29729999999999995</v>
      </c>
      <c r="H38" s="28">
        <f>SUM(H33:H37)</f>
        <v>0.29729999999999995</v>
      </c>
      <c r="I38" s="28">
        <f>SUM(I33:I37)</f>
        <v>0.29729999999999995</v>
      </c>
      <c r="J38" s="190"/>
      <c r="K38" s="28">
        <f>SUM(K33:K37)</f>
        <v>0.29729999999999995</v>
      </c>
      <c r="L38" s="28">
        <f>SUM(L33:L37)</f>
        <v>0.29729999999999995</v>
      </c>
      <c r="M38" s="28">
        <f>SUM(M33:M37)</f>
        <v>0.29729999999999995</v>
      </c>
      <c r="N38" s="28">
        <f>SUM(N33:N37)</f>
        <v>0.29729999999999995</v>
      </c>
      <c r="O38" s="190"/>
      <c r="P38" s="28">
        <f>SUM(P33:P37)</f>
        <v>0.29729999999999995</v>
      </c>
      <c r="Q38" s="67"/>
      <c r="R38" s="28">
        <f>SUM(R33:R37)</f>
        <v>0.29729999999999995</v>
      </c>
      <c r="S38" s="28">
        <f>SUM(S33:S37)</f>
        <v>0.29729999999999995</v>
      </c>
      <c r="T38" s="28">
        <f>SUM(T33:T37)</f>
        <v>0.29729999999999995</v>
      </c>
      <c r="U38" s="28">
        <f>SUM(U33:U37)</f>
        <v>0.29729999999999995</v>
      </c>
      <c r="V38" s="66"/>
      <c r="W38" s="66"/>
      <c r="X38" s="28">
        <f>SUM(X33:X37)</f>
        <v>0.29729999999999995</v>
      </c>
      <c r="Y38" s="80" t="s">
        <v>109</v>
      </c>
      <c r="Z38" s="66"/>
      <c r="AA38" s="28">
        <f>SUM(AA33:AA37)</f>
        <v>0.29729999999999995</v>
      </c>
      <c r="AB38" s="80" t="s">
        <v>109</v>
      </c>
      <c r="AC38" s="66"/>
    </row>
    <row r="39" spans="1:29" x14ac:dyDescent="0.2">
      <c r="A39" s="74"/>
      <c r="B39" s="13">
        <f>B30*(1+B38)</f>
        <v>45.839827134932584</v>
      </c>
      <c r="C39" s="13">
        <f>C30*(1+C38)</f>
        <v>45.124135723531317</v>
      </c>
      <c r="D39" s="13">
        <f>D30*(1+D38)</f>
        <v>44.202083270710645</v>
      </c>
      <c r="E39" s="66"/>
      <c r="F39" s="13">
        <f>F30*(1+F38)</f>
        <v>35.42250277943112</v>
      </c>
      <c r="G39" s="13">
        <f>G30*(1+G38)</f>
        <v>43.224229179729541</v>
      </c>
      <c r="H39" s="13">
        <f>H30*(1+H38)</f>
        <v>37.308604318238523</v>
      </c>
      <c r="I39" s="13">
        <f>I30*(1+I38)</f>
        <v>41.10789712641423</v>
      </c>
      <c r="J39" s="191"/>
      <c r="K39" s="13">
        <f>K30*(1+K38)</f>
        <v>40.51805401670903</v>
      </c>
      <c r="L39" s="13">
        <f>L30*(1+L38)</f>
        <v>51.944964884979456</v>
      </c>
      <c r="M39" s="13">
        <f>M30*(1+M38)</f>
        <v>54.5959663110851</v>
      </c>
      <c r="N39" s="13">
        <f>N30*(1+N38)</f>
        <v>56.06329712165202</v>
      </c>
      <c r="O39" s="191"/>
      <c r="P39" s="13">
        <f>P30*(1+P38)</f>
        <v>51.240217971084093</v>
      </c>
      <c r="Q39" s="74"/>
      <c r="R39" s="13">
        <f>R30*(1+R38)</f>
        <v>53.157986975028706</v>
      </c>
      <c r="S39" s="13">
        <f>S30*(1+S38)</f>
        <v>56.06329712165202</v>
      </c>
      <c r="T39" s="13">
        <f>T30*(1+T38)</f>
        <v>56.06329712165202</v>
      </c>
      <c r="U39" s="13">
        <f>U30*(1+U38)</f>
        <v>53.968801121751476</v>
      </c>
      <c r="V39" s="66"/>
      <c r="W39" s="66"/>
      <c r="X39" s="13">
        <f>X30*(1+X38)</f>
        <v>37.308604318238523</v>
      </c>
      <c r="Y39" s="15"/>
      <c r="Z39" s="66"/>
      <c r="AA39" s="13">
        <f>AA30*(1+AA38)</f>
        <v>37.308604318238523</v>
      </c>
      <c r="AB39" s="15"/>
      <c r="AC39" s="66"/>
    </row>
    <row r="40" spans="1:29" x14ac:dyDescent="0.2">
      <c r="A40" s="69"/>
      <c r="B40" s="77"/>
      <c r="C40" s="77"/>
      <c r="D40" s="77"/>
      <c r="E40" s="66"/>
      <c r="F40" s="77"/>
      <c r="G40" s="77"/>
      <c r="H40" s="77"/>
      <c r="I40" s="77"/>
      <c r="J40" s="189"/>
      <c r="K40" s="77"/>
      <c r="L40" s="77"/>
      <c r="M40" s="77"/>
      <c r="N40" s="77"/>
      <c r="O40" s="189"/>
      <c r="P40" s="77"/>
      <c r="Q40" s="69"/>
      <c r="R40" s="77"/>
      <c r="S40" s="77"/>
      <c r="T40" s="77"/>
      <c r="U40" s="77"/>
      <c r="V40" s="66"/>
      <c r="W40" s="66"/>
      <c r="X40" s="77"/>
      <c r="Y40" s="78"/>
      <c r="Z40" s="66"/>
      <c r="AA40" s="77"/>
      <c r="AB40" s="78"/>
      <c r="AC40" s="66"/>
    </row>
    <row r="41" spans="1:29" x14ac:dyDescent="0.2">
      <c r="A41" s="76" t="s">
        <v>110</v>
      </c>
      <c r="B41" s="77"/>
      <c r="C41" s="77"/>
      <c r="D41" s="77"/>
      <c r="E41" s="66"/>
      <c r="F41" s="77"/>
      <c r="G41" s="77"/>
      <c r="H41" s="77"/>
      <c r="I41" s="77"/>
      <c r="J41" s="189"/>
      <c r="K41" s="77"/>
      <c r="L41" s="77"/>
      <c r="M41" s="77"/>
      <c r="N41" s="77"/>
      <c r="O41" s="189"/>
      <c r="P41" s="77"/>
      <c r="Q41" s="76"/>
      <c r="R41" s="77"/>
      <c r="S41" s="77"/>
      <c r="T41" s="77"/>
      <c r="U41" s="77"/>
      <c r="V41" s="66"/>
      <c r="W41" s="66"/>
      <c r="X41" s="77"/>
      <c r="Y41" s="78"/>
      <c r="Z41" s="66"/>
      <c r="AA41" s="77"/>
      <c r="AB41" s="78"/>
      <c r="AC41" s="66"/>
    </row>
    <row r="42" spans="1:29" x14ac:dyDescent="0.2">
      <c r="A42" s="69" t="s">
        <v>111</v>
      </c>
      <c r="B42" s="61">
        <v>0.12330000000000001</v>
      </c>
      <c r="C42" s="61">
        <v>0.12330000000000001</v>
      </c>
      <c r="D42" s="61">
        <v>0.12330000000000001</v>
      </c>
      <c r="E42" s="66"/>
      <c r="F42" s="61">
        <v>0.04</v>
      </c>
      <c r="G42" s="81">
        <v>0.04</v>
      </c>
      <c r="H42" s="81">
        <v>0.01</v>
      </c>
      <c r="I42" s="81">
        <v>0.01</v>
      </c>
      <c r="J42" s="190"/>
      <c r="K42" s="61">
        <v>0.01</v>
      </c>
      <c r="L42" s="61">
        <v>0.01</v>
      </c>
      <c r="M42" s="61">
        <v>0.01</v>
      </c>
      <c r="N42" s="61">
        <v>0</v>
      </c>
      <c r="O42" s="190"/>
      <c r="P42" s="61">
        <v>0</v>
      </c>
      <c r="Q42" s="69"/>
      <c r="R42" s="61">
        <v>0</v>
      </c>
      <c r="S42" s="61">
        <v>0</v>
      </c>
      <c r="T42" s="61">
        <v>0</v>
      </c>
      <c r="U42" s="61">
        <v>0</v>
      </c>
      <c r="V42" s="66"/>
      <c r="W42" s="66"/>
      <c r="X42" s="81">
        <v>9.5500000000000002E-2</v>
      </c>
      <c r="Y42" s="203" t="s">
        <v>81</v>
      </c>
      <c r="Z42" s="66"/>
      <c r="AA42" s="81">
        <v>9.5500000000000002E-2</v>
      </c>
      <c r="AB42" s="203" t="s">
        <v>81</v>
      </c>
      <c r="AC42" s="66"/>
    </row>
    <row r="43" spans="1:29" x14ac:dyDescent="0.2">
      <c r="A43" s="69" t="s">
        <v>112</v>
      </c>
      <c r="B43" s="13">
        <f>B39*(1+B42)</f>
        <v>51.491877820669771</v>
      </c>
      <c r="C43" s="13">
        <f>C39*(1+C42)</f>
        <v>50.687941658242728</v>
      </c>
      <c r="D43" s="13">
        <f>D39*(1+D42)</f>
        <v>49.652200137989269</v>
      </c>
      <c r="E43" s="66"/>
      <c r="F43" s="13">
        <f>F39*(1+F42)</f>
        <v>36.839402890608369</v>
      </c>
      <c r="G43" s="13">
        <f>G39*(1+G42)</f>
        <v>44.953198346918725</v>
      </c>
      <c r="H43" s="13">
        <f>H39*(1+H42)</f>
        <v>37.681690361420905</v>
      </c>
      <c r="I43" s="13">
        <f>I39*(1+I42)</f>
        <v>41.518976097678369</v>
      </c>
      <c r="J43" s="191"/>
      <c r="K43" s="13">
        <f>K39*(1+K42)</f>
        <v>40.923234556876118</v>
      </c>
      <c r="L43" s="13">
        <f>L39*(1+L42)</f>
        <v>52.464414533829249</v>
      </c>
      <c r="M43" s="13">
        <f>M39*(1+M42)</f>
        <v>55.141925974195949</v>
      </c>
      <c r="N43" s="13">
        <f>N39*(1+N42)</f>
        <v>56.06329712165202</v>
      </c>
      <c r="O43" s="191"/>
      <c r="P43" s="13">
        <f>P39*(1+P42)</f>
        <v>51.240217971084093</v>
      </c>
      <c r="Q43" s="69"/>
      <c r="R43" s="13">
        <f>R39*(1+R42)</f>
        <v>53.157986975028706</v>
      </c>
      <c r="S43" s="13">
        <f>S39*(1+S42)</f>
        <v>56.06329712165202</v>
      </c>
      <c r="T43" s="13">
        <f>T39*(1+T42)</f>
        <v>56.06329712165202</v>
      </c>
      <c r="U43" s="13">
        <f>U39*(1+U42)</f>
        <v>53.968801121751476</v>
      </c>
      <c r="V43" s="66"/>
      <c r="W43" s="66"/>
      <c r="X43" s="13">
        <f>X39*(1+X42)</f>
        <v>40.871576030630301</v>
      </c>
      <c r="Y43" s="15"/>
      <c r="Z43" s="66"/>
      <c r="AA43" s="13">
        <f>AA39*(1+AA42)</f>
        <v>40.871576030630301</v>
      </c>
      <c r="AB43" s="15"/>
      <c r="AC43" s="66"/>
    </row>
    <row r="44" spans="1:29" x14ac:dyDescent="0.2">
      <c r="A44" s="69"/>
      <c r="B44" s="77"/>
      <c r="C44" s="77"/>
      <c r="D44" s="77"/>
      <c r="E44" s="66"/>
      <c r="F44" s="77"/>
      <c r="G44" s="77"/>
      <c r="H44" s="77"/>
      <c r="I44" s="77"/>
      <c r="J44" s="189"/>
      <c r="K44" s="77"/>
      <c r="L44" s="77"/>
      <c r="M44" s="77"/>
      <c r="N44" s="77"/>
      <c r="O44" s="189"/>
      <c r="P44" s="77"/>
      <c r="Q44" s="69"/>
      <c r="R44" s="77"/>
      <c r="S44" s="77"/>
      <c r="T44" s="77"/>
      <c r="U44" s="77"/>
      <c r="V44" s="66"/>
      <c r="W44" s="66"/>
      <c r="X44" s="77"/>
      <c r="Y44" s="78"/>
      <c r="Z44" s="66"/>
      <c r="AA44" s="77"/>
      <c r="AB44" s="78"/>
      <c r="AC44" s="66"/>
    </row>
    <row r="45" spans="1:29" x14ac:dyDescent="0.2">
      <c r="A45" s="76" t="s">
        <v>113</v>
      </c>
      <c r="B45" s="77"/>
      <c r="C45" s="77"/>
      <c r="D45" s="77"/>
      <c r="E45" s="66"/>
      <c r="F45" s="77"/>
      <c r="G45" s="77"/>
      <c r="H45" s="77"/>
      <c r="I45" s="77"/>
      <c r="J45" s="189"/>
      <c r="K45" s="77"/>
      <c r="L45" s="77"/>
      <c r="M45" s="77"/>
      <c r="N45" s="77"/>
      <c r="O45" s="189"/>
      <c r="P45" s="77"/>
      <c r="Q45" s="76"/>
      <c r="R45" s="77"/>
      <c r="S45" s="77"/>
      <c r="T45" s="77"/>
      <c r="U45" s="77"/>
      <c r="V45" s="66"/>
      <c r="W45" s="66"/>
      <c r="X45" s="77"/>
      <c r="Y45" s="78"/>
      <c r="Z45" s="66"/>
      <c r="AA45" s="77"/>
      <c r="AB45" s="78"/>
      <c r="AC45" s="66"/>
    </row>
    <row r="46" spans="1:29" x14ac:dyDescent="0.2">
      <c r="A46" s="76" t="s">
        <v>114</v>
      </c>
      <c r="B46" s="82">
        <v>1878</v>
      </c>
      <c r="C46" s="82">
        <v>1878</v>
      </c>
      <c r="D46" s="82">
        <v>1878</v>
      </c>
      <c r="E46" s="66"/>
      <c r="F46" s="82">
        <v>1878</v>
      </c>
      <c r="G46" s="82">
        <v>1878</v>
      </c>
      <c r="H46" s="82">
        <v>1878</v>
      </c>
      <c r="I46" s="82">
        <v>1878</v>
      </c>
      <c r="J46" s="189"/>
      <c r="K46" s="82">
        <v>1878</v>
      </c>
      <c r="L46" s="82">
        <v>1878</v>
      </c>
      <c r="M46" s="82">
        <v>1878</v>
      </c>
      <c r="N46" s="82">
        <v>1878</v>
      </c>
      <c r="O46" s="189"/>
      <c r="P46" s="82">
        <v>1878</v>
      </c>
      <c r="Q46" s="76"/>
      <c r="R46" s="82">
        <v>1878</v>
      </c>
      <c r="S46" s="82">
        <v>1878</v>
      </c>
      <c r="T46" s="82">
        <v>1878</v>
      </c>
      <c r="U46" s="82">
        <v>1878</v>
      </c>
      <c r="V46" s="66"/>
      <c r="W46" s="66"/>
      <c r="X46" s="82">
        <v>1878</v>
      </c>
      <c r="Y46" s="78"/>
      <c r="Z46" s="66"/>
      <c r="AA46" s="82">
        <v>1878</v>
      </c>
      <c r="AB46" s="78"/>
      <c r="AC46" s="66"/>
    </row>
    <row r="47" spans="1:29" x14ac:dyDescent="0.2">
      <c r="A47" s="67" t="s">
        <v>115</v>
      </c>
      <c r="B47" s="83">
        <f>VLOOKUP(Kostprijsmodel!B15,Verlof!$A$1:$F$5,6,FALSE)</f>
        <v>0.13333333333333333</v>
      </c>
      <c r="C47" s="83">
        <f>VLOOKUP(Kostprijsmodel!C15,Verlof!$A$1:$F$5,6,FALSE)</f>
        <v>0.13333333333333333</v>
      </c>
      <c r="D47" s="83">
        <f>VLOOKUP(Kostprijsmodel!D15,Verlof!$A$1:$F$5,6,FALSE)</f>
        <v>0.13333333333333333</v>
      </c>
      <c r="E47" s="66"/>
      <c r="F47" s="83">
        <f>VLOOKUP(Kostprijsmodel!F15,Verlof!$A$1:$F$5,6,FALSE)</f>
        <v>0.13333333333333333</v>
      </c>
      <c r="G47" s="83">
        <f>VLOOKUP(Kostprijsmodel!G15,Verlof!$A$1:$F$5,6,FALSE)</f>
        <v>0.13333333333333333</v>
      </c>
      <c r="H47" s="83">
        <f>VLOOKUP(Kostprijsmodel!H15,Verlof!$A$1:$F$5,6,FALSE)</f>
        <v>0.13333333333333333</v>
      </c>
      <c r="I47" s="83">
        <f>VLOOKUP(Kostprijsmodel!I15,Verlof!$A$1:$F$5,6,FALSE)</f>
        <v>0.13333333333333333</v>
      </c>
      <c r="J47" s="190"/>
      <c r="K47" s="83">
        <f>VLOOKUP(Kostprijsmodel!K15,Verlof!$A$1:$F$5,6,FALSE)</f>
        <v>0.13386581469648562</v>
      </c>
      <c r="L47" s="83">
        <f>VLOOKUP(Kostprijsmodel!L15,Verlof!$A$1:$F$5,6,FALSE)</f>
        <v>0.13386581469648562</v>
      </c>
      <c r="M47" s="83">
        <f>VLOOKUP(Kostprijsmodel!M15,Verlof!$A$1:$F$5,6,FALSE)</f>
        <v>0.13386581469648562</v>
      </c>
      <c r="N47" s="83">
        <f>VLOOKUP(Kostprijsmodel!N15,Verlof!$A$1:$F$5,6,FALSE)</f>
        <v>0.13386581469648562</v>
      </c>
      <c r="O47" s="190"/>
      <c r="P47" s="83">
        <f>VLOOKUP(Kostprijsmodel!P15,Verlof!$A$1:$F$5,6,FALSE)</f>
        <v>0.13386581469648562</v>
      </c>
      <c r="Q47" s="67"/>
      <c r="R47" s="83">
        <f>VLOOKUP(Kostprijsmodel!R15,Verlof!$A$1:$F$5,6,FALSE)</f>
        <v>0.13386581469648562</v>
      </c>
      <c r="S47" s="83">
        <f>VLOOKUP(Kostprijsmodel!S15,Verlof!$A$1:$F$5,6,FALSE)</f>
        <v>0.13386581469648562</v>
      </c>
      <c r="T47" s="83">
        <f>VLOOKUP(Kostprijsmodel!T15,Verlof!$A$1:$F$5,6,FALSE)</f>
        <v>0.13386581469648562</v>
      </c>
      <c r="U47" s="83">
        <f>VLOOKUP(Kostprijsmodel!U15,Verlof!$A$1:$F$5,6,FALSE)</f>
        <v>0.13386581469648562</v>
      </c>
      <c r="V47" s="66"/>
      <c r="W47" s="66"/>
      <c r="X47" s="83">
        <f>VLOOKUP(Kostprijsmodel!X15,Verlof!$A$1:$F$5,6,FALSE)</f>
        <v>0.13333333333333333</v>
      </c>
      <c r="Y47" s="203" t="s">
        <v>116</v>
      </c>
      <c r="Z47" s="66"/>
      <c r="AA47" s="83">
        <f>VLOOKUP(Kostprijsmodel!AA15,Verlof!$A$1:$F$5,6,FALSE)</f>
        <v>0.13333333333333333</v>
      </c>
      <c r="AB47" s="203" t="s">
        <v>116</v>
      </c>
      <c r="AC47" s="66"/>
    </row>
    <row r="48" spans="1:29" ht="22.5" x14ac:dyDescent="0.2">
      <c r="A48" s="67" t="s">
        <v>117</v>
      </c>
      <c r="B48" s="83">
        <v>7.0000000000000007E-2</v>
      </c>
      <c r="C48" s="83">
        <v>7.0000000000000007E-2</v>
      </c>
      <c r="D48" s="83">
        <v>7.0000000000000007E-2</v>
      </c>
      <c r="E48" s="66"/>
      <c r="F48" s="83">
        <v>7.0000000000000007E-2</v>
      </c>
      <c r="G48" s="83">
        <v>7.0000000000000007E-2</v>
      </c>
      <c r="H48" s="83">
        <v>7.0000000000000007E-2</v>
      </c>
      <c r="I48" s="83">
        <v>7.0000000000000007E-2</v>
      </c>
      <c r="J48" s="190"/>
      <c r="K48" s="83">
        <v>7.0000000000000007E-2</v>
      </c>
      <c r="L48" s="83">
        <v>7.0000000000000007E-2</v>
      </c>
      <c r="M48" s="83">
        <v>7.0000000000000007E-2</v>
      </c>
      <c r="N48" s="83">
        <v>7.0000000000000007E-2</v>
      </c>
      <c r="O48" s="190"/>
      <c r="P48" s="83">
        <v>7.0000000000000007E-2</v>
      </c>
      <c r="Q48" s="67"/>
      <c r="R48" s="83">
        <v>7.0000000000000007E-2</v>
      </c>
      <c r="S48" s="83">
        <v>7.0000000000000007E-2</v>
      </c>
      <c r="T48" s="83">
        <v>7.0000000000000007E-2</v>
      </c>
      <c r="U48" s="83">
        <v>7.0000000000000007E-2</v>
      </c>
      <c r="V48" s="66"/>
      <c r="W48" s="66"/>
      <c r="X48" s="83">
        <v>7.0000000000000007E-2</v>
      </c>
      <c r="Y48" s="256" t="s">
        <v>118</v>
      </c>
      <c r="Z48" s="66"/>
      <c r="AA48" s="83">
        <v>7.0000000000000007E-2</v>
      </c>
      <c r="AB48" s="256" t="s">
        <v>118</v>
      </c>
      <c r="AC48" s="66"/>
    </row>
    <row r="49" spans="1:29" x14ac:dyDescent="0.2">
      <c r="A49" s="67" t="s">
        <v>119</v>
      </c>
      <c r="B49" s="84">
        <f>(1-SUM(B47:B48))*B46</f>
        <v>1496.1399999999999</v>
      </c>
      <c r="C49" s="84">
        <f>(1-SUM(C47:C48))*C46</f>
        <v>1496.1399999999999</v>
      </c>
      <c r="D49" s="84">
        <f>(1-SUM(D47:D48))*D46</f>
        <v>1496.1399999999999</v>
      </c>
      <c r="E49" s="66"/>
      <c r="F49" s="84">
        <f>(1-SUM(F47:F48))*F46</f>
        <v>1496.1399999999999</v>
      </c>
      <c r="G49" s="84">
        <f>(1-SUM(G47:G48))*G46</f>
        <v>1496.1399999999999</v>
      </c>
      <c r="H49" s="84">
        <f>(1-SUM(H47:H48))*H46</f>
        <v>1496.1399999999999</v>
      </c>
      <c r="I49" s="84">
        <f>(1-SUM(I47:I48))*I46</f>
        <v>1496.1399999999999</v>
      </c>
      <c r="J49" s="190"/>
      <c r="K49" s="84">
        <f>(1-SUM(K47:K48))*K46</f>
        <v>1495.14</v>
      </c>
      <c r="L49" s="84">
        <f>(1-SUM(L47:L48))*L46</f>
        <v>1495.14</v>
      </c>
      <c r="M49" s="84">
        <f>(1-SUM(M47:M48))*M46</f>
        <v>1495.14</v>
      </c>
      <c r="N49" s="84">
        <f>(1-SUM(N47:N48))*N46</f>
        <v>1495.14</v>
      </c>
      <c r="O49" s="190"/>
      <c r="P49" s="84">
        <f>(1-SUM(P47:P48))*P46</f>
        <v>1495.14</v>
      </c>
      <c r="Q49" s="67"/>
      <c r="R49" s="84">
        <f>(1-SUM(R47:R48))*R46</f>
        <v>1495.14</v>
      </c>
      <c r="S49" s="84">
        <f>(1-SUM(S47:S48))*S46</f>
        <v>1495.14</v>
      </c>
      <c r="T49" s="84">
        <f>(1-SUM(T47:T48))*T46</f>
        <v>1495.14</v>
      </c>
      <c r="U49" s="84">
        <f>(1-SUM(U47:U48))*U46</f>
        <v>1495.14</v>
      </c>
      <c r="V49" s="66"/>
      <c r="W49" s="66"/>
      <c r="X49" s="84">
        <f>(1-SUM(X47:X48))*X46</f>
        <v>1496.1399999999999</v>
      </c>
      <c r="Y49" s="80"/>
      <c r="Z49" s="66"/>
      <c r="AA49" s="84">
        <f>(1-SUM(AA47:AA48))*AA46</f>
        <v>1496.1399999999999</v>
      </c>
      <c r="AB49" s="80"/>
      <c r="AC49" s="66"/>
    </row>
    <row r="50" spans="1:29" x14ac:dyDescent="0.2">
      <c r="A50" s="67" t="s">
        <v>120</v>
      </c>
      <c r="B50" s="62"/>
      <c r="C50" s="62"/>
      <c r="D50" s="62"/>
      <c r="E50" s="85"/>
      <c r="F50" s="62">
        <f>Uitvraag!$O$33</f>
        <v>0.11759576368756651</v>
      </c>
      <c r="G50" s="62">
        <f>Uitvraag!$O$33</f>
        <v>0.11759576368756651</v>
      </c>
      <c r="H50" s="62">
        <v>7.4999999999999997E-2</v>
      </c>
      <c r="I50" s="62">
        <v>7.4999999999999997E-2</v>
      </c>
      <c r="J50" s="192"/>
      <c r="K50" s="62">
        <v>7.4999999999999997E-2</v>
      </c>
      <c r="L50" s="62">
        <v>7.4999999999999997E-2</v>
      </c>
      <c r="M50" s="62">
        <f>Uitvraag!O93</f>
        <v>0.14533282741596762</v>
      </c>
      <c r="N50" s="62">
        <v>0.18099999999999999</v>
      </c>
      <c r="O50" s="192"/>
      <c r="P50" s="62">
        <f>R50</f>
        <v>0.18099999999999999</v>
      </c>
      <c r="Q50" s="67"/>
      <c r="R50" s="62">
        <v>0.18099999999999999</v>
      </c>
      <c r="S50" s="62">
        <v>0.18099999999999999</v>
      </c>
      <c r="T50" s="62">
        <v>0.18099999999999999</v>
      </c>
      <c r="U50" s="62">
        <f>S50</f>
        <v>0.18099999999999999</v>
      </c>
      <c r="V50" s="85"/>
      <c r="W50" s="85"/>
      <c r="X50" s="62">
        <v>7.4999999999999997E-2</v>
      </c>
      <c r="Y50" s="203" t="s">
        <v>81</v>
      </c>
      <c r="Z50" s="85"/>
      <c r="AA50" s="62">
        <v>7.4999999999999997E-2</v>
      </c>
      <c r="AB50" s="203" t="s">
        <v>81</v>
      </c>
      <c r="AC50" s="85"/>
    </row>
    <row r="51" spans="1:29" x14ac:dyDescent="0.2">
      <c r="A51" s="67" t="s">
        <v>121</v>
      </c>
      <c r="B51" s="86">
        <f>(1-B50)*B49</f>
        <v>1496.1399999999999</v>
      </c>
      <c r="C51" s="86">
        <f>(1-C50)*C49</f>
        <v>1496.1399999999999</v>
      </c>
      <c r="D51" s="86">
        <f>(1-D50)*D49</f>
        <v>1496.1399999999999</v>
      </c>
      <c r="E51" s="66"/>
      <c r="F51" s="86">
        <f>(1-F50)*F49</f>
        <v>1320.200274116484</v>
      </c>
      <c r="G51" s="86">
        <f>(1-G50)*G49</f>
        <v>1320.200274116484</v>
      </c>
      <c r="H51" s="86">
        <f>(1-H50)*H49</f>
        <v>1383.9295</v>
      </c>
      <c r="I51" s="86">
        <f>(1-I50)*I49</f>
        <v>1383.9295</v>
      </c>
      <c r="J51" s="190"/>
      <c r="K51" s="86">
        <f>(1-K50)*K49</f>
        <v>1383.0045000000002</v>
      </c>
      <c r="L51" s="86">
        <f>(1-L50)*L49</f>
        <v>1383.0045000000002</v>
      </c>
      <c r="M51" s="86">
        <f>(1-M50)*M49</f>
        <v>1277.8470764172903</v>
      </c>
      <c r="N51" s="86">
        <f>(1-N50)*N49</f>
        <v>1224.5196599999999</v>
      </c>
      <c r="O51" s="190"/>
      <c r="P51" s="86">
        <f>(1-P50)*P49</f>
        <v>1224.5196599999999</v>
      </c>
      <c r="Q51" s="67"/>
      <c r="R51" s="86">
        <f>(1-R50)*R49</f>
        <v>1224.5196599999999</v>
      </c>
      <c r="S51" s="86">
        <f>(1-S50)*S49</f>
        <v>1224.5196599999999</v>
      </c>
      <c r="T51" s="86">
        <f>(1-T50)*T49</f>
        <v>1224.5196599999999</v>
      </c>
      <c r="U51" s="86">
        <f>(1-U50)*U49</f>
        <v>1224.5196599999999</v>
      </c>
      <c r="V51" s="66"/>
      <c r="W51" s="66"/>
      <c r="X51" s="86">
        <f>(1-X50)*X49</f>
        <v>1383.9295</v>
      </c>
      <c r="Y51" s="87"/>
      <c r="Z51" s="66"/>
      <c r="AA51" s="86">
        <f>(1-AA50)*AA49</f>
        <v>1383.9295</v>
      </c>
      <c r="AB51" s="87"/>
      <c r="AC51" s="66"/>
    </row>
    <row r="52" spans="1:29" x14ac:dyDescent="0.2">
      <c r="A52" s="67"/>
      <c r="B52" s="66"/>
      <c r="C52" s="66"/>
      <c r="D52" s="66"/>
      <c r="E52" s="66"/>
      <c r="F52" s="66"/>
      <c r="G52" s="66"/>
      <c r="H52" s="66"/>
      <c r="I52" s="66"/>
      <c r="J52" s="66"/>
      <c r="K52" s="66"/>
      <c r="L52" s="66"/>
      <c r="M52" s="66"/>
      <c r="N52" s="66"/>
      <c r="O52" s="66"/>
      <c r="P52" s="66"/>
      <c r="Q52" s="67"/>
      <c r="R52" s="66"/>
      <c r="S52" s="66"/>
      <c r="T52" s="66"/>
      <c r="U52" s="66"/>
      <c r="V52" s="66"/>
      <c r="W52" s="66"/>
      <c r="X52" s="66"/>
      <c r="Y52" s="66"/>
      <c r="Z52" s="66"/>
      <c r="AA52" s="66"/>
      <c r="AB52" s="66"/>
      <c r="AC52" s="66"/>
    </row>
    <row r="53" spans="1:29" x14ac:dyDescent="0.2">
      <c r="A53" s="67" t="s">
        <v>122</v>
      </c>
      <c r="B53" s="88">
        <v>0.37</v>
      </c>
      <c r="C53" s="88">
        <v>0.37</v>
      </c>
      <c r="D53" s="88">
        <v>0.36</v>
      </c>
      <c r="E53" s="85"/>
      <c r="F53" s="88">
        <f>(F46-F51)/F46</f>
        <v>0.29701795840442813</v>
      </c>
      <c r="G53" s="88">
        <f>(G46-G51)/G46</f>
        <v>0.29701795840442813</v>
      </c>
      <c r="H53" s="88">
        <f>(H46-H51)/H46</f>
        <v>0.26308333333333334</v>
      </c>
      <c r="I53" s="88">
        <f>(I46-I51)/I46</f>
        <v>0.26308333333333334</v>
      </c>
      <c r="J53" s="193"/>
      <c r="K53" s="88">
        <f>(K46-K51)/K46</f>
        <v>0.26357587859424908</v>
      </c>
      <c r="L53" s="88">
        <f>(L46-L51)/L46</f>
        <v>0.26357587859424908</v>
      </c>
      <c r="M53" s="88">
        <f>(M46-M51)/M46</f>
        <v>0.31957024684915319</v>
      </c>
      <c r="N53" s="88">
        <f>(N46-N51)/N46</f>
        <v>0.34796610223642177</v>
      </c>
      <c r="O53" s="193"/>
      <c r="P53" s="88">
        <f>(P46-P51)/P46</f>
        <v>0.34796610223642177</v>
      </c>
      <c r="Q53" s="67"/>
      <c r="R53" s="88">
        <f>(R46-R51)/R46</f>
        <v>0.34796610223642177</v>
      </c>
      <c r="S53" s="88">
        <f>(S46-S51)/S46</f>
        <v>0.34796610223642177</v>
      </c>
      <c r="T53" s="88">
        <f>(T46-T51)/T46</f>
        <v>0.34796610223642177</v>
      </c>
      <c r="U53" s="88">
        <f>(U46-U51)/U46</f>
        <v>0.34796610223642177</v>
      </c>
      <c r="V53" s="85"/>
      <c r="W53" s="85"/>
      <c r="X53" s="88">
        <f>(X46-X51)/X46</f>
        <v>0.26308333333333334</v>
      </c>
      <c r="Y53" s="89"/>
      <c r="Z53" s="85"/>
      <c r="AA53" s="88">
        <f>(AA46-AA51)/AA46</f>
        <v>0.26308333333333334</v>
      </c>
      <c r="AB53" s="89"/>
      <c r="AC53" s="85"/>
    </row>
    <row r="54" spans="1:29" x14ac:dyDescent="0.2">
      <c r="A54" s="74" t="s">
        <v>123</v>
      </c>
      <c r="B54" s="13">
        <f>B43/(1-B53)</f>
        <v>81.733139397888522</v>
      </c>
      <c r="C54" s="13">
        <f>C43/(1-C53)</f>
        <v>80.457050251178927</v>
      </c>
      <c r="D54" s="13">
        <f>D43/(1-D53)</f>
        <v>77.581562715608229</v>
      </c>
      <c r="E54" s="66"/>
      <c r="F54" s="13">
        <f>F43/(1-F53)</f>
        <v>52.40447224938103</v>
      </c>
      <c r="G54" s="13">
        <f>G43/(1-G53)</f>
        <v>63.946439150689521</v>
      </c>
      <c r="H54" s="13">
        <f>H43/(1-H53)</f>
        <v>51.134262618687195</v>
      </c>
      <c r="I54" s="13">
        <f>I43/(1-I53)</f>
        <v>56.341480625595437</v>
      </c>
      <c r="J54" s="191"/>
      <c r="K54" s="13">
        <f>K43/(1-K53)</f>
        <v>55.570198432335779</v>
      </c>
      <c r="L54" s="13">
        <f>L43/(1-L53)</f>
        <v>71.242118514098337</v>
      </c>
      <c r="M54" s="13">
        <f>M43/(1-M53)</f>
        <v>81.039851239384816</v>
      </c>
      <c r="N54" s="13">
        <f>N43/(1-N53)</f>
        <v>85.982181776046374</v>
      </c>
      <c r="O54" s="191"/>
      <c r="P54" s="13">
        <f>P43/(1-P53)</f>
        <v>78.585205687670168</v>
      </c>
      <c r="Q54" s="74"/>
      <c r="R54" s="13">
        <f>R43/(1-R53)</f>
        <v>81.526416275834976</v>
      </c>
      <c r="S54" s="13">
        <f>S43/(1-S53)</f>
        <v>85.982181776046374</v>
      </c>
      <c r="T54" s="13">
        <f>T43/(1-T53)</f>
        <v>85.982181776046374</v>
      </c>
      <c r="U54" s="13">
        <f>U43/(1-U53)</f>
        <v>82.769931604568342</v>
      </c>
      <c r="V54" s="66"/>
      <c r="W54" s="66"/>
      <c r="X54" s="13">
        <f>X43/(1-X53)</f>
        <v>55.462955147298835</v>
      </c>
      <c r="Y54" s="15"/>
      <c r="Z54" s="66"/>
      <c r="AA54" s="13">
        <f>AA43/(1-AA53)</f>
        <v>55.462955147298835</v>
      </c>
      <c r="AB54" s="15"/>
      <c r="AC54" s="66"/>
    </row>
    <row r="55" spans="1:29" x14ac:dyDescent="0.2">
      <c r="A55" s="69"/>
      <c r="B55" s="90"/>
      <c r="C55" s="90"/>
      <c r="D55" s="90"/>
      <c r="E55" s="66"/>
      <c r="F55" s="90"/>
      <c r="G55" s="90"/>
      <c r="H55" s="90"/>
      <c r="I55" s="90"/>
      <c r="J55" s="194"/>
      <c r="K55" s="90"/>
      <c r="L55" s="90"/>
      <c r="M55" s="90"/>
      <c r="N55" s="90"/>
      <c r="O55" s="194"/>
      <c r="P55" s="90"/>
      <c r="Q55" s="69"/>
      <c r="R55" s="90"/>
      <c r="S55" s="90"/>
      <c r="T55" s="90"/>
      <c r="U55" s="90"/>
      <c r="V55" s="66"/>
      <c r="W55" s="66"/>
      <c r="X55" s="90"/>
      <c r="Y55" s="91"/>
      <c r="Z55" s="66"/>
      <c r="AA55" s="90"/>
      <c r="AB55" s="91"/>
      <c r="AC55" s="66"/>
    </row>
    <row r="56" spans="1:29" x14ac:dyDescent="0.2">
      <c r="A56" s="76" t="s">
        <v>124</v>
      </c>
      <c r="B56" s="77"/>
      <c r="C56" s="77"/>
      <c r="D56" s="77"/>
      <c r="E56" s="66"/>
      <c r="F56" s="77"/>
      <c r="G56" s="77"/>
      <c r="H56" s="77"/>
      <c r="I56" s="77"/>
      <c r="J56" s="189"/>
      <c r="K56" s="77"/>
      <c r="L56" s="77"/>
      <c r="M56" s="77"/>
      <c r="N56" s="77"/>
      <c r="O56" s="189"/>
      <c r="P56" s="77"/>
      <c r="Q56" s="76"/>
      <c r="R56" s="77"/>
      <c r="S56" s="77"/>
      <c r="T56" s="77"/>
      <c r="U56" s="77"/>
      <c r="V56" s="66"/>
      <c r="W56" s="66"/>
      <c r="X56" s="77"/>
      <c r="Y56" s="78"/>
      <c r="Z56" s="66"/>
      <c r="AA56" s="77"/>
      <c r="AB56" s="78"/>
      <c r="AC56" s="66"/>
    </row>
    <row r="57" spans="1:29" ht="51" customHeight="1" x14ac:dyDescent="0.2">
      <c r="A57" s="67" t="s">
        <v>125</v>
      </c>
      <c r="B57" s="62">
        <f>30/70</f>
        <v>0.42857142857142855</v>
      </c>
      <c r="C57" s="62">
        <v>0.4</v>
      </c>
      <c r="D57" s="62">
        <f>30/70</f>
        <v>0.42857142857142855</v>
      </c>
      <c r="E57" s="85"/>
      <c r="F57" s="258">
        <v>0.39901852922304198</v>
      </c>
      <c r="G57" s="62">
        <v>0.39901852922304198</v>
      </c>
      <c r="H57" s="62">
        <v>0.419018529223042</v>
      </c>
      <c r="I57" s="62">
        <v>0.419018529223042</v>
      </c>
      <c r="J57" s="192"/>
      <c r="K57" s="62">
        <v>0.49200921227987077</v>
      </c>
      <c r="L57" s="258">
        <v>0.47200921227987075</v>
      </c>
      <c r="M57" s="62">
        <v>0.47200921227987075</v>
      </c>
      <c r="N57" s="62">
        <v>0.40000000000000008</v>
      </c>
      <c r="O57" s="192"/>
      <c r="P57" s="62">
        <v>0.24658872242049371</v>
      </c>
      <c r="Q57" s="67"/>
      <c r="R57" s="62">
        <v>0.35</v>
      </c>
      <c r="S57" s="62">
        <v>0.4</v>
      </c>
      <c r="T57" s="62">
        <v>0.4</v>
      </c>
      <c r="U57" s="62">
        <v>0.4</v>
      </c>
      <c r="V57" s="85"/>
      <c r="W57" s="85"/>
      <c r="X57" s="62">
        <v>0.419018529223042</v>
      </c>
      <c r="Y57" s="203" t="s">
        <v>81</v>
      </c>
      <c r="Z57" s="85"/>
      <c r="AA57" s="62">
        <v>0.419018529223042</v>
      </c>
      <c r="AB57" s="203" t="s">
        <v>81</v>
      </c>
      <c r="AC57" s="85"/>
    </row>
    <row r="58" spans="1:29" x14ac:dyDescent="0.2">
      <c r="A58" s="92" t="s">
        <v>126</v>
      </c>
      <c r="B58" s="93">
        <f>SUM(B57:B57)</f>
        <v>0.42857142857142855</v>
      </c>
      <c r="C58" s="284">
        <v>0.42899999999999999</v>
      </c>
      <c r="D58" s="93">
        <f>SUM(D57:D57)</f>
        <v>0.42857142857142855</v>
      </c>
      <c r="E58" s="85"/>
      <c r="F58" s="93">
        <f>SUM(F57:F57)</f>
        <v>0.39901852922304198</v>
      </c>
      <c r="G58" s="93">
        <f>SUM(G57:G57)</f>
        <v>0.39901852922304198</v>
      </c>
      <c r="H58" s="93">
        <f>SUM(H57:H57)</f>
        <v>0.419018529223042</v>
      </c>
      <c r="I58" s="93">
        <f>SUM(I57:I57)</f>
        <v>0.419018529223042</v>
      </c>
      <c r="J58" s="193"/>
      <c r="K58" s="93">
        <f>SUM(K57:K57)</f>
        <v>0.49200921227987077</v>
      </c>
      <c r="L58" s="93">
        <f>SUM(L57:L57)</f>
        <v>0.47200921227987075</v>
      </c>
      <c r="M58" s="93">
        <f>SUM(M57:M57)</f>
        <v>0.47200921227987075</v>
      </c>
      <c r="N58" s="93">
        <f>SUM(N57:N57)</f>
        <v>0.40000000000000008</v>
      </c>
      <c r="O58" s="193"/>
      <c r="P58" s="93">
        <f>SUM(P57:P57)</f>
        <v>0.24658872242049371</v>
      </c>
      <c r="Q58" s="92"/>
      <c r="R58" s="93">
        <f>SUM(R57:R57)</f>
        <v>0.35</v>
      </c>
      <c r="S58" s="93">
        <f>SUM(S57:S57)</f>
        <v>0.4</v>
      </c>
      <c r="T58" s="93">
        <f>SUM(T57:T57)</f>
        <v>0.4</v>
      </c>
      <c r="U58" s="93">
        <f>SUM(U57:U57)</f>
        <v>0.4</v>
      </c>
      <c r="V58" s="85"/>
      <c r="W58" s="85"/>
      <c r="X58" s="93">
        <f>SUM(X57:X57)</f>
        <v>0.419018529223042</v>
      </c>
      <c r="Y58" s="94"/>
      <c r="Z58" s="85"/>
      <c r="AA58" s="93">
        <f>SUM(AA57:AA57)</f>
        <v>0.419018529223042</v>
      </c>
      <c r="AB58" s="94"/>
      <c r="AC58" s="85"/>
    </row>
    <row r="59" spans="1:29" x14ac:dyDescent="0.2">
      <c r="A59" s="74" t="s">
        <v>127</v>
      </c>
      <c r="B59" s="13">
        <f>B54*(1+B58)</f>
        <v>116.76162771126931</v>
      </c>
      <c r="C59" s="13">
        <f>C54*(1+C58)</f>
        <v>114.97312480893468</v>
      </c>
      <c r="D59" s="13">
        <f>D54*(1+D58)</f>
        <v>110.83080387944032</v>
      </c>
      <c r="E59" s="66"/>
      <c r="F59" s="13">
        <f>F54*(1+F58)</f>
        <v>73.314827691038758</v>
      </c>
      <c r="G59" s="13">
        <f>G54*(1+G58)</f>
        <v>89.462253249648398</v>
      </c>
      <c r="H59" s="13">
        <f>H54*(1+H58)</f>
        <v>72.560466134074275</v>
      </c>
      <c r="I59" s="13">
        <f>I54*(1+I58)</f>
        <v>79.949604971580953</v>
      </c>
      <c r="J59" s="195"/>
      <c r="K59" s="13">
        <f>K54*(1+K58)</f>
        <v>82.911247989265405</v>
      </c>
      <c r="L59" s="13">
        <f>L54*(1+L58)</f>
        <v>104.86905475508709</v>
      </c>
      <c r="M59" s="13">
        <f>M54*(1+M58)</f>
        <v>119.29140758616475</v>
      </c>
      <c r="N59" s="13">
        <f>N54*(1+N58)</f>
        <v>120.37505448646493</v>
      </c>
      <c r="O59" s="195"/>
      <c r="P59" s="13">
        <f>P54*(1+P58)</f>
        <v>97.963431159344466</v>
      </c>
      <c r="Q59" s="74"/>
      <c r="R59" s="13">
        <f>R54*(1+R58)</f>
        <v>110.06066197237722</v>
      </c>
      <c r="S59" s="13">
        <f>S54*(1+S58)</f>
        <v>120.37505448646492</v>
      </c>
      <c r="T59" s="13">
        <f>T54*(1+T58)</f>
        <v>120.37505448646492</v>
      </c>
      <c r="U59" s="13">
        <f>U54*(1+U58)</f>
        <v>115.87790424639567</v>
      </c>
      <c r="V59" s="66"/>
      <c r="W59" s="66"/>
      <c r="X59" s="13">
        <f>X54*(1+X58)</f>
        <v>78.70296103948354</v>
      </c>
      <c r="Y59" s="96"/>
      <c r="Z59" s="66"/>
      <c r="AA59" s="13">
        <f>AA54*(1+AA58)</f>
        <v>78.70296103948354</v>
      </c>
      <c r="AB59" s="96"/>
      <c r="AC59" s="66"/>
    </row>
    <row r="60" spans="1:29" x14ac:dyDescent="0.2">
      <c r="A60" s="92"/>
      <c r="B60" s="97"/>
      <c r="C60" s="97"/>
      <c r="D60" s="97"/>
      <c r="E60" s="66"/>
      <c r="F60" s="97"/>
      <c r="G60" s="97"/>
      <c r="H60" s="97"/>
      <c r="I60" s="97"/>
      <c r="J60" s="195"/>
      <c r="K60" s="97"/>
      <c r="L60" s="97"/>
      <c r="M60" s="97"/>
      <c r="N60" s="97"/>
      <c r="O60" s="195"/>
      <c r="P60" s="97"/>
      <c r="Q60" s="92"/>
      <c r="R60" s="97"/>
      <c r="S60" s="97"/>
      <c r="T60" s="97"/>
      <c r="U60" s="97"/>
      <c r="V60" s="66"/>
      <c r="W60" s="66"/>
      <c r="X60" s="97"/>
      <c r="Y60" s="96"/>
      <c r="Z60" s="66"/>
      <c r="AA60" s="97"/>
      <c r="AB60" s="96"/>
      <c r="AC60" s="66"/>
    </row>
    <row r="61" spans="1:29" x14ac:dyDescent="0.2">
      <c r="A61" s="76" t="s">
        <v>128</v>
      </c>
      <c r="B61" s="97"/>
      <c r="C61" s="97"/>
      <c r="D61" s="97"/>
      <c r="E61" s="66"/>
      <c r="F61" s="97"/>
      <c r="G61" s="97"/>
      <c r="H61" s="97"/>
      <c r="I61" s="97"/>
      <c r="J61" s="195"/>
      <c r="K61" s="97"/>
      <c r="L61" s="97"/>
      <c r="M61" s="97"/>
      <c r="N61" s="97"/>
      <c r="O61" s="195"/>
      <c r="P61" s="97"/>
      <c r="Q61" s="76"/>
      <c r="R61" s="97"/>
      <c r="S61" s="97"/>
      <c r="T61" s="97"/>
      <c r="U61" s="97"/>
      <c r="V61" s="66"/>
      <c r="W61" s="66"/>
      <c r="X61" s="97"/>
      <c r="Y61" s="96"/>
      <c r="Z61" s="66"/>
      <c r="AA61" s="97"/>
      <c r="AB61" s="96"/>
      <c r="AC61" s="66"/>
    </row>
    <row r="62" spans="1:29" x14ac:dyDescent="0.2">
      <c r="A62" s="67" t="s">
        <v>129</v>
      </c>
      <c r="B62" s="98">
        <v>0.03</v>
      </c>
      <c r="C62" s="98">
        <v>0.03</v>
      </c>
      <c r="D62" s="98">
        <v>0.03</v>
      </c>
      <c r="E62" s="66"/>
      <c r="F62" s="98">
        <v>0.03</v>
      </c>
      <c r="G62" s="62">
        <v>0.03</v>
      </c>
      <c r="H62" s="62">
        <v>0.03</v>
      </c>
      <c r="I62" s="62">
        <v>0.03</v>
      </c>
      <c r="J62" s="190"/>
      <c r="K62" s="98">
        <v>0.03</v>
      </c>
      <c r="L62" s="98">
        <v>0.03</v>
      </c>
      <c r="M62" s="98">
        <v>0.03</v>
      </c>
      <c r="N62" s="98">
        <v>0.03</v>
      </c>
      <c r="O62" s="190"/>
      <c r="P62" s="98">
        <v>0.03</v>
      </c>
      <c r="Q62" s="67"/>
      <c r="R62" s="98">
        <v>0.03</v>
      </c>
      <c r="S62" s="98">
        <v>0.03</v>
      </c>
      <c r="T62" s="98">
        <v>0.03</v>
      </c>
      <c r="U62" s="98">
        <v>0.03</v>
      </c>
      <c r="V62" s="66"/>
      <c r="W62" s="66"/>
      <c r="X62" s="62">
        <v>0.03</v>
      </c>
      <c r="Y62" s="203" t="s">
        <v>130</v>
      </c>
      <c r="Z62" s="66"/>
      <c r="AA62" s="62">
        <v>0.03</v>
      </c>
      <c r="AB62" s="203" t="s">
        <v>130</v>
      </c>
      <c r="AC62" s="66"/>
    </row>
    <row r="63" spans="1:29" x14ac:dyDescent="0.2">
      <c r="A63" s="92"/>
      <c r="B63" s="99"/>
      <c r="C63" s="99"/>
      <c r="D63" s="99"/>
      <c r="E63" s="66"/>
      <c r="F63" s="99"/>
      <c r="G63" s="99"/>
      <c r="H63" s="99"/>
      <c r="I63" s="99"/>
      <c r="J63" s="195"/>
      <c r="K63" s="99"/>
      <c r="L63" s="99"/>
      <c r="M63" s="99"/>
      <c r="N63" s="99"/>
      <c r="O63" s="195"/>
      <c r="P63" s="99"/>
      <c r="Q63" s="92"/>
      <c r="R63" s="99"/>
      <c r="S63" s="99"/>
      <c r="T63" s="99"/>
      <c r="U63" s="99"/>
      <c r="V63" s="66"/>
      <c r="W63" s="66"/>
      <c r="X63" s="99"/>
      <c r="Y63" s="95"/>
      <c r="Z63" s="66"/>
      <c r="AA63" s="99"/>
      <c r="AB63" s="95"/>
      <c r="AC63" s="66"/>
    </row>
    <row r="64" spans="1:29" hidden="1" x14ac:dyDescent="0.2">
      <c r="A64" s="76" t="s">
        <v>131</v>
      </c>
      <c r="B64" s="97"/>
      <c r="C64" s="97"/>
      <c r="D64" s="97"/>
      <c r="E64" s="66"/>
      <c r="F64" s="97"/>
      <c r="G64" s="97"/>
      <c r="H64" s="97"/>
      <c r="I64" s="97"/>
      <c r="J64" s="195"/>
      <c r="K64" s="97"/>
      <c r="L64" s="97"/>
      <c r="M64" s="97"/>
      <c r="N64" s="97"/>
      <c r="O64" s="195"/>
      <c r="P64" s="97"/>
      <c r="Q64" s="76"/>
      <c r="R64" s="97"/>
      <c r="S64" s="97"/>
      <c r="T64" s="97"/>
      <c r="U64" s="97"/>
      <c r="V64" s="66"/>
      <c r="W64" s="66"/>
      <c r="X64" s="97"/>
      <c r="Y64" s="96"/>
      <c r="Z64" s="66"/>
      <c r="AA64" s="97"/>
      <c r="AB64" s="96"/>
      <c r="AC64" s="66"/>
    </row>
    <row r="65" spans="1:29" hidden="1" x14ac:dyDescent="0.2">
      <c r="A65" s="67" t="s">
        <v>132</v>
      </c>
      <c r="B65" s="100"/>
      <c r="C65" s="100"/>
      <c r="D65" s="100"/>
      <c r="E65" s="66"/>
      <c r="F65" s="100"/>
      <c r="G65" s="100"/>
      <c r="H65" s="100"/>
      <c r="I65" s="100"/>
      <c r="J65" s="190"/>
      <c r="K65" s="100"/>
      <c r="L65" s="100"/>
      <c r="M65" s="100"/>
      <c r="N65" s="100"/>
      <c r="O65" s="190"/>
      <c r="P65" s="100">
        <v>0</v>
      </c>
      <c r="Q65" s="67"/>
      <c r="R65" s="100"/>
      <c r="S65" s="100"/>
      <c r="T65" s="100"/>
      <c r="U65" s="100"/>
      <c r="V65" s="66"/>
      <c r="W65" s="66"/>
      <c r="X65" s="100"/>
      <c r="Y65" s="203"/>
      <c r="Z65" s="66"/>
      <c r="AA65" s="100"/>
      <c r="AB65" s="203"/>
      <c r="AC65" s="66"/>
    </row>
    <row r="66" spans="1:29" hidden="1" x14ac:dyDescent="0.2">
      <c r="A66" s="67" t="s">
        <v>133</v>
      </c>
      <c r="B66" s="101"/>
      <c r="C66" s="101"/>
      <c r="D66" s="101"/>
      <c r="E66" s="66"/>
      <c r="F66" s="101"/>
      <c r="G66" s="100"/>
      <c r="H66" s="100"/>
      <c r="I66" s="100"/>
      <c r="J66" s="190"/>
      <c r="K66" s="101"/>
      <c r="L66" s="101"/>
      <c r="M66" s="101"/>
      <c r="N66" s="101"/>
      <c r="O66" s="190"/>
      <c r="P66" s="101">
        <v>0</v>
      </c>
      <c r="Q66" s="67"/>
      <c r="R66" s="101"/>
      <c r="S66" s="101"/>
      <c r="T66" s="101"/>
      <c r="U66" s="101"/>
      <c r="V66" s="66"/>
      <c r="W66" s="66"/>
      <c r="X66" s="100"/>
      <c r="Y66" s="203"/>
      <c r="Z66" s="66"/>
      <c r="AA66" s="100"/>
      <c r="AB66" s="203"/>
      <c r="AC66" s="66"/>
    </row>
    <row r="67" spans="1:29" x14ac:dyDescent="0.2">
      <c r="A67" s="74" t="s">
        <v>134</v>
      </c>
      <c r="B67" s="13">
        <f>B59*(1+B62)+SUM(B65:B66)</f>
        <v>120.2644765426074</v>
      </c>
      <c r="C67" s="287">
        <f>C59*(1+C62)+SUM(C65:C66)</f>
        <v>118.42231855320273</v>
      </c>
      <c r="D67" s="13">
        <f>D59*(1+D62)+SUM(D65:D66)</f>
        <v>114.15572799582354</v>
      </c>
      <c r="E67" s="66"/>
      <c r="F67" s="13">
        <f>F59*(1+F62)+SUM(F65:F66)</f>
        <v>75.514272521769925</v>
      </c>
      <c r="G67" s="13">
        <f>G59*(1+G62)+SUM(G65:G66)</f>
        <v>92.146120847137851</v>
      </c>
      <c r="H67" s="13">
        <f>H59*(1+H62)+SUM(H65:H66)</f>
        <v>74.737280118096507</v>
      </c>
      <c r="I67" s="13">
        <f>I59*(1+I62)+SUM(I65:I66)</f>
        <v>82.348093120728379</v>
      </c>
      <c r="J67" s="191"/>
      <c r="K67" s="13">
        <f>K59*(1+K62)+SUM(K65:K66)</f>
        <v>85.398585428943363</v>
      </c>
      <c r="L67" s="13">
        <f>L59*(1+L62)+SUM(L65:L66)</f>
        <v>108.01512639773971</v>
      </c>
      <c r="M67" s="13">
        <f>M59*(1+M62)+SUM(M65:M66)</f>
        <v>122.87014981374969</v>
      </c>
      <c r="N67" s="13">
        <f>N59*(1+N62)+SUM(N65:N66)</f>
        <v>123.98630612105889</v>
      </c>
      <c r="O67" s="191"/>
      <c r="P67" s="13">
        <f>P59*(1+P62)+SUM(P65:P66)</f>
        <v>100.9023340941248</v>
      </c>
      <c r="Q67" s="74"/>
      <c r="R67" s="13">
        <f>R59*(1+R62)+SUM(R65:R66)</f>
        <v>113.36248183154854</v>
      </c>
      <c r="S67" s="13">
        <f>S59*(1+S62)+SUM(S65:S66)</f>
        <v>123.98630612105887</v>
      </c>
      <c r="T67" s="13">
        <f>T59*(1+T62)+SUM(T65:T66)</f>
        <v>123.98630612105887</v>
      </c>
      <c r="U67" s="13">
        <f>U59*(1+U62)+SUM(U65:U66)</f>
        <v>119.35424137378754</v>
      </c>
      <c r="V67" s="66"/>
      <c r="W67" s="66"/>
      <c r="X67" s="13">
        <f>X59*(1+X62)+SUM(X65:X66)</f>
        <v>81.064049870668043</v>
      </c>
      <c r="Y67" s="15"/>
      <c r="Z67" s="66"/>
      <c r="AA67" s="13">
        <f>AA59*(1+AA62)+SUM(AA65:AA66)</f>
        <v>81.064049870668043</v>
      </c>
      <c r="AB67" s="15"/>
      <c r="AC67" s="66"/>
    </row>
    <row r="68" spans="1:29" x14ac:dyDescent="0.2">
      <c r="A68" s="67"/>
      <c r="B68" s="251"/>
      <c r="C68" s="251"/>
      <c r="D68" s="251"/>
      <c r="E68" s="66"/>
      <c r="F68" s="66"/>
      <c r="G68" s="66"/>
      <c r="H68" s="102"/>
      <c r="I68" s="102"/>
      <c r="J68" s="66"/>
      <c r="K68" s="102"/>
      <c r="L68" s="66"/>
      <c r="M68" s="66"/>
      <c r="N68" s="66"/>
      <c r="O68" s="66"/>
      <c r="P68" s="66"/>
      <c r="Q68" s="67"/>
      <c r="R68" s="66"/>
      <c r="S68" s="66"/>
      <c r="T68" s="66"/>
      <c r="U68" s="102"/>
      <c r="V68" s="66"/>
      <c r="W68" s="66"/>
      <c r="X68" s="102"/>
      <c r="Y68" s="102"/>
      <c r="Z68" s="66"/>
      <c r="AA68" s="102"/>
      <c r="AB68" s="102"/>
      <c r="AC68" s="66"/>
    </row>
    <row r="69" spans="1:29" x14ac:dyDescent="0.2">
      <c r="A69" s="67"/>
      <c r="B69" s="251"/>
      <c r="C69" s="257"/>
      <c r="D69" s="257"/>
      <c r="E69" s="66"/>
      <c r="F69" s="111"/>
      <c r="G69" s="252"/>
      <c r="H69" s="102"/>
      <c r="I69" s="102"/>
      <c r="J69" s="66"/>
      <c r="K69" s="103"/>
      <c r="L69" s="66"/>
      <c r="M69" s="66"/>
      <c r="N69" s="66"/>
      <c r="O69" s="66"/>
      <c r="P69" s="66"/>
      <c r="Q69" s="67"/>
      <c r="R69" s="66"/>
      <c r="S69" s="66"/>
      <c r="T69" s="66"/>
      <c r="U69" s="103"/>
      <c r="V69" s="66"/>
      <c r="W69" s="66"/>
      <c r="X69" s="102"/>
      <c r="Y69" s="102"/>
      <c r="Z69" s="66"/>
      <c r="AA69" s="102"/>
      <c r="AB69" s="102"/>
      <c r="AC69" s="66"/>
    </row>
    <row r="70" spans="1:29" x14ac:dyDescent="0.2">
      <c r="A70" s="74"/>
      <c r="B70" s="251"/>
      <c r="C70" s="259"/>
      <c r="D70" s="259"/>
      <c r="E70" s="66"/>
      <c r="F70" s="111"/>
      <c r="G70" s="111"/>
      <c r="H70" s="104"/>
      <c r="I70" s="104"/>
      <c r="J70" s="66"/>
      <c r="K70" s="104"/>
      <c r="L70" s="66"/>
      <c r="M70" s="66"/>
      <c r="N70" s="66"/>
      <c r="O70" s="66"/>
      <c r="P70" s="66"/>
      <c r="Q70" s="74"/>
      <c r="R70" s="66"/>
      <c r="S70" s="66"/>
      <c r="T70" s="66"/>
      <c r="U70" s="104"/>
      <c r="V70" s="66"/>
      <c r="W70" s="66"/>
      <c r="X70" s="104"/>
      <c r="Y70" s="102"/>
      <c r="Z70" s="66"/>
      <c r="AA70" s="104"/>
      <c r="AB70" s="102"/>
      <c r="AC70" s="66"/>
    </row>
    <row r="71" spans="1:29" x14ac:dyDescent="0.2">
      <c r="A71" s="65" t="s">
        <v>135</v>
      </c>
      <c r="B71" s="251"/>
      <c r="C71" s="261"/>
      <c r="D71" s="261"/>
      <c r="E71" s="66"/>
      <c r="F71" s="66"/>
      <c r="G71" s="66"/>
      <c r="H71" s="102"/>
      <c r="I71" s="102"/>
      <c r="J71" s="66"/>
      <c r="K71" s="102"/>
      <c r="L71" s="66"/>
      <c r="N71" s="66"/>
      <c r="O71" s="66"/>
      <c r="P71" s="66"/>
      <c r="Q71" s="65"/>
      <c r="R71" s="66"/>
      <c r="S71" s="66"/>
      <c r="T71" s="66"/>
      <c r="U71" s="102"/>
      <c r="V71" s="66"/>
      <c r="W71" s="66"/>
      <c r="X71" s="102"/>
      <c r="Y71" s="102"/>
      <c r="Z71" s="66"/>
      <c r="AA71" s="102"/>
      <c r="AB71" s="102"/>
      <c r="AC71" s="66"/>
    </row>
    <row r="72" spans="1:29" x14ac:dyDescent="0.2">
      <c r="A72" s="105" t="s">
        <v>136</v>
      </c>
      <c r="B72" s="251"/>
      <c r="C72" s="251"/>
      <c r="D72" s="251"/>
      <c r="E72" s="66"/>
      <c r="F72" s="66"/>
      <c r="G72" s="66"/>
      <c r="H72" s="271">
        <v>1</v>
      </c>
      <c r="I72" s="106">
        <v>1</v>
      </c>
      <c r="J72" s="66"/>
      <c r="K72" s="106">
        <v>1</v>
      </c>
      <c r="L72" s="66"/>
      <c r="M72" s="66"/>
      <c r="N72" s="66"/>
      <c r="O72" s="66"/>
      <c r="P72" s="66"/>
      <c r="Q72" s="67"/>
      <c r="R72" s="66"/>
      <c r="S72" s="66"/>
      <c r="T72" s="66"/>
      <c r="U72" s="106">
        <v>1</v>
      </c>
      <c r="V72" s="66"/>
      <c r="W72" s="66"/>
      <c r="X72" s="102"/>
      <c r="Y72" s="102"/>
      <c r="Z72" s="66"/>
      <c r="AA72" s="102"/>
      <c r="AB72" s="102"/>
      <c r="AC72" s="66"/>
    </row>
    <row r="73" spans="1:29" x14ac:dyDescent="0.2">
      <c r="A73" s="105" t="s">
        <v>137</v>
      </c>
      <c r="B73" s="251"/>
      <c r="C73" s="251"/>
      <c r="D73" s="251"/>
      <c r="E73" s="66"/>
      <c r="F73" s="66"/>
      <c r="G73" s="66"/>
      <c r="H73" s="272">
        <v>5</v>
      </c>
      <c r="I73" s="107">
        <v>3</v>
      </c>
      <c r="J73" s="66"/>
      <c r="K73" s="107">
        <v>4</v>
      </c>
      <c r="L73" s="66"/>
      <c r="M73" s="66"/>
      <c r="N73" s="66"/>
      <c r="O73" s="66"/>
      <c r="P73" s="111"/>
      <c r="Q73" s="67"/>
      <c r="R73" s="66"/>
      <c r="S73" s="66"/>
      <c r="T73" s="66"/>
      <c r="U73" s="107">
        <v>4</v>
      </c>
      <c r="V73" s="66"/>
      <c r="W73" s="66"/>
      <c r="X73" s="102"/>
      <c r="Y73" s="102"/>
      <c r="Z73" s="66"/>
      <c r="AA73" s="102"/>
      <c r="AB73" s="102"/>
      <c r="AC73" s="66"/>
    </row>
    <row r="74" spans="1:29" x14ac:dyDescent="0.2">
      <c r="A74" s="66"/>
      <c r="B74" s="251"/>
      <c r="C74" s="102"/>
      <c r="D74" s="102"/>
      <c r="E74" s="66"/>
      <c r="F74" s="66"/>
      <c r="G74" s="66"/>
      <c r="H74" s="108"/>
      <c r="I74" s="108"/>
      <c r="J74" s="66"/>
      <c r="K74" s="108"/>
      <c r="L74" s="66"/>
      <c r="M74" s="66"/>
      <c r="N74" s="66"/>
      <c r="O74" s="66"/>
      <c r="P74" s="66"/>
      <c r="Q74" s="66"/>
      <c r="R74" s="66"/>
      <c r="S74" s="66"/>
      <c r="T74" s="66"/>
      <c r="U74" s="108"/>
      <c r="V74" s="66"/>
      <c r="W74" s="66"/>
      <c r="X74" s="102"/>
      <c r="Y74" s="102"/>
      <c r="Z74" s="66"/>
      <c r="AA74" s="102"/>
      <c r="AB74" s="102"/>
      <c r="AC74" s="66"/>
    </row>
    <row r="75" spans="1:29" ht="22.5" x14ac:dyDescent="0.2">
      <c r="A75" s="74" t="s">
        <v>138</v>
      </c>
      <c r="B75" s="251"/>
      <c r="C75" s="260"/>
      <c r="D75" s="260"/>
      <c r="E75" s="66"/>
      <c r="F75" s="66"/>
      <c r="G75" s="66"/>
      <c r="H75" s="109">
        <f>(H67*H72)/H73</f>
        <v>14.947456023619301</v>
      </c>
      <c r="I75" s="109">
        <f>(I67*I72)/I73</f>
        <v>27.449364373576127</v>
      </c>
      <c r="J75" s="66"/>
      <c r="K75" s="109">
        <f>(K67*K72)/K73</f>
        <v>21.349646357235841</v>
      </c>
      <c r="L75" s="111"/>
      <c r="M75" s="111"/>
      <c r="N75" s="111"/>
      <c r="O75" s="66"/>
      <c r="P75" s="111"/>
      <c r="Q75" s="74"/>
      <c r="R75" s="111"/>
      <c r="S75" s="111"/>
      <c r="T75" s="111"/>
      <c r="U75" s="109">
        <f>(U67*U72)/U73</f>
        <v>29.838560343446886</v>
      </c>
      <c r="V75" s="66"/>
      <c r="W75" s="66"/>
      <c r="X75" s="102"/>
      <c r="Y75" s="102"/>
      <c r="Z75" s="66"/>
      <c r="AA75" s="102"/>
      <c r="AB75" s="102"/>
      <c r="AC75" s="66"/>
    </row>
    <row r="76" spans="1:29" x14ac:dyDescent="0.2">
      <c r="A76" s="67"/>
      <c r="B76" s="251"/>
      <c r="C76" s="251"/>
      <c r="D76" s="251"/>
      <c r="E76" s="66"/>
      <c r="F76" s="66"/>
      <c r="G76" s="66"/>
      <c r="H76" s="66"/>
      <c r="I76" s="66"/>
      <c r="J76" s="66"/>
      <c r="K76" s="66"/>
      <c r="L76" s="66"/>
      <c r="M76" s="66"/>
      <c r="N76" s="66"/>
      <c r="O76" s="66"/>
      <c r="P76" s="66"/>
      <c r="Q76" s="67"/>
      <c r="R76" s="66"/>
      <c r="S76" s="66"/>
      <c r="T76" s="66"/>
      <c r="U76" s="66"/>
      <c r="V76" s="66"/>
      <c r="W76" s="66"/>
      <c r="X76" s="102"/>
      <c r="Y76" s="102"/>
      <c r="Z76" s="66"/>
      <c r="AA76" s="102"/>
      <c r="AB76" s="102"/>
      <c r="AC76" s="66"/>
    </row>
    <row r="77" spans="1:29" x14ac:dyDescent="0.2">
      <c r="A77" s="286" t="s">
        <v>1074</v>
      </c>
      <c r="B77" s="251"/>
      <c r="C77" s="251"/>
      <c r="D77" s="251"/>
      <c r="E77" s="66"/>
      <c r="F77" s="66"/>
      <c r="G77" s="66"/>
      <c r="H77" s="285">
        <v>0.91</v>
      </c>
      <c r="I77" s="285">
        <v>0.36</v>
      </c>
      <c r="J77" s="66"/>
      <c r="K77" s="66"/>
      <c r="L77" s="66"/>
      <c r="M77" s="66"/>
      <c r="N77" s="66"/>
      <c r="O77" s="66"/>
      <c r="P77" s="66"/>
      <c r="Q77" s="67"/>
      <c r="R77" s="66"/>
      <c r="S77" s="66"/>
      <c r="T77" s="66"/>
      <c r="U77" s="66"/>
      <c r="V77" s="66"/>
      <c r="W77" s="66"/>
      <c r="X77" s="102"/>
      <c r="Y77" s="102"/>
      <c r="Z77" s="66"/>
      <c r="AA77" s="102"/>
      <c r="AB77" s="102"/>
      <c r="AC77" s="66"/>
    </row>
    <row r="78" spans="1:29" x14ac:dyDescent="0.2">
      <c r="A78" s="67"/>
      <c r="B78" s="251"/>
      <c r="C78" s="251"/>
      <c r="D78" s="251"/>
      <c r="E78" s="66"/>
      <c r="F78" s="66"/>
      <c r="G78" s="66"/>
      <c r="H78" s="66"/>
      <c r="I78" s="66"/>
      <c r="J78" s="66"/>
      <c r="K78" s="66"/>
      <c r="L78" s="66"/>
      <c r="M78" s="66"/>
      <c r="N78" s="66"/>
      <c r="O78" s="66"/>
      <c r="P78" s="66"/>
      <c r="Q78" s="67"/>
      <c r="R78" s="66"/>
      <c r="S78" s="66"/>
      <c r="T78" s="66"/>
      <c r="U78" s="66"/>
      <c r="V78" s="66"/>
      <c r="W78" s="66"/>
      <c r="X78" s="102"/>
      <c r="Y78" s="102"/>
      <c r="Z78" s="66"/>
      <c r="AA78" s="102"/>
      <c r="AB78" s="102"/>
      <c r="AC78" s="66"/>
    </row>
    <row r="79" spans="1:29" x14ac:dyDescent="0.2">
      <c r="A79" s="65" t="s">
        <v>139</v>
      </c>
      <c r="B79" s="251"/>
      <c r="C79" s="261"/>
      <c r="D79" s="261"/>
      <c r="E79" s="66"/>
      <c r="F79" s="66"/>
      <c r="G79" s="66"/>
      <c r="H79" s="66"/>
      <c r="I79" s="66"/>
      <c r="J79" s="66"/>
      <c r="K79" s="66"/>
      <c r="L79" s="66"/>
      <c r="M79" s="66"/>
      <c r="N79" s="66"/>
      <c r="O79" s="66"/>
      <c r="P79" s="66"/>
      <c r="Q79" s="65"/>
      <c r="R79" s="66"/>
      <c r="S79" s="66"/>
      <c r="T79" s="66"/>
      <c r="U79" s="66"/>
      <c r="V79" s="66"/>
      <c r="W79" s="66"/>
      <c r="X79" s="102"/>
      <c r="Y79" s="102"/>
      <c r="Z79" s="66"/>
      <c r="AA79" s="102"/>
      <c r="AB79" s="102"/>
      <c r="AC79" s="66"/>
    </row>
    <row r="80" spans="1:29" x14ac:dyDescent="0.2">
      <c r="A80" s="67" t="s">
        <v>140</v>
      </c>
      <c r="B80" s="251"/>
      <c r="C80" s="251"/>
      <c r="D80" s="251"/>
      <c r="E80" s="66"/>
      <c r="F80" s="66"/>
      <c r="G80" s="66"/>
      <c r="H80" s="66"/>
      <c r="I80" s="66"/>
      <c r="J80" s="66"/>
      <c r="K80" s="66"/>
      <c r="L80" s="66"/>
      <c r="M80" s="66"/>
      <c r="N80" s="66"/>
      <c r="O80" s="66"/>
      <c r="P80" s="66"/>
      <c r="Q80" s="67"/>
      <c r="R80" s="66"/>
      <c r="S80" s="66"/>
      <c r="T80" s="66"/>
      <c r="U80" s="66"/>
      <c r="V80" s="66"/>
      <c r="W80" s="66"/>
      <c r="X80" s="107">
        <v>6</v>
      </c>
      <c r="Y80" s="204"/>
      <c r="Z80" s="66"/>
      <c r="AA80" s="107">
        <v>6</v>
      </c>
      <c r="AB80" s="204"/>
      <c r="AC80" s="66"/>
    </row>
    <row r="81" spans="1:29" ht="22.5" x14ac:dyDescent="0.2">
      <c r="A81" s="67" t="s">
        <v>141</v>
      </c>
      <c r="B81" s="251"/>
      <c r="C81" s="251"/>
      <c r="D81" s="251"/>
      <c r="E81" s="66"/>
      <c r="F81" s="66"/>
      <c r="G81" s="66"/>
      <c r="H81" s="66"/>
      <c r="I81" s="66"/>
      <c r="J81" s="66"/>
      <c r="K81" s="66"/>
      <c r="L81" s="66"/>
      <c r="M81" s="66"/>
      <c r="N81" s="66"/>
      <c r="O81" s="66"/>
      <c r="P81" s="66"/>
      <c r="Q81" s="67"/>
      <c r="R81" s="66"/>
      <c r="S81" s="66"/>
      <c r="T81" s="66"/>
      <c r="U81" s="66"/>
      <c r="V81" s="66"/>
      <c r="W81" s="66"/>
      <c r="X81" s="254" t="e">
        <f>#REF!</f>
        <v>#REF!</v>
      </c>
      <c r="Y81" s="204"/>
      <c r="Z81" s="66"/>
      <c r="AA81" s="254" t="e">
        <f>#REF!</f>
        <v>#REF!</v>
      </c>
      <c r="AB81" s="204"/>
      <c r="AC81" s="66"/>
    </row>
    <row r="82" spans="1:29" ht="22.5" x14ac:dyDescent="0.2">
      <c r="A82" s="67" t="s">
        <v>142</v>
      </c>
      <c r="B82" s="251"/>
      <c r="C82" s="251"/>
      <c r="D82" s="251"/>
      <c r="E82" s="66"/>
      <c r="F82" s="66"/>
      <c r="G82" s="66"/>
      <c r="H82" s="66"/>
      <c r="I82" s="66"/>
      <c r="J82" s="66"/>
      <c r="K82" s="66"/>
      <c r="L82" s="66"/>
      <c r="M82" s="66"/>
      <c r="N82" s="66"/>
      <c r="O82" s="66"/>
      <c r="P82" s="66"/>
      <c r="Q82" s="67"/>
      <c r="R82" s="66"/>
      <c r="S82" s="66"/>
      <c r="T82" s="66"/>
      <c r="U82" s="66"/>
      <c r="V82" s="66"/>
      <c r="W82" s="66"/>
      <c r="X82" s="110">
        <f>-(31.48+4.14)/1.25</f>
        <v>-28.495999999999999</v>
      </c>
      <c r="Y82" s="255" t="s">
        <v>143</v>
      </c>
      <c r="Z82" s="66"/>
      <c r="AA82" s="110"/>
      <c r="AB82" s="204"/>
      <c r="AC82" s="66"/>
    </row>
    <row r="83" spans="1:29" ht="33.75" x14ac:dyDescent="0.2">
      <c r="A83" s="67" t="s">
        <v>144</v>
      </c>
      <c r="B83" s="251"/>
      <c r="C83" s="251"/>
      <c r="D83" s="251"/>
      <c r="E83" s="66"/>
      <c r="F83" s="66"/>
      <c r="G83" s="66"/>
      <c r="H83" s="111"/>
      <c r="I83" s="66"/>
      <c r="J83" s="66"/>
      <c r="K83" s="66"/>
      <c r="L83" s="66"/>
      <c r="M83" s="66"/>
      <c r="N83" s="66"/>
      <c r="O83" s="66"/>
      <c r="P83" s="66"/>
      <c r="Q83" s="67"/>
      <c r="R83" s="66"/>
      <c r="S83" s="66"/>
      <c r="T83" s="66"/>
      <c r="U83" s="66"/>
      <c r="V83" s="66"/>
      <c r="W83" s="66"/>
      <c r="X83" s="110"/>
      <c r="Y83" s="204"/>
      <c r="Z83" s="66"/>
      <c r="AA83" s="110"/>
      <c r="AB83" s="204"/>
      <c r="AC83" s="66"/>
    </row>
    <row r="84" spans="1:29" x14ac:dyDescent="0.2">
      <c r="A84" s="67" t="s">
        <v>145</v>
      </c>
      <c r="B84" s="251"/>
      <c r="C84" s="251"/>
      <c r="D84" s="251"/>
      <c r="E84" s="66"/>
      <c r="F84" s="66"/>
      <c r="G84" s="66"/>
      <c r="H84" s="111"/>
      <c r="I84" s="66"/>
      <c r="J84" s="66"/>
      <c r="K84" s="66"/>
      <c r="L84" s="66"/>
      <c r="M84" s="66"/>
      <c r="N84" s="66"/>
      <c r="O84" s="66"/>
      <c r="P84" s="66"/>
      <c r="Q84" s="67"/>
      <c r="R84" s="66"/>
      <c r="S84" s="66"/>
      <c r="T84" s="66"/>
      <c r="U84" s="66"/>
      <c r="V84" s="66"/>
      <c r="W84" s="66"/>
      <c r="X84" s="110"/>
      <c r="Y84" s="204"/>
      <c r="Z84" s="66"/>
      <c r="AA84" s="110"/>
      <c r="AB84" s="204"/>
      <c r="AC84" s="66"/>
    </row>
    <row r="85" spans="1:29" x14ac:dyDescent="0.2">
      <c r="A85" s="67"/>
      <c r="B85" s="251"/>
      <c r="C85" s="251"/>
      <c r="D85" s="251"/>
      <c r="E85" s="66"/>
      <c r="F85" s="66"/>
      <c r="G85" s="66"/>
      <c r="H85" s="111"/>
      <c r="I85" s="66"/>
      <c r="J85" s="66"/>
      <c r="K85" s="66"/>
      <c r="L85" s="66"/>
      <c r="M85" s="66"/>
      <c r="N85" s="66"/>
      <c r="O85" s="66"/>
      <c r="P85" s="66"/>
      <c r="Q85" s="67"/>
      <c r="R85" s="66"/>
      <c r="S85" s="66"/>
      <c r="T85" s="66"/>
      <c r="U85" s="66"/>
      <c r="V85" s="66"/>
      <c r="W85" s="66"/>
      <c r="X85" s="248"/>
      <c r="Y85" s="249"/>
      <c r="Z85" s="66"/>
      <c r="AA85" s="248"/>
      <c r="AB85" s="249"/>
      <c r="AC85" s="66"/>
    </row>
    <row r="86" spans="1:29" x14ac:dyDescent="0.2">
      <c r="A86" s="67"/>
      <c r="B86" s="251"/>
      <c r="C86" s="251"/>
      <c r="D86" s="251"/>
      <c r="E86" s="66"/>
      <c r="F86" s="66"/>
      <c r="G86" s="66"/>
      <c r="H86" s="66"/>
      <c r="I86" s="66"/>
      <c r="J86" s="66"/>
      <c r="K86" s="66"/>
      <c r="L86" s="66"/>
      <c r="M86" s="66"/>
      <c r="N86" s="66"/>
      <c r="O86" s="66"/>
      <c r="P86" s="66"/>
      <c r="Q86" s="67"/>
      <c r="R86" s="66"/>
      <c r="S86" s="66"/>
      <c r="T86" s="66"/>
      <c r="U86" s="66"/>
      <c r="V86" s="66"/>
      <c r="W86" s="66"/>
      <c r="X86" s="108"/>
      <c r="Y86" s="108"/>
      <c r="Z86" s="66"/>
      <c r="AA86" s="108"/>
      <c r="AB86" s="108"/>
      <c r="AC86" s="66"/>
    </row>
    <row r="87" spans="1:29" x14ac:dyDescent="0.2">
      <c r="A87" s="74" t="s">
        <v>146</v>
      </c>
      <c r="B87" s="251"/>
      <c r="C87" s="260"/>
      <c r="D87" s="260"/>
      <c r="E87" s="66"/>
      <c r="F87" s="66"/>
      <c r="G87" s="66"/>
      <c r="H87" s="66"/>
      <c r="I87" s="66"/>
      <c r="J87" s="66"/>
      <c r="K87" s="66"/>
      <c r="L87" s="66"/>
      <c r="M87" s="66"/>
      <c r="N87" s="66"/>
      <c r="O87" s="66"/>
      <c r="P87" s="66"/>
      <c r="Q87" s="74"/>
      <c r="R87" s="66"/>
      <c r="S87" s="66"/>
      <c r="T87" s="66"/>
      <c r="U87" s="66"/>
      <c r="V87" s="66"/>
      <c r="W87" s="66"/>
      <c r="X87" s="112" t="e">
        <f>(X67*X81)/X80+X82</f>
        <v>#REF!</v>
      </c>
      <c r="Y87" s="102"/>
      <c r="Z87" s="66"/>
      <c r="AA87" s="112" t="e">
        <f>(AA67*AA81)/AA80+AA82</f>
        <v>#REF!</v>
      </c>
      <c r="AB87" s="102"/>
      <c r="AC87" s="66"/>
    </row>
    <row r="88" spans="1:29" x14ac:dyDescent="0.2">
      <c r="A88" s="67"/>
      <c r="B88" s="251"/>
      <c r="C88" s="251"/>
      <c r="D88" s="251"/>
      <c r="E88" s="66"/>
      <c r="F88" s="66"/>
      <c r="G88" s="66"/>
      <c r="H88" s="111"/>
      <c r="I88" s="66"/>
      <c r="J88" s="66"/>
      <c r="K88" s="66"/>
      <c r="L88" s="66"/>
      <c r="M88" s="66"/>
      <c r="N88" s="66"/>
      <c r="O88" s="66"/>
      <c r="P88" s="66"/>
      <c r="Q88" s="67"/>
      <c r="R88" s="66"/>
      <c r="S88" s="66"/>
      <c r="T88" s="66"/>
      <c r="U88" s="66"/>
      <c r="V88" s="66"/>
      <c r="W88" s="66"/>
      <c r="X88" s="111"/>
      <c r="Y88" s="66"/>
      <c r="Z88" s="66"/>
      <c r="AA88" s="66"/>
      <c r="AB88" s="66"/>
      <c r="AC88" s="66"/>
    </row>
    <row r="89" spans="1:29" x14ac:dyDescent="0.2">
      <c r="A89" s="67"/>
      <c r="B89" s="67"/>
      <c r="C89" s="67"/>
      <c r="D89" s="67"/>
      <c r="E89" s="66"/>
      <c r="F89" s="66"/>
      <c r="G89" s="66"/>
      <c r="H89" s="111"/>
      <c r="I89" s="66"/>
      <c r="J89" s="66"/>
      <c r="K89" s="66"/>
      <c r="L89" s="66"/>
      <c r="M89" s="66"/>
      <c r="N89" s="66"/>
      <c r="O89" s="66"/>
      <c r="P89" s="66"/>
      <c r="Q89" s="67"/>
      <c r="R89" s="66"/>
      <c r="S89" s="66"/>
      <c r="T89" s="66"/>
      <c r="U89" s="66"/>
      <c r="V89" s="66"/>
      <c r="W89" s="66"/>
      <c r="X89" s="66"/>
      <c r="Y89" s="66"/>
      <c r="Z89" s="66"/>
      <c r="AA89" s="66"/>
      <c r="AB89" s="66"/>
      <c r="AC89" s="66"/>
    </row>
    <row r="90" spans="1:29" x14ac:dyDescent="0.2">
      <c r="A90" s="65" t="s">
        <v>147</v>
      </c>
      <c r="B90" s="67"/>
      <c r="D90" s="67"/>
      <c r="E90" s="66"/>
      <c r="F90" s="66"/>
      <c r="G90" s="66"/>
      <c r="H90" s="66"/>
      <c r="I90" s="66"/>
      <c r="J90" s="66"/>
      <c r="K90" s="66"/>
      <c r="L90" s="66"/>
      <c r="M90" s="66"/>
      <c r="N90" s="66"/>
      <c r="O90" s="66"/>
      <c r="P90" s="66"/>
      <c r="Q90" s="67"/>
      <c r="R90" s="66"/>
      <c r="S90" s="66"/>
      <c r="T90" s="66"/>
      <c r="U90" s="66"/>
      <c r="V90" s="66"/>
      <c r="W90" s="66"/>
      <c r="X90" s="66"/>
      <c r="Y90" s="66"/>
      <c r="Z90" s="66"/>
      <c r="AA90" s="66"/>
      <c r="AB90" s="66"/>
      <c r="AC90" s="66"/>
    </row>
    <row r="91" spans="1:29" x14ac:dyDescent="0.2">
      <c r="A91" s="67" t="s">
        <v>148</v>
      </c>
      <c r="B91" s="67"/>
      <c r="C91" s="67"/>
      <c r="D91" s="67"/>
      <c r="E91" s="66"/>
      <c r="F91" s="66"/>
      <c r="G91" s="66"/>
      <c r="H91" s="66"/>
      <c r="I91" s="66"/>
      <c r="J91" s="66"/>
      <c r="K91" s="66"/>
      <c r="L91" s="66"/>
      <c r="M91" s="66"/>
      <c r="N91" s="66"/>
      <c r="O91" s="66"/>
      <c r="P91" s="66"/>
      <c r="Q91" s="67"/>
      <c r="R91" s="66"/>
      <c r="S91" s="66"/>
      <c r="T91" s="66"/>
      <c r="U91" s="66"/>
      <c r="V91" s="66"/>
      <c r="W91" s="66"/>
      <c r="X91" s="66"/>
      <c r="Y91" s="66"/>
      <c r="Z91" s="66"/>
      <c r="AA91" s="66"/>
      <c r="AB91" s="66"/>
      <c r="AC91" s="66"/>
    </row>
    <row r="92" spans="1:29" x14ac:dyDescent="0.2">
      <c r="A92" s="1" t="s">
        <v>149</v>
      </c>
      <c r="B92" s="67"/>
      <c r="C92" s="67"/>
      <c r="D92" s="67"/>
      <c r="E92" s="66"/>
      <c r="F92" s="66"/>
      <c r="G92" s="66"/>
      <c r="H92" s="66"/>
      <c r="I92" s="66"/>
      <c r="J92" s="66"/>
      <c r="K92" s="66"/>
      <c r="L92" s="66"/>
      <c r="M92" s="66"/>
      <c r="N92" s="66"/>
      <c r="O92" s="66"/>
      <c r="P92" s="66"/>
      <c r="Q92" s="67"/>
      <c r="R92" s="66"/>
      <c r="S92" s="66"/>
      <c r="T92" s="66"/>
      <c r="U92" s="66"/>
      <c r="V92" s="66"/>
      <c r="W92" s="66"/>
      <c r="X92" s="66"/>
      <c r="Y92" s="66"/>
      <c r="Z92" s="66"/>
      <c r="AA92" s="66"/>
      <c r="AB92" s="66"/>
      <c r="AC92" s="66"/>
    </row>
    <row r="93" spans="1:29" x14ac:dyDescent="0.2">
      <c r="A93" s="65"/>
      <c r="B93" s="67"/>
      <c r="C93" s="67"/>
      <c r="D93" s="67"/>
      <c r="E93" s="66"/>
      <c r="F93" s="66"/>
      <c r="G93" s="66"/>
      <c r="H93" s="66"/>
      <c r="I93" s="66"/>
      <c r="J93" s="66"/>
      <c r="K93" s="66"/>
      <c r="L93" s="66"/>
      <c r="M93" s="66"/>
      <c r="N93" s="66"/>
      <c r="O93" s="66"/>
      <c r="P93" s="66"/>
      <c r="Q93" s="67"/>
      <c r="R93" s="66"/>
      <c r="S93" s="66"/>
      <c r="T93" s="66"/>
      <c r="U93" s="66"/>
      <c r="V93" s="66"/>
      <c r="W93" s="66"/>
      <c r="X93" s="66"/>
      <c r="Y93" s="66"/>
      <c r="Z93" s="66"/>
      <c r="AA93" s="66"/>
      <c r="AB93" s="66"/>
      <c r="AC93" s="66"/>
    </row>
    <row r="94" spans="1:29" x14ac:dyDescent="0.2">
      <c r="A94" s="67"/>
      <c r="B94" s="67"/>
      <c r="C94" s="67"/>
      <c r="D94" s="67"/>
      <c r="E94" s="66"/>
      <c r="F94" s="66"/>
      <c r="G94" s="66"/>
      <c r="H94" s="66"/>
      <c r="I94" s="66"/>
      <c r="J94" s="66"/>
      <c r="K94" s="66"/>
      <c r="L94" s="66"/>
      <c r="M94" s="66"/>
      <c r="N94" s="66"/>
      <c r="O94" s="66"/>
      <c r="P94" s="66"/>
      <c r="Q94" s="67"/>
      <c r="R94" s="66"/>
      <c r="S94" s="66"/>
      <c r="T94" s="66"/>
      <c r="U94" s="66"/>
      <c r="V94" s="66"/>
      <c r="W94" s="66"/>
      <c r="X94" s="66"/>
      <c r="Y94" s="66"/>
      <c r="Z94" s="66"/>
      <c r="AA94" s="66"/>
      <c r="AB94" s="66"/>
      <c r="AC94" s="66"/>
    </row>
    <row r="95" spans="1:29" x14ac:dyDescent="0.2">
      <c r="A95" s="67"/>
      <c r="B95" s="67"/>
      <c r="C95" s="67"/>
      <c r="D95" s="67"/>
      <c r="E95" s="66"/>
      <c r="F95" s="66"/>
      <c r="G95" s="66"/>
      <c r="H95" s="66"/>
      <c r="I95" s="66"/>
      <c r="J95" s="66"/>
      <c r="K95" s="66"/>
      <c r="L95" s="66"/>
      <c r="M95" s="66"/>
      <c r="N95" s="66"/>
      <c r="O95" s="66"/>
      <c r="P95" s="66"/>
      <c r="Q95" s="67"/>
      <c r="R95" s="66"/>
      <c r="S95" s="66"/>
      <c r="T95" s="66"/>
      <c r="U95" s="66"/>
      <c r="V95" s="66"/>
      <c r="W95" s="66"/>
      <c r="X95" s="66"/>
      <c r="Y95" s="66"/>
      <c r="Z95" s="66"/>
      <c r="AA95" s="66"/>
      <c r="AB95" s="66"/>
      <c r="AC95" s="66"/>
    </row>
    <row r="96" spans="1:29" x14ac:dyDescent="0.2">
      <c r="P96" s="1"/>
    </row>
    <row r="97" spans="16:16" x14ac:dyDescent="0.2">
      <c r="P97" s="1"/>
    </row>
  </sheetData>
  <mergeCells count="4">
    <mergeCell ref="AA1:AB1"/>
    <mergeCell ref="AA2:AB2"/>
    <mergeCell ref="X1:Y1"/>
    <mergeCell ref="X2:Y2"/>
  </mergeCells>
  <dataValidations count="1">
    <dataValidation type="list" allowBlank="1" showInputMessage="1" showErrorMessage="1" sqref="F15:I15 X15 P15 AA15 B15:D15 K15:N15 R15:U15" xr:uid="{10374A5A-15FE-467B-ADF0-0F133E1186D7}">
      <formula1>CAO</formula1>
    </dataValidation>
  </dataValidations>
  <hyperlinks>
    <hyperlink ref="Y48" r:id="rId1" location="/AZW/nl/dataset/24015NED/table?dl=9172C" display="Gemiddeld ziekteverzuim jeugdzorg Q1 - 13 2023 (CBS Statline)" xr:uid="{64D5582B-F811-49FE-A595-9BDADDDE0E78}"/>
    <hyperlink ref="AB48" r:id="rId2" location="/AZW/nl/dataset/24015NED/table?dl=9172C" display="Gemiddeld ziekteverzuim jeugdzorg Q1 - 13 2023 (CBS Statline)" xr:uid="{E99C7A11-6AB8-4B71-B0D7-1378F1628047}"/>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CFE86-4270-4E7E-80AA-D168D8324772}">
  <sheetPr>
    <tabColor theme="6" tint="0.79998168889431442"/>
  </sheetPr>
  <dimension ref="A1:E236"/>
  <sheetViews>
    <sheetView workbookViewId="0">
      <selection activeCell="H45" sqref="H45"/>
    </sheetView>
  </sheetViews>
  <sheetFormatPr defaultRowHeight="12" x14ac:dyDescent="0.2"/>
  <sheetData>
    <row r="1" spans="1:5" x14ac:dyDescent="0.2">
      <c r="A1" t="s">
        <v>495</v>
      </c>
      <c r="B1" t="s">
        <v>86</v>
      </c>
      <c r="C1" t="s">
        <v>88</v>
      </c>
      <c r="D1" t="s">
        <v>87</v>
      </c>
      <c r="E1" t="s">
        <v>496</v>
      </c>
    </row>
    <row r="2" spans="1:5" x14ac:dyDescent="0.2">
      <c r="A2" t="s">
        <v>86</v>
      </c>
      <c r="B2" t="s">
        <v>497</v>
      </c>
      <c r="C2" s="210" t="s">
        <v>498</v>
      </c>
      <c r="D2" s="225" t="s">
        <v>499</v>
      </c>
      <c r="E2" t="s">
        <v>28</v>
      </c>
    </row>
    <row r="3" spans="1:5" x14ac:dyDescent="0.2">
      <c r="A3" t="s">
        <v>500</v>
      </c>
      <c r="B3" t="s">
        <v>501</v>
      </c>
      <c r="C3" s="225" t="s">
        <v>502</v>
      </c>
      <c r="D3" s="225" t="s">
        <v>503</v>
      </c>
      <c r="E3" t="s">
        <v>504</v>
      </c>
    </row>
    <row r="4" spans="1:5" x14ac:dyDescent="0.2">
      <c r="A4" t="s">
        <v>88</v>
      </c>
      <c r="B4" t="s">
        <v>505</v>
      </c>
      <c r="C4" s="225" t="s">
        <v>506</v>
      </c>
      <c r="D4" s="225" t="s">
        <v>507</v>
      </c>
      <c r="E4" t="s">
        <v>508</v>
      </c>
    </row>
    <row r="5" spans="1:5" x14ac:dyDescent="0.2">
      <c r="A5" t="s">
        <v>87</v>
      </c>
      <c r="B5" t="s">
        <v>509</v>
      </c>
      <c r="C5" s="225" t="s">
        <v>510</v>
      </c>
      <c r="D5" s="225" t="s">
        <v>511</v>
      </c>
      <c r="E5" t="s">
        <v>512</v>
      </c>
    </row>
    <row r="6" spans="1:5" x14ac:dyDescent="0.2">
      <c r="A6" t="s">
        <v>89</v>
      </c>
      <c r="B6" t="s">
        <v>513</v>
      </c>
      <c r="C6" s="210" t="s">
        <v>514</v>
      </c>
      <c r="D6" s="225" t="s">
        <v>515</v>
      </c>
      <c r="E6" t="s">
        <v>516</v>
      </c>
    </row>
    <row r="7" spans="1:5" x14ac:dyDescent="0.2">
      <c r="B7" t="s">
        <v>517</v>
      </c>
      <c r="C7" s="225" t="s">
        <v>518</v>
      </c>
      <c r="D7" s="225" t="s">
        <v>519</v>
      </c>
      <c r="E7" t="s">
        <v>520</v>
      </c>
    </row>
    <row r="8" spans="1:5" x14ac:dyDescent="0.2">
      <c r="B8" t="s">
        <v>521</v>
      </c>
      <c r="C8" s="225" t="s">
        <v>522</v>
      </c>
      <c r="D8" s="225" t="s">
        <v>523</v>
      </c>
      <c r="E8" t="s">
        <v>524</v>
      </c>
    </row>
    <row r="9" spans="1:5" x14ac:dyDescent="0.2">
      <c r="B9" t="s">
        <v>525</v>
      </c>
      <c r="C9" s="225" t="s">
        <v>526</v>
      </c>
      <c r="D9" s="225" t="s">
        <v>527</v>
      </c>
      <c r="E9" t="s">
        <v>528</v>
      </c>
    </row>
    <row r="10" spans="1:5" x14ac:dyDescent="0.2">
      <c r="B10" t="s">
        <v>529</v>
      </c>
      <c r="C10" s="210" t="s">
        <v>26</v>
      </c>
      <c r="D10" s="225" t="s">
        <v>530</v>
      </c>
      <c r="E10" t="s">
        <v>531</v>
      </c>
    </row>
    <row r="11" spans="1:5" x14ac:dyDescent="0.2">
      <c r="B11" t="s">
        <v>532</v>
      </c>
      <c r="C11" s="225"/>
      <c r="D11" s="225" t="s">
        <v>533</v>
      </c>
      <c r="E11" t="s">
        <v>534</v>
      </c>
    </row>
    <row r="12" spans="1:5" x14ac:dyDescent="0.2">
      <c r="B12" t="s">
        <v>535</v>
      </c>
      <c r="C12" s="225" t="s">
        <v>536</v>
      </c>
      <c r="D12" s="225"/>
      <c r="E12" t="s">
        <v>537</v>
      </c>
    </row>
    <row r="13" spans="1:5" x14ac:dyDescent="0.2">
      <c r="B13" t="s">
        <v>538</v>
      </c>
      <c r="C13" s="225" t="s">
        <v>539</v>
      </c>
      <c r="D13" s="225" t="s">
        <v>498</v>
      </c>
      <c r="E13" t="s">
        <v>540</v>
      </c>
    </row>
    <row r="14" spans="1:5" x14ac:dyDescent="0.2">
      <c r="B14" t="s">
        <v>541</v>
      </c>
      <c r="C14" s="225" t="s">
        <v>542</v>
      </c>
      <c r="D14" s="225" t="s">
        <v>502</v>
      </c>
      <c r="E14" t="s">
        <v>543</v>
      </c>
    </row>
    <row r="15" spans="1:5" x14ac:dyDescent="0.2">
      <c r="B15" t="s">
        <v>544</v>
      </c>
      <c r="C15" s="225" t="s">
        <v>545</v>
      </c>
      <c r="D15" s="225" t="s">
        <v>506</v>
      </c>
      <c r="E15" t="s">
        <v>546</v>
      </c>
    </row>
    <row r="16" spans="1:5" x14ac:dyDescent="0.2">
      <c r="B16" t="s">
        <v>547</v>
      </c>
      <c r="C16" s="225" t="s">
        <v>548</v>
      </c>
      <c r="D16" s="225" t="s">
        <v>510</v>
      </c>
      <c r="E16" t="s">
        <v>549</v>
      </c>
    </row>
    <row r="17" spans="2:5" x14ac:dyDescent="0.2">
      <c r="B17" t="s">
        <v>550</v>
      </c>
      <c r="C17" s="225" t="s">
        <v>551</v>
      </c>
      <c r="D17" s="225" t="s">
        <v>514</v>
      </c>
      <c r="E17" t="s">
        <v>552</v>
      </c>
    </row>
    <row r="18" spans="2:5" x14ac:dyDescent="0.2">
      <c r="B18" t="s">
        <v>553</v>
      </c>
      <c r="C18" s="225" t="s">
        <v>554</v>
      </c>
      <c r="D18" s="225" t="s">
        <v>518</v>
      </c>
      <c r="E18" t="s">
        <v>555</v>
      </c>
    </row>
    <row r="19" spans="2:5" x14ac:dyDescent="0.2">
      <c r="B19" t="s">
        <v>556</v>
      </c>
      <c r="C19" s="225" t="s">
        <v>557</v>
      </c>
      <c r="D19" s="225" t="s">
        <v>522</v>
      </c>
      <c r="E19" t="s">
        <v>558</v>
      </c>
    </row>
    <row r="20" spans="2:5" x14ac:dyDescent="0.2">
      <c r="B20" t="s">
        <v>559</v>
      </c>
      <c r="C20" s="225" t="s">
        <v>560</v>
      </c>
      <c r="D20" s="225" t="s">
        <v>526</v>
      </c>
      <c r="E20" t="s">
        <v>561</v>
      </c>
    </row>
    <row r="21" spans="2:5" x14ac:dyDescent="0.2">
      <c r="B21" t="s">
        <v>562</v>
      </c>
      <c r="C21" s="225" t="s">
        <v>563</v>
      </c>
      <c r="D21" s="225" t="s">
        <v>26</v>
      </c>
      <c r="E21" t="s">
        <v>564</v>
      </c>
    </row>
    <row r="22" spans="2:5" x14ac:dyDescent="0.2">
      <c r="B22" t="s">
        <v>565</v>
      </c>
      <c r="C22" s="225"/>
      <c r="D22" s="225" t="s">
        <v>566</v>
      </c>
      <c r="E22" t="s">
        <v>567</v>
      </c>
    </row>
    <row r="23" spans="2:5" x14ac:dyDescent="0.2">
      <c r="B23" t="s">
        <v>568</v>
      </c>
      <c r="C23" s="225" t="s">
        <v>569</v>
      </c>
      <c r="D23" s="225" t="s">
        <v>567</v>
      </c>
      <c r="E23" t="s">
        <v>570</v>
      </c>
    </row>
    <row r="24" spans="2:5" x14ac:dyDescent="0.2">
      <c r="B24" t="s">
        <v>571</v>
      </c>
      <c r="C24" s="225" t="s">
        <v>572</v>
      </c>
      <c r="D24" s="225"/>
      <c r="E24" t="s">
        <v>573</v>
      </c>
    </row>
    <row r="25" spans="2:5" x14ac:dyDescent="0.2">
      <c r="B25" t="s">
        <v>574</v>
      </c>
      <c r="C25" s="225" t="s">
        <v>575</v>
      </c>
      <c r="D25" s="225" t="s">
        <v>536</v>
      </c>
      <c r="E25" t="s">
        <v>576</v>
      </c>
    </row>
    <row r="26" spans="2:5" x14ac:dyDescent="0.2">
      <c r="B26" t="s">
        <v>577</v>
      </c>
      <c r="C26" s="225" t="s">
        <v>578</v>
      </c>
      <c r="D26" s="225" t="s">
        <v>539</v>
      </c>
      <c r="E26" t="s">
        <v>579</v>
      </c>
    </row>
    <row r="27" spans="2:5" x14ac:dyDescent="0.2">
      <c r="B27" t="s">
        <v>580</v>
      </c>
      <c r="C27" s="225" t="s">
        <v>581</v>
      </c>
      <c r="D27" s="225" t="s">
        <v>542</v>
      </c>
      <c r="E27" t="s">
        <v>582</v>
      </c>
    </row>
    <row r="28" spans="2:5" x14ac:dyDescent="0.2">
      <c r="B28" t="s">
        <v>583</v>
      </c>
      <c r="C28" s="225" t="s">
        <v>584</v>
      </c>
      <c r="D28" s="225" t="s">
        <v>545</v>
      </c>
      <c r="E28" t="s">
        <v>585</v>
      </c>
    </row>
    <row r="29" spans="2:5" x14ac:dyDescent="0.2">
      <c r="B29" t="s">
        <v>586</v>
      </c>
      <c r="C29" s="225" t="s">
        <v>587</v>
      </c>
      <c r="D29" s="225" t="s">
        <v>548</v>
      </c>
      <c r="E29" t="s">
        <v>588</v>
      </c>
    </row>
    <row r="30" spans="2:5" x14ac:dyDescent="0.2">
      <c r="B30" t="s">
        <v>589</v>
      </c>
      <c r="C30" s="225" t="s">
        <v>590</v>
      </c>
      <c r="D30" s="225" t="s">
        <v>551</v>
      </c>
      <c r="E30" t="s">
        <v>591</v>
      </c>
    </row>
    <row r="31" spans="2:5" x14ac:dyDescent="0.2">
      <c r="B31" t="s">
        <v>592</v>
      </c>
      <c r="C31" s="225" t="s">
        <v>593</v>
      </c>
      <c r="D31" s="225" t="s">
        <v>554</v>
      </c>
      <c r="E31" t="s">
        <v>594</v>
      </c>
    </row>
    <row r="32" spans="2:5" x14ac:dyDescent="0.2">
      <c r="B32" t="s">
        <v>595</v>
      </c>
      <c r="C32" s="225" t="s">
        <v>596</v>
      </c>
      <c r="D32" s="225" t="s">
        <v>557</v>
      </c>
      <c r="E32" t="s">
        <v>597</v>
      </c>
    </row>
    <row r="33" spans="2:5" x14ac:dyDescent="0.2">
      <c r="B33" t="s">
        <v>598</v>
      </c>
      <c r="C33" s="225" t="s">
        <v>599</v>
      </c>
      <c r="D33" s="225" t="s">
        <v>560</v>
      </c>
      <c r="E33" t="s">
        <v>600</v>
      </c>
    </row>
    <row r="34" spans="2:5" x14ac:dyDescent="0.2">
      <c r="B34" t="s">
        <v>601</v>
      </c>
      <c r="C34" s="225"/>
      <c r="D34" s="225" t="s">
        <v>563</v>
      </c>
      <c r="E34" t="s">
        <v>602</v>
      </c>
    </row>
    <row r="35" spans="2:5" x14ac:dyDescent="0.2">
      <c r="B35" t="s">
        <v>603</v>
      </c>
      <c r="C35" s="225" t="s">
        <v>604</v>
      </c>
      <c r="D35" s="225" t="s">
        <v>600</v>
      </c>
      <c r="E35" t="s">
        <v>605</v>
      </c>
    </row>
    <row r="36" spans="2:5" x14ac:dyDescent="0.2">
      <c r="B36" t="s">
        <v>606</v>
      </c>
      <c r="C36" s="225" t="s">
        <v>607</v>
      </c>
      <c r="D36" s="225" t="s">
        <v>602</v>
      </c>
      <c r="E36" t="s">
        <v>608</v>
      </c>
    </row>
    <row r="37" spans="2:5" x14ac:dyDescent="0.2">
      <c r="B37" t="s">
        <v>609</v>
      </c>
      <c r="C37" s="225" t="s">
        <v>610</v>
      </c>
      <c r="D37" s="225"/>
      <c r="E37" t="s">
        <v>611</v>
      </c>
    </row>
    <row r="38" spans="2:5" x14ac:dyDescent="0.2">
      <c r="B38" t="s">
        <v>612</v>
      </c>
      <c r="C38" s="225" t="s">
        <v>613</v>
      </c>
      <c r="D38" s="225" t="s">
        <v>569</v>
      </c>
      <c r="E38" t="s">
        <v>614</v>
      </c>
    </row>
    <row r="39" spans="2:5" x14ac:dyDescent="0.2">
      <c r="B39" t="s">
        <v>615</v>
      </c>
      <c r="C39" s="225" t="s">
        <v>616</v>
      </c>
      <c r="D39" s="225" t="s">
        <v>572</v>
      </c>
      <c r="E39" t="s">
        <v>617</v>
      </c>
    </row>
    <row r="40" spans="2:5" x14ac:dyDescent="0.2">
      <c r="B40" t="s">
        <v>618</v>
      </c>
      <c r="C40" s="225" t="s">
        <v>619</v>
      </c>
      <c r="D40" s="225" t="s">
        <v>575</v>
      </c>
      <c r="E40" t="s">
        <v>620</v>
      </c>
    </row>
    <row r="41" spans="2:5" x14ac:dyDescent="0.2">
      <c r="B41" t="s">
        <v>621</v>
      </c>
      <c r="C41" s="225" t="s">
        <v>622</v>
      </c>
      <c r="D41" s="225" t="s">
        <v>578</v>
      </c>
      <c r="E41" t="s">
        <v>623</v>
      </c>
    </row>
    <row r="42" spans="2:5" x14ac:dyDescent="0.2">
      <c r="B42" t="s">
        <v>624</v>
      </c>
      <c r="C42" s="225" t="s">
        <v>625</v>
      </c>
      <c r="D42" s="225" t="s">
        <v>581</v>
      </c>
      <c r="E42" t="s">
        <v>626</v>
      </c>
    </row>
    <row r="43" spans="2:5" x14ac:dyDescent="0.2">
      <c r="B43" t="s">
        <v>627</v>
      </c>
      <c r="C43" s="225" t="s">
        <v>628</v>
      </c>
      <c r="D43" s="225" t="s">
        <v>584</v>
      </c>
      <c r="E43" t="s">
        <v>629</v>
      </c>
    </row>
    <row r="44" spans="2:5" x14ac:dyDescent="0.2">
      <c r="B44" t="s">
        <v>630</v>
      </c>
      <c r="C44" s="225" t="s">
        <v>631</v>
      </c>
      <c r="D44" s="225" t="s">
        <v>587</v>
      </c>
      <c r="E44" t="s">
        <v>632</v>
      </c>
    </row>
    <row r="45" spans="2:5" x14ac:dyDescent="0.2">
      <c r="B45" t="s">
        <v>633</v>
      </c>
      <c r="C45" s="225" t="s">
        <v>634</v>
      </c>
      <c r="D45" s="225" t="s">
        <v>590</v>
      </c>
      <c r="E45" t="s">
        <v>599</v>
      </c>
    </row>
    <row r="46" spans="2:5" x14ac:dyDescent="0.2">
      <c r="B46" t="s">
        <v>635</v>
      </c>
      <c r="C46" s="210"/>
      <c r="D46" s="225" t="s">
        <v>593</v>
      </c>
      <c r="E46" t="s">
        <v>636</v>
      </c>
    </row>
    <row r="47" spans="2:5" x14ac:dyDescent="0.2">
      <c r="B47" t="s">
        <v>637</v>
      </c>
      <c r="C47" s="225" t="s">
        <v>638</v>
      </c>
      <c r="D47" s="225" t="s">
        <v>596</v>
      </c>
      <c r="E47" t="s">
        <v>639</v>
      </c>
    </row>
    <row r="48" spans="2:5" x14ac:dyDescent="0.2">
      <c r="B48" t="s">
        <v>640</v>
      </c>
      <c r="C48" s="225" t="s">
        <v>641</v>
      </c>
      <c r="D48" s="225" t="s">
        <v>599</v>
      </c>
      <c r="E48" t="s">
        <v>642</v>
      </c>
    </row>
    <row r="49" spans="2:5" x14ac:dyDescent="0.2">
      <c r="B49" t="s">
        <v>643</v>
      </c>
      <c r="C49" s="225" t="s">
        <v>644</v>
      </c>
      <c r="D49" s="225" t="s">
        <v>636</v>
      </c>
      <c r="E49" t="s">
        <v>645</v>
      </c>
    </row>
    <row r="50" spans="2:5" x14ac:dyDescent="0.2">
      <c r="B50" t="s">
        <v>646</v>
      </c>
      <c r="C50" s="225" t="s">
        <v>647</v>
      </c>
      <c r="D50" s="225"/>
      <c r="E50" t="s">
        <v>648</v>
      </c>
    </row>
    <row r="51" spans="2:5" x14ac:dyDescent="0.2">
      <c r="B51" t="s">
        <v>649</v>
      </c>
      <c r="C51" s="225" t="s">
        <v>650</v>
      </c>
      <c r="D51" s="225" t="s">
        <v>604</v>
      </c>
      <c r="E51" t="s">
        <v>651</v>
      </c>
    </row>
    <row r="52" spans="2:5" x14ac:dyDescent="0.2">
      <c r="B52" t="s">
        <v>652</v>
      </c>
      <c r="C52" s="225" t="s">
        <v>653</v>
      </c>
      <c r="D52" s="225" t="s">
        <v>607</v>
      </c>
      <c r="E52" t="s">
        <v>654</v>
      </c>
    </row>
    <row r="53" spans="2:5" x14ac:dyDescent="0.2">
      <c r="B53" t="s">
        <v>655</v>
      </c>
      <c r="C53" s="225" t="s">
        <v>656</v>
      </c>
      <c r="D53" s="225" t="s">
        <v>610</v>
      </c>
      <c r="E53" t="s">
        <v>657</v>
      </c>
    </row>
    <row r="54" spans="2:5" x14ac:dyDescent="0.2">
      <c r="B54" t="s">
        <v>658</v>
      </c>
      <c r="C54" s="225" t="s">
        <v>659</v>
      </c>
      <c r="D54" s="225" t="s">
        <v>613</v>
      </c>
      <c r="E54" t="s">
        <v>660</v>
      </c>
    </row>
    <row r="55" spans="2:5" x14ac:dyDescent="0.2">
      <c r="B55" t="s">
        <v>661</v>
      </c>
      <c r="C55" s="225" t="s">
        <v>662</v>
      </c>
      <c r="D55" s="225" t="s">
        <v>616</v>
      </c>
      <c r="E55" t="s">
        <v>663</v>
      </c>
    </row>
    <row r="56" spans="2:5" x14ac:dyDescent="0.2">
      <c r="B56" t="s">
        <v>664</v>
      </c>
      <c r="C56" s="225" t="s">
        <v>665</v>
      </c>
      <c r="D56" s="225" t="s">
        <v>619</v>
      </c>
      <c r="E56" t="s">
        <v>666</v>
      </c>
    </row>
    <row r="57" spans="2:5" x14ac:dyDescent="0.2">
      <c r="B57" t="s">
        <v>667</v>
      </c>
      <c r="C57" s="225" t="s">
        <v>31</v>
      </c>
      <c r="D57" s="225" t="s">
        <v>622</v>
      </c>
      <c r="E57" t="s">
        <v>634</v>
      </c>
    </row>
    <row r="58" spans="2:5" x14ac:dyDescent="0.2">
      <c r="B58" t="s">
        <v>28</v>
      </c>
      <c r="C58" s="225"/>
      <c r="D58" s="225" t="s">
        <v>625</v>
      </c>
      <c r="E58" t="s">
        <v>27</v>
      </c>
    </row>
    <row r="59" spans="2:5" x14ac:dyDescent="0.2">
      <c r="B59" t="s">
        <v>504</v>
      </c>
      <c r="C59" s="227" t="s">
        <v>668</v>
      </c>
      <c r="D59" s="225" t="s">
        <v>628</v>
      </c>
      <c r="E59" t="s">
        <v>669</v>
      </c>
    </row>
    <row r="60" spans="2:5" x14ac:dyDescent="0.2">
      <c r="B60" t="s">
        <v>508</v>
      </c>
      <c r="C60" s="227" t="s">
        <v>670</v>
      </c>
      <c r="D60" s="225" t="s">
        <v>631</v>
      </c>
      <c r="E60" t="s">
        <v>671</v>
      </c>
    </row>
    <row r="61" spans="2:5" x14ac:dyDescent="0.2">
      <c r="B61" t="s">
        <v>512</v>
      </c>
      <c r="C61" s="227" t="s">
        <v>672</v>
      </c>
      <c r="D61" s="225" t="s">
        <v>634</v>
      </c>
      <c r="E61" t="s">
        <v>673</v>
      </c>
    </row>
    <row r="62" spans="2:5" x14ac:dyDescent="0.2">
      <c r="B62" t="s">
        <v>516</v>
      </c>
      <c r="C62" s="227" t="s">
        <v>674</v>
      </c>
      <c r="D62" s="225" t="s">
        <v>27</v>
      </c>
      <c r="E62" t="s">
        <v>675</v>
      </c>
    </row>
    <row r="63" spans="2:5" x14ac:dyDescent="0.2">
      <c r="B63" t="s">
        <v>520</v>
      </c>
      <c r="C63" s="227" t="s">
        <v>676</v>
      </c>
      <c r="D63" s="225"/>
      <c r="E63" t="s">
        <v>677</v>
      </c>
    </row>
    <row r="64" spans="2:5" x14ac:dyDescent="0.2">
      <c r="B64" t="s">
        <v>524</v>
      </c>
      <c r="C64" s="227" t="s">
        <v>678</v>
      </c>
      <c r="D64" s="242" t="s">
        <v>638</v>
      </c>
      <c r="E64" t="s">
        <v>679</v>
      </c>
    </row>
    <row r="65" spans="2:5" x14ac:dyDescent="0.2">
      <c r="B65" t="s">
        <v>528</v>
      </c>
      <c r="C65" s="227" t="s">
        <v>680</v>
      </c>
      <c r="D65" s="242" t="s">
        <v>641</v>
      </c>
      <c r="E65" t="s">
        <v>681</v>
      </c>
    </row>
    <row r="66" spans="2:5" x14ac:dyDescent="0.2">
      <c r="B66" t="s">
        <v>531</v>
      </c>
      <c r="C66" s="227" t="s">
        <v>682</v>
      </c>
      <c r="D66" s="242" t="s">
        <v>644</v>
      </c>
      <c r="E66" t="s">
        <v>683</v>
      </c>
    </row>
    <row r="67" spans="2:5" x14ac:dyDescent="0.2">
      <c r="B67" t="s">
        <v>534</v>
      </c>
      <c r="C67" s="227" t="s">
        <v>684</v>
      </c>
      <c r="D67" s="242" t="s">
        <v>647</v>
      </c>
      <c r="E67" t="s">
        <v>685</v>
      </c>
    </row>
    <row r="68" spans="2:5" x14ac:dyDescent="0.2">
      <c r="B68" t="s">
        <v>686</v>
      </c>
      <c r="C68" s="227" t="s">
        <v>687</v>
      </c>
      <c r="D68" s="242" t="s">
        <v>650</v>
      </c>
      <c r="E68" t="s">
        <v>688</v>
      </c>
    </row>
    <row r="69" spans="2:5" x14ac:dyDescent="0.2">
      <c r="B69" t="s">
        <v>25</v>
      </c>
      <c r="C69" s="227" t="s">
        <v>689</v>
      </c>
      <c r="D69" s="242" t="s">
        <v>653</v>
      </c>
      <c r="E69" t="s">
        <v>31</v>
      </c>
    </row>
    <row r="70" spans="2:5" x14ac:dyDescent="0.2">
      <c r="B70" t="s">
        <v>690</v>
      </c>
      <c r="C70" s="210"/>
      <c r="D70" s="242" t="s">
        <v>656</v>
      </c>
      <c r="E70" t="s">
        <v>33</v>
      </c>
    </row>
    <row r="71" spans="2:5" x14ac:dyDescent="0.2">
      <c r="B71" t="s">
        <v>691</v>
      </c>
      <c r="C71" s="210" t="s">
        <v>692</v>
      </c>
      <c r="D71" s="242" t="s">
        <v>659</v>
      </c>
      <c r="E71" t="s">
        <v>693</v>
      </c>
    </row>
    <row r="72" spans="2:5" x14ac:dyDescent="0.2">
      <c r="B72" t="s">
        <v>694</v>
      </c>
      <c r="C72" s="210" t="s">
        <v>695</v>
      </c>
      <c r="D72" s="242" t="s">
        <v>662</v>
      </c>
      <c r="E72" t="s">
        <v>696</v>
      </c>
    </row>
    <row r="73" spans="2:5" x14ac:dyDescent="0.2">
      <c r="B73" t="s">
        <v>697</v>
      </c>
      <c r="C73" s="210" t="s">
        <v>698</v>
      </c>
      <c r="D73" s="242" t="s">
        <v>665</v>
      </c>
      <c r="E73" t="s">
        <v>699</v>
      </c>
    </row>
    <row r="74" spans="2:5" x14ac:dyDescent="0.2">
      <c r="B74" t="s">
        <v>700</v>
      </c>
      <c r="C74" s="210" t="s">
        <v>701</v>
      </c>
      <c r="D74" s="242" t="s">
        <v>31</v>
      </c>
      <c r="E74" t="s">
        <v>702</v>
      </c>
    </row>
    <row r="75" spans="2:5" x14ac:dyDescent="0.2">
      <c r="B75" t="s">
        <v>703</v>
      </c>
      <c r="C75" s="210" t="s">
        <v>704</v>
      </c>
      <c r="D75" s="242" t="s">
        <v>33</v>
      </c>
      <c r="E75" t="s">
        <v>705</v>
      </c>
    </row>
    <row r="76" spans="2:5" x14ac:dyDescent="0.2">
      <c r="B76" t="s">
        <v>706</v>
      </c>
      <c r="C76" s="210" t="s">
        <v>707</v>
      </c>
      <c r="D76" s="242"/>
      <c r="E76" t="s">
        <v>708</v>
      </c>
    </row>
    <row r="77" spans="2:5" x14ac:dyDescent="0.2">
      <c r="B77" t="s">
        <v>709</v>
      </c>
      <c r="C77" s="210" t="s">
        <v>710</v>
      </c>
      <c r="D77" s="242" t="s">
        <v>668</v>
      </c>
      <c r="E77" t="s">
        <v>711</v>
      </c>
    </row>
    <row r="78" spans="2:5" x14ac:dyDescent="0.2">
      <c r="B78" t="s">
        <v>712</v>
      </c>
      <c r="C78" s="210" t="s">
        <v>713</v>
      </c>
      <c r="D78" s="242" t="s">
        <v>670</v>
      </c>
      <c r="E78" t="s">
        <v>714</v>
      </c>
    </row>
    <row r="79" spans="2:5" x14ac:dyDescent="0.2">
      <c r="B79" t="s">
        <v>715</v>
      </c>
      <c r="C79" s="210" t="s">
        <v>716</v>
      </c>
      <c r="D79" s="242" t="s">
        <v>672</v>
      </c>
      <c r="E79" t="s">
        <v>717</v>
      </c>
    </row>
    <row r="80" spans="2:5" x14ac:dyDescent="0.2">
      <c r="B80" t="s">
        <v>718</v>
      </c>
      <c r="C80" s="210" t="s">
        <v>719</v>
      </c>
      <c r="D80" s="242" t="s">
        <v>674</v>
      </c>
      <c r="E80" t="s">
        <v>720</v>
      </c>
    </row>
    <row r="81" spans="2:5" x14ac:dyDescent="0.2">
      <c r="B81" t="s">
        <v>721</v>
      </c>
      <c r="C81" s="210" t="s">
        <v>722</v>
      </c>
      <c r="D81" s="242" t="s">
        <v>676</v>
      </c>
      <c r="E81" t="s">
        <v>689</v>
      </c>
    </row>
    <row r="82" spans="2:5" x14ac:dyDescent="0.2">
      <c r="B82" t="s">
        <v>723</v>
      </c>
      <c r="C82" s="210" t="s">
        <v>38</v>
      </c>
      <c r="D82" s="242" t="s">
        <v>678</v>
      </c>
      <c r="E82" t="s">
        <v>34</v>
      </c>
    </row>
    <row r="83" spans="2:5" x14ac:dyDescent="0.2">
      <c r="B83" t="s">
        <v>30</v>
      </c>
      <c r="C83" s="210" t="s">
        <v>37</v>
      </c>
      <c r="D83" s="242" t="s">
        <v>680</v>
      </c>
      <c r="E83" t="s">
        <v>724</v>
      </c>
    </row>
    <row r="84" spans="2:5" x14ac:dyDescent="0.2">
      <c r="B84" t="s">
        <v>725</v>
      </c>
      <c r="C84" s="210"/>
      <c r="D84" s="242" t="s">
        <v>682</v>
      </c>
      <c r="E84" t="s">
        <v>726</v>
      </c>
    </row>
    <row r="85" spans="2:5" x14ac:dyDescent="0.2">
      <c r="B85" t="s">
        <v>727</v>
      </c>
      <c r="C85" s="210" t="s">
        <v>728</v>
      </c>
      <c r="D85" s="242" t="s">
        <v>684</v>
      </c>
      <c r="E85" t="s">
        <v>729</v>
      </c>
    </row>
    <row r="86" spans="2:5" x14ac:dyDescent="0.2">
      <c r="B86" t="s">
        <v>730</v>
      </c>
      <c r="C86" s="210" t="s">
        <v>731</v>
      </c>
      <c r="D86" s="242" t="s">
        <v>687</v>
      </c>
      <c r="E86" t="s">
        <v>732</v>
      </c>
    </row>
    <row r="87" spans="2:5" x14ac:dyDescent="0.2">
      <c r="B87" t="s">
        <v>733</v>
      </c>
      <c r="C87" s="210" t="s">
        <v>734</v>
      </c>
      <c r="D87" s="242" t="s">
        <v>689</v>
      </c>
      <c r="E87" t="s">
        <v>735</v>
      </c>
    </row>
    <row r="88" spans="2:5" x14ac:dyDescent="0.2">
      <c r="B88" t="s">
        <v>736</v>
      </c>
      <c r="C88" s="210" t="s">
        <v>737</v>
      </c>
      <c r="D88" s="242" t="s">
        <v>34</v>
      </c>
      <c r="E88" t="s">
        <v>738</v>
      </c>
    </row>
    <row r="89" spans="2:5" x14ac:dyDescent="0.2">
      <c r="B89" t="s">
        <v>739</v>
      </c>
      <c r="C89" s="210" t="s">
        <v>740</v>
      </c>
      <c r="D89" s="242"/>
      <c r="E89" t="s">
        <v>741</v>
      </c>
    </row>
    <row r="90" spans="2:5" x14ac:dyDescent="0.2">
      <c r="B90" t="s">
        <v>742</v>
      </c>
      <c r="C90" s="210" t="s">
        <v>743</v>
      </c>
      <c r="D90" s="242" t="s">
        <v>692</v>
      </c>
      <c r="E90" t="s">
        <v>744</v>
      </c>
    </row>
    <row r="91" spans="2:5" x14ac:dyDescent="0.2">
      <c r="B91" t="s">
        <v>745</v>
      </c>
      <c r="C91" s="210" t="s">
        <v>746</v>
      </c>
      <c r="D91" s="242" t="s">
        <v>695</v>
      </c>
      <c r="E91" t="s">
        <v>747</v>
      </c>
    </row>
    <row r="92" spans="2:5" x14ac:dyDescent="0.2">
      <c r="B92" t="s">
        <v>748</v>
      </c>
      <c r="C92" s="210" t="s">
        <v>749</v>
      </c>
      <c r="D92" s="242" t="s">
        <v>698</v>
      </c>
      <c r="E92" t="s">
        <v>750</v>
      </c>
    </row>
    <row r="93" spans="2:5" x14ac:dyDescent="0.2">
      <c r="B93" t="s">
        <v>751</v>
      </c>
      <c r="C93" s="210" t="s">
        <v>752</v>
      </c>
      <c r="D93" s="242" t="s">
        <v>701</v>
      </c>
      <c r="E93" t="s">
        <v>722</v>
      </c>
    </row>
    <row r="94" spans="2:5" x14ac:dyDescent="0.2">
      <c r="B94" t="s">
        <v>753</v>
      </c>
      <c r="C94" s="210" t="s">
        <v>754</v>
      </c>
      <c r="D94" s="242" t="s">
        <v>704</v>
      </c>
      <c r="E94" t="s">
        <v>38</v>
      </c>
    </row>
    <row r="95" spans="2:5" x14ac:dyDescent="0.2">
      <c r="B95" t="s">
        <v>755</v>
      </c>
      <c r="C95" s="210" t="s">
        <v>756</v>
      </c>
      <c r="D95" s="242" t="s">
        <v>707</v>
      </c>
      <c r="E95" t="s">
        <v>37</v>
      </c>
    </row>
    <row r="96" spans="2:5" x14ac:dyDescent="0.2">
      <c r="B96" t="s">
        <v>757</v>
      </c>
      <c r="C96" s="210" t="s">
        <v>758</v>
      </c>
      <c r="D96" s="242" t="s">
        <v>710</v>
      </c>
      <c r="E96" t="s">
        <v>759</v>
      </c>
    </row>
    <row r="97" spans="2:5" x14ac:dyDescent="0.2">
      <c r="B97" t="s">
        <v>36</v>
      </c>
      <c r="C97" s="210" t="s">
        <v>32</v>
      </c>
      <c r="D97" s="242" t="s">
        <v>713</v>
      </c>
      <c r="E97" t="s">
        <v>760</v>
      </c>
    </row>
    <row r="98" spans="2:5" x14ac:dyDescent="0.2">
      <c r="B98" t="s">
        <v>761</v>
      </c>
      <c r="C98" s="210"/>
      <c r="D98" s="242" t="s">
        <v>716</v>
      </c>
      <c r="E98" t="s">
        <v>762</v>
      </c>
    </row>
    <row r="99" spans="2:5" x14ac:dyDescent="0.2">
      <c r="B99" t="s">
        <v>763</v>
      </c>
      <c r="C99" s="210" t="s">
        <v>764</v>
      </c>
      <c r="D99" s="242" t="s">
        <v>719</v>
      </c>
      <c r="E99" t="s">
        <v>765</v>
      </c>
    </row>
    <row r="100" spans="2:5" x14ac:dyDescent="0.2">
      <c r="B100" t="s">
        <v>766</v>
      </c>
      <c r="C100" s="210" t="s">
        <v>767</v>
      </c>
      <c r="D100" s="242" t="s">
        <v>722</v>
      </c>
      <c r="E100" t="s">
        <v>768</v>
      </c>
    </row>
    <row r="101" spans="2:5" x14ac:dyDescent="0.2">
      <c r="B101" t="s">
        <v>769</v>
      </c>
      <c r="C101" s="210" t="s">
        <v>770</v>
      </c>
      <c r="D101" s="242" t="s">
        <v>38</v>
      </c>
      <c r="E101" t="s">
        <v>771</v>
      </c>
    </row>
    <row r="102" spans="2:5" x14ac:dyDescent="0.2">
      <c r="B102" t="s">
        <v>772</v>
      </c>
      <c r="C102" s="210" t="s">
        <v>773</v>
      </c>
      <c r="D102" s="242"/>
      <c r="E102" t="s">
        <v>774</v>
      </c>
    </row>
    <row r="103" spans="2:5" x14ac:dyDescent="0.2">
      <c r="B103" t="s">
        <v>775</v>
      </c>
      <c r="C103" s="210" t="s">
        <v>776</v>
      </c>
      <c r="D103" s="242" t="s">
        <v>728</v>
      </c>
      <c r="E103" t="s">
        <v>777</v>
      </c>
    </row>
    <row r="104" spans="2:5" x14ac:dyDescent="0.2">
      <c r="B104" t="s">
        <v>778</v>
      </c>
      <c r="C104" s="210" t="s">
        <v>779</v>
      </c>
      <c r="D104" s="242" t="s">
        <v>731</v>
      </c>
      <c r="E104" t="s">
        <v>780</v>
      </c>
    </row>
    <row r="105" spans="2:5" x14ac:dyDescent="0.2">
      <c r="B105" t="s">
        <v>781</v>
      </c>
      <c r="C105" s="210" t="s">
        <v>782</v>
      </c>
      <c r="D105" s="242" t="s">
        <v>734</v>
      </c>
      <c r="E105" t="s">
        <v>783</v>
      </c>
    </row>
    <row r="106" spans="2:5" x14ac:dyDescent="0.2">
      <c r="B106" t="s">
        <v>784</v>
      </c>
      <c r="C106" s="210" t="s">
        <v>785</v>
      </c>
      <c r="D106" s="242" t="s">
        <v>737</v>
      </c>
      <c r="E106" t="s">
        <v>756</v>
      </c>
    </row>
    <row r="107" spans="2:5" x14ac:dyDescent="0.2">
      <c r="B107" t="s">
        <v>786</v>
      </c>
      <c r="C107" s="210" t="s">
        <v>787</v>
      </c>
      <c r="D107" s="242" t="s">
        <v>740</v>
      </c>
      <c r="E107" t="s">
        <v>758</v>
      </c>
    </row>
    <row r="108" spans="2:5" x14ac:dyDescent="0.2">
      <c r="B108" t="s">
        <v>788</v>
      </c>
      <c r="C108" s="210" t="s">
        <v>789</v>
      </c>
      <c r="D108" s="242" t="s">
        <v>743</v>
      </c>
      <c r="E108" t="s">
        <v>32</v>
      </c>
    </row>
    <row r="109" spans="2:5" x14ac:dyDescent="0.2">
      <c r="B109" t="s">
        <v>790</v>
      </c>
      <c r="C109" s="210" t="s">
        <v>791</v>
      </c>
      <c r="D109" s="242" t="s">
        <v>746</v>
      </c>
      <c r="E109" t="s">
        <v>792</v>
      </c>
    </row>
    <row r="110" spans="2:5" x14ac:dyDescent="0.2">
      <c r="B110" t="s">
        <v>793</v>
      </c>
      <c r="C110" s="210" t="s">
        <v>42</v>
      </c>
      <c r="D110" s="242" t="s">
        <v>749</v>
      </c>
      <c r="E110" t="s">
        <v>794</v>
      </c>
    </row>
    <row r="111" spans="2:5" x14ac:dyDescent="0.2">
      <c r="B111" t="s">
        <v>795</v>
      </c>
      <c r="C111" s="210"/>
      <c r="D111" s="242" t="s">
        <v>752</v>
      </c>
      <c r="E111" t="s">
        <v>796</v>
      </c>
    </row>
    <row r="112" spans="2:5" x14ac:dyDescent="0.2">
      <c r="B112" t="s">
        <v>40</v>
      </c>
      <c r="C112" s="210" t="s">
        <v>797</v>
      </c>
      <c r="D112" s="242" t="s">
        <v>754</v>
      </c>
      <c r="E112" t="s">
        <v>798</v>
      </c>
    </row>
    <row r="113" spans="2:5" x14ac:dyDescent="0.2">
      <c r="B113" t="s">
        <v>799</v>
      </c>
      <c r="C113" s="210" t="s">
        <v>800</v>
      </c>
      <c r="D113" s="242" t="s">
        <v>756</v>
      </c>
      <c r="E113" t="s">
        <v>801</v>
      </c>
    </row>
    <row r="114" spans="2:5" x14ac:dyDescent="0.2">
      <c r="B114" t="s">
        <v>802</v>
      </c>
      <c r="C114" s="210" t="s">
        <v>803</v>
      </c>
      <c r="D114" s="242" t="s">
        <v>758</v>
      </c>
      <c r="E114" t="s">
        <v>804</v>
      </c>
    </row>
    <row r="115" spans="2:5" x14ac:dyDescent="0.2">
      <c r="B115" t="s">
        <v>805</v>
      </c>
      <c r="C115" s="210" t="s">
        <v>806</v>
      </c>
      <c r="D115" s="242" t="s">
        <v>32</v>
      </c>
      <c r="E115" t="s">
        <v>807</v>
      </c>
    </row>
    <row r="116" spans="2:5" x14ac:dyDescent="0.2">
      <c r="B116" t="s">
        <v>808</v>
      </c>
      <c r="C116" s="210" t="s">
        <v>809</v>
      </c>
      <c r="D116" s="242"/>
      <c r="E116" t="s">
        <v>810</v>
      </c>
    </row>
    <row r="117" spans="2:5" x14ac:dyDescent="0.2">
      <c r="B117" t="s">
        <v>811</v>
      </c>
      <c r="C117" s="210" t="s">
        <v>812</v>
      </c>
      <c r="D117" s="242" t="s">
        <v>764</v>
      </c>
      <c r="E117" t="s">
        <v>813</v>
      </c>
    </row>
    <row r="118" spans="2:5" x14ac:dyDescent="0.2">
      <c r="B118" t="s">
        <v>814</v>
      </c>
      <c r="C118" s="210" t="s">
        <v>815</v>
      </c>
      <c r="D118" s="242" t="s">
        <v>767</v>
      </c>
      <c r="E118" t="s">
        <v>816</v>
      </c>
    </row>
    <row r="119" spans="2:5" x14ac:dyDescent="0.2">
      <c r="B119" t="s">
        <v>817</v>
      </c>
      <c r="C119" s="210" t="s">
        <v>818</v>
      </c>
      <c r="D119" s="242" t="s">
        <v>770</v>
      </c>
      <c r="E119" t="s">
        <v>791</v>
      </c>
    </row>
    <row r="120" spans="2:5" x14ac:dyDescent="0.2">
      <c r="B120" t="s">
        <v>819</v>
      </c>
      <c r="C120" s="210" t="s">
        <v>820</v>
      </c>
      <c r="D120" s="242" t="s">
        <v>773</v>
      </c>
      <c r="E120" t="s">
        <v>42</v>
      </c>
    </row>
    <row r="121" spans="2:5" x14ac:dyDescent="0.2">
      <c r="B121" t="s">
        <v>821</v>
      </c>
      <c r="C121" s="210" t="s">
        <v>822</v>
      </c>
      <c r="D121" s="242" t="s">
        <v>776</v>
      </c>
      <c r="E121" t="s">
        <v>44</v>
      </c>
    </row>
    <row r="122" spans="2:5" x14ac:dyDescent="0.2">
      <c r="B122" t="s">
        <v>823</v>
      </c>
      <c r="C122" s="210" t="s">
        <v>824</v>
      </c>
      <c r="D122" s="242" t="s">
        <v>779</v>
      </c>
      <c r="E122" t="s">
        <v>825</v>
      </c>
    </row>
    <row r="123" spans="2:5" x14ac:dyDescent="0.2">
      <c r="B123" t="s">
        <v>826</v>
      </c>
      <c r="C123" s="210" t="s">
        <v>43</v>
      </c>
      <c r="D123" s="242" t="s">
        <v>782</v>
      </c>
      <c r="E123" t="s">
        <v>827</v>
      </c>
    </row>
    <row r="124" spans="2:5" x14ac:dyDescent="0.2">
      <c r="B124" t="s">
        <v>828</v>
      </c>
      <c r="C124" s="210"/>
      <c r="D124" s="242" t="s">
        <v>785</v>
      </c>
      <c r="E124" t="s">
        <v>829</v>
      </c>
    </row>
    <row r="125" spans="2:5" x14ac:dyDescent="0.2">
      <c r="B125" t="s">
        <v>830</v>
      </c>
      <c r="C125" s="210" t="s">
        <v>831</v>
      </c>
      <c r="D125" s="242" t="s">
        <v>787</v>
      </c>
      <c r="E125" t="s">
        <v>832</v>
      </c>
    </row>
    <row r="126" spans="2:5" x14ac:dyDescent="0.2">
      <c r="B126" t="s">
        <v>41</v>
      </c>
      <c r="C126" s="210" t="s">
        <v>833</v>
      </c>
      <c r="D126" s="242" t="s">
        <v>789</v>
      </c>
      <c r="E126" t="s">
        <v>834</v>
      </c>
    </row>
    <row r="127" spans="2:5" x14ac:dyDescent="0.2">
      <c r="B127" t="s">
        <v>835</v>
      </c>
      <c r="C127" s="210" t="s">
        <v>836</v>
      </c>
      <c r="D127" s="242" t="s">
        <v>791</v>
      </c>
      <c r="E127" t="s">
        <v>837</v>
      </c>
    </row>
    <row r="128" spans="2:5" x14ac:dyDescent="0.2">
      <c r="B128" t="s">
        <v>537</v>
      </c>
      <c r="C128" s="210" t="s">
        <v>838</v>
      </c>
      <c r="D128" s="242" t="s">
        <v>42</v>
      </c>
      <c r="E128" t="s">
        <v>839</v>
      </c>
    </row>
    <row r="129" spans="2:5" x14ac:dyDescent="0.2">
      <c r="B129" t="s">
        <v>540</v>
      </c>
      <c r="C129" s="210" t="s">
        <v>840</v>
      </c>
      <c r="D129" s="242" t="s">
        <v>44</v>
      </c>
      <c r="E129" t="s">
        <v>841</v>
      </c>
    </row>
    <row r="130" spans="2:5" x14ac:dyDescent="0.2">
      <c r="B130" t="s">
        <v>543</v>
      </c>
      <c r="C130" s="210" t="s">
        <v>842</v>
      </c>
      <c r="D130" s="242"/>
      <c r="E130" t="s">
        <v>843</v>
      </c>
    </row>
    <row r="131" spans="2:5" x14ac:dyDescent="0.2">
      <c r="B131" t="s">
        <v>546</v>
      </c>
      <c r="C131" s="210" t="s">
        <v>844</v>
      </c>
      <c r="D131" s="242" t="s">
        <v>797</v>
      </c>
      <c r="E131" t="s">
        <v>845</v>
      </c>
    </row>
    <row r="132" spans="2:5" x14ac:dyDescent="0.2">
      <c r="B132" t="s">
        <v>549</v>
      </c>
      <c r="C132" s="210" t="s">
        <v>846</v>
      </c>
      <c r="D132" s="242" t="s">
        <v>800</v>
      </c>
      <c r="E132" t="s">
        <v>824</v>
      </c>
    </row>
    <row r="133" spans="2:5" x14ac:dyDescent="0.2">
      <c r="B133" t="s">
        <v>552</v>
      </c>
      <c r="C133" s="210" t="s">
        <v>847</v>
      </c>
      <c r="D133" s="242" t="s">
        <v>803</v>
      </c>
      <c r="E133" t="s">
        <v>43</v>
      </c>
    </row>
    <row r="134" spans="2:5" x14ac:dyDescent="0.2">
      <c r="B134" t="s">
        <v>555</v>
      </c>
      <c r="C134" s="210" t="s">
        <v>848</v>
      </c>
      <c r="D134" s="242" t="s">
        <v>806</v>
      </c>
      <c r="E134" t="s">
        <v>48</v>
      </c>
    </row>
    <row r="135" spans="2:5" x14ac:dyDescent="0.2">
      <c r="B135" t="s">
        <v>558</v>
      </c>
      <c r="C135" s="210" t="s">
        <v>47</v>
      </c>
      <c r="D135" s="242" t="s">
        <v>809</v>
      </c>
      <c r="E135" t="s">
        <v>849</v>
      </c>
    </row>
    <row r="136" spans="2:5" x14ac:dyDescent="0.2">
      <c r="B136" t="s">
        <v>561</v>
      </c>
      <c r="C136" s="210"/>
      <c r="D136" s="242" t="s">
        <v>812</v>
      </c>
      <c r="E136" t="s">
        <v>850</v>
      </c>
    </row>
    <row r="137" spans="2:5" x14ac:dyDescent="0.2">
      <c r="B137" t="s">
        <v>564</v>
      </c>
      <c r="C137" s="210" t="s">
        <v>851</v>
      </c>
      <c r="D137" s="242" t="s">
        <v>815</v>
      </c>
      <c r="E137" t="s">
        <v>852</v>
      </c>
    </row>
    <row r="138" spans="2:5" x14ac:dyDescent="0.2">
      <c r="B138" t="s">
        <v>567</v>
      </c>
      <c r="C138" s="210" t="s">
        <v>853</v>
      </c>
      <c r="D138" s="242" t="s">
        <v>818</v>
      </c>
      <c r="E138" t="s">
        <v>854</v>
      </c>
    </row>
    <row r="139" spans="2:5" x14ac:dyDescent="0.2">
      <c r="B139" t="s">
        <v>855</v>
      </c>
      <c r="C139" s="210" t="s">
        <v>856</v>
      </c>
      <c r="D139" s="242" t="s">
        <v>820</v>
      </c>
      <c r="E139" t="s">
        <v>857</v>
      </c>
    </row>
    <row r="140" spans="2:5" x14ac:dyDescent="0.2">
      <c r="B140" t="s">
        <v>46</v>
      </c>
      <c r="C140" s="210" t="s">
        <v>858</v>
      </c>
      <c r="D140" s="242" t="s">
        <v>822</v>
      </c>
      <c r="E140" t="s">
        <v>859</v>
      </c>
    </row>
    <row r="141" spans="2:5" x14ac:dyDescent="0.2">
      <c r="B141" t="s">
        <v>860</v>
      </c>
      <c r="C141" s="210" t="s">
        <v>861</v>
      </c>
      <c r="D141" s="242" t="s">
        <v>824</v>
      </c>
      <c r="E141" t="s">
        <v>862</v>
      </c>
    </row>
    <row r="142" spans="2:5" x14ac:dyDescent="0.2">
      <c r="B142" t="s">
        <v>863</v>
      </c>
      <c r="C142" s="210" t="s">
        <v>864</v>
      </c>
      <c r="D142" s="242" t="s">
        <v>43</v>
      </c>
      <c r="E142" t="s">
        <v>865</v>
      </c>
    </row>
    <row r="143" spans="2:5" x14ac:dyDescent="0.2">
      <c r="B143" t="s">
        <v>866</v>
      </c>
      <c r="C143" s="210" t="s">
        <v>867</v>
      </c>
      <c r="D143" s="242" t="s">
        <v>48</v>
      </c>
      <c r="E143" t="s">
        <v>868</v>
      </c>
    </row>
    <row r="144" spans="2:5" x14ac:dyDescent="0.2">
      <c r="B144" t="s">
        <v>869</v>
      </c>
      <c r="C144" s="210" t="s">
        <v>870</v>
      </c>
      <c r="D144" s="242"/>
      <c r="E144" t="s">
        <v>871</v>
      </c>
    </row>
    <row r="145" spans="2:5" x14ac:dyDescent="0.2">
      <c r="B145" t="s">
        <v>872</v>
      </c>
      <c r="C145" s="210" t="s">
        <v>873</v>
      </c>
      <c r="D145" s="242" t="s">
        <v>831</v>
      </c>
      <c r="E145" t="s">
        <v>47</v>
      </c>
    </row>
    <row r="146" spans="2:5" x14ac:dyDescent="0.2">
      <c r="B146" t="s">
        <v>874</v>
      </c>
      <c r="C146" s="210" t="s">
        <v>875</v>
      </c>
      <c r="D146" s="242" t="s">
        <v>833</v>
      </c>
      <c r="E146" t="s">
        <v>876</v>
      </c>
    </row>
    <row r="147" spans="2:5" x14ac:dyDescent="0.2">
      <c r="B147" t="s">
        <v>877</v>
      </c>
      <c r="C147" s="210" t="s">
        <v>878</v>
      </c>
      <c r="D147" s="242" t="s">
        <v>836</v>
      </c>
      <c r="E147" t="s">
        <v>52</v>
      </c>
    </row>
    <row r="148" spans="2:5" x14ac:dyDescent="0.2">
      <c r="B148" t="s">
        <v>879</v>
      </c>
      <c r="C148" s="210" t="s">
        <v>880</v>
      </c>
      <c r="D148" s="242" t="s">
        <v>838</v>
      </c>
      <c r="E148" t="s">
        <v>881</v>
      </c>
    </row>
    <row r="149" spans="2:5" x14ac:dyDescent="0.2">
      <c r="B149" t="s">
        <v>882</v>
      </c>
      <c r="C149" s="210" t="s">
        <v>51</v>
      </c>
      <c r="D149" s="242" t="s">
        <v>840</v>
      </c>
      <c r="E149" t="s">
        <v>883</v>
      </c>
    </row>
    <row r="150" spans="2:5" x14ac:dyDescent="0.2">
      <c r="B150" t="s">
        <v>884</v>
      </c>
      <c r="C150" s="210"/>
      <c r="D150" s="242" t="s">
        <v>842</v>
      </c>
      <c r="E150" t="s">
        <v>885</v>
      </c>
    </row>
    <row r="151" spans="2:5" x14ac:dyDescent="0.2">
      <c r="B151" t="s">
        <v>886</v>
      </c>
      <c r="C151" s="210" t="s">
        <v>887</v>
      </c>
      <c r="D151" s="242" t="s">
        <v>844</v>
      </c>
      <c r="E151" t="s">
        <v>888</v>
      </c>
    </row>
    <row r="152" spans="2:5" x14ac:dyDescent="0.2">
      <c r="B152" t="s">
        <v>889</v>
      </c>
      <c r="C152" s="210" t="s">
        <v>890</v>
      </c>
      <c r="D152" s="242" t="s">
        <v>846</v>
      </c>
      <c r="E152" t="s">
        <v>891</v>
      </c>
    </row>
    <row r="153" spans="2:5" x14ac:dyDescent="0.2">
      <c r="B153" t="s">
        <v>892</v>
      </c>
      <c r="C153" s="210" t="s">
        <v>893</v>
      </c>
      <c r="D153" s="242" t="s">
        <v>847</v>
      </c>
      <c r="E153" t="s">
        <v>894</v>
      </c>
    </row>
    <row r="154" spans="2:5" x14ac:dyDescent="0.2">
      <c r="B154" t="s">
        <v>50</v>
      </c>
      <c r="C154" s="210" t="s">
        <v>895</v>
      </c>
      <c r="D154" s="242" t="s">
        <v>848</v>
      </c>
      <c r="E154" t="s">
        <v>896</v>
      </c>
    </row>
    <row r="155" spans="2:5" x14ac:dyDescent="0.2">
      <c r="B155" t="s">
        <v>897</v>
      </c>
      <c r="C155" s="210" t="s">
        <v>898</v>
      </c>
      <c r="D155" s="242" t="s">
        <v>47</v>
      </c>
      <c r="E155" t="s">
        <v>899</v>
      </c>
    </row>
    <row r="156" spans="2:5" x14ac:dyDescent="0.2">
      <c r="B156" t="s">
        <v>900</v>
      </c>
      <c r="C156" s="210" t="s">
        <v>901</v>
      </c>
      <c r="D156" s="242" t="s">
        <v>876</v>
      </c>
      <c r="E156" t="s">
        <v>902</v>
      </c>
    </row>
    <row r="157" spans="2:5" x14ac:dyDescent="0.2">
      <c r="B157" t="s">
        <v>903</v>
      </c>
      <c r="C157" s="210" t="s">
        <v>904</v>
      </c>
      <c r="D157" s="242" t="s">
        <v>52</v>
      </c>
      <c r="E157" t="s">
        <v>905</v>
      </c>
    </row>
    <row r="158" spans="2:5" x14ac:dyDescent="0.2">
      <c r="B158" t="s">
        <v>906</v>
      </c>
      <c r="C158" s="210" t="s">
        <v>907</v>
      </c>
      <c r="D158" s="242"/>
      <c r="E158" t="s">
        <v>908</v>
      </c>
    </row>
    <row r="159" spans="2:5" x14ac:dyDescent="0.2">
      <c r="B159" t="s">
        <v>909</v>
      </c>
      <c r="C159" s="210" t="s">
        <v>910</v>
      </c>
      <c r="D159" s="242" t="s">
        <v>851</v>
      </c>
      <c r="E159" t="s">
        <v>878</v>
      </c>
    </row>
    <row r="160" spans="2:5" x14ac:dyDescent="0.2">
      <c r="B160" t="s">
        <v>911</v>
      </c>
      <c r="C160" s="210" t="s">
        <v>912</v>
      </c>
      <c r="D160" s="242" t="s">
        <v>853</v>
      </c>
      <c r="E160" t="s">
        <v>880</v>
      </c>
    </row>
    <row r="161" spans="2:5" x14ac:dyDescent="0.2">
      <c r="B161" t="s">
        <v>913</v>
      </c>
      <c r="C161" s="210" t="s">
        <v>914</v>
      </c>
      <c r="D161" s="242" t="s">
        <v>856</v>
      </c>
      <c r="E161" t="s">
        <v>51</v>
      </c>
    </row>
    <row r="162" spans="2:5" x14ac:dyDescent="0.2">
      <c r="B162" t="s">
        <v>915</v>
      </c>
      <c r="C162" s="210" t="s">
        <v>916</v>
      </c>
      <c r="D162" s="242" t="s">
        <v>858</v>
      </c>
      <c r="E162" t="s">
        <v>917</v>
      </c>
    </row>
    <row r="163" spans="2:5" x14ac:dyDescent="0.2">
      <c r="B163" t="s">
        <v>918</v>
      </c>
      <c r="C163" s="210" t="s">
        <v>56</v>
      </c>
      <c r="D163" s="242" t="s">
        <v>861</v>
      </c>
      <c r="E163" t="s">
        <v>53</v>
      </c>
    </row>
    <row r="164" spans="2:5" x14ac:dyDescent="0.2">
      <c r="B164" t="s">
        <v>919</v>
      </c>
      <c r="C164" s="210"/>
      <c r="D164" s="242" t="s">
        <v>864</v>
      </c>
      <c r="E164" t="s">
        <v>920</v>
      </c>
    </row>
    <row r="165" spans="2:5" x14ac:dyDescent="0.2">
      <c r="B165" t="s">
        <v>921</v>
      </c>
      <c r="C165" s="210" t="s">
        <v>922</v>
      </c>
      <c r="D165" s="242" t="s">
        <v>867</v>
      </c>
      <c r="E165" t="s">
        <v>923</v>
      </c>
    </row>
    <row r="166" spans="2:5" x14ac:dyDescent="0.2">
      <c r="B166" t="s">
        <v>924</v>
      </c>
      <c r="C166" s="210" t="s">
        <v>925</v>
      </c>
      <c r="D166" s="242" t="s">
        <v>870</v>
      </c>
      <c r="E166" t="s">
        <v>926</v>
      </c>
    </row>
    <row r="167" spans="2:5" x14ac:dyDescent="0.2">
      <c r="B167" t="s">
        <v>927</v>
      </c>
      <c r="C167" s="210" t="s">
        <v>928</v>
      </c>
      <c r="D167" s="242" t="s">
        <v>873</v>
      </c>
      <c r="E167" t="s">
        <v>929</v>
      </c>
    </row>
    <row r="168" spans="2:5" x14ac:dyDescent="0.2">
      <c r="B168" t="s">
        <v>930</v>
      </c>
      <c r="C168" s="210" t="s">
        <v>931</v>
      </c>
      <c r="D168" s="242" t="s">
        <v>875</v>
      </c>
      <c r="E168" t="s">
        <v>932</v>
      </c>
    </row>
    <row r="169" spans="2:5" x14ac:dyDescent="0.2">
      <c r="B169" t="s">
        <v>55</v>
      </c>
      <c r="C169" s="210" t="s">
        <v>933</v>
      </c>
      <c r="D169" s="242" t="s">
        <v>878</v>
      </c>
      <c r="E169" t="s">
        <v>934</v>
      </c>
    </row>
    <row r="170" spans="2:5" x14ac:dyDescent="0.2">
      <c r="B170" t="s">
        <v>935</v>
      </c>
      <c r="C170" s="210" t="s">
        <v>936</v>
      </c>
      <c r="D170" s="242" t="s">
        <v>880</v>
      </c>
      <c r="E170" t="s">
        <v>937</v>
      </c>
    </row>
    <row r="171" spans="2:5" x14ac:dyDescent="0.2">
      <c r="B171" t="s">
        <v>938</v>
      </c>
      <c r="C171" s="210" t="s">
        <v>939</v>
      </c>
      <c r="D171" s="242" t="s">
        <v>51</v>
      </c>
      <c r="E171" t="s">
        <v>940</v>
      </c>
    </row>
    <row r="172" spans="2:5" x14ac:dyDescent="0.2">
      <c r="B172" t="s">
        <v>941</v>
      </c>
      <c r="C172" s="210" t="s">
        <v>942</v>
      </c>
      <c r="D172" s="242" t="s">
        <v>917</v>
      </c>
      <c r="E172" t="s">
        <v>943</v>
      </c>
    </row>
    <row r="173" spans="2:5" x14ac:dyDescent="0.2">
      <c r="B173" t="s">
        <v>944</v>
      </c>
      <c r="C173" s="210" t="s">
        <v>61</v>
      </c>
      <c r="D173" s="242" t="s">
        <v>53</v>
      </c>
      <c r="E173" t="s">
        <v>945</v>
      </c>
    </row>
    <row r="174" spans="2:5" x14ac:dyDescent="0.2">
      <c r="B174" t="s">
        <v>946</v>
      </c>
      <c r="C174" s="210" t="s">
        <v>947</v>
      </c>
      <c r="D174" s="242"/>
      <c r="E174" t="s">
        <v>948</v>
      </c>
    </row>
    <row r="175" spans="2:5" x14ac:dyDescent="0.2">
      <c r="B175" t="s">
        <v>949</v>
      </c>
      <c r="C175" s="210" t="s">
        <v>950</v>
      </c>
      <c r="D175" s="242" t="s">
        <v>887</v>
      </c>
      <c r="E175" t="s">
        <v>951</v>
      </c>
    </row>
    <row r="176" spans="2:5" x14ac:dyDescent="0.2">
      <c r="B176" t="s">
        <v>952</v>
      </c>
      <c r="C176" s="210" t="s">
        <v>953</v>
      </c>
      <c r="D176" s="242" t="s">
        <v>890</v>
      </c>
      <c r="E176" t="s">
        <v>914</v>
      </c>
    </row>
    <row r="177" spans="2:5" x14ac:dyDescent="0.2">
      <c r="B177" t="s">
        <v>954</v>
      </c>
      <c r="C177" s="210" t="s">
        <v>955</v>
      </c>
      <c r="D177" s="242" t="s">
        <v>893</v>
      </c>
      <c r="E177" t="s">
        <v>916</v>
      </c>
    </row>
    <row r="178" spans="2:5" x14ac:dyDescent="0.2">
      <c r="B178" t="s">
        <v>956</v>
      </c>
      <c r="C178" s="210" t="s">
        <v>957</v>
      </c>
      <c r="D178" s="242" t="s">
        <v>895</v>
      </c>
      <c r="E178" t="s">
        <v>56</v>
      </c>
    </row>
    <row r="179" spans="2:5" x14ac:dyDescent="0.2">
      <c r="B179" t="s">
        <v>958</v>
      </c>
      <c r="C179" s="210" t="s">
        <v>959</v>
      </c>
      <c r="D179" s="242" t="s">
        <v>898</v>
      </c>
      <c r="E179" t="s">
        <v>960</v>
      </c>
    </row>
    <row r="180" spans="2:5" x14ac:dyDescent="0.2">
      <c r="B180" t="s">
        <v>961</v>
      </c>
      <c r="C180" s="210"/>
      <c r="D180" s="242" t="s">
        <v>901</v>
      </c>
      <c r="E180" t="s">
        <v>57</v>
      </c>
    </row>
    <row r="181" spans="2:5" x14ac:dyDescent="0.2">
      <c r="B181" t="s">
        <v>962</v>
      </c>
      <c r="C181" s="210" t="s">
        <v>963</v>
      </c>
      <c r="D181" s="242" t="s">
        <v>904</v>
      </c>
      <c r="E181" t="s">
        <v>964</v>
      </c>
    </row>
    <row r="182" spans="2:5" x14ac:dyDescent="0.2">
      <c r="B182" t="s">
        <v>965</v>
      </c>
      <c r="C182" s="210" t="s">
        <v>966</v>
      </c>
      <c r="D182" s="242" t="s">
        <v>907</v>
      </c>
      <c r="E182" t="s">
        <v>967</v>
      </c>
    </row>
    <row r="183" spans="2:5" x14ac:dyDescent="0.2">
      <c r="B183" t="s">
        <v>968</v>
      </c>
      <c r="C183" s="210" t="s">
        <v>969</v>
      </c>
      <c r="D183" s="242" t="s">
        <v>910</v>
      </c>
      <c r="E183" t="s">
        <v>970</v>
      </c>
    </row>
    <row r="184" spans="2:5" x14ac:dyDescent="0.2">
      <c r="B184" t="s">
        <v>971</v>
      </c>
      <c r="C184" s="210" t="s">
        <v>972</v>
      </c>
      <c r="D184" s="242" t="s">
        <v>912</v>
      </c>
      <c r="E184" t="s">
        <v>973</v>
      </c>
    </row>
    <row r="185" spans="2:5" x14ac:dyDescent="0.2">
      <c r="B185" t="s">
        <v>974</v>
      </c>
      <c r="C185" s="210" t="s">
        <v>975</v>
      </c>
      <c r="D185" s="242" t="s">
        <v>914</v>
      </c>
      <c r="E185" t="s">
        <v>976</v>
      </c>
    </row>
    <row r="186" spans="2:5" x14ac:dyDescent="0.2">
      <c r="B186" t="s">
        <v>977</v>
      </c>
      <c r="C186" s="210" t="s">
        <v>978</v>
      </c>
      <c r="D186" s="242" t="s">
        <v>916</v>
      </c>
      <c r="E186" t="s">
        <v>979</v>
      </c>
    </row>
    <row r="187" spans="2:5" x14ac:dyDescent="0.2">
      <c r="B187" t="s">
        <v>980</v>
      </c>
      <c r="C187" s="210" t="s">
        <v>981</v>
      </c>
      <c r="D187" s="242" t="s">
        <v>56</v>
      </c>
      <c r="E187" t="s">
        <v>982</v>
      </c>
    </row>
    <row r="188" spans="2:5" x14ac:dyDescent="0.2">
      <c r="B188" t="s">
        <v>983</v>
      </c>
      <c r="C188" s="210" t="s">
        <v>984</v>
      </c>
      <c r="D188" s="242" t="s">
        <v>960</v>
      </c>
      <c r="E188" t="s">
        <v>985</v>
      </c>
    </row>
    <row r="189" spans="2:5" x14ac:dyDescent="0.2">
      <c r="B189" t="s">
        <v>986</v>
      </c>
      <c r="C189" s="210" t="s">
        <v>987</v>
      </c>
      <c r="D189" s="242" t="s">
        <v>57</v>
      </c>
      <c r="E189" t="s">
        <v>988</v>
      </c>
    </row>
    <row r="190" spans="2:5" x14ac:dyDescent="0.2">
      <c r="B190" t="s">
        <v>989</v>
      </c>
      <c r="C190" s="210" t="s">
        <v>990</v>
      </c>
      <c r="D190" s="242"/>
      <c r="E190" t="s">
        <v>991</v>
      </c>
    </row>
    <row r="191" spans="2:5" x14ac:dyDescent="0.2">
      <c r="B191" t="s">
        <v>992</v>
      </c>
      <c r="C191" s="210" t="s">
        <v>993</v>
      </c>
      <c r="D191" s="242" t="s">
        <v>922</v>
      </c>
      <c r="E191" t="s">
        <v>994</v>
      </c>
    </row>
    <row r="192" spans="2:5" x14ac:dyDescent="0.2">
      <c r="B192" t="s">
        <v>995</v>
      </c>
      <c r="C192" s="210" t="s">
        <v>996</v>
      </c>
      <c r="D192" s="242" t="s">
        <v>925</v>
      </c>
      <c r="E192" t="s">
        <v>950</v>
      </c>
    </row>
    <row r="193" spans="2:5" x14ac:dyDescent="0.2">
      <c r="B193" t="s">
        <v>997</v>
      </c>
      <c r="C193" s="210" t="s">
        <v>998</v>
      </c>
      <c r="D193" s="242" t="s">
        <v>928</v>
      </c>
      <c r="E193" t="s">
        <v>953</v>
      </c>
    </row>
    <row r="194" spans="2:5" x14ac:dyDescent="0.2">
      <c r="B194" t="s">
        <v>999</v>
      </c>
      <c r="C194" s="210" t="s">
        <v>1000</v>
      </c>
      <c r="D194" s="242" t="s">
        <v>931</v>
      </c>
      <c r="E194" t="s">
        <v>955</v>
      </c>
    </row>
    <row r="195" spans="2:5" x14ac:dyDescent="0.2">
      <c r="B195" t="s">
        <v>1001</v>
      </c>
      <c r="C195" s="210" t="s">
        <v>1002</v>
      </c>
      <c r="D195" s="242" t="s">
        <v>933</v>
      </c>
      <c r="E195" t="s">
        <v>957</v>
      </c>
    </row>
    <row r="196" spans="2:5" x14ac:dyDescent="0.2">
      <c r="B196" t="s">
        <v>1003</v>
      </c>
      <c r="C196" s="210"/>
      <c r="D196" s="242" t="s">
        <v>936</v>
      </c>
      <c r="E196" t="s">
        <v>959</v>
      </c>
    </row>
    <row r="197" spans="2:5" x14ac:dyDescent="0.2">
      <c r="B197" t="s">
        <v>1004</v>
      </c>
      <c r="C197" s="210" t="s">
        <v>1005</v>
      </c>
      <c r="D197" s="242" t="s">
        <v>939</v>
      </c>
      <c r="E197" t="s">
        <v>1006</v>
      </c>
    </row>
    <row r="198" spans="2:5" x14ac:dyDescent="0.2">
      <c r="B198" t="s">
        <v>570</v>
      </c>
      <c r="C198" s="210" t="s">
        <v>1007</v>
      </c>
      <c r="D198" s="242" t="s">
        <v>942</v>
      </c>
      <c r="E198" t="s">
        <v>1008</v>
      </c>
    </row>
    <row r="199" spans="2:5" x14ac:dyDescent="0.2">
      <c r="B199" t="s">
        <v>573</v>
      </c>
      <c r="C199" s="210" t="s">
        <v>1009</v>
      </c>
      <c r="D199" s="242" t="s">
        <v>61</v>
      </c>
      <c r="E199" t="s">
        <v>1010</v>
      </c>
    </row>
    <row r="200" spans="2:5" x14ac:dyDescent="0.2">
      <c r="B200" t="s">
        <v>576</v>
      </c>
      <c r="C200" s="210" t="s">
        <v>1011</v>
      </c>
      <c r="D200" s="242" t="s">
        <v>947</v>
      </c>
      <c r="E200" t="s">
        <v>1012</v>
      </c>
    </row>
    <row r="201" spans="2:5" x14ac:dyDescent="0.2">
      <c r="B201" t="s">
        <v>579</v>
      </c>
      <c r="C201" s="210" t="s">
        <v>60</v>
      </c>
      <c r="D201" s="242" t="s">
        <v>950</v>
      </c>
      <c r="E201" t="s">
        <v>1013</v>
      </c>
    </row>
    <row r="202" spans="2:5" x14ac:dyDescent="0.2">
      <c r="B202" t="s">
        <v>582</v>
      </c>
      <c r="C202" s="210" t="s">
        <v>62</v>
      </c>
      <c r="D202" s="242" t="s">
        <v>953</v>
      </c>
      <c r="E202" t="s">
        <v>1014</v>
      </c>
    </row>
    <row r="203" spans="2:5" x14ac:dyDescent="0.2">
      <c r="B203" t="s">
        <v>585</v>
      </c>
      <c r="C203" s="210" t="s">
        <v>59</v>
      </c>
      <c r="D203" s="242" t="s">
        <v>955</v>
      </c>
      <c r="E203" t="s">
        <v>1015</v>
      </c>
    </row>
    <row r="204" spans="2:5" x14ac:dyDescent="0.2">
      <c r="B204" t="s">
        <v>588</v>
      </c>
      <c r="D204" s="242" t="s">
        <v>957</v>
      </c>
      <c r="E204" t="s">
        <v>1016</v>
      </c>
    </row>
    <row r="205" spans="2:5" x14ac:dyDescent="0.2">
      <c r="B205" t="s">
        <v>591</v>
      </c>
      <c r="D205" s="242" t="s">
        <v>959</v>
      </c>
      <c r="E205" t="s">
        <v>1017</v>
      </c>
    </row>
    <row r="206" spans="2:5" x14ac:dyDescent="0.2">
      <c r="B206" t="s">
        <v>594</v>
      </c>
      <c r="D206" s="242" t="s">
        <v>1006</v>
      </c>
      <c r="E206" t="s">
        <v>1018</v>
      </c>
    </row>
    <row r="207" spans="2:5" x14ac:dyDescent="0.2">
      <c r="B207" t="s">
        <v>597</v>
      </c>
      <c r="D207" s="242" t="s">
        <v>1008</v>
      </c>
      <c r="E207" t="s">
        <v>1019</v>
      </c>
    </row>
    <row r="208" spans="2:5" x14ac:dyDescent="0.2">
      <c r="B208" t="s">
        <v>600</v>
      </c>
      <c r="D208" s="242"/>
      <c r="E208" t="s">
        <v>1020</v>
      </c>
    </row>
    <row r="209" spans="2:5" x14ac:dyDescent="0.2">
      <c r="B209" t="s">
        <v>602</v>
      </c>
      <c r="D209" s="242" t="s">
        <v>963</v>
      </c>
      <c r="E209" t="s">
        <v>1021</v>
      </c>
    </row>
    <row r="210" spans="2:5" x14ac:dyDescent="0.2">
      <c r="B210" t="s">
        <v>1022</v>
      </c>
      <c r="D210" s="242" t="s">
        <v>966</v>
      </c>
      <c r="E210" t="s">
        <v>993</v>
      </c>
    </row>
    <row r="211" spans="2:5" x14ac:dyDescent="0.2">
      <c r="B211" t="s">
        <v>1023</v>
      </c>
      <c r="D211" s="242" t="s">
        <v>969</v>
      </c>
      <c r="E211" t="s">
        <v>996</v>
      </c>
    </row>
    <row r="212" spans="2:5" x14ac:dyDescent="0.2">
      <c r="D212" s="242" t="s">
        <v>972</v>
      </c>
      <c r="E212" t="s">
        <v>998</v>
      </c>
    </row>
    <row r="213" spans="2:5" x14ac:dyDescent="0.2">
      <c r="D213" s="242" t="s">
        <v>975</v>
      </c>
      <c r="E213" t="s">
        <v>1000</v>
      </c>
    </row>
    <row r="214" spans="2:5" x14ac:dyDescent="0.2">
      <c r="D214" s="242" t="s">
        <v>978</v>
      </c>
      <c r="E214" t="s">
        <v>1002</v>
      </c>
    </row>
    <row r="215" spans="2:5" x14ac:dyDescent="0.2">
      <c r="D215" s="242" t="s">
        <v>981</v>
      </c>
      <c r="E215" t="s">
        <v>1024</v>
      </c>
    </row>
    <row r="216" spans="2:5" x14ac:dyDescent="0.2">
      <c r="D216" s="242" t="s">
        <v>984</v>
      </c>
      <c r="E216" t="s">
        <v>1025</v>
      </c>
    </row>
    <row r="217" spans="2:5" x14ac:dyDescent="0.2">
      <c r="D217" s="242" t="s">
        <v>987</v>
      </c>
      <c r="E217" t="s">
        <v>1026</v>
      </c>
    </row>
    <row r="218" spans="2:5" x14ac:dyDescent="0.2">
      <c r="D218" s="242" t="s">
        <v>990</v>
      </c>
      <c r="E218" t="s">
        <v>1007</v>
      </c>
    </row>
    <row r="219" spans="2:5" x14ac:dyDescent="0.2">
      <c r="D219" s="242" t="s">
        <v>993</v>
      </c>
      <c r="E219" t="s">
        <v>1009</v>
      </c>
    </row>
    <row r="220" spans="2:5" x14ac:dyDescent="0.2">
      <c r="D220" s="242" t="s">
        <v>996</v>
      </c>
      <c r="E220" t="s">
        <v>1011</v>
      </c>
    </row>
    <row r="221" spans="2:5" x14ac:dyDescent="0.2">
      <c r="D221" s="242" t="s">
        <v>998</v>
      </c>
      <c r="E221" t="s">
        <v>60</v>
      </c>
    </row>
    <row r="222" spans="2:5" x14ac:dyDescent="0.2">
      <c r="D222" s="242" t="s">
        <v>1000</v>
      </c>
      <c r="E222" t="s">
        <v>62</v>
      </c>
    </row>
    <row r="223" spans="2:5" x14ac:dyDescent="0.2">
      <c r="D223" s="242" t="s">
        <v>1002</v>
      </c>
      <c r="E223" t="s">
        <v>59</v>
      </c>
    </row>
    <row r="224" spans="2:5" x14ac:dyDescent="0.2">
      <c r="D224" s="242" t="s">
        <v>1024</v>
      </c>
    </row>
    <row r="225" spans="3:4" x14ac:dyDescent="0.2">
      <c r="D225" s="242" t="s">
        <v>1025</v>
      </c>
    </row>
    <row r="230" spans="3:4" x14ac:dyDescent="0.2">
      <c r="C230" s="16"/>
    </row>
    <row r="231" spans="3:4" x14ac:dyDescent="0.2">
      <c r="C231" s="16"/>
    </row>
    <row r="232" spans="3:4" x14ac:dyDescent="0.2">
      <c r="C232" s="16"/>
    </row>
    <row r="233" spans="3:4" x14ac:dyDescent="0.2">
      <c r="C233" s="16"/>
    </row>
    <row r="234" spans="3:4" x14ac:dyDescent="0.2">
      <c r="C234" s="16"/>
    </row>
    <row r="235" spans="3:4" x14ac:dyDescent="0.2">
      <c r="C235" s="16"/>
    </row>
    <row r="236" spans="3:4" x14ac:dyDescent="0.2">
      <c r="C236" s="1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B28F7-7E4F-4E56-B36D-F6B33EAE55CF}">
  <sheetPr>
    <tabColor theme="6" tint="0.79998168889431442"/>
  </sheetPr>
  <dimension ref="A1:I5"/>
  <sheetViews>
    <sheetView workbookViewId="0">
      <selection activeCell="H45" sqref="H45"/>
    </sheetView>
  </sheetViews>
  <sheetFormatPr defaultRowHeight="12" x14ac:dyDescent="0.2"/>
  <cols>
    <col min="1" max="1" width="11.42578125" bestFit="1" customWidth="1"/>
    <col min="2" max="2" width="9.85546875" bestFit="1" customWidth="1"/>
    <col min="7" max="7" width="11.42578125" customWidth="1"/>
  </cols>
  <sheetData>
    <row r="1" spans="1:9" ht="24" x14ac:dyDescent="0.2">
      <c r="C1" s="268">
        <v>45292</v>
      </c>
      <c r="D1" s="268">
        <v>45323</v>
      </c>
      <c r="E1" s="268">
        <v>45597</v>
      </c>
      <c r="G1" s="269" t="s">
        <v>1027</v>
      </c>
    </row>
    <row r="2" spans="1:9" x14ac:dyDescent="0.2">
      <c r="A2" t="s">
        <v>1028</v>
      </c>
      <c r="B2" t="s">
        <v>1029</v>
      </c>
      <c r="C2">
        <v>5737</v>
      </c>
      <c r="D2">
        <v>6082</v>
      </c>
      <c r="E2">
        <v>6234</v>
      </c>
      <c r="G2" s="41">
        <f>(C2+D2*9+E2*2)/12</f>
        <v>6078.583333333333</v>
      </c>
      <c r="I2" s="270" t="s">
        <v>1030</v>
      </c>
    </row>
    <row r="3" spans="1:9" x14ac:dyDescent="0.2">
      <c r="G3" s="41"/>
    </row>
    <row r="4" spans="1:9" x14ac:dyDescent="0.2">
      <c r="C4" s="268">
        <v>45292</v>
      </c>
      <c r="D4" s="268">
        <v>45444</v>
      </c>
      <c r="G4" s="41"/>
    </row>
    <row r="5" spans="1:9" x14ac:dyDescent="0.2">
      <c r="A5" t="s">
        <v>496</v>
      </c>
      <c r="B5" t="s">
        <v>59</v>
      </c>
      <c r="C5">
        <v>13764</v>
      </c>
      <c r="D5">
        <v>14219</v>
      </c>
      <c r="G5" s="41">
        <f>(C5*5+D5*7)/12</f>
        <v>14029.416666666666</v>
      </c>
    </row>
  </sheetData>
  <hyperlinks>
    <hyperlink ref="I2" r:id="rId1" display="https://www.zkn.nl/?file=7749&amp;m=1706608523&amp;action=file.download" xr:uid="{84E3EE0A-56C1-4659-875B-155CBCF4345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0F3B-3299-407D-821F-BA61D51843F7}">
  <sheetPr>
    <tabColor theme="6" tint="0.79998168889431442"/>
  </sheetPr>
  <dimension ref="A1:O209"/>
  <sheetViews>
    <sheetView workbookViewId="0">
      <pane ySplit="3" topLeftCell="A133" activePane="bottomLeft" state="frozen"/>
      <selection activeCell="H45" sqref="H45"/>
      <selection pane="bottomLeft" activeCell="H45" sqref="H45"/>
    </sheetView>
  </sheetViews>
  <sheetFormatPr defaultRowHeight="12" x14ac:dyDescent="0.2"/>
  <cols>
    <col min="1" max="1" width="8.85546875" style="210"/>
    <col min="2" max="2" width="10.7109375" style="217" customWidth="1"/>
    <col min="3" max="6" width="10.7109375" customWidth="1"/>
    <col min="7" max="7" width="10.7109375" style="211" customWidth="1"/>
    <col min="8" max="8" width="10.7109375" customWidth="1"/>
    <col min="10" max="10" width="12.140625" customWidth="1"/>
    <col min="12" max="12" width="17" bestFit="1" customWidth="1"/>
    <col min="13" max="13" width="24.28515625" bestFit="1" customWidth="1"/>
  </cols>
  <sheetData>
    <row r="1" spans="1:15" x14ac:dyDescent="0.2">
      <c r="A1" s="206" t="s">
        <v>1031</v>
      </c>
      <c r="B1" s="207" t="s">
        <v>1032</v>
      </c>
      <c r="C1" s="208" t="s">
        <v>1032</v>
      </c>
      <c r="D1" s="207" t="s">
        <v>1032</v>
      </c>
      <c r="E1" s="207" t="s">
        <v>1032</v>
      </c>
      <c r="F1" s="207" t="s">
        <v>1032</v>
      </c>
      <c r="G1" s="207" t="s">
        <v>1033</v>
      </c>
      <c r="H1" s="207" t="s">
        <v>1032</v>
      </c>
      <c r="I1" t="s">
        <v>1034</v>
      </c>
      <c r="J1" s="232"/>
    </row>
    <row r="2" spans="1:15" x14ac:dyDescent="0.2">
      <c r="A2" s="206" t="s">
        <v>1035</v>
      </c>
      <c r="B2" s="209"/>
      <c r="C2" s="210"/>
      <c r="D2" s="210"/>
      <c r="E2" s="210"/>
      <c r="F2" s="210"/>
      <c r="H2" s="210"/>
      <c r="J2" s="232"/>
    </row>
    <row r="3" spans="1:15" ht="48" x14ac:dyDescent="0.2">
      <c r="B3" s="212">
        <v>44348</v>
      </c>
      <c r="C3" s="213">
        <v>44713</v>
      </c>
      <c r="D3" s="214">
        <v>45047</v>
      </c>
      <c r="E3" s="214">
        <v>45231</v>
      </c>
      <c r="F3" s="214">
        <v>45292</v>
      </c>
      <c r="G3" s="215" t="s">
        <v>1036</v>
      </c>
      <c r="H3" s="214">
        <v>45627</v>
      </c>
      <c r="J3" s="233" t="s">
        <v>1027</v>
      </c>
      <c r="L3" s="216"/>
      <c r="M3" s="37"/>
    </row>
    <row r="4" spans="1:15" x14ac:dyDescent="0.2">
      <c r="A4" s="210" t="s">
        <v>498</v>
      </c>
      <c r="B4" s="217">
        <v>1702</v>
      </c>
      <c r="C4" s="218">
        <v>1762</v>
      </c>
      <c r="D4" s="219">
        <v>1822</v>
      </c>
      <c r="E4" s="220">
        <v>1972</v>
      </c>
      <c r="F4" s="221">
        <v>2032</v>
      </c>
      <c r="G4" s="222">
        <f>F4*12*0.01</f>
        <v>243.84</v>
      </c>
      <c r="H4" s="218">
        <v>2152</v>
      </c>
      <c r="J4" s="234">
        <f>11/12*F4+1/12*H4+G4/12</f>
        <v>2062.3199999999997</v>
      </c>
      <c r="K4" s="169"/>
      <c r="L4" s="223"/>
      <c r="M4" s="224"/>
      <c r="N4" s="169"/>
      <c r="O4" s="169"/>
    </row>
    <row r="5" spans="1:15" x14ac:dyDescent="0.2">
      <c r="A5" s="225" t="s">
        <v>502</v>
      </c>
      <c r="B5" s="217">
        <v>1764</v>
      </c>
      <c r="C5" s="218">
        <v>1824</v>
      </c>
      <c r="D5" s="219">
        <v>1884</v>
      </c>
      <c r="E5" s="220">
        <v>2034</v>
      </c>
      <c r="F5" s="221">
        <v>2094</v>
      </c>
      <c r="G5" s="222">
        <f t="shared" ref="G5:G68" si="0">F5*12*0.01</f>
        <v>251.28</v>
      </c>
      <c r="H5" s="218">
        <v>2214</v>
      </c>
      <c r="J5" s="234">
        <f t="shared" ref="J5:J68" si="1">11/12*F5+1/12*H5+G5/12</f>
        <v>2124.94</v>
      </c>
      <c r="K5" s="169"/>
      <c r="L5" s="223"/>
      <c r="M5" s="169"/>
      <c r="N5" s="169"/>
      <c r="O5" s="169"/>
    </row>
    <row r="6" spans="1:15" x14ac:dyDescent="0.2">
      <c r="A6" s="225" t="s">
        <v>506</v>
      </c>
      <c r="B6" s="221">
        <v>1798</v>
      </c>
      <c r="C6" s="218">
        <v>1858</v>
      </c>
      <c r="D6" s="219">
        <v>1918</v>
      </c>
      <c r="E6" s="220">
        <v>2068</v>
      </c>
      <c r="F6" s="221">
        <v>2128</v>
      </c>
      <c r="G6" s="222">
        <f t="shared" si="0"/>
        <v>255.36</v>
      </c>
      <c r="H6" s="218">
        <v>2248</v>
      </c>
      <c r="J6" s="234">
        <f t="shared" si="1"/>
        <v>2159.2800000000002</v>
      </c>
      <c r="K6" s="169"/>
      <c r="L6" s="223"/>
      <c r="M6" s="169"/>
      <c r="N6" s="169"/>
      <c r="O6" s="169"/>
    </row>
    <row r="7" spans="1:15" x14ac:dyDescent="0.2">
      <c r="A7" s="225" t="s">
        <v>510</v>
      </c>
      <c r="B7" s="221">
        <v>1846</v>
      </c>
      <c r="C7" s="218">
        <v>1906</v>
      </c>
      <c r="D7" s="219">
        <v>1966</v>
      </c>
      <c r="E7" s="220">
        <v>2116</v>
      </c>
      <c r="F7" s="221">
        <v>2176</v>
      </c>
      <c r="G7" s="222">
        <f t="shared" si="0"/>
        <v>261.12</v>
      </c>
      <c r="H7" s="218">
        <v>2296</v>
      </c>
      <c r="J7" s="234">
        <f t="shared" si="1"/>
        <v>2207.7600000000002</v>
      </c>
      <c r="K7" s="169"/>
      <c r="L7" s="223"/>
      <c r="M7" s="169"/>
      <c r="N7" s="169"/>
      <c r="O7" s="169"/>
    </row>
    <row r="8" spans="1:15" x14ac:dyDescent="0.2">
      <c r="A8" s="210" t="s">
        <v>514</v>
      </c>
      <c r="B8" s="221">
        <v>1893</v>
      </c>
      <c r="C8" s="218">
        <v>1953</v>
      </c>
      <c r="D8" s="219">
        <v>2013</v>
      </c>
      <c r="E8" s="220">
        <v>2163</v>
      </c>
      <c r="F8" s="221">
        <v>2223</v>
      </c>
      <c r="G8" s="222">
        <f t="shared" si="0"/>
        <v>266.76</v>
      </c>
      <c r="H8" s="221">
        <v>2343</v>
      </c>
      <c r="J8" s="234">
        <f t="shared" si="1"/>
        <v>2255.23</v>
      </c>
      <c r="K8" s="169"/>
      <c r="L8" s="223"/>
      <c r="M8" s="169"/>
      <c r="N8" s="169"/>
      <c r="O8" s="169"/>
    </row>
    <row r="9" spans="1:15" x14ac:dyDescent="0.2">
      <c r="A9" s="225" t="s">
        <v>518</v>
      </c>
      <c r="B9" s="221">
        <v>1942</v>
      </c>
      <c r="C9" s="218">
        <v>2002</v>
      </c>
      <c r="D9" s="219">
        <v>2062</v>
      </c>
      <c r="E9" s="220">
        <v>2212</v>
      </c>
      <c r="F9" s="221">
        <v>2272</v>
      </c>
      <c r="G9" s="222">
        <f t="shared" si="0"/>
        <v>272.64</v>
      </c>
      <c r="H9" s="221">
        <v>2392</v>
      </c>
      <c r="J9" s="234">
        <f t="shared" si="1"/>
        <v>2304.7199999999998</v>
      </c>
      <c r="K9" s="169"/>
      <c r="L9" s="223"/>
      <c r="M9" s="169"/>
      <c r="N9" s="169"/>
      <c r="O9" s="169"/>
    </row>
    <row r="10" spans="1:15" x14ac:dyDescent="0.2">
      <c r="A10" s="225" t="s">
        <v>522</v>
      </c>
      <c r="B10" s="221">
        <v>1996</v>
      </c>
      <c r="C10" s="218">
        <v>2056</v>
      </c>
      <c r="D10" s="219">
        <v>2116</v>
      </c>
      <c r="E10" s="220">
        <v>2266</v>
      </c>
      <c r="F10" s="221">
        <v>2326</v>
      </c>
      <c r="G10" s="222">
        <f t="shared" si="0"/>
        <v>279.12</v>
      </c>
      <c r="H10" s="221">
        <v>2446</v>
      </c>
      <c r="J10" s="234">
        <f t="shared" si="1"/>
        <v>2359.2600000000002</v>
      </c>
      <c r="K10" s="169"/>
      <c r="L10" s="223"/>
      <c r="M10" s="169"/>
      <c r="N10" s="169"/>
      <c r="O10" s="169"/>
    </row>
    <row r="11" spans="1:15" x14ac:dyDescent="0.2">
      <c r="A11" s="225" t="s">
        <v>526</v>
      </c>
      <c r="B11" s="221">
        <v>2057</v>
      </c>
      <c r="C11" s="218">
        <v>2117</v>
      </c>
      <c r="D11" s="219">
        <v>2177</v>
      </c>
      <c r="E11" s="220">
        <v>2327</v>
      </c>
      <c r="F11" s="221">
        <v>2387</v>
      </c>
      <c r="G11" s="222">
        <f t="shared" si="0"/>
        <v>286.44</v>
      </c>
      <c r="H11" s="221">
        <v>2507</v>
      </c>
      <c r="J11" s="234">
        <f t="shared" si="1"/>
        <v>2420.8699999999994</v>
      </c>
      <c r="K11" s="169"/>
      <c r="L11" s="223"/>
      <c r="M11" s="169"/>
      <c r="N11" s="169"/>
      <c r="O11" s="169"/>
    </row>
    <row r="12" spans="1:15" x14ac:dyDescent="0.2">
      <c r="A12" s="210" t="s">
        <v>26</v>
      </c>
      <c r="B12" s="221">
        <v>2121</v>
      </c>
      <c r="C12" s="218">
        <v>2181</v>
      </c>
      <c r="D12" s="219">
        <v>2241</v>
      </c>
      <c r="E12" s="220">
        <v>2391</v>
      </c>
      <c r="F12" s="221">
        <v>2451</v>
      </c>
      <c r="G12" s="222">
        <f t="shared" si="0"/>
        <v>294.12</v>
      </c>
      <c r="H12" s="221">
        <v>2571</v>
      </c>
      <c r="J12" s="234">
        <f t="shared" si="1"/>
        <v>2485.5100000000002</v>
      </c>
      <c r="K12" s="169"/>
      <c r="L12" s="223"/>
      <c r="M12" s="169"/>
      <c r="N12" s="169"/>
      <c r="O12" s="169"/>
    </row>
    <row r="13" spans="1:15" x14ac:dyDescent="0.2">
      <c r="A13" s="225"/>
      <c r="D13" s="169"/>
      <c r="E13" s="220"/>
      <c r="F13" s="226"/>
      <c r="G13" s="222"/>
      <c r="H13" s="217"/>
      <c r="J13" s="234">
        <f t="shared" si="1"/>
        <v>0</v>
      </c>
      <c r="K13" s="169"/>
      <c r="L13" s="223"/>
      <c r="M13" s="169"/>
      <c r="N13" s="169"/>
      <c r="O13" s="169"/>
    </row>
    <row r="14" spans="1:15" x14ac:dyDescent="0.2">
      <c r="A14" s="225" t="s">
        <v>536</v>
      </c>
      <c r="B14" s="221">
        <v>1764</v>
      </c>
      <c r="C14" s="218">
        <v>1824</v>
      </c>
      <c r="D14" s="219">
        <v>1884</v>
      </c>
      <c r="E14" s="220">
        <v>2034</v>
      </c>
      <c r="F14" s="221">
        <v>2094</v>
      </c>
      <c r="G14" s="222">
        <f t="shared" si="0"/>
        <v>251.28</v>
      </c>
      <c r="H14" s="221">
        <v>2214</v>
      </c>
      <c r="J14" s="234">
        <f t="shared" si="1"/>
        <v>2124.94</v>
      </c>
      <c r="K14" s="169"/>
      <c r="L14" s="223"/>
      <c r="M14" s="58"/>
      <c r="N14" s="169"/>
      <c r="O14" s="169"/>
    </row>
    <row r="15" spans="1:15" x14ac:dyDescent="0.2">
      <c r="A15" s="225" t="s">
        <v>539</v>
      </c>
      <c r="B15" s="221">
        <v>1798</v>
      </c>
      <c r="C15" s="218">
        <v>1858</v>
      </c>
      <c r="D15" s="219">
        <v>1918</v>
      </c>
      <c r="E15" s="220">
        <v>2068</v>
      </c>
      <c r="F15" s="221">
        <v>2128</v>
      </c>
      <c r="G15" s="222">
        <f t="shared" si="0"/>
        <v>255.36</v>
      </c>
      <c r="H15" s="221">
        <v>2248</v>
      </c>
      <c r="J15" s="234">
        <f t="shared" si="1"/>
        <v>2159.2800000000002</v>
      </c>
      <c r="K15" s="169"/>
      <c r="L15" s="223"/>
      <c r="M15" s="169"/>
      <c r="N15" s="169"/>
      <c r="O15" s="169"/>
    </row>
    <row r="16" spans="1:15" x14ac:dyDescent="0.2">
      <c r="A16" s="225" t="s">
        <v>542</v>
      </c>
      <c r="B16" s="221">
        <v>1846</v>
      </c>
      <c r="C16" s="218">
        <v>1906</v>
      </c>
      <c r="D16" s="219">
        <v>1966</v>
      </c>
      <c r="E16" s="220">
        <v>2116</v>
      </c>
      <c r="F16" s="221">
        <v>2176</v>
      </c>
      <c r="G16" s="222">
        <f t="shared" si="0"/>
        <v>261.12</v>
      </c>
      <c r="H16" s="221">
        <v>2296</v>
      </c>
      <c r="J16" s="234">
        <f t="shared" si="1"/>
        <v>2207.7600000000002</v>
      </c>
      <c r="K16" s="169"/>
      <c r="L16" s="223"/>
      <c r="M16" s="169"/>
      <c r="N16" s="169"/>
      <c r="O16" s="169"/>
    </row>
    <row r="17" spans="1:15" x14ac:dyDescent="0.2">
      <c r="A17" s="225" t="s">
        <v>545</v>
      </c>
      <c r="B17" s="221">
        <v>1893</v>
      </c>
      <c r="C17" s="218">
        <v>1953</v>
      </c>
      <c r="D17" s="219">
        <v>2013</v>
      </c>
      <c r="E17" s="220">
        <v>2163</v>
      </c>
      <c r="F17" s="221">
        <v>2223</v>
      </c>
      <c r="G17" s="222">
        <f t="shared" si="0"/>
        <v>266.76</v>
      </c>
      <c r="H17" s="221">
        <v>2343</v>
      </c>
      <c r="J17" s="234">
        <f t="shared" si="1"/>
        <v>2255.23</v>
      </c>
      <c r="K17" s="169"/>
      <c r="L17" s="223"/>
      <c r="M17" s="169"/>
      <c r="N17" s="169"/>
      <c r="O17" s="169"/>
    </row>
    <row r="18" spans="1:15" x14ac:dyDescent="0.2">
      <c r="A18" s="225" t="s">
        <v>548</v>
      </c>
      <c r="B18" s="221">
        <v>1942</v>
      </c>
      <c r="C18" s="218">
        <v>2002</v>
      </c>
      <c r="D18" s="219">
        <v>2062</v>
      </c>
      <c r="E18" s="220">
        <v>2212</v>
      </c>
      <c r="F18" s="221">
        <v>2272</v>
      </c>
      <c r="G18" s="222">
        <f t="shared" si="0"/>
        <v>272.64</v>
      </c>
      <c r="H18" s="221">
        <v>2392</v>
      </c>
      <c r="J18" s="234">
        <f t="shared" si="1"/>
        <v>2304.7199999999998</v>
      </c>
      <c r="K18" s="169"/>
      <c r="L18" s="223"/>
      <c r="M18" s="169"/>
      <c r="N18" s="169"/>
      <c r="O18" s="169"/>
    </row>
    <row r="19" spans="1:15" x14ac:dyDescent="0.2">
      <c r="A19" s="225" t="s">
        <v>551</v>
      </c>
      <c r="B19" s="221">
        <v>1996</v>
      </c>
      <c r="C19" s="218">
        <v>2056</v>
      </c>
      <c r="D19" s="219">
        <v>2116</v>
      </c>
      <c r="E19" s="221">
        <v>2266</v>
      </c>
      <c r="F19" s="221">
        <v>2326</v>
      </c>
      <c r="G19" s="222">
        <f t="shared" si="0"/>
        <v>279.12</v>
      </c>
      <c r="H19" s="221">
        <v>2446</v>
      </c>
      <c r="J19" s="234">
        <f t="shared" si="1"/>
        <v>2359.2600000000002</v>
      </c>
      <c r="K19" s="169"/>
      <c r="L19" s="223"/>
      <c r="M19" s="169"/>
      <c r="N19" s="169"/>
      <c r="O19" s="169"/>
    </row>
    <row r="20" spans="1:15" x14ac:dyDescent="0.2">
      <c r="A20" s="225" t="s">
        <v>554</v>
      </c>
      <c r="B20" s="221">
        <v>2057</v>
      </c>
      <c r="C20" s="218">
        <v>2117</v>
      </c>
      <c r="D20" s="219">
        <v>2177</v>
      </c>
      <c r="E20" s="221">
        <v>2327</v>
      </c>
      <c r="F20" s="221">
        <v>2387</v>
      </c>
      <c r="G20" s="222">
        <f t="shared" si="0"/>
        <v>286.44</v>
      </c>
      <c r="H20" s="221">
        <v>2507</v>
      </c>
      <c r="J20" s="234">
        <f t="shared" si="1"/>
        <v>2420.8699999999994</v>
      </c>
      <c r="K20" s="169"/>
      <c r="L20" s="223"/>
      <c r="M20" s="169"/>
      <c r="N20" s="169"/>
      <c r="O20" s="169"/>
    </row>
    <row r="21" spans="1:15" x14ac:dyDescent="0.2">
      <c r="A21" s="225" t="s">
        <v>557</v>
      </c>
      <c r="B21" s="221">
        <v>2121</v>
      </c>
      <c r="C21" s="218">
        <v>2181</v>
      </c>
      <c r="D21" s="219">
        <v>2241</v>
      </c>
      <c r="E21" s="221">
        <v>2391</v>
      </c>
      <c r="F21" s="221">
        <v>2451</v>
      </c>
      <c r="G21" s="222">
        <f t="shared" si="0"/>
        <v>294.12</v>
      </c>
      <c r="H21" s="221">
        <v>2571</v>
      </c>
      <c r="J21" s="234">
        <f t="shared" si="1"/>
        <v>2485.5100000000002</v>
      </c>
      <c r="K21" s="169"/>
      <c r="L21" s="223"/>
      <c r="M21" s="169"/>
      <c r="N21" s="169"/>
      <c r="O21" s="169"/>
    </row>
    <row r="22" spans="1:15" x14ac:dyDescent="0.2">
      <c r="A22" s="225" t="s">
        <v>560</v>
      </c>
      <c r="B22" s="221">
        <v>2192</v>
      </c>
      <c r="C22" s="218">
        <v>2252</v>
      </c>
      <c r="D22" s="219">
        <v>2312</v>
      </c>
      <c r="E22" s="221">
        <v>2462</v>
      </c>
      <c r="F22" s="221">
        <v>2522</v>
      </c>
      <c r="G22" s="222">
        <f t="shared" si="0"/>
        <v>302.64</v>
      </c>
      <c r="H22" s="221">
        <v>2642</v>
      </c>
      <c r="J22" s="234">
        <f t="shared" si="1"/>
        <v>2557.2199999999993</v>
      </c>
      <c r="K22" s="169"/>
      <c r="L22" s="223"/>
      <c r="M22" s="169"/>
      <c r="N22" s="169"/>
      <c r="O22" s="169"/>
    </row>
    <row r="23" spans="1:15" x14ac:dyDescent="0.2">
      <c r="A23" s="225" t="s">
        <v>563</v>
      </c>
      <c r="B23" s="221">
        <v>2265</v>
      </c>
      <c r="C23" s="218">
        <v>2325</v>
      </c>
      <c r="D23" s="219">
        <v>2385</v>
      </c>
      <c r="E23" s="221">
        <v>2535</v>
      </c>
      <c r="F23" s="221">
        <v>2595</v>
      </c>
      <c r="G23" s="222">
        <f t="shared" si="0"/>
        <v>311.40000000000003</v>
      </c>
      <c r="H23" s="221">
        <v>2715</v>
      </c>
      <c r="J23" s="234">
        <f t="shared" si="1"/>
        <v>2630.95</v>
      </c>
      <c r="K23" s="169"/>
      <c r="L23" s="223"/>
      <c r="M23" s="169"/>
      <c r="N23" s="169"/>
      <c r="O23" s="169"/>
    </row>
    <row r="24" spans="1:15" x14ac:dyDescent="0.2">
      <c r="A24" s="225"/>
      <c r="D24" s="169"/>
      <c r="E24" s="220"/>
      <c r="F24" s="226"/>
      <c r="G24" s="222"/>
      <c r="H24" s="217"/>
      <c r="J24" s="234">
        <f t="shared" si="1"/>
        <v>0</v>
      </c>
      <c r="K24" s="169"/>
      <c r="L24" s="223"/>
      <c r="M24" s="169"/>
      <c r="N24" s="169"/>
      <c r="O24" s="169"/>
    </row>
    <row r="25" spans="1:15" x14ac:dyDescent="0.2">
      <c r="A25" s="225" t="s">
        <v>569</v>
      </c>
      <c r="B25" s="221">
        <v>1798</v>
      </c>
      <c r="C25" s="218">
        <v>1858</v>
      </c>
      <c r="D25" s="219">
        <v>1918</v>
      </c>
      <c r="E25" s="221">
        <v>2068</v>
      </c>
      <c r="F25" s="221">
        <v>2128</v>
      </c>
      <c r="G25" s="222">
        <f t="shared" si="0"/>
        <v>255.36</v>
      </c>
      <c r="H25" s="221">
        <v>2248</v>
      </c>
      <c r="J25" s="234">
        <f t="shared" si="1"/>
        <v>2159.2800000000002</v>
      </c>
      <c r="K25" s="169"/>
      <c r="L25" s="223"/>
      <c r="M25" s="58"/>
      <c r="N25" s="169"/>
      <c r="O25" s="169"/>
    </row>
    <row r="26" spans="1:15" x14ac:dyDescent="0.2">
      <c r="A26" s="225" t="s">
        <v>572</v>
      </c>
      <c r="B26" s="221">
        <v>1846</v>
      </c>
      <c r="C26" s="218">
        <v>1906</v>
      </c>
      <c r="D26" s="219">
        <v>1966</v>
      </c>
      <c r="E26" s="221">
        <v>2116</v>
      </c>
      <c r="F26" s="221">
        <v>2176</v>
      </c>
      <c r="G26" s="222">
        <f t="shared" si="0"/>
        <v>261.12</v>
      </c>
      <c r="H26" s="221">
        <v>2296</v>
      </c>
      <c r="J26" s="234">
        <f t="shared" si="1"/>
        <v>2207.7600000000002</v>
      </c>
      <c r="K26" s="169"/>
      <c r="L26" s="223"/>
      <c r="M26" s="169"/>
      <c r="N26" s="169"/>
      <c r="O26" s="169"/>
    </row>
    <row r="27" spans="1:15" x14ac:dyDescent="0.2">
      <c r="A27" s="225" t="s">
        <v>575</v>
      </c>
      <c r="B27" s="221">
        <v>1893</v>
      </c>
      <c r="C27" s="218">
        <v>1953</v>
      </c>
      <c r="D27" s="219">
        <v>2013</v>
      </c>
      <c r="E27" s="221">
        <v>2163</v>
      </c>
      <c r="F27" s="221">
        <v>2223</v>
      </c>
      <c r="G27" s="222">
        <f t="shared" si="0"/>
        <v>266.76</v>
      </c>
      <c r="H27" s="221">
        <v>2343</v>
      </c>
      <c r="J27" s="234">
        <f t="shared" si="1"/>
        <v>2255.23</v>
      </c>
      <c r="K27" s="169"/>
      <c r="L27" s="223"/>
      <c r="M27" s="169"/>
      <c r="N27" s="169"/>
      <c r="O27" s="169"/>
    </row>
    <row r="28" spans="1:15" x14ac:dyDescent="0.2">
      <c r="A28" s="225" t="s">
        <v>578</v>
      </c>
      <c r="B28" s="221">
        <v>1942</v>
      </c>
      <c r="C28" s="218">
        <v>2002</v>
      </c>
      <c r="D28" s="219">
        <v>2062</v>
      </c>
      <c r="E28" s="221">
        <v>2212</v>
      </c>
      <c r="F28" s="221">
        <v>2272</v>
      </c>
      <c r="G28" s="222">
        <f t="shared" si="0"/>
        <v>272.64</v>
      </c>
      <c r="H28" s="221">
        <v>2392</v>
      </c>
      <c r="J28" s="234">
        <f t="shared" si="1"/>
        <v>2304.7199999999998</v>
      </c>
      <c r="K28" s="169"/>
      <c r="L28" s="223"/>
      <c r="M28" s="169"/>
      <c r="N28" s="169"/>
      <c r="O28" s="169"/>
    </row>
    <row r="29" spans="1:15" x14ac:dyDescent="0.2">
      <c r="A29" s="225" t="s">
        <v>581</v>
      </c>
      <c r="B29" s="221">
        <v>1996</v>
      </c>
      <c r="C29" s="218">
        <v>2056</v>
      </c>
      <c r="D29" s="219">
        <v>2116</v>
      </c>
      <c r="E29" s="221">
        <v>2266</v>
      </c>
      <c r="F29" s="221">
        <v>2326</v>
      </c>
      <c r="G29" s="222">
        <f t="shared" si="0"/>
        <v>279.12</v>
      </c>
      <c r="H29" s="221">
        <v>2446</v>
      </c>
      <c r="J29" s="234">
        <f t="shared" si="1"/>
        <v>2359.2600000000002</v>
      </c>
      <c r="K29" s="169"/>
      <c r="L29" s="223"/>
      <c r="M29" s="169"/>
      <c r="N29" s="169"/>
      <c r="O29" s="169"/>
    </row>
    <row r="30" spans="1:15" x14ac:dyDescent="0.2">
      <c r="A30" s="225" t="s">
        <v>584</v>
      </c>
      <c r="B30" s="221">
        <v>2057</v>
      </c>
      <c r="C30" s="218">
        <v>2117</v>
      </c>
      <c r="D30" s="219">
        <v>2177</v>
      </c>
      <c r="E30" s="221">
        <v>2327</v>
      </c>
      <c r="F30" s="221">
        <v>2387</v>
      </c>
      <c r="G30" s="222">
        <f t="shared" si="0"/>
        <v>286.44</v>
      </c>
      <c r="H30" s="221">
        <v>2507</v>
      </c>
      <c r="J30" s="234">
        <f t="shared" si="1"/>
        <v>2420.8699999999994</v>
      </c>
      <c r="K30" s="169"/>
      <c r="L30" s="223"/>
      <c r="M30" s="169"/>
      <c r="N30" s="169"/>
      <c r="O30" s="169"/>
    </row>
    <row r="31" spans="1:15" x14ac:dyDescent="0.2">
      <c r="A31" s="225" t="s">
        <v>587</v>
      </c>
      <c r="B31" s="221">
        <v>2121</v>
      </c>
      <c r="C31" s="218">
        <v>2181</v>
      </c>
      <c r="D31" s="219">
        <v>2241</v>
      </c>
      <c r="E31" s="221">
        <v>2391</v>
      </c>
      <c r="F31" s="221">
        <v>2451</v>
      </c>
      <c r="G31" s="222">
        <f t="shared" si="0"/>
        <v>294.12</v>
      </c>
      <c r="H31" s="221">
        <v>2571</v>
      </c>
      <c r="J31" s="234">
        <f t="shared" si="1"/>
        <v>2485.5100000000002</v>
      </c>
      <c r="K31" s="169"/>
      <c r="L31" s="223"/>
      <c r="M31" s="169"/>
      <c r="N31" s="169"/>
      <c r="O31" s="169"/>
    </row>
    <row r="32" spans="1:15" x14ac:dyDescent="0.2">
      <c r="A32" s="225" t="s">
        <v>590</v>
      </c>
      <c r="B32" s="221">
        <v>2192</v>
      </c>
      <c r="C32" s="218">
        <v>2252</v>
      </c>
      <c r="D32" s="219">
        <v>2312</v>
      </c>
      <c r="E32" s="221">
        <v>2462</v>
      </c>
      <c r="F32" s="221">
        <v>2522</v>
      </c>
      <c r="G32" s="222">
        <f t="shared" si="0"/>
        <v>302.64</v>
      </c>
      <c r="H32" s="221">
        <v>2642</v>
      </c>
      <c r="J32" s="234">
        <f t="shared" si="1"/>
        <v>2557.2199999999993</v>
      </c>
      <c r="K32" s="169"/>
      <c r="L32" s="223"/>
      <c r="M32" s="169"/>
      <c r="N32" s="169"/>
      <c r="O32" s="169"/>
    </row>
    <row r="33" spans="1:15" x14ac:dyDescent="0.2">
      <c r="A33" s="225" t="s">
        <v>593</v>
      </c>
      <c r="B33" s="221">
        <v>2265</v>
      </c>
      <c r="C33" s="218">
        <v>2325</v>
      </c>
      <c r="D33" s="219">
        <v>2385</v>
      </c>
      <c r="E33" s="221">
        <v>2535</v>
      </c>
      <c r="F33" s="221">
        <v>2595</v>
      </c>
      <c r="G33" s="222">
        <f t="shared" si="0"/>
        <v>311.40000000000003</v>
      </c>
      <c r="H33" s="221">
        <v>2715</v>
      </c>
      <c r="J33" s="234">
        <f t="shared" si="1"/>
        <v>2630.95</v>
      </c>
      <c r="K33" s="169"/>
      <c r="L33" s="223"/>
      <c r="M33" s="169"/>
      <c r="N33" s="169"/>
      <c r="O33" s="169"/>
    </row>
    <row r="34" spans="1:15" x14ac:dyDescent="0.2">
      <c r="A34" s="225" t="s">
        <v>596</v>
      </c>
      <c r="B34" s="221">
        <v>2331</v>
      </c>
      <c r="C34" s="218">
        <v>2391</v>
      </c>
      <c r="D34" s="219">
        <v>2451</v>
      </c>
      <c r="E34" s="221">
        <v>2601</v>
      </c>
      <c r="F34" s="221">
        <v>2661</v>
      </c>
      <c r="G34" s="222">
        <f t="shared" si="0"/>
        <v>319.32</v>
      </c>
      <c r="H34" s="221">
        <v>2781</v>
      </c>
      <c r="J34" s="234">
        <f t="shared" si="1"/>
        <v>2697.61</v>
      </c>
      <c r="K34" s="169"/>
      <c r="L34" s="223"/>
      <c r="M34" s="169"/>
      <c r="N34" s="169"/>
      <c r="O34" s="169"/>
    </row>
    <row r="35" spans="1:15" x14ac:dyDescent="0.2">
      <c r="A35" s="225" t="s">
        <v>599</v>
      </c>
      <c r="B35" s="221">
        <v>2407</v>
      </c>
      <c r="C35" s="218">
        <v>2467</v>
      </c>
      <c r="D35" s="219">
        <v>2527</v>
      </c>
      <c r="E35" s="221">
        <v>2677</v>
      </c>
      <c r="F35" s="221">
        <v>2737</v>
      </c>
      <c r="G35" s="222">
        <f t="shared" si="0"/>
        <v>328.44</v>
      </c>
      <c r="H35" s="221">
        <v>2857</v>
      </c>
      <c r="J35" s="234">
        <f t="shared" si="1"/>
        <v>2774.37</v>
      </c>
      <c r="K35" s="169"/>
      <c r="L35" s="223"/>
      <c r="M35" s="169"/>
      <c r="N35" s="169"/>
      <c r="O35" s="169"/>
    </row>
    <row r="36" spans="1:15" x14ac:dyDescent="0.2">
      <c r="A36" s="225"/>
      <c r="D36" s="169"/>
      <c r="E36" s="220"/>
      <c r="F36" s="226"/>
      <c r="G36" s="222"/>
      <c r="H36" s="217"/>
      <c r="J36" s="234">
        <f t="shared" si="1"/>
        <v>0</v>
      </c>
      <c r="K36" s="169"/>
      <c r="L36" s="223"/>
      <c r="M36" s="169"/>
      <c r="N36" s="169"/>
      <c r="O36" s="169"/>
    </row>
    <row r="37" spans="1:15" x14ac:dyDescent="0.2">
      <c r="A37" s="225" t="s">
        <v>604</v>
      </c>
      <c r="B37" s="221">
        <v>1846</v>
      </c>
      <c r="C37" s="218">
        <v>1906</v>
      </c>
      <c r="D37" s="219">
        <v>1966</v>
      </c>
      <c r="E37" s="221">
        <v>2116</v>
      </c>
      <c r="F37" s="221">
        <v>2176</v>
      </c>
      <c r="G37" s="222">
        <f t="shared" si="0"/>
        <v>261.12</v>
      </c>
      <c r="H37" s="221">
        <v>2296</v>
      </c>
      <c r="J37" s="234">
        <f t="shared" si="1"/>
        <v>2207.7600000000002</v>
      </c>
      <c r="K37" s="169"/>
      <c r="L37" s="223"/>
      <c r="M37" s="58"/>
      <c r="N37" s="169"/>
      <c r="O37" s="169"/>
    </row>
    <row r="38" spans="1:15" x14ac:dyDescent="0.2">
      <c r="A38" s="225" t="s">
        <v>607</v>
      </c>
      <c r="B38" s="221">
        <v>1942</v>
      </c>
      <c r="C38" s="218">
        <v>2002</v>
      </c>
      <c r="D38" s="219">
        <v>2062</v>
      </c>
      <c r="E38" s="221">
        <v>2212</v>
      </c>
      <c r="F38" s="221">
        <v>2272</v>
      </c>
      <c r="G38" s="222">
        <f t="shared" si="0"/>
        <v>272.64</v>
      </c>
      <c r="H38" s="221">
        <v>2392</v>
      </c>
      <c r="J38" s="234">
        <f t="shared" si="1"/>
        <v>2304.7199999999998</v>
      </c>
      <c r="K38" s="169"/>
      <c r="L38" s="223"/>
      <c r="M38" s="169"/>
      <c r="N38" s="169"/>
      <c r="O38" s="169"/>
    </row>
    <row r="39" spans="1:15" x14ac:dyDescent="0.2">
      <c r="A39" s="225" t="s">
        <v>610</v>
      </c>
      <c r="B39" s="221">
        <v>1996</v>
      </c>
      <c r="C39" s="218">
        <v>2056</v>
      </c>
      <c r="D39" s="219">
        <v>2116</v>
      </c>
      <c r="E39" s="221">
        <v>2266</v>
      </c>
      <c r="F39" s="221">
        <v>2326</v>
      </c>
      <c r="G39" s="222">
        <f t="shared" si="0"/>
        <v>279.12</v>
      </c>
      <c r="H39" s="221">
        <v>2446</v>
      </c>
      <c r="J39" s="234">
        <f t="shared" si="1"/>
        <v>2359.2600000000002</v>
      </c>
      <c r="K39" s="169"/>
      <c r="L39" s="223"/>
      <c r="M39" s="169"/>
      <c r="N39" s="169"/>
      <c r="O39" s="169"/>
    </row>
    <row r="40" spans="1:15" x14ac:dyDescent="0.2">
      <c r="A40" s="225" t="s">
        <v>613</v>
      </c>
      <c r="B40" s="221">
        <v>2057</v>
      </c>
      <c r="C40" s="218">
        <v>2117</v>
      </c>
      <c r="D40" s="219">
        <v>2177</v>
      </c>
      <c r="E40" s="221">
        <v>2327</v>
      </c>
      <c r="F40" s="221">
        <v>2387</v>
      </c>
      <c r="G40" s="222">
        <f t="shared" si="0"/>
        <v>286.44</v>
      </c>
      <c r="H40" s="221">
        <v>2507</v>
      </c>
      <c r="J40" s="234">
        <f t="shared" si="1"/>
        <v>2420.8699999999994</v>
      </c>
      <c r="K40" s="169"/>
      <c r="L40" s="223"/>
      <c r="M40" s="169"/>
      <c r="N40" s="169"/>
      <c r="O40" s="169"/>
    </row>
    <row r="41" spans="1:15" x14ac:dyDescent="0.2">
      <c r="A41" s="225" t="s">
        <v>616</v>
      </c>
      <c r="B41" s="221">
        <v>2121</v>
      </c>
      <c r="C41" s="218">
        <v>2181</v>
      </c>
      <c r="D41" s="219">
        <v>2241</v>
      </c>
      <c r="E41" s="221">
        <v>2391</v>
      </c>
      <c r="F41" s="221">
        <v>2451</v>
      </c>
      <c r="G41" s="222">
        <f t="shared" si="0"/>
        <v>294.12</v>
      </c>
      <c r="H41" s="221">
        <v>2571</v>
      </c>
      <c r="J41" s="234">
        <f t="shared" si="1"/>
        <v>2485.5100000000002</v>
      </c>
      <c r="K41" s="169"/>
      <c r="L41" s="223"/>
      <c r="M41" s="169"/>
      <c r="N41" s="169"/>
      <c r="O41" s="169"/>
    </row>
    <row r="42" spans="1:15" x14ac:dyDescent="0.2">
      <c r="A42" s="225" t="s">
        <v>619</v>
      </c>
      <c r="B42" s="221">
        <v>2192</v>
      </c>
      <c r="C42" s="218">
        <v>2252</v>
      </c>
      <c r="D42" s="219">
        <v>2312</v>
      </c>
      <c r="E42" s="221">
        <v>2462</v>
      </c>
      <c r="F42" s="221">
        <v>2522</v>
      </c>
      <c r="G42" s="222">
        <f t="shared" si="0"/>
        <v>302.64</v>
      </c>
      <c r="H42" s="221">
        <v>2642</v>
      </c>
      <c r="J42" s="234">
        <f t="shared" si="1"/>
        <v>2557.2199999999993</v>
      </c>
      <c r="K42" s="169"/>
      <c r="L42" s="223"/>
      <c r="M42" s="169"/>
      <c r="N42" s="169"/>
      <c r="O42" s="169"/>
    </row>
    <row r="43" spans="1:15" x14ac:dyDescent="0.2">
      <c r="A43" s="225" t="s">
        <v>622</v>
      </c>
      <c r="B43" s="221">
        <v>2265</v>
      </c>
      <c r="C43" s="218">
        <v>2325</v>
      </c>
      <c r="D43" s="219">
        <v>2385</v>
      </c>
      <c r="E43" s="221">
        <v>2535</v>
      </c>
      <c r="F43" s="221">
        <v>2595</v>
      </c>
      <c r="G43" s="222">
        <f t="shared" si="0"/>
        <v>311.40000000000003</v>
      </c>
      <c r="H43" s="221">
        <v>2715</v>
      </c>
      <c r="J43" s="234">
        <f t="shared" si="1"/>
        <v>2630.95</v>
      </c>
      <c r="K43" s="169"/>
      <c r="L43" s="223"/>
      <c r="M43" s="169"/>
      <c r="N43" s="169"/>
      <c r="O43" s="169"/>
    </row>
    <row r="44" spans="1:15" x14ac:dyDescent="0.2">
      <c r="A44" s="225" t="s">
        <v>625</v>
      </c>
      <c r="B44" s="221">
        <v>2331</v>
      </c>
      <c r="C44" s="218">
        <v>2391</v>
      </c>
      <c r="D44" s="219">
        <v>2451</v>
      </c>
      <c r="E44" s="221">
        <v>2601</v>
      </c>
      <c r="F44" s="221">
        <v>2661</v>
      </c>
      <c r="G44" s="222">
        <f t="shared" si="0"/>
        <v>319.32</v>
      </c>
      <c r="H44" s="221">
        <v>2781</v>
      </c>
      <c r="J44" s="234">
        <f t="shared" si="1"/>
        <v>2697.61</v>
      </c>
      <c r="K44" s="169"/>
      <c r="L44" s="223"/>
      <c r="M44" s="169"/>
      <c r="N44" s="169"/>
      <c r="O44" s="169"/>
    </row>
    <row r="45" spans="1:15" x14ac:dyDescent="0.2">
      <c r="A45" s="225" t="s">
        <v>628</v>
      </c>
      <c r="B45" s="221">
        <v>2407</v>
      </c>
      <c r="C45" s="218">
        <v>2467</v>
      </c>
      <c r="D45" s="219">
        <v>2527</v>
      </c>
      <c r="E45" s="221">
        <v>2677</v>
      </c>
      <c r="F45" s="221">
        <v>2737</v>
      </c>
      <c r="G45" s="222">
        <f t="shared" si="0"/>
        <v>328.44</v>
      </c>
      <c r="H45" s="221">
        <v>2857</v>
      </c>
      <c r="J45" s="234">
        <f t="shared" si="1"/>
        <v>2774.37</v>
      </c>
      <c r="K45" s="169"/>
      <c r="L45" s="223"/>
      <c r="M45" s="169"/>
      <c r="N45" s="169"/>
      <c r="O45" s="169"/>
    </row>
    <row r="46" spans="1:15" x14ac:dyDescent="0.2">
      <c r="A46" s="225" t="s">
        <v>631</v>
      </c>
      <c r="B46" s="221">
        <v>2467</v>
      </c>
      <c r="C46" s="218">
        <v>2527</v>
      </c>
      <c r="D46" s="219">
        <v>2587</v>
      </c>
      <c r="E46" s="221">
        <v>2737</v>
      </c>
      <c r="F46" s="221">
        <v>2797</v>
      </c>
      <c r="G46" s="222">
        <f t="shared" si="0"/>
        <v>335.64</v>
      </c>
      <c r="H46" s="221">
        <v>2917</v>
      </c>
      <c r="J46" s="234">
        <f t="shared" si="1"/>
        <v>2834.97</v>
      </c>
      <c r="K46" s="169"/>
      <c r="L46" s="223"/>
      <c r="M46" s="169"/>
      <c r="N46" s="169"/>
      <c r="O46" s="169"/>
    </row>
    <row r="47" spans="1:15" x14ac:dyDescent="0.2">
      <c r="A47" s="225" t="s">
        <v>634</v>
      </c>
      <c r="B47" s="221">
        <v>2540</v>
      </c>
      <c r="C47" s="218">
        <v>2600</v>
      </c>
      <c r="D47" s="219">
        <v>2660</v>
      </c>
      <c r="E47" s="221">
        <v>2810</v>
      </c>
      <c r="F47" s="221">
        <v>2870</v>
      </c>
      <c r="G47" s="222">
        <f t="shared" si="0"/>
        <v>344.40000000000003</v>
      </c>
      <c r="H47" s="221">
        <v>2990</v>
      </c>
      <c r="J47" s="234">
        <f t="shared" si="1"/>
        <v>2908.6999999999994</v>
      </c>
      <c r="K47" s="169"/>
      <c r="L47" s="223"/>
      <c r="M47" s="169"/>
      <c r="N47" s="169"/>
      <c r="O47" s="169"/>
    </row>
    <row r="48" spans="1:15" x14ac:dyDescent="0.2">
      <c r="D48" s="169"/>
      <c r="E48" s="220"/>
      <c r="F48" s="226"/>
      <c r="G48" s="222"/>
      <c r="H48" s="217"/>
      <c r="J48" s="234">
        <f t="shared" si="1"/>
        <v>0</v>
      </c>
      <c r="K48" s="169"/>
      <c r="L48" s="223"/>
      <c r="M48" s="169"/>
      <c r="N48" s="169"/>
      <c r="O48" s="169"/>
    </row>
    <row r="49" spans="1:15" x14ac:dyDescent="0.2">
      <c r="A49" s="225" t="s">
        <v>638</v>
      </c>
      <c r="B49" s="221">
        <v>1893</v>
      </c>
      <c r="C49" s="218">
        <v>1953</v>
      </c>
      <c r="D49" s="219">
        <v>2013</v>
      </c>
      <c r="E49" s="221">
        <v>2163</v>
      </c>
      <c r="F49" s="221">
        <v>2223</v>
      </c>
      <c r="G49" s="222">
        <f t="shared" si="0"/>
        <v>266.76</v>
      </c>
      <c r="H49" s="221">
        <v>2343</v>
      </c>
      <c r="J49" s="234">
        <f t="shared" si="1"/>
        <v>2255.23</v>
      </c>
      <c r="K49" s="169"/>
      <c r="L49" s="223"/>
      <c r="M49" s="58"/>
      <c r="N49" s="169"/>
      <c r="O49" s="169"/>
    </row>
    <row r="50" spans="1:15" x14ac:dyDescent="0.2">
      <c r="A50" s="225" t="s">
        <v>641</v>
      </c>
      <c r="B50" s="221">
        <v>1996</v>
      </c>
      <c r="C50" s="218">
        <v>2056</v>
      </c>
      <c r="D50" s="219">
        <v>2116</v>
      </c>
      <c r="E50" s="221">
        <v>2266</v>
      </c>
      <c r="F50" s="221">
        <v>2326</v>
      </c>
      <c r="G50" s="222">
        <f t="shared" si="0"/>
        <v>279.12</v>
      </c>
      <c r="H50" s="221">
        <v>2446</v>
      </c>
      <c r="J50" s="234">
        <f t="shared" si="1"/>
        <v>2359.2600000000002</v>
      </c>
      <c r="K50" s="169"/>
      <c r="L50" s="223"/>
      <c r="M50" s="169"/>
      <c r="N50" s="169"/>
      <c r="O50" s="169"/>
    </row>
    <row r="51" spans="1:15" x14ac:dyDescent="0.2">
      <c r="A51" s="225" t="s">
        <v>644</v>
      </c>
      <c r="B51" s="221">
        <v>2121</v>
      </c>
      <c r="C51" s="218">
        <v>2181</v>
      </c>
      <c r="D51" s="219">
        <v>2241</v>
      </c>
      <c r="E51" s="221">
        <v>2391</v>
      </c>
      <c r="F51" s="221">
        <v>2451</v>
      </c>
      <c r="G51" s="222">
        <f t="shared" si="0"/>
        <v>294.12</v>
      </c>
      <c r="H51" s="221">
        <v>2571</v>
      </c>
      <c r="J51" s="234">
        <f t="shared" si="1"/>
        <v>2485.5100000000002</v>
      </c>
      <c r="K51" s="169"/>
      <c r="L51" s="223"/>
      <c r="M51" s="169"/>
      <c r="N51" s="169"/>
      <c r="O51" s="169"/>
    </row>
    <row r="52" spans="1:15" x14ac:dyDescent="0.2">
      <c r="A52" s="225" t="s">
        <v>647</v>
      </c>
      <c r="B52" s="221">
        <v>2192</v>
      </c>
      <c r="C52" s="218">
        <v>2252</v>
      </c>
      <c r="D52" s="219">
        <v>2312</v>
      </c>
      <c r="E52" s="221">
        <v>2462</v>
      </c>
      <c r="F52" s="221">
        <v>2522</v>
      </c>
      <c r="G52" s="222">
        <f t="shared" si="0"/>
        <v>302.64</v>
      </c>
      <c r="H52" s="221">
        <v>2642</v>
      </c>
      <c r="J52" s="234">
        <f t="shared" si="1"/>
        <v>2557.2199999999993</v>
      </c>
      <c r="K52" s="169"/>
      <c r="L52" s="223"/>
      <c r="M52" s="169"/>
      <c r="N52" s="169"/>
      <c r="O52" s="169"/>
    </row>
    <row r="53" spans="1:15" x14ac:dyDescent="0.2">
      <c r="A53" s="225" t="s">
        <v>650</v>
      </c>
      <c r="B53" s="221">
        <v>2265</v>
      </c>
      <c r="C53" s="218">
        <v>2325</v>
      </c>
      <c r="D53" s="219">
        <v>2385</v>
      </c>
      <c r="E53" s="221">
        <v>2535</v>
      </c>
      <c r="F53" s="221">
        <v>2595</v>
      </c>
      <c r="G53" s="222">
        <f t="shared" si="0"/>
        <v>311.40000000000003</v>
      </c>
      <c r="H53" s="221">
        <v>2715</v>
      </c>
      <c r="J53" s="234">
        <f t="shared" si="1"/>
        <v>2630.95</v>
      </c>
      <c r="K53" s="169"/>
      <c r="L53" s="223"/>
      <c r="M53" s="169"/>
      <c r="N53" s="169"/>
      <c r="O53" s="169"/>
    </row>
    <row r="54" spans="1:15" x14ac:dyDescent="0.2">
      <c r="A54" s="225" t="s">
        <v>653</v>
      </c>
      <c r="B54" s="221">
        <v>2331</v>
      </c>
      <c r="C54" s="218">
        <v>2391</v>
      </c>
      <c r="D54" s="219">
        <v>2451</v>
      </c>
      <c r="E54" s="221">
        <v>2601</v>
      </c>
      <c r="F54" s="221">
        <v>2661</v>
      </c>
      <c r="G54" s="222">
        <f t="shared" si="0"/>
        <v>319.32</v>
      </c>
      <c r="H54" s="221">
        <v>2781</v>
      </c>
      <c r="J54" s="234">
        <f t="shared" si="1"/>
        <v>2697.61</v>
      </c>
      <c r="K54" s="169"/>
      <c r="L54" s="223"/>
      <c r="M54" s="169"/>
      <c r="N54" s="169"/>
      <c r="O54" s="169"/>
    </row>
    <row r="55" spans="1:15" x14ac:dyDescent="0.2">
      <c r="A55" s="225" t="s">
        <v>656</v>
      </c>
      <c r="B55" s="221">
        <v>2407</v>
      </c>
      <c r="C55" s="218">
        <v>2467</v>
      </c>
      <c r="D55" s="219">
        <v>2527</v>
      </c>
      <c r="E55" s="221">
        <v>2677</v>
      </c>
      <c r="F55" s="221">
        <v>2737</v>
      </c>
      <c r="G55" s="222">
        <f t="shared" si="0"/>
        <v>328.44</v>
      </c>
      <c r="H55" s="221">
        <v>2857</v>
      </c>
      <c r="J55" s="234">
        <f t="shared" si="1"/>
        <v>2774.37</v>
      </c>
      <c r="K55" s="169"/>
      <c r="L55" s="223"/>
      <c r="M55" s="169"/>
      <c r="N55" s="169"/>
      <c r="O55" s="169"/>
    </row>
    <row r="56" spans="1:15" x14ac:dyDescent="0.2">
      <c r="A56" s="225" t="s">
        <v>659</v>
      </c>
      <c r="B56" s="221">
        <v>2467</v>
      </c>
      <c r="C56" s="218">
        <v>2527</v>
      </c>
      <c r="D56" s="219">
        <v>2587</v>
      </c>
      <c r="E56" s="221">
        <v>2737</v>
      </c>
      <c r="F56" s="221">
        <v>2797</v>
      </c>
      <c r="G56" s="222">
        <f t="shared" si="0"/>
        <v>335.64</v>
      </c>
      <c r="H56" s="221">
        <v>2917</v>
      </c>
      <c r="J56" s="234">
        <f t="shared" si="1"/>
        <v>2834.97</v>
      </c>
      <c r="K56" s="169"/>
      <c r="L56" s="223"/>
      <c r="M56" s="169"/>
      <c r="N56" s="169"/>
      <c r="O56" s="169"/>
    </row>
    <row r="57" spans="1:15" x14ac:dyDescent="0.2">
      <c r="A57" s="225" t="s">
        <v>662</v>
      </c>
      <c r="B57" s="221">
        <v>2540</v>
      </c>
      <c r="C57" s="218">
        <v>2600</v>
      </c>
      <c r="D57" s="219">
        <v>2660</v>
      </c>
      <c r="E57" s="221">
        <v>2810</v>
      </c>
      <c r="F57" s="221">
        <v>2870</v>
      </c>
      <c r="G57" s="222">
        <f t="shared" si="0"/>
        <v>344.40000000000003</v>
      </c>
      <c r="H57" s="221">
        <v>2990</v>
      </c>
      <c r="J57" s="234">
        <f t="shared" si="1"/>
        <v>2908.6999999999994</v>
      </c>
      <c r="K57" s="169"/>
      <c r="L57" s="223"/>
      <c r="M57" s="169"/>
      <c r="N57" s="169"/>
      <c r="O57" s="169"/>
    </row>
    <row r="58" spans="1:15" x14ac:dyDescent="0.2">
      <c r="A58" s="225" t="s">
        <v>665</v>
      </c>
      <c r="B58" s="221">
        <v>2607</v>
      </c>
      <c r="C58" s="218">
        <v>2667</v>
      </c>
      <c r="D58" s="219">
        <v>2727</v>
      </c>
      <c r="E58" s="221">
        <v>2877</v>
      </c>
      <c r="F58" s="221">
        <v>2937</v>
      </c>
      <c r="G58" s="222">
        <f t="shared" si="0"/>
        <v>352.44</v>
      </c>
      <c r="H58" s="221">
        <v>3057</v>
      </c>
      <c r="J58" s="234">
        <f t="shared" si="1"/>
        <v>2976.37</v>
      </c>
      <c r="K58" s="169"/>
      <c r="L58" s="223"/>
      <c r="M58" s="169"/>
      <c r="N58" s="169"/>
      <c r="O58" s="169"/>
    </row>
    <row r="59" spans="1:15" x14ac:dyDescent="0.2">
      <c r="A59" s="225" t="s">
        <v>31</v>
      </c>
      <c r="B59" s="221">
        <v>2677</v>
      </c>
      <c r="C59" s="218">
        <v>2737</v>
      </c>
      <c r="D59" s="219">
        <v>2797</v>
      </c>
      <c r="E59" s="221">
        <v>2947</v>
      </c>
      <c r="F59" s="221">
        <v>3007</v>
      </c>
      <c r="G59" s="222">
        <f t="shared" si="0"/>
        <v>360.84000000000003</v>
      </c>
      <c r="H59" s="221">
        <v>3127</v>
      </c>
      <c r="J59" s="234">
        <f t="shared" si="1"/>
        <v>3047.07</v>
      </c>
      <c r="K59" s="169"/>
      <c r="L59" s="223"/>
      <c r="M59" s="169"/>
      <c r="N59" s="169"/>
      <c r="O59" s="169"/>
    </row>
    <row r="60" spans="1:15" x14ac:dyDescent="0.2">
      <c r="A60" s="225"/>
      <c r="D60" s="169"/>
      <c r="E60" s="220"/>
      <c r="F60" s="226"/>
      <c r="G60" s="222"/>
      <c r="H60" s="217"/>
      <c r="J60" s="234">
        <f t="shared" si="1"/>
        <v>0</v>
      </c>
      <c r="K60" s="169"/>
      <c r="L60" s="223"/>
      <c r="M60" s="169"/>
      <c r="N60" s="169"/>
      <c r="O60" s="169"/>
    </row>
    <row r="61" spans="1:15" x14ac:dyDescent="0.2">
      <c r="A61" s="227" t="s">
        <v>668</v>
      </c>
      <c r="B61" s="221">
        <v>1996</v>
      </c>
      <c r="C61" s="218">
        <v>2181</v>
      </c>
      <c r="D61" s="219">
        <v>2241</v>
      </c>
      <c r="E61" s="221">
        <v>2391</v>
      </c>
      <c r="F61" s="221">
        <v>2451</v>
      </c>
      <c r="G61" s="222">
        <f t="shared" si="0"/>
        <v>294.12</v>
      </c>
      <c r="H61" s="221">
        <v>2571</v>
      </c>
      <c r="J61" s="234">
        <f t="shared" si="1"/>
        <v>2485.5100000000002</v>
      </c>
      <c r="K61" s="169"/>
      <c r="L61" s="223"/>
      <c r="M61" s="58"/>
      <c r="N61" s="169"/>
      <c r="O61" s="169"/>
    </row>
    <row r="62" spans="1:15" x14ac:dyDescent="0.2">
      <c r="A62" s="227" t="s">
        <v>670</v>
      </c>
      <c r="B62" s="221">
        <v>2121</v>
      </c>
      <c r="C62" s="218">
        <v>2325</v>
      </c>
      <c r="D62" s="219">
        <v>2385</v>
      </c>
      <c r="E62" s="221">
        <v>2535</v>
      </c>
      <c r="F62" s="221">
        <v>2595</v>
      </c>
      <c r="G62" s="222">
        <f t="shared" si="0"/>
        <v>311.40000000000003</v>
      </c>
      <c r="H62" s="221">
        <v>2715</v>
      </c>
      <c r="J62" s="234">
        <f t="shared" si="1"/>
        <v>2630.95</v>
      </c>
      <c r="K62" s="169"/>
      <c r="L62" s="223"/>
      <c r="M62" s="169"/>
      <c r="N62" s="169"/>
      <c r="O62" s="169"/>
    </row>
    <row r="63" spans="1:15" x14ac:dyDescent="0.2">
      <c r="A63" s="227" t="s">
        <v>672</v>
      </c>
      <c r="B63" s="221">
        <v>2265</v>
      </c>
      <c r="C63" s="218">
        <v>2391</v>
      </c>
      <c r="D63" s="219">
        <v>2451</v>
      </c>
      <c r="E63" s="221">
        <v>2601</v>
      </c>
      <c r="F63" s="221">
        <v>2661</v>
      </c>
      <c r="G63" s="222">
        <f t="shared" si="0"/>
        <v>319.32</v>
      </c>
      <c r="H63" s="221">
        <v>2781</v>
      </c>
      <c r="J63" s="234">
        <f t="shared" si="1"/>
        <v>2697.61</v>
      </c>
      <c r="K63" s="169"/>
      <c r="L63" s="223"/>
      <c r="M63" s="169"/>
      <c r="N63" s="169"/>
      <c r="O63" s="169"/>
    </row>
    <row r="64" spans="1:15" x14ac:dyDescent="0.2">
      <c r="A64" s="227" t="s">
        <v>674</v>
      </c>
      <c r="B64" s="221">
        <v>2331</v>
      </c>
      <c r="C64" s="218">
        <v>2467</v>
      </c>
      <c r="D64" s="219">
        <v>2527</v>
      </c>
      <c r="E64" s="221">
        <v>2677</v>
      </c>
      <c r="F64" s="221">
        <v>2737</v>
      </c>
      <c r="G64" s="222">
        <f t="shared" si="0"/>
        <v>328.44</v>
      </c>
      <c r="H64" s="221">
        <v>2857</v>
      </c>
      <c r="J64" s="234">
        <f t="shared" si="1"/>
        <v>2774.37</v>
      </c>
      <c r="K64" s="169"/>
      <c r="L64" s="223"/>
      <c r="M64" s="169"/>
      <c r="N64" s="169"/>
      <c r="O64" s="169"/>
    </row>
    <row r="65" spans="1:15" x14ac:dyDescent="0.2">
      <c r="A65" s="227" t="s">
        <v>676</v>
      </c>
      <c r="B65" s="221">
        <v>2407</v>
      </c>
      <c r="C65" s="218">
        <v>2527</v>
      </c>
      <c r="D65" s="219">
        <v>2587</v>
      </c>
      <c r="E65" s="221">
        <v>2737</v>
      </c>
      <c r="F65" s="221">
        <v>2797</v>
      </c>
      <c r="G65" s="222">
        <f t="shared" si="0"/>
        <v>335.64</v>
      </c>
      <c r="H65" s="221">
        <v>2917</v>
      </c>
      <c r="J65" s="234">
        <f t="shared" si="1"/>
        <v>2834.97</v>
      </c>
      <c r="K65" s="169"/>
      <c r="L65" s="223"/>
      <c r="M65" s="169"/>
      <c r="N65" s="169"/>
      <c r="O65" s="169"/>
    </row>
    <row r="66" spans="1:15" x14ac:dyDescent="0.2">
      <c r="A66" s="227" t="s">
        <v>678</v>
      </c>
      <c r="B66" s="221">
        <v>2467</v>
      </c>
      <c r="C66" s="218">
        <v>2600</v>
      </c>
      <c r="D66" s="219">
        <v>2660</v>
      </c>
      <c r="E66" s="221">
        <v>2810</v>
      </c>
      <c r="F66" s="221">
        <v>2870</v>
      </c>
      <c r="G66" s="222">
        <f t="shared" si="0"/>
        <v>344.40000000000003</v>
      </c>
      <c r="H66" s="221">
        <v>2990</v>
      </c>
      <c r="J66" s="234">
        <f t="shared" si="1"/>
        <v>2908.6999999999994</v>
      </c>
      <c r="K66" s="169"/>
      <c r="L66" s="223"/>
      <c r="M66" s="169"/>
      <c r="N66" s="169"/>
      <c r="O66" s="169"/>
    </row>
    <row r="67" spans="1:15" x14ac:dyDescent="0.2">
      <c r="A67" s="227" t="s">
        <v>680</v>
      </c>
      <c r="B67" s="221">
        <v>2540</v>
      </c>
      <c r="C67" s="218">
        <v>2667</v>
      </c>
      <c r="D67" s="219">
        <v>2727</v>
      </c>
      <c r="E67" s="221">
        <v>2877</v>
      </c>
      <c r="F67" s="221">
        <v>2937</v>
      </c>
      <c r="G67" s="222">
        <f t="shared" si="0"/>
        <v>352.44</v>
      </c>
      <c r="H67" s="221">
        <v>3057</v>
      </c>
      <c r="J67" s="234">
        <f t="shared" si="1"/>
        <v>2976.37</v>
      </c>
      <c r="K67" s="169"/>
      <c r="L67" s="223"/>
      <c r="M67" s="169"/>
      <c r="N67" s="169"/>
      <c r="O67" s="169"/>
    </row>
    <row r="68" spans="1:15" x14ac:dyDescent="0.2">
      <c r="A68" s="227" t="s">
        <v>682</v>
      </c>
      <c r="B68" s="221">
        <v>2607</v>
      </c>
      <c r="C68" s="218">
        <v>2737</v>
      </c>
      <c r="D68" s="219">
        <v>2797</v>
      </c>
      <c r="E68" s="221">
        <v>2947</v>
      </c>
      <c r="F68" s="221">
        <v>3007</v>
      </c>
      <c r="G68" s="222">
        <f t="shared" si="0"/>
        <v>360.84000000000003</v>
      </c>
      <c r="H68" s="221">
        <v>3127</v>
      </c>
      <c r="J68" s="234">
        <f t="shared" si="1"/>
        <v>3047.07</v>
      </c>
      <c r="K68" s="169"/>
      <c r="L68" s="223"/>
      <c r="M68" s="169"/>
      <c r="N68" s="169"/>
      <c r="O68" s="169"/>
    </row>
    <row r="69" spans="1:15" x14ac:dyDescent="0.2">
      <c r="A69" s="227" t="s">
        <v>684</v>
      </c>
      <c r="B69" s="221">
        <v>2677</v>
      </c>
      <c r="C69" s="218">
        <v>2806</v>
      </c>
      <c r="D69" s="219">
        <v>2866</v>
      </c>
      <c r="E69" s="221">
        <v>3016</v>
      </c>
      <c r="F69" s="221">
        <v>3076</v>
      </c>
      <c r="G69" s="222">
        <f t="shared" ref="G69:G132" si="2">F69*12*0.01</f>
        <v>369.12</v>
      </c>
      <c r="H69" s="221">
        <v>3199</v>
      </c>
      <c r="J69" s="234">
        <f t="shared" ref="J69:J132" si="3">11/12*F69+1/12*H69+G69/12</f>
        <v>3117.01</v>
      </c>
      <c r="K69" s="169"/>
      <c r="L69" s="223"/>
      <c r="M69" s="169"/>
      <c r="N69" s="169"/>
      <c r="O69" s="169"/>
    </row>
    <row r="70" spans="1:15" x14ac:dyDescent="0.2">
      <c r="A70" s="227" t="s">
        <v>687</v>
      </c>
      <c r="B70" s="221">
        <v>2746</v>
      </c>
      <c r="C70" s="218">
        <v>2875</v>
      </c>
      <c r="D70" s="219">
        <v>2935</v>
      </c>
      <c r="E70" s="221">
        <v>3085</v>
      </c>
      <c r="F70" s="221">
        <v>3146</v>
      </c>
      <c r="G70" s="222">
        <f t="shared" si="2"/>
        <v>377.52</v>
      </c>
      <c r="H70" s="221">
        <v>3272</v>
      </c>
      <c r="J70" s="234">
        <f t="shared" si="3"/>
        <v>3187.9599999999996</v>
      </c>
      <c r="K70" s="169"/>
      <c r="L70" s="223"/>
      <c r="M70" s="169"/>
      <c r="N70" s="169"/>
      <c r="O70" s="169"/>
    </row>
    <row r="71" spans="1:15" x14ac:dyDescent="0.2">
      <c r="A71" s="227" t="s">
        <v>689</v>
      </c>
      <c r="B71" s="221">
        <v>2815</v>
      </c>
      <c r="C71" s="218">
        <v>2944</v>
      </c>
      <c r="D71" s="219">
        <v>3004</v>
      </c>
      <c r="E71" s="221">
        <v>3155</v>
      </c>
      <c r="F71" s="221">
        <v>3218</v>
      </c>
      <c r="G71" s="222">
        <f t="shared" si="2"/>
        <v>386.16</v>
      </c>
      <c r="H71" s="221">
        <v>3346</v>
      </c>
      <c r="J71" s="234">
        <f t="shared" si="3"/>
        <v>3260.8466666666664</v>
      </c>
      <c r="K71" s="169"/>
      <c r="L71" s="223"/>
      <c r="M71" s="169"/>
      <c r="N71" s="169"/>
      <c r="O71" s="169"/>
    </row>
    <row r="72" spans="1:15" x14ac:dyDescent="0.2">
      <c r="D72" s="169"/>
      <c r="E72" s="220"/>
      <c r="F72" s="226"/>
      <c r="G72" s="222"/>
      <c r="H72" s="217"/>
      <c r="J72" s="234">
        <f t="shared" si="3"/>
        <v>0</v>
      </c>
      <c r="K72" s="169"/>
      <c r="L72" s="223"/>
      <c r="M72" s="169"/>
      <c r="N72" s="169"/>
      <c r="O72" s="169"/>
    </row>
    <row r="73" spans="1:15" x14ac:dyDescent="0.2">
      <c r="A73" s="210" t="s">
        <v>692</v>
      </c>
      <c r="B73" s="221">
        <v>2121</v>
      </c>
      <c r="C73" s="218">
        <v>2325</v>
      </c>
      <c r="D73" s="219">
        <v>2385</v>
      </c>
      <c r="E73" s="221">
        <v>2535</v>
      </c>
      <c r="F73" s="221">
        <v>2595</v>
      </c>
      <c r="G73" s="222">
        <f t="shared" si="2"/>
        <v>311.40000000000003</v>
      </c>
      <c r="H73" s="221">
        <v>2715</v>
      </c>
      <c r="J73" s="234">
        <f t="shared" si="3"/>
        <v>2630.95</v>
      </c>
      <c r="K73" s="169"/>
      <c r="L73" s="223"/>
      <c r="M73" s="58"/>
      <c r="N73" s="169"/>
      <c r="O73" s="169"/>
    </row>
    <row r="74" spans="1:15" x14ac:dyDescent="0.2">
      <c r="A74" s="210" t="s">
        <v>695</v>
      </c>
      <c r="B74" s="221">
        <v>2265</v>
      </c>
      <c r="C74" s="218">
        <v>2467</v>
      </c>
      <c r="D74" s="219">
        <v>2527</v>
      </c>
      <c r="E74" s="221">
        <v>2677</v>
      </c>
      <c r="F74" s="221">
        <v>2737</v>
      </c>
      <c r="G74" s="222">
        <f t="shared" si="2"/>
        <v>328.44</v>
      </c>
      <c r="H74" s="221">
        <v>2857</v>
      </c>
      <c r="J74" s="234">
        <f t="shared" si="3"/>
        <v>2774.37</v>
      </c>
      <c r="K74" s="169"/>
      <c r="L74" s="223"/>
      <c r="M74" s="169"/>
      <c r="N74" s="169"/>
      <c r="O74" s="169"/>
    </row>
    <row r="75" spans="1:15" x14ac:dyDescent="0.2">
      <c r="A75" s="210" t="s">
        <v>698</v>
      </c>
      <c r="B75" s="221">
        <v>2407</v>
      </c>
      <c r="C75" s="218">
        <v>2527</v>
      </c>
      <c r="D75" s="219">
        <v>2587</v>
      </c>
      <c r="E75" s="221">
        <v>2737</v>
      </c>
      <c r="F75" s="221">
        <v>2797</v>
      </c>
      <c r="G75" s="222">
        <f t="shared" si="2"/>
        <v>335.64</v>
      </c>
      <c r="H75" s="221">
        <v>2917</v>
      </c>
      <c r="J75" s="234">
        <f t="shared" si="3"/>
        <v>2834.97</v>
      </c>
      <c r="K75" s="169"/>
      <c r="L75" s="223"/>
      <c r="M75" s="169"/>
      <c r="N75" s="169"/>
      <c r="O75" s="169"/>
    </row>
    <row r="76" spans="1:15" x14ac:dyDescent="0.2">
      <c r="A76" s="210" t="s">
        <v>701</v>
      </c>
      <c r="B76" s="221">
        <v>2467</v>
      </c>
      <c r="C76" s="218">
        <v>2600</v>
      </c>
      <c r="D76" s="219">
        <v>2660</v>
      </c>
      <c r="E76" s="221">
        <v>2810</v>
      </c>
      <c r="F76" s="221">
        <v>2870</v>
      </c>
      <c r="G76" s="222">
        <f t="shared" si="2"/>
        <v>344.40000000000003</v>
      </c>
      <c r="H76" s="221">
        <v>2990</v>
      </c>
      <c r="J76" s="234">
        <f t="shared" si="3"/>
        <v>2908.6999999999994</v>
      </c>
      <c r="K76" s="169"/>
      <c r="L76" s="223"/>
      <c r="M76" s="169"/>
      <c r="N76" s="169"/>
      <c r="O76" s="169"/>
    </row>
    <row r="77" spans="1:15" x14ac:dyDescent="0.2">
      <c r="A77" s="210" t="s">
        <v>704</v>
      </c>
      <c r="B77" s="221">
        <v>2540</v>
      </c>
      <c r="C77" s="218">
        <v>2667</v>
      </c>
      <c r="D77" s="219">
        <v>2727</v>
      </c>
      <c r="E77" s="221">
        <v>2877</v>
      </c>
      <c r="F77" s="221">
        <v>2937</v>
      </c>
      <c r="G77" s="222">
        <f t="shared" si="2"/>
        <v>352.44</v>
      </c>
      <c r="H77" s="221">
        <v>3057</v>
      </c>
      <c r="J77" s="234">
        <f t="shared" si="3"/>
        <v>2976.37</v>
      </c>
      <c r="K77" s="169"/>
      <c r="L77" s="223"/>
      <c r="M77" s="169"/>
      <c r="N77" s="169"/>
      <c r="O77" s="169"/>
    </row>
    <row r="78" spans="1:15" x14ac:dyDescent="0.2">
      <c r="A78" s="210" t="s">
        <v>707</v>
      </c>
      <c r="B78" s="221">
        <v>2607</v>
      </c>
      <c r="C78" s="218">
        <v>2737</v>
      </c>
      <c r="D78" s="219">
        <v>2797</v>
      </c>
      <c r="E78" s="221">
        <v>2947</v>
      </c>
      <c r="F78" s="221">
        <v>3007</v>
      </c>
      <c r="G78" s="222">
        <f t="shared" si="2"/>
        <v>360.84000000000003</v>
      </c>
      <c r="H78" s="221">
        <v>3127</v>
      </c>
      <c r="J78" s="234">
        <f t="shared" si="3"/>
        <v>3047.07</v>
      </c>
      <c r="K78" s="169"/>
      <c r="L78" s="223"/>
      <c r="M78" s="169"/>
      <c r="N78" s="169"/>
      <c r="O78" s="169"/>
    </row>
    <row r="79" spans="1:15" x14ac:dyDescent="0.2">
      <c r="A79" s="210" t="s">
        <v>710</v>
      </c>
      <c r="B79" s="221">
        <v>2677</v>
      </c>
      <c r="C79" s="218">
        <v>2806</v>
      </c>
      <c r="D79" s="219">
        <v>2866</v>
      </c>
      <c r="E79" s="221">
        <v>3016</v>
      </c>
      <c r="F79" s="221">
        <v>3076</v>
      </c>
      <c r="G79" s="222">
        <f t="shared" si="2"/>
        <v>369.12</v>
      </c>
      <c r="H79" s="221">
        <v>3199</v>
      </c>
      <c r="J79" s="234">
        <f t="shared" si="3"/>
        <v>3117.01</v>
      </c>
      <c r="K79" s="169"/>
      <c r="L79" s="223"/>
      <c r="M79" s="169"/>
      <c r="N79" s="169"/>
      <c r="O79" s="169"/>
    </row>
    <row r="80" spans="1:15" x14ac:dyDescent="0.2">
      <c r="A80" s="210" t="s">
        <v>713</v>
      </c>
      <c r="B80" s="221">
        <v>2746</v>
      </c>
      <c r="C80" s="218">
        <v>2875</v>
      </c>
      <c r="D80" s="219">
        <v>2935</v>
      </c>
      <c r="E80" s="221">
        <v>3085</v>
      </c>
      <c r="F80" s="221">
        <v>3146</v>
      </c>
      <c r="G80" s="222">
        <f t="shared" si="2"/>
        <v>377.52</v>
      </c>
      <c r="H80" s="221">
        <v>3272</v>
      </c>
      <c r="J80" s="234">
        <f t="shared" si="3"/>
        <v>3187.9599999999996</v>
      </c>
      <c r="K80" s="169"/>
      <c r="L80" s="223"/>
      <c r="M80" s="169"/>
      <c r="N80" s="169"/>
      <c r="O80" s="169"/>
    </row>
    <row r="81" spans="1:15" x14ac:dyDescent="0.2">
      <c r="A81" s="210" t="s">
        <v>716</v>
      </c>
      <c r="B81" s="221">
        <v>2815</v>
      </c>
      <c r="C81" s="218">
        <v>2944</v>
      </c>
      <c r="D81" s="219">
        <v>3004</v>
      </c>
      <c r="E81" s="221">
        <v>3155</v>
      </c>
      <c r="F81" s="221">
        <v>3218</v>
      </c>
      <c r="G81" s="222">
        <f t="shared" si="2"/>
        <v>386.16</v>
      </c>
      <c r="H81" s="221">
        <v>3346</v>
      </c>
      <c r="J81" s="234">
        <f t="shared" si="3"/>
        <v>3260.8466666666664</v>
      </c>
      <c r="K81" s="169">
        <f>J81/J85</f>
        <v>0.9087796159219953</v>
      </c>
      <c r="L81" s="223"/>
      <c r="M81" s="169"/>
      <c r="N81" s="169"/>
      <c r="O81" s="169"/>
    </row>
    <row r="82" spans="1:15" x14ac:dyDescent="0.2">
      <c r="A82" s="210" t="s">
        <v>719</v>
      </c>
      <c r="B82" s="221">
        <v>2884</v>
      </c>
      <c r="C82" s="218">
        <v>3014</v>
      </c>
      <c r="D82" s="219">
        <v>3075</v>
      </c>
      <c r="E82" s="221">
        <v>3228</v>
      </c>
      <c r="F82" s="221">
        <v>3293</v>
      </c>
      <c r="G82" s="222">
        <f t="shared" si="2"/>
        <v>395.16</v>
      </c>
      <c r="H82" s="221">
        <v>3425</v>
      </c>
      <c r="J82" s="234">
        <f t="shared" si="3"/>
        <v>3336.9299999999994</v>
      </c>
      <c r="K82" s="169"/>
      <c r="L82" s="223"/>
      <c r="M82" s="169"/>
      <c r="N82" s="169"/>
      <c r="O82" s="169"/>
    </row>
    <row r="83" spans="1:15" x14ac:dyDescent="0.2">
      <c r="A83" s="210" t="s">
        <v>722</v>
      </c>
      <c r="B83" s="221">
        <v>2954</v>
      </c>
      <c r="C83" s="218">
        <v>3086</v>
      </c>
      <c r="D83" s="219">
        <v>3148</v>
      </c>
      <c r="E83" s="221">
        <v>3305</v>
      </c>
      <c r="F83" s="221">
        <v>3371</v>
      </c>
      <c r="G83" s="222">
        <f t="shared" si="2"/>
        <v>404.52</v>
      </c>
      <c r="H83" s="221">
        <v>3506</v>
      </c>
      <c r="J83" s="234">
        <f t="shared" si="3"/>
        <v>3415.9599999999996</v>
      </c>
      <c r="K83" s="169"/>
      <c r="L83" s="223"/>
      <c r="M83" s="169"/>
      <c r="N83" s="169"/>
      <c r="O83" s="169"/>
    </row>
    <row r="84" spans="1:15" x14ac:dyDescent="0.2">
      <c r="A84" s="210" t="s">
        <v>38</v>
      </c>
      <c r="B84" s="221">
        <v>3026</v>
      </c>
      <c r="C84" s="218">
        <v>3163</v>
      </c>
      <c r="D84" s="219">
        <v>3226</v>
      </c>
      <c r="E84" s="221">
        <v>3388</v>
      </c>
      <c r="F84" s="221">
        <v>3456</v>
      </c>
      <c r="G84" s="222">
        <f t="shared" si="2"/>
        <v>414.72</v>
      </c>
      <c r="H84" s="221">
        <v>3594</v>
      </c>
      <c r="J84" s="234">
        <f t="shared" si="3"/>
        <v>3502.06</v>
      </c>
      <c r="K84" s="169"/>
      <c r="L84" s="223"/>
      <c r="M84" s="169"/>
      <c r="N84" s="169"/>
      <c r="O84" s="169"/>
    </row>
    <row r="85" spans="1:15" x14ac:dyDescent="0.2">
      <c r="A85" s="210" t="s">
        <v>37</v>
      </c>
      <c r="B85" s="221">
        <v>3101</v>
      </c>
      <c r="C85" s="218">
        <v>3241</v>
      </c>
      <c r="D85" s="219">
        <v>3306</v>
      </c>
      <c r="E85" s="221">
        <v>3471</v>
      </c>
      <c r="F85" s="221">
        <v>3541</v>
      </c>
      <c r="G85" s="222">
        <f t="shared" si="2"/>
        <v>424.92</v>
      </c>
      <c r="H85" s="221">
        <v>3682</v>
      </c>
      <c r="J85" s="234">
        <f t="shared" si="3"/>
        <v>3588.16</v>
      </c>
      <c r="K85" s="169"/>
      <c r="L85" s="223"/>
      <c r="M85" s="169"/>
      <c r="N85" s="169"/>
      <c r="O85" s="169"/>
    </row>
    <row r="86" spans="1:15" x14ac:dyDescent="0.2">
      <c r="D86" s="169"/>
      <c r="E86" s="220"/>
      <c r="F86" s="226"/>
      <c r="G86" s="222"/>
      <c r="H86" s="217"/>
      <c r="J86" s="234">
        <f t="shared" si="3"/>
        <v>0</v>
      </c>
      <c r="K86" s="169"/>
      <c r="L86" s="223"/>
      <c r="M86" s="169"/>
      <c r="N86" s="169"/>
      <c r="O86" s="169"/>
    </row>
    <row r="87" spans="1:15" x14ac:dyDescent="0.2">
      <c r="A87" s="210" t="s">
        <v>728</v>
      </c>
      <c r="B87" s="221">
        <v>2407</v>
      </c>
      <c r="C87" s="218">
        <v>2600</v>
      </c>
      <c r="D87" s="219">
        <v>2660</v>
      </c>
      <c r="E87" s="221">
        <v>2810</v>
      </c>
      <c r="F87" s="221">
        <v>2870</v>
      </c>
      <c r="G87" s="222">
        <f t="shared" si="2"/>
        <v>344.40000000000003</v>
      </c>
      <c r="H87" s="221">
        <v>2990</v>
      </c>
      <c r="J87" s="234">
        <f t="shared" si="3"/>
        <v>2908.6999999999994</v>
      </c>
      <c r="K87" s="169"/>
      <c r="L87" s="223"/>
      <c r="M87" s="58"/>
      <c r="N87" s="169"/>
      <c r="O87" s="169"/>
    </row>
    <row r="88" spans="1:15" x14ac:dyDescent="0.2">
      <c r="A88" s="210" t="s">
        <v>731</v>
      </c>
      <c r="B88" s="221">
        <v>2540</v>
      </c>
      <c r="C88" s="218">
        <v>2737</v>
      </c>
      <c r="D88" s="219">
        <v>2797</v>
      </c>
      <c r="E88" s="221">
        <v>2947</v>
      </c>
      <c r="F88" s="221">
        <v>3007</v>
      </c>
      <c r="G88" s="222">
        <f t="shared" si="2"/>
        <v>360.84000000000003</v>
      </c>
      <c r="H88" s="221">
        <v>3127</v>
      </c>
      <c r="J88" s="234">
        <f t="shared" si="3"/>
        <v>3047.07</v>
      </c>
      <c r="K88" s="169"/>
      <c r="L88" s="223"/>
      <c r="M88" s="169"/>
      <c r="N88" s="169"/>
      <c r="O88" s="169"/>
    </row>
    <row r="89" spans="1:15" x14ac:dyDescent="0.2">
      <c r="A89" s="210" t="s">
        <v>734</v>
      </c>
      <c r="B89" s="221">
        <v>2677</v>
      </c>
      <c r="C89" s="218">
        <v>2806</v>
      </c>
      <c r="D89" s="219">
        <v>2866</v>
      </c>
      <c r="E89" s="221">
        <v>3016</v>
      </c>
      <c r="F89" s="221">
        <v>3076</v>
      </c>
      <c r="G89" s="222">
        <f t="shared" si="2"/>
        <v>369.12</v>
      </c>
      <c r="H89" s="221">
        <v>3199</v>
      </c>
      <c r="J89" s="234">
        <f t="shared" si="3"/>
        <v>3117.01</v>
      </c>
      <c r="K89" s="169"/>
      <c r="L89" s="223"/>
      <c r="M89" s="169"/>
      <c r="N89" s="169"/>
      <c r="O89" s="169"/>
    </row>
    <row r="90" spans="1:15" x14ac:dyDescent="0.2">
      <c r="A90" s="210" t="s">
        <v>737</v>
      </c>
      <c r="B90" s="221">
        <v>2746</v>
      </c>
      <c r="C90" s="218">
        <v>2875</v>
      </c>
      <c r="D90" s="219">
        <v>2935</v>
      </c>
      <c r="E90" s="221">
        <v>3085</v>
      </c>
      <c r="F90" s="221">
        <v>3146</v>
      </c>
      <c r="G90" s="222">
        <f t="shared" si="2"/>
        <v>377.52</v>
      </c>
      <c r="H90" s="221">
        <v>3272</v>
      </c>
      <c r="J90" s="234">
        <f t="shared" si="3"/>
        <v>3187.9599999999996</v>
      </c>
      <c r="K90" s="169"/>
      <c r="L90" s="223"/>
      <c r="M90" s="169"/>
      <c r="N90" s="169"/>
      <c r="O90" s="169"/>
    </row>
    <row r="91" spans="1:15" x14ac:dyDescent="0.2">
      <c r="A91" s="210" t="s">
        <v>740</v>
      </c>
      <c r="B91" s="221">
        <v>2815</v>
      </c>
      <c r="C91" s="218">
        <v>2944</v>
      </c>
      <c r="D91" s="219">
        <v>3004</v>
      </c>
      <c r="E91" s="221">
        <v>3155</v>
      </c>
      <c r="F91" s="221">
        <v>3218</v>
      </c>
      <c r="G91" s="222">
        <f t="shared" si="2"/>
        <v>386.16</v>
      </c>
      <c r="H91" s="221">
        <v>3346</v>
      </c>
      <c r="J91" s="234">
        <f t="shared" si="3"/>
        <v>3260.8466666666664</v>
      </c>
      <c r="K91" s="169"/>
      <c r="L91" s="223"/>
      <c r="M91" s="169"/>
      <c r="N91" s="169"/>
      <c r="O91" s="169"/>
    </row>
    <row r="92" spans="1:15" x14ac:dyDescent="0.2">
      <c r="A92" s="210" t="s">
        <v>743</v>
      </c>
      <c r="B92" s="221">
        <v>2884</v>
      </c>
      <c r="C92" s="218">
        <v>3014</v>
      </c>
      <c r="D92" s="219">
        <v>3075</v>
      </c>
      <c r="E92" s="221">
        <v>3228</v>
      </c>
      <c r="F92" s="221">
        <v>3293</v>
      </c>
      <c r="G92" s="222">
        <f t="shared" si="2"/>
        <v>395.16</v>
      </c>
      <c r="H92" s="221">
        <v>3425</v>
      </c>
      <c r="J92" s="234">
        <f t="shared" si="3"/>
        <v>3336.9299999999994</v>
      </c>
      <c r="K92" s="169"/>
      <c r="L92" s="223"/>
      <c r="M92" s="169"/>
      <c r="N92" s="169"/>
      <c r="O92" s="169"/>
    </row>
    <row r="93" spans="1:15" x14ac:dyDescent="0.2">
      <c r="A93" s="210" t="s">
        <v>746</v>
      </c>
      <c r="B93" s="221">
        <v>2954</v>
      </c>
      <c r="C93" s="218">
        <v>3086</v>
      </c>
      <c r="D93" s="219">
        <v>3148</v>
      </c>
      <c r="E93" s="221">
        <v>3305</v>
      </c>
      <c r="F93" s="221">
        <v>3371</v>
      </c>
      <c r="G93" s="222">
        <f t="shared" si="2"/>
        <v>404.52</v>
      </c>
      <c r="H93" s="221">
        <v>3506</v>
      </c>
      <c r="J93" s="234">
        <f t="shared" si="3"/>
        <v>3415.9599999999996</v>
      </c>
      <c r="K93" s="169"/>
      <c r="L93" s="223"/>
      <c r="M93" s="169"/>
      <c r="N93" s="169"/>
      <c r="O93" s="169"/>
    </row>
    <row r="94" spans="1:15" x14ac:dyDescent="0.2">
      <c r="A94" s="210" t="s">
        <v>749</v>
      </c>
      <c r="B94" s="221">
        <v>3026</v>
      </c>
      <c r="C94" s="218">
        <v>3163</v>
      </c>
      <c r="D94" s="219">
        <v>3226</v>
      </c>
      <c r="E94" s="221">
        <v>3388</v>
      </c>
      <c r="F94" s="221">
        <v>3456</v>
      </c>
      <c r="G94" s="222">
        <f t="shared" si="2"/>
        <v>414.72</v>
      </c>
      <c r="H94" s="221">
        <v>3594</v>
      </c>
      <c r="J94" s="234">
        <f t="shared" si="3"/>
        <v>3502.06</v>
      </c>
      <c r="K94" s="169"/>
      <c r="L94" s="223"/>
      <c r="M94" s="169"/>
      <c r="N94" s="169"/>
      <c r="O94" s="169"/>
    </row>
    <row r="95" spans="1:15" x14ac:dyDescent="0.2">
      <c r="A95" s="210" t="s">
        <v>752</v>
      </c>
      <c r="B95" s="221">
        <v>3101</v>
      </c>
      <c r="C95" s="218">
        <v>3241</v>
      </c>
      <c r="D95" s="219">
        <v>3306</v>
      </c>
      <c r="E95" s="221">
        <v>3471</v>
      </c>
      <c r="F95" s="221">
        <v>3541</v>
      </c>
      <c r="G95" s="222">
        <f t="shared" si="2"/>
        <v>424.92</v>
      </c>
      <c r="H95" s="221">
        <v>3682</v>
      </c>
      <c r="J95" s="234">
        <f t="shared" si="3"/>
        <v>3588.16</v>
      </c>
      <c r="K95" s="169"/>
      <c r="L95" s="223"/>
      <c r="M95" s="169"/>
      <c r="N95" s="169"/>
      <c r="O95" s="169"/>
    </row>
    <row r="96" spans="1:15" x14ac:dyDescent="0.2">
      <c r="A96" s="210" t="s">
        <v>754</v>
      </c>
      <c r="B96" s="221">
        <v>3178</v>
      </c>
      <c r="C96" s="218">
        <v>3310</v>
      </c>
      <c r="D96" s="219">
        <v>3376</v>
      </c>
      <c r="E96" s="221">
        <v>3545</v>
      </c>
      <c r="F96" s="221">
        <v>3616</v>
      </c>
      <c r="G96" s="222">
        <f t="shared" si="2"/>
        <v>433.92</v>
      </c>
      <c r="H96" s="221">
        <v>3760</v>
      </c>
      <c r="J96" s="234">
        <f t="shared" si="3"/>
        <v>3664.16</v>
      </c>
      <c r="K96" s="169"/>
      <c r="L96" s="223"/>
      <c r="M96" s="169"/>
      <c r="N96" s="169"/>
      <c r="O96" s="169"/>
    </row>
    <row r="97" spans="1:15" x14ac:dyDescent="0.2">
      <c r="A97" s="210" t="s">
        <v>756</v>
      </c>
      <c r="B97" s="221">
        <v>3245</v>
      </c>
      <c r="C97" s="218">
        <v>3388</v>
      </c>
      <c r="D97" s="219">
        <v>3455</v>
      </c>
      <c r="E97" s="221">
        <v>3628</v>
      </c>
      <c r="F97" s="221">
        <v>3701</v>
      </c>
      <c r="G97" s="222">
        <f t="shared" si="2"/>
        <v>444.12</v>
      </c>
      <c r="H97" s="221">
        <v>3849</v>
      </c>
      <c r="J97" s="234">
        <f t="shared" si="3"/>
        <v>3750.3433333333332</v>
      </c>
      <c r="K97" s="169"/>
      <c r="L97" s="250"/>
      <c r="M97" s="169"/>
      <c r="N97" s="169"/>
      <c r="O97" s="169"/>
    </row>
    <row r="98" spans="1:15" x14ac:dyDescent="0.2">
      <c r="A98" s="210" t="s">
        <v>758</v>
      </c>
      <c r="B98" s="221">
        <v>3321</v>
      </c>
      <c r="C98" s="218">
        <v>3464</v>
      </c>
      <c r="D98" s="219">
        <v>3533</v>
      </c>
      <c r="E98" s="221">
        <v>3710</v>
      </c>
      <c r="F98" s="221">
        <v>3784</v>
      </c>
      <c r="G98" s="222">
        <f t="shared" si="2"/>
        <v>454.08</v>
      </c>
      <c r="H98" s="221">
        <v>3935</v>
      </c>
      <c r="J98" s="234">
        <f t="shared" si="3"/>
        <v>3834.4233333333332</v>
      </c>
      <c r="K98" s="169"/>
      <c r="L98" s="223"/>
      <c r="M98" s="169"/>
      <c r="N98" s="169"/>
      <c r="O98" s="169"/>
    </row>
    <row r="99" spans="1:15" x14ac:dyDescent="0.2">
      <c r="A99" s="210" t="s">
        <v>32</v>
      </c>
      <c r="B99" s="221">
        <v>3396</v>
      </c>
      <c r="C99" s="218">
        <v>3536</v>
      </c>
      <c r="D99" s="219">
        <v>3606</v>
      </c>
      <c r="E99" s="221">
        <v>3787</v>
      </c>
      <c r="F99" s="221">
        <v>3863</v>
      </c>
      <c r="G99" s="222">
        <f t="shared" si="2"/>
        <v>463.56</v>
      </c>
      <c r="H99" s="221">
        <v>4017</v>
      </c>
      <c r="J99" s="234">
        <f t="shared" si="3"/>
        <v>3914.4633333333331</v>
      </c>
      <c r="K99" s="169"/>
      <c r="L99" s="223"/>
      <c r="M99" s="169"/>
      <c r="N99" s="169"/>
      <c r="O99" s="169"/>
    </row>
    <row r="100" spans="1:15" x14ac:dyDescent="0.2">
      <c r="D100" s="169"/>
      <c r="E100" s="220"/>
      <c r="F100" s="226"/>
      <c r="G100" s="222"/>
      <c r="H100" s="217"/>
      <c r="J100" s="234">
        <f t="shared" si="3"/>
        <v>0</v>
      </c>
      <c r="K100" s="169"/>
      <c r="L100" s="223"/>
      <c r="M100" s="169"/>
      <c r="N100" s="169"/>
      <c r="O100" s="169"/>
    </row>
    <row r="101" spans="1:15" x14ac:dyDescent="0.2">
      <c r="A101" s="210" t="s">
        <v>764</v>
      </c>
      <c r="B101" s="221">
        <v>2746</v>
      </c>
      <c r="C101" s="218">
        <v>2944</v>
      </c>
      <c r="D101" s="219">
        <v>3004</v>
      </c>
      <c r="E101" s="221">
        <v>3155</v>
      </c>
      <c r="F101" s="221">
        <v>3218</v>
      </c>
      <c r="G101" s="222">
        <f t="shared" si="2"/>
        <v>386.16</v>
      </c>
      <c r="H101" s="221">
        <v>3346</v>
      </c>
      <c r="J101" s="234">
        <f t="shared" si="3"/>
        <v>3260.8466666666664</v>
      </c>
      <c r="K101" s="169"/>
      <c r="L101" s="223"/>
      <c r="M101" s="58"/>
      <c r="N101" s="169"/>
      <c r="O101" s="169"/>
    </row>
    <row r="102" spans="1:15" x14ac:dyDescent="0.2">
      <c r="A102" s="210" t="s">
        <v>767</v>
      </c>
      <c r="B102" s="221">
        <v>2884</v>
      </c>
      <c r="C102" s="218">
        <v>3086</v>
      </c>
      <c r="D102" s="219">
        <v>3148</v>
      </c>
      <c r="E102" s="221">
        <v>3305</v>
      </c>
      <c r="F102" s="221">
        <v>3371</v>
      </c>
      <c r="G102" s="222">
        <f t="shared" si="2"/>
        <v>404.52</v>
      </c>
      <c r="H102" s="221">
        <v>3506</v>
      </c>
      <c r="J102" s="234">
        <f t="shared" si="3"/>
        <v>3415.9599999999996</v>
      </c>
      <c r="K102" s="169"/>
      <c r="L102" s="223"/>
      <c r="M102" s="169"/>
      <c r="N102" s="169"/>
      <c r="O102" s="169"/>
    </row>
    <row r="103" spans="1:15" x14ac:dyDescent="0.2">
      <c r="A103" s="210" t="s">
        <v>770</v>
      </c>
      <c r="B103" s="221">
        <v>3026</v>
      </c>
      <c r="C103" s="218">
        <v>3241</v>
      </c>
      <c r="D103" s="219">
        <v>3306</v>
      </c>
      <c r="E103" s="221">
        <v>3471</v>
      </c>
      <c r="F103" s="221">
        <v>3541</v>
      </c>
      <c r="G103" s="222">
        <f t="shared" si="2"/>
        <v>424.92</v>
      </c>
      <c r="H103" s="221">
        <v>3682</v>
      </c>
      <c r="J103" s="234">
        <f t="shared" si="3"/>
        <v>3588.16</v>
      </c>
      <c r="K103" s="169"/>
      <c r="L103" s="223"/>
      <c r="M103" s="169"/>
      <c r="N103" s="169"/>
      <c r="O103" s="169"/>
    </row>
    <row r="104" spans="1:15" x14ac:dyDescent="0.2">
      <c r="A104" s="210" t="s">
        <v>773</v>
      </c>
      <c r="B104" s="221">
        <v>3178</v>
      </c>
      <c r="C104" s="218">
        <v>3310</v>
      </c>
      <c r="D104" s="219">
        <v>3376</v>
      </c>
      <c r="E104" s="221">
        <v>3545</v>
      </c>
      <c r="F104" s="221">
        <v>3616</v>
      </c>
      <c r="G104" s="222">
        <f t="shared" si="2"/>
        <v>433.92</v>
      </c>
      <c r="H104" s="221">
        <v>3760</v>
      </c>
      <c r="J104" s="234">
        <f t="shared" si="3"/>
        <v>3664.16</v>
      </c>
      <c r="K104" s="169"/>
      <c r="L104" s="223"/>
      <c r="M104" s="169"/>
      <c r="N104" s="169"/>
      <c r="O104" s="169"/>
    </row>
    <row r="105" spans="1:15" x14ac:dyDescent="0.2">
      <c r="A105" s="210" t="s">
        <v>776</v>
      </c>
      <c r="B105" s="221">
        <v>3245</v>
      </c>
      <c r="C105" s="218">
        <v>3388</v>
      </c>
      <c r="D105" s="219">
        <v>3455</v>
      </c>
      <c r="E105" s="221">
        <v>3628</v>
      </c>
      <c r="F105" s="221">
        <v>3701</v>
      </c>
      <c r="G105" s="222">
        <f t="shared" si="2"/>
        <v>444.12</v>
      </c>
      <c r="H105" s="221">
        <v>3849</v>
      </c>
      <c r="J105" s="234">
        <f t="shared" si="3"/>
        <v>3750.3433333333332</v>
      </c>
      <c r="K105" s="169"/>
      <c r="L105" s="223"/>
      <c r="M105" s="169"/>
      <c r="N105" s="169"/>
      <c r="O105" s="169"/>
    </row>
    <row r="106" spans="1:15" x14ac:dyDescent="0.2">
      <c r="A106" s="210" t="s">
        <v>779</v>
      </c>
      <c r="B106" s="221">
        <v>3321</v>
      </c>
      <c r="C106" s="218">
        <v>3464</v>
      </c>
      <c r="D106" s="219">
        <v>3533</v>
      </c>
      <c r="E106" s="221">
        <v>3710</v>
      </c>
      <c r="F106" s="221">
        <v>3784</v>
      </c>
      <c r="G106" s="222">
        <f t="shared" si="2"/>
        <v>454.08</v>
      </c>
      <c r="H106" s="221">
        <v>3935</v>
      </c>
      <c r="J106" s="234">
        <f t="shared" si="3"/>
        <v>3834.4233333333332</v>
      </c>
      <c r="K106" s="169"/>
      <c r="L106" s="223"/>
      <c r="M106" s="169"/>
      <c r="N106" s="169"/>
      <c r="O106" s="169"/>
    </row>
    <row r="107" spans="1:15" x14ac:dyDescent="0.2">
      <c r="A107" s="210" t="s">
        <v>782</v>
      </c>
      <c r="B107" s="221">
        <v>3396</v>
      </c>
      <c r="C107" s="218">
        <v>3536</v>
      </c>
      <c r="D107" s="219">
        <v>3606</v>
      </c>
      <c r="E107" s="221">
        <v>3787</v>
      </c>
      <c r="F107" s="221">
        <v>3863</v>
      </c>
      <c r="G107" s="222">
        <f t="shared" si="2"/>
        <v>463.56</v>
      </c>
      <c r="H107" s="221">
        <v>4017</v>
      </c>
      <c r="J107" s="234">
        <f t="shared" si="3"/>
        <v>3914.4633333333331</v>
      </c>
      <c r="K107" s="169"/>
      <c r="L107" s="223"/>
      <c r="M107" s="169"/>
      <c r="N107" s="169"/>
      <c r="O107" s="169"/>
    </row>
    <row r="108" spans="1:15" x14ac:dyDescent="0.2">
      <c r="A108" s="210" t="s">
        <v>785</v>
      </c>
      <c r="B108" s="221">
        <v>3466</v>
      </c>
      <c r="C108" s="218">
        <v>3609</v>
      </c>
      <c r="D108" s="219">
        <v>3681</v>
      </c>
      <c r="E108" s="221">
        <v>3865</v>
      </c>
      <c r="F108" s="221">
        <v>3942</v>
      </c>
      <c r="G108" s="222">
        <f t="shared" si="2"/>
        <v>473.04</v>
      </c>
      <c r="H108" s="221">
        <v>4100</v>
      </c>
      <c r="J108" s="234">
        <f t="shared" si="3"/>
        <v>3994.5866666666666</v>
      </c>
      <c r="K108" s="169"/>
      <c r="L108" s="223"/>
      <c r="M108" s="169"/>
      <c r="N108" s="169"/>
      <c r="O108" s="169"/>
    </row>
    <row r="109" spans="1:15" x14ac:dyDescent="0.2">
      <c r="A109" s="210" t="s">
        <v>787</v>
      </c>
      <c r="B109" s="221">
        <v>3538</v>
      </c>
      <c r="C109" s="218">
        <v>3684</v>
      </c>
      <c r="D109" s="219">
        <v>3758</v>
      </c>
      <c r="E109" s="221">
        <v>3946</v>
      </c>
      <c r="F109" s="221">
        <v>4024</v>
      </c>
      <c r="G109" s="222">
        <f t="shared" si="2"/>
        <v>482.88</v>
      </c>
      <c r="H109" s="221">
        <v>4185</v>
      </c>
      <c r="J109" s="234">
        <f t="shared" si="3"/>
        <v>4077.6566666666663</v>
      </c>
      <c r="K109" s="169"/>
      <c r="L109" s="223"/>
      <c r="M109" s="169"/>
      <c r="N109" s="169"/>
      <c r="O109" s="169"/>
    </row>
    <row r="110" spans="1:15" x14ac:dyDescent="0.2">
      <c r="A110" s="210" t="s">
        <v>789</v>
      </c>
      <c r="B110" s="221">
        <v>3612</v>
      </c>
      <c r="C110" s="218">
        <v>3760</v>
      </c>
      <c r="D110" s="219">
        <v>3835</v>
      </c>
      <c r="E110" s="221">
        <v>4027</v>
      </c>
      <c r="F110" s="221">
        <v>4108</v>
      </c>
      <c r="G110" s="222">
        <f t="shared" si="2"/>
        <v>492.96000000000004</v>
      </c>
      <c r="H110" s="221">
        <v>4272</v>
      </c>
      <c r="J110" s="234">
        <f t="shared" si="3"/>
        <v>4162.746666666666</v>
      </c>
      <c r="K110" s="169"/>
      <c r="L110" s="223"/>
      <c r="M110" s="169"/>
      <c r="N110" s="169"/>
      <c r="O110" s="169"/>
    </row>
    <row r="111" spans="1:15" x14ac:dyDescent="0.2">
      <c r="A111" s="210" t="s">
        <v>791</v>
      </c>
      <c r="B111" s="221">
        <v>3686</v>
      </c>
      <c r="C111" s="218">
        <v>3830</v>
      </c>
      <c r="D111" s="219">
        <v>3907</v>
      </c>
      <c r="E111" s="221">
        <v>4102</v>
      </c>
      <c r="F111" s="221">
        <v>4185</v>
      </c>
      <c r="G111" s="222">
        <f t="shared" si="2"/>
        <v>502.2</v>
      </c>
      <c r="H111" s="221">
        <v>4352</v>
      </c>
      <c r="J111" s="234">
        <f t="shared" si="3"/>
        <v>4240.7666666666673</v>
      </c>
      <c r="K111" s="169"/>
      <c r="L111" s="223"/>
      <c r="M111" s="169"/>
      <c r="N111" s="169"/>
      <c r="O111" s="169"/>
    </row>
    <row r="112" spans="1:15" x14ac:dyDescent="0.2">
      <c r="A112" s="210" t="s">
        <v>42</v>
      </c>
      <c r="B112" s="221">
        <v>3755</v>
      </c>
      <c r="C112" s="218">
        <v>3902</v>
      </c>
      <c r="D112" s="219">
        <v>3981</v>
      </c>
      <c r="E112" s="221">
        <v>4180</v>
      </c>
      <c r="F112" s="221">
        <v>4263</v>
      </c>
      <c r="G112" s="222">
        <f t="shared" si="2"/>
        <v>511.56</v>
      </c>
      <c r="H112" s="221">
        <v>4434</v>
      </c>
      <c r="J112" s="234">
        <f t="shared" si="3"/>
        <v>4319.88</v>
      </c>
      <c r="K112" s="169"/>
      <c r="L112" s="223"/>
      <c r="M112" s="169"/>
      <c r="N112" s="169"/>
      <c r="O112" s="169"/>
    </row>
    <row r="113" spans="1:15" x14ac:dyDescent="0.2">
      <c r="D113" s="169"/>
      <c r="E113" s="220"/>
      <c r="F113" s="226"/>
      <c r="G113" s="222"/>
      <c r="H113" s="217"/>
      <c r="J113" s="234">
        <f t="shared" si="3"/>
        <v>0</v>
      </c>
      <c r="K113" s="169"/>
      <c r="L113" s="223"/>
      <c r="M113" s="169"/>
      <c r="N113" s="169"/>
      <c r="O113" s="169"/>
    </row>
    <row r="114" spans="1:15" x14ac:dyDescent="0.2">
      <c r="A114" s="210" t="s">
        <v>797</v>
      </c>
      <c r="B114" s="221">
        <v>3101</v>
      </c>
      <c r="C114" s="218">
        <v>3310</v>
      </c>
      <c r="D114" s="228">
        <v>3376</v>
      </c>
      <c r="E114" s="221">
        <v>3545</v>
      </c>
      <c r="F114" s="221">
        <v>3616</v>
      </c>
      <c r="G114" s="222">
        <f t="shared" si="2"/>
        <v>433.92</v>
      </c>
      <c r="H114" s="221">
        <v>3760</v>
      </c>
      <c r="J114" s="234">
        <f t="shared" si="3"/>
        <v>3664.16</v>
      </c>
      <c r="K114" s="169"/>
      <c r="L114" s="223"/>
      <c r="M114" s="58"/>
      <c r="N114" s="169"/>
      <c r="O114" s="169"/>
    </row>
    <row r="115" spans="1:15" x14ac:dyDescent="0.2">
      <c r="A115" s="210" t="s">
        <v>800</v>
      </c>
      <c r="B115" s="221">
        <v>3245</v>
      </c>
      <c r="C115" s="218">
        <v>3464</v>
      </c>
      <c r="D115" s="228">
        <v>3533</v>
      </c>
      <c r="E115" s="221">
        <v>3710</v>
      </c>
      <c r="F115" s="221">
        <v>3784</v>
      </c>
      <c r="G115" s="222">
        <f t="shared" si="2"/>
        <v>454.08</v>
      </c>
      <c r="H115" s="221">
        <v>3935</v>
      </c>
      <c r="J115" s="234">
        <f t="shared" si="3"/>
        <v>3834.4233333333332</v>
      </c>
      <c r="K115" s="169"/>
      <c r="L115" s="223"/>
      <c r="M115" s="169"/>
      <c r="N115" s="169"/>
      <c r="O115" s="169"/>
    </row>
    <row r="116" spans="1:15" x14ac:dyDescent="0.2">
      <c r="A116" s="210" t="s">
        <v>803</v>
      </c>
      <c r="B116" s="221">
        <v>3396</v>
      </c>
      <c r="C116" s="218">
        <v>3609</v>
      </c>
      <c r="D116" s="228">
        <v>3681</v>
      </c>
      <c r="E116" s="221">
        <v>3865</v>
      </c>
      <c r="F116" s="221">
        <v>3942</v>
      </c>
      <c r="G116" s="222">
        <f t="shared" si="2"/>
        <v>473.04</v>
      </c>
      <c r="H116" s="221">
        <v>4100</v>
      </c>
      <c r="J116" s="234">
        <f t="shared" si="3"/>
        <v>3994.5866666666666</v>
      </c>
      <c r="K116" s="169"/>
      <c r="L116" s="223"/>
      <c r="M116" s="169"/>
      <c r="N116" s="169"/>
      <c r="O116" s="169"/>
    </row>
    <row r="117" spans="1:15" x14ac:dyDescent="0.2">
      <c r="A117" s="210" t="s">
        <v>806</v>
      </c>
      <c r="B117" s="221">
        <v>3538</v>
      </c>
      <c r="C117" s="218">
        <v>3760</v>
      </c>
      <c r="D117" s="228">
        <v>3835</v>
      </c>
      <c r="E117" s="221">
        <v>4027</v>
      </c>
      <c r="F117" s="221">
        <v>4108</v>
      </c>
      <c r="G117" s="222">
        <f t="shared" si="2"/>
        <v>492.96000000000004</v>
      </c>
      <c r="H117" s="221">
        <v>4272</v>
      </c>
      <c r="J117" s="234">
        <f t="shared" si="3"/>
        <v>4162.746666666666</v>
      </c>
      <c r="K117" s="169"/>
      <c r="L117" s="223"/>
      <c r="M117" s="169"/>
      <c r="N117" s="169"/>
      <c r="O117" s="169"/>
    </row>
    <row r="118" spans="1:15" x14ac:dyDescent="0.2">
      <c r="A118" s="210" t="s">
        <v>809</v>
      </c>
      <c r="B118" s="221">
        <v>3686</v>
      </c>
      <c r="C118" s="218">
        <v>3830</v>
      </c>
      <c r="D118" s="228">
        <v>3907</v>
      </c>
      <c r="E118" s="221">
        <v>4102</v>
      </c>
      <c r="F118" s="221">
        <v>4185</v>
      </c>
      <c r="G118" s="222">
        <f t="shared" si="2"/>
        <v>502.2</v>
      </c>
      <c r="H118" s="221">
        <v>4352</v>
      </c>
      <c r="J118" s="234">
        <f t="shared" si="3"/>
        <v>4240.7666666666673</v>
      </c>
      <c r="K118" s="169"/>
      <c r="L118" s="223"/>
      <c r="M118" s="169"/>
      <c r="N118" s="169"/>
      <c r="O118" s="169"/>
    </row>
    <row r="119" spans="1:15" x14ac:dyDescent="0.2">
      <c r="A119" s="210" t="s">
        <v>812</v>
      </c>
      <c r="B119" s="221">
        <v>3755</v>
      </c>
      <c r="C119" s="218">
        <v>3902</v>
      </c>
      <c r="D119" s="228">
        <v>3981</v>
      </c>
      <c r="E119" s="221">
        <v>4180</v>
      </c>
      <c r="F119" s="221">
        <v>4263</v>
      </c>
      <c r="G119" s="222">
        <f t="shared" si="2"/>
        <v>511.56</v>
      </c>
      <c r="H119" s="221">
        <v>4434</v>
      </c>
      <c r="J119" s="234">
        <f t="shared" si="3"/>
        <v>4319.88</v>
      </c>
      <c r="K119" s="169"/>
      <c r="L119" s="223"/>
      <c r="M119" s="169"/>
      <c r="N119" s="169"/>
      <c r="O119" s="169"/>
    </row>
    <row r="120" spans="1:15" x14ac:dyDescent="0.2">
      <c r="A120" s="210" t="s">
        <v>815</v>
      </c>
      <c r="B120" s="221">
        <v>3826</v>
      </c>
      <c r="C120" s="218">
        <v>3983</v>
      </c>
      <c r="D120" s="228">
        <v>4063</v>
      </c>
      <c r="E120" s="221">
        <v>4266</v>
      </c>
      <c r="F120" s="221">
        <v>4351</v>
      </c>
      <c r="G120" s="222">
        <f t="shared" si="2"/>
        <v>522.12</v>
      </c>
      <c r="H120" s="221">
        <v>4525</v>
      </c>
      <c r="J120" s="234">
        <f t="shared" si="3"/>
        <v>4409.01</v>
      </c>
      <c r="K120" s="169"/>
      <c r="L120" s="223"/>
      <c r="M120" s="169"/>
      <c r="N120" s="169"/>
      <c r="O120" s="169"/>
    </row>
    <row r="121" spans="1:15" x14ac:dyDescent="0.2">
      <c r="A121" s="210" t="s">
        <v>818</v>
      </c>
      <c r="B121" s="221">
        <v>3905</v>
      </c>
      <c r="C121" s="218">
        <v>4066</v>
      </c>
      <c r="D121" s="228">
        <v>4147</v>
      </c>
      <c r="E121" s="221">
        <v>4354</v>
      </c>
      <c r="F121" s="221">
        <v>4442</v>
      </c>
      <c r="G121" s="222">
        <f t="shared" si="2"/>
        <v>533.04</v>
      </c>
      <c r="H121" s="221">
        <v>4619</v>
      </c>
      <c r="J121" s="234">
        <f t="shared" si="3"/>
        <v>4501.17</v>
      </c>
      <c r="K121" s="169"/>
      <c r="L121" s="223"/>
      <c r="M121" s="169"/>
      <c r="N121" s="169"/>
      <c r="O121" s="169"/>
    </row>
    <row r="122" spans="1:15" x14ac:dyDescent="0.2">
      <c r="A122" s="210" t="s">
        <v>820</v>
      </c>
      <c r="B122" s="221">
        <v>3986</v>
      </c>
      <c r="C122" s="218">
        <v>4148</v>
      </c>
      <c r="D122" s="228">
        <v>4231</v>
      </c>
      <c r="E122" s="221">
        <v>4442</v>
      </c>
      <c r="F122" s="221">
        <v>4531</v>
      </c>
      <c r="G122" s="222">
        <f t="shared" si="2"/>
        <v>543.72</v>
      </c>
      <c r="H122" s="221">
        <v>4712</v>
      </c>
      <c r="J122" s="234">
        <f t="shared" si="3"/>
        <v>4591.3933333333334</v>
      </c>
      <c r="K122" s="169"/>
      <c r="L122" s="223"/>
      <c r="M122" s="169"/>
      <c r="N122" s="169"/>
      <c r="O122" s="169"/>
    </row>
    <row r="123" spans="1:15" x14ac:dyDescent="0.2">
      <c r="A123" s="210" t="s">
        <v>822</v>
      </c>
      <c r="B123" s="221">
        <v>4066</v>
      </c>
      <c r="C123" s="218">
        <v>4221</v>
      </c>
      <c r="D123" s="228">
        <v>4305</v>
      </c>
      <c r="E123" s="221">
        <v>4520</v>
      </c>
      <c r="F123" s="221">
        <v>4611</v>
      </c>
      <c r="G123" s="222">
        <f t="shared" si="2"/>
        <v>553.32000000000005</v>
      </c>
      <c r="H123" s="221">
        <v>4795</v>
      </c>
      <c r="J123" s="234">
        <f t="shared" si="3"/>
        <v>4672.4433333333327</v>
      </c>
      <c r="K123" s="169"/>
      <c r="L123" s="223"/>
      <c r="M123" s="169"/>
      <c r="N123" s="169"/>
      <c r="O123" s="169"/>
    </row>
    <row r="124" spans="1:15" x14ac:dyDescent="0.2">
      <c r="A124" s="210" t="s">
        <v>824</v>
      </c>
      <c r="B124" s="221">
        <v>4138</v>
      </c>
      <c r="C124" s="218">
        <v>4302</v>
      </c>
      <c r="D124" s="228">
        <v>4388</v>
      </c>
      <c r="E124" s="221">
        <v>4607</v>
      </c>
      <c r="F124" s="221">
        <v>4699</v>
      </c>
      <c r="G124" s="222">
        <f t="shared" si="2"/>
        <v>563.88</v>
      </c>
      <c r="H124" s="221">
        <v>4887</v>
      </c>
      <c r="J124" s="234">
        <f t="shared" si="3"/>
        <v>4761.6566666666658</v>
      </c>
      <c r="K124" s="169"/>
      <c r="L124" s="223"/>
      <c r="M124" s="169"/>
      <c r="N124" s="169"/>
      <c r="O124" s="169"/>
    </row>
    <row r="125" spans="1:15" x14ac:dyDescent="0.2">
      <c r="A125" s="210" t="s">
        <v>43</v>
      </c>
      <c r="B125" s="221">
        <v>4218</v>
      </c>
      <c r="C125" s="218">
        <v>4381</v>
      </c>
      <c r="D125" s="228">
        <v>4468</v>
      </c>
      <c r="E125" s="221">
        <v>4692</v>
      </c>
      <c r="F125" s="221">
        <v>4785</v>
      </c>
      <c r="G125" s="222">
        <f t="shared" si="2"/>
        <v>574.20000000000005</v>
      </c>
      <c r="H125" s="221">
        <v>4977</v>
      </c>
      <c r="J125" s="234">
        <f t="shared" si="3"/>
        <v>4848.8500000000004</v>
      </c>
      <c r="K125" s="169">
        <f>J125*0.93</f>
        <v>4509.4305000000004</v>
      </c>
      <c r="L125" s="223"/>
      <c r="M125" s="169"/>
      <c r="N125" s="169"/>
      <c r="O125" s="169"/>
    </row>
    <row r="126" spans="1:15" x14ac:dyDescent="0.2">
      <c r="D126" s="169"/>
      <c r="E126" s="226"/>
      <c r="F126" s="226"/>
      <c r="G126" s="222"/>
      <c r="H126" s="217"/>
      <c r="J126" s="234">
        <f t="shared" si="3"/>
        <v>0</v>
      </c>
      <c r="K126" s="169"/>
      <c r="L126" s="223"/>
      <c r="M126" s="169"/>
      <c r="N126" s="169"/>
      <c r="O126" s="169"/>
    </row>
    <row r="127" spans="1:15" x14ac:dyDescent="0.2">
      <c r="A127" s="210" t="s">
        <v>831</v>
      </c>
      <c r="B127" s="221">
        <v>3538</v>
      </c>
      <c r="C127" s="218">
        <v>3760</v>
      </c>
      <c r="D127" s="228">
        <v>3835</v>
      </c>
      <c r="E127" s="221">
        <v>4027</v>
      </c>
      <c r="F127" s="221">
        <v>4108</v>
      </c>
      <c r="G127" s="222">
        <f t="shared" si="2"/>
        <v>492.96000000000004</v>
      </c>
      <c r="H127" s="221">
        <v>4272</v>
      </c>
      <c r="J127" s="234">
        <f t="shared" si="3"/>
        <v>4162.746666666666</v>
      </c>
      <c r="K127" s="169"/>
      <c r="L127" s="223"/>
      <c r="M127" s="58"/>
      <c r="N127" s="169"/>
      <c r="O127" s="169"/>
    </row>
    <row r="128" spans="1:15" x14ac:dyDescent="0.2">
      <c r="A128" s="210" t="s">
        <v>833</v>
      </c>
      <c r="B128" s="221">
        <v>3686</v>
      </c>
      <c r="C128" s="218">
        <v>3902</v>
      </c>
      <c r="D128" s="228">
        <v>3981</v>
      </c>
      <c r="E128" s="221">
        <v>4180</v>
      </c>
      <c r="F128" s="221">
        <v>4263</v>
      </c>
      <c r="G128" s="222">
        <f t="shared" si="2"/>
        <v>511.56</v>
      </c>
      <c r="H128" s="221">
        <v>4434</v>
      </c>
      <c r="J128" s="234">
        <f t="shared" si="3"/>
        <v>4319.88</v>
      </c>
      <c r="K128" s="169"/>
      <c r="L128" s="223"/>
      <c r="M128" s="169"/>
      <c r="N128" s="169"/>
      <c r="O128" s="169"/>
    </row>
    <row r="129" spans="1:15" x14ac:dyDescent="0.2">
      <c r="A129" s="210" t="s">
        <v>836</v>
      </c>
      <c r="B129" s="221">
        <v>3826</v>
      </c>
      <c r="C129" s="218">
        <v>4066</v>
      </c>
      <c r="D129" s="228">
        <v>4147</v>
      </c>
      <c r="E129" s="221">
        <v>4354</v>
      </c>
      <c r="F129" s="221">
        <v>4442</v>
      </c>
      <c r="G129" s="222">
        <f t="shared" si="2"/>
        <v>533.04</v>
      </c>
      <c r="H129" s="221">
        <v>4619</v>
      </c>
      <c r="J129" s="234">
        <f t="shared" si="3"/>
        <v>4501.17</v>
      </c>
      <c r="K129" s="169"/>
      <c r="L129" s="223"/>
      <c r="M129" s="169"/>
      <c r="N129" s="169"/>
      <c r="O129" s="169"/>
    </row>
    <row r="130" spans="1:15" x14ac:dyDescent="0.2">
      <c r="A130" s="210" t="s">
        <v>838</v>
      </c>
      <c r="B130" s="221">
        <v>3986</v>
      </c>
      <c r="C130" s="218">
        <v>4221</v>
      </c>
      <c r="D130" s="228">
        <v>4305</v>
      </c>
      <c r="E130" s="221">
        <v>4520</v>
      </c>
      <c r="F130" s="221">
        <v>4611</v>
      </c>
      <c r="G130" s="222">
        <f t="shared" si="2"/>
        <v>553.32000000000005</v>
      </c>
      <c r="H130" s="221">
        <v>4795</v>
      </c>
      <c r="J130" s="234">
        <f t="shared" si="3"/>
        <v>4672.4433333333327</v>
      </c>
      <c r="K130" s="169"/>
      <c r="L130" s="223"/>
      <c r="M130" s="169"/>
      <c r="N130" s="169"/>
      <c r="O130" s="169"/>
    </row>
    <row r="131" spans="1:15" x14ac:dyDescent="0.2">
      <c r="A131" s="210" t="s">
        <v>840</v>
      </c>
      <c r="B131" s="221">
        <v>4138</v>
      </c>
      <c r="C131" s="218">
        <v>4381</v>
      </c>
      <c r="D131" s="228">
        <v>4468</v>
      </c>
      <c r="E131" s="221">
        <v>4692</v>
      </c>
      <c r="F131" s="221">
        <v>4785</v>
      </c>
      <c r="G131" s="222">
        <f t="shared" si="2"/>
        <v>574.20000000000005</v>
      </c>
      <c r="H131" s="221">
        <v>4977</v>
      </c>
      <c r="J131" s="234">
        <f t="shared" si="3"/>
        <v>4848.8500000000004</v>
      </c>
      <c r="K131" s="169"/>
      <c r="L131" s="223"/>
      <c r="M131" s="169"/>
      <c r="N131" s="169"/>
      <c r="O131" s="169"/>
    </row>
    <row r="132" spans="1:15" x14ac:dyDescent="0.2">
      <c r="A132" s="210" t="s">
        <v>842</v>
      </c>
      <c r="B132" s="221">
        <v>4295</v>
      </c>
      <c r="C132" s="218">
        <v>4534</v>
      </c>
      <c r="D132" s="228">
        <v>4624</v>
      </c>
      <c r="E132" s="221">
        <v>4856</v>
      </c>
      <c r="F132" s="221">
        <v>4953</v>
      </c>
      <c r="G132" s="222">
        <f t="shared" si="2"/>
        <v>594.36</v>
      </c>
      <c r="H132" s="221">
        <v>5151</v>
      </c>
      <c r="J132" s="234">
        <f t="shared" si="3"/>
        <v>5019.03</v>
      </c>
      <c r="K132" s="169"/>
      <c r="L132" s="223"/>
      <c r="M132" s="169"/>
      <c r="N132" s="169"/>
      <c r="O132" s="169"/>
    </row>
    <row r="133" spans="1:15" x14ac:dyDescent="0.2">
      <c r="A133" s="210" t="s">
        <v>844</v>
      </c>
      <c r="B133" s="221">
        <v>4445</v>
      </c>
      <c r="C133" s="218">
        <v>4602</v>
      </c>
      <c r="D133" s="228">
        <v>4694</v>
      </c>
      <c r="E133" s="221">
        <v>4928</v>
      </c>
      <c r="F133" s="221">
        <v>5027</v>
      </c>
      <c r="G133" s="222">
        <f t="shared" ref="G133:G196" si="4">F133*12*0.01</f>
        <v>603.24</v>
      </c>
      <c r="H133" s="221">
        <v>5228</v>
      </c>
      <c r="J133" s="234">
        <f t="shared" ref="J133:J196" si="5">11/12*F133+1/12*H133+G133/12</f>
        <v>5094.0200000000004</v>
      </c>
      <c r="K133" s="169"/>
      <c r="L133" s="223"/>
      <c r="M133" s="169"/>
      <c r="N133" s="169"/>
      <c r="O133" s="169"/>
    </row>
    <row r="134" spans="1:15" x14ac:dyDescent="0.2">
      <c r="A134" s="210" t="s">
        <v>846</v>
      </c>
      <c r="B134" s="221">
        <v>4511</v>
      </c>
      <c r="C134" s="218">
        <v>4671</v>
      </c>
      <c r="D134" s="228">
        <v>4765</v>
      </c>
      <c r="E134" s="221">
        <v>5003</v>
      </c>
      <c r="F134" s="221">
        <v>5103</v>
      </c>
      <c r="G134" s="222">
        <f t="shared" si="4"/>
        <v>612.36</v>
      </c>
      <c r="H134" s="221">
        <v>5307</v>
      </c>
      <c r="J134" s="234">
        <f t="shared" si="5"/>
        <v>5171.03</v>
      </c>
      <c r="K134" s="169"/>
      <c r="L134" s="223"/>
      <c r="M134" s="169"/>
      <c r="N134" s="169"/>
      <c r="O134" s="169"/>
    </row>
    <row r="135" spans="1:15" x14ac:dyDescent="0.2">
      <c r="A135" s="210" t="s">
        <v>847</v>
      </c>
      <c r="B135" s="221">
        <v>4580</v>
      </c>
      <c r="C135" s="218">
        <v>4743</v>
      </c>
      <c r="D135" s="228">
        <v>4838</v>
      </c>
      <c r="E135" s="221">
        <v>5080</v>
      </c>
      <c r="F135" s="221">
        <v>5181</v>
      </c>
      <c r="G135" s="222">
        <f t="shared" si="4"/>
        <v>621.72</v>
      </c>
      <c r="H135" s="221">
        <v>5388</v>
      </c>
      <c r="J135" s="234">
        <f t="shared" si="5"/>
        <v>5250.06</v>
      </c>
      <c r="K135" s="169"/>
      <c r="L135" s="223"/>
      <c r="M135" s="169"/>
      <c r="N135" s="169"/>
      <c r="O135" s="169"/>
    </row>
    <row r="136" spans="1:15" x14ac:dyDescent="0.2">
      <c r="A136" s="210" t="s">
        <v>848</v>
      </c>
      <c r="B136" s="221">
        <v>4650</v>
      </c>
      <c r="C136" s="218">
        <v>4812</v>
      </c>
      <c r="D136" s="228">
        <v>4908</v>
      </c>
      <c r="E136" s="221">
        <v>5153</v>
      </c>
      <c r="F136" s="221">
        <v>5257</v>
      </c>
      <c r="G136" s="222">
        <f t="shared" si="4"/>
        <v>630.84</v>
      </c>
      <c r="H136" s="221">
        <v>5467</v>
      </c>
      <c r="J136" s="234">
        <f t="shared" si="5"/>
        <v>5327.0699999999988</v>
      </c>
      <c r="K136" s="169"/>
      <c r="L136" s="223"/>
      <c r="M136" s="169"/>
      <c r="N136" s="169"/>
      <c r="O136" s="169"/>
    </row>
    <row r="137" spans="1:15" x14ac:dyDescent="0.2">
      <c r="A137" s="210" t="s">
        <v>47</v>
      </c>
      <c r="B137" s="221">
        <v>4717</v>
      </c>
      <c r="C137" s="218">
        <v>4883</v>
      </c>
      <c r="D137" s="228">
        <v>4981</v>
      </c>
      <c r="E137" s="221">
        <v>5230</v>
      </c>
      <c r="F137" s="221">
        <v>5335</v>
      </c>
      <c r="G137" s="222">
        <f t="shared" si="4"/>
        <v>640.20000000000005</v>
      </c>
      <c r="H137" s="221">
        <v>5548</v>
      </c>
      <c r="J137" s="234">
        <f t="shared" si="5"/>
        <v>5406.0999999999995</v>
      </c>
      <c r="K137" s="169"/>
      <c r="L137" s="223"/>
      <c r="M137" s="169"/>
      <c r="N137" s="169"/>
      <c r="O137" s="169"/>
    </row>
    <row r="138" spans="1:15" x14ac:dyDescent="0.2">
      <c r="D138" s="169"/>
      <c r="E138" s="226"/>
      <c r="F138" s="226"/>
      <c r="G138" s="222"/>
      <c r="H138" s="217"/>
      <c r="J138" s="234">
        <f t="shared" si="5"/>
        <v>0</v>
      </c>
      <c r="K138" s="169"/>
      <c r="L138" s="223"/>
      <c r="M138" s="169"/>
      <c r="N138" s="169"/>
      <c r="O138" s="169"/>
    </row>
    <row r="139" spans="1:15" x14ac:dyDescent="0.2">
      <c r="A139" s="210" t="s">
        <v>851</v>
      </c>
      <c r="B139" s="221">
        <v>4138</v>
      </c>
      <c r="C139" s="218">
        <v>4381</v>
      </c>
      <c r="D139" s="228">
        <v>4468</v>
      </c>
      <c r="E139" s="221">
        <v>4692</v>
      </c>
      <c r="F139" s="221">
        <v>4785</v>
      </c>
      <c r="G139" s="222">
        <f t="shared" si="4"/>
        <v>574.20000000000005</v>
      </c>
      <c r="H139" s="221">
        <v>4977</v>
      </c>
      <c r="J139" s="234">
        <f t="shared" si="5"/>
        <v>4848.8500000000004</v>
      </c>
      <c r="K139" s="169"/>
      <c r="L139" s="223"/>
      <c r="M139" s="58"/>
      <c r="N139" s="169"/>
      <c r="O139" s="169"/>
    </row>
    <row r="140" spans="1:15" x14ac:dyDescent="0.2">
      <c r="A140" s="210" t="s">
        <v>853</v>
      </c>
      <c r="B140" s="221">
        <v>4295</v>
      </c>
      <c r="C140" s="218">
        <v>4534</v>
      </c>
      <c r="D140" s="228">
        <v>4624</v>
      </c>
      <c r="E140" s="221">
        <v>4856</v>
      </c>
      <c r="F140" s="221">
        <v>4953</v>
      </c>
      <c r="G140" s="222">
        <f t="shared" si="4"/>
        <v>594.36</v>
      </c>
      <c r="H140" s="221">
        <v>5151</v>
      </c>
      <c r="J140" s="234">
        <f t="shared" si="5"/>
        <v>5019.03</v>
      </c>
      <c r="K140" s="169"/>
      <c r="L140" s="223"/>
      <c r="M140" s="169"/>
      <c r="N140" s="169"/>
      <c r="O140" s="169"/>
    </row>
    <row r="141" spans="1:15" x14ac:dyDescent="0.2">
      <c r="A141" s="210" t="s">
        <v>856</v>
      </c>
      <c r="B141" s="221">
        <v>4445</v>
      </c>
      <c r="C141" s="218">
        <v>4671</v>
      </c>
      <c r="D141" s="228">
        <v>4765</v>
      </c>
      <c r="E141" s="221">
        <v>5003</v>
      </c>
      <c r="F141" s="221">
        <v>5103</v>
      </c>
      <c r="G141" s="222">
        <f t="shared" si="4"/>
        <v>612.36</v>
      </c>
      <c r="H141" s="221">
        <v>5307</v>
      </c>
      <c r="J141" s="234">
        <f t="shared" si="5"/>
        <v>5171.03</v>
      </c>
      <c r="K141" s="169"/>
      <c r="L141" s="223"/>
      <c r="M141" s="169"/>
      <c r="N141" s="169"/>
      <c r="O141" s="169"/>
    </row>
    <row r="142" spans="1:15" x14ac:dyDescent="0.2">
      <c r="A142" s="210" t="s">
        <v>858</v>
      </c>
      <c r="B142" s="221">
        <v>4580</v>
      </c>
      <c r="C142" s="218">
        <v>4812</v>
      </c>
      <c r="D142" s="228">
        <v>4908</v>
      </c>
      <c r="E142" s="221">
        <v>5153</v>
      </c>
      <c r="F142" s="221">
        <v>5257</v>
      </c>
      <c r="G142" s="222">
        <f t="shared" si="4"/>
        <v>630.84</v>
      </c>
      <c r="H142" s="221">
        <v>5467</v>
      </c>
      <c r="J142" s="234">
        <f t="shared" si="5"/>
        <v>5327.0699999999988</v>
      </c>
      <c r="K142" s="169"/>
      <c r="L142" s="223"/>
      <c r="M142" s="169"/>
      <c r="N142" s="169"/>
      <c r="O142" s="169"/>
    </row>
    <row r="143" spans="1:15" x14ac:dyDescent="0.2">
      <c r="A143" s="210" t="s">
        <v>861</v>
      </c>
      <c r="B143" s="221">
        <v>4717</v>
      </c>
      <c r="C143" s="218">
        <v>4955</v>
      </c>
      <c r="D143" s="228">
        <v>5054</v>
      </c>
      <c r="E143" s="221">
        <v>5307</v>
      </c>
      <c r="F143" s="221">
        <v>5413</v>
      </c>
      <c r="G143" s="222">
        <f t="shared" si="4"/>
        <v>649.56000000000006</v>
      </c>
      <c r="H143" s="221">
        <v>5629</v>
      </c>
      <c r="J143" s="234">
        <f t="shared" si="5"/>
        <v>5485.1299999999992</v>
      </c>
      <c r="K143" s="169"/>
      <c r="L143" s="223"/>
      <c r="M143" s="169"/>
      <c r="N143" s="169"/>
      <c r="O143" s="169"/>
    </row>
    <row r="144" spans="1:15" x14ac:dyDescent="0.2">
      <c r="A144" s="210" t="s">
        <v>864</v>
      </c>
      <c r="B144" s="221">
        <v>4858</v>
      </c>
      <c r="C144" s="218">
        <v>5096</v>
      </c>
      <c r="D144" s="228">
        <v>5198</v>
      </c>
      <c r="E144" s="221">
        <v>5458</v>
      </c>
      <c r="F144" s="221">
        <v>5567</v>
      </c>
      <c r="G144" s="222">
        <f t="shared" si="4"/>
        <v>668.04</v>
      </c>
      <c r="H144" s="221">
        <v>5790</v>
      </c>
      <c r="J144" s="234">
        <f t="shared" si="5"/>
        <v>5641.2533333333331</v>
      </c>
      <c r="K144" s="169"/>
      <c r="L144" s="223"/>
      <c r="M144" s="169"/>
      <c r="N144" s="169"/>
      <c r="O144" s="169"/>
    </row>
    <row r="145" spans="1:15" x14ac:dyDescent="0.2">
      <c r="A145" s="210" t="s">
        <v>867</v>
      </c>
      <c r="B145" s="221">
        <v>4996</v>
      </c>
      <c r="C145" s="218">
        <v>5238</v>
      </c>
      <c r="D145" s="228">
        <v>5343</v>
      </c>
      <c r="E145" s="221">
        <v>5610</v>
      </c>
      <c r="F145" s="221">
        <v>5722</v>
      </c>
      <c r="G145" s="222">
        <f t="shared" si="4"/>
        <v>686.64</v>
      </c>
      <c r="H145" s="221">
        <v>5951</v>
      </c>
      <c r="J145" s="234">
        <f t="shared" si="5"/>
        <v>5798.3033333333333</v>
      </c>
      <c r="K145" s="169"/>
      <c r="L145" s="223"/>
      <c r="M145" s="169"/>
      <c r="N145" s="169"/>
      <c r="O145" s="169"/>
    </row>
    <row r="146" spans="1:15" x14ac:dyDescent="0.2">
      <c r="A146" s="210" t="s">
        <v>870</v>
      </c>
      <c r="B146" s="221">
        <v>5136</v>
      </c>
      <c r="C146" s="218">
        <v>5381</v>
      </c>
      <c r="D146" s="228">
        <v>5489</v>
      </c>
      <c r="E146" s="221">
        <v>5763</v>
      </c>
      <c r="F146" s="221">
        <v>5879</v>
      </c>
      <c r="G146" s="222">
        <f t="shared" si="4"/>
        <v>705.48</v>
      </c>
      <c r="H146" s="221">
        <v>6114</v>
      </c>
      <c r="J146" s="234">
        <f t="shared" si="5"/>
        <v>5957.373333333333</v>
      </c>
      <c r="K146" s="169"/>
      <c r="L146" s="223"/>
      <c r="M146" s="169"/>
      <c r="N146" s="169"/>
      <c r="O146" s="169"/>
    </row>
    <row r="147" spans="1:15" x14ac:dyDescent="0.2">
      <c r="A147" s="210" t="s">
        <v>873</v>
      </c>
      <c r="B147" s="221">
        <v>5276</v>
      </c>
      <c r="C147" s="218">
        <v>5450</v>
      </c>
      <c r="D147" s="228">
        <v>5559</v>
      </c>
      <c r="E147" s="221">
        <v>5837</v>
      </c>
      <c r="F147" s="221">
        <v>5954</v>
      </c>
      <c r="G147" s="222">
        <f t="shared" si="4"/>
        <v>714.48</v>
      </c>
      <c r="H147" s="221">
        <v>6192</v>
      </c>
      <c r="J147" s="234">
        <f t="shared" si="5"/>
        <v>6033.373333333333</v>
      </c>
      <c r="K147" s="169"/>
      <c r="L147" s="223"/>
      <c r="M147" s="169"/>
      <c r="N147" s="169"/>
      <c r="O147" s="169"/>
    </row>
    <row r="148" spans="1:15" x14ac:dyDescent="0.2">
      <c r="A148" s="210" t="s">
        <v>875</v>
      </c>
      <c r="B148" s="221">
        <v>5343</v>
      </c>
      <c r="C148" s="218">
        <v>5521</v>
      </c>
      <c r="D148" s="228">
        <v>5631</v>
      </c>
      <c r="E148" s="221">
        <v>5913</v>
      </c>
      <c r="F148" s="221">
        <v>6031</v>
      </c>
      <c r="G148" s="222">
        <f t="shared" si="4"/>
        <v>723.72</v>
      </c>
      <c r="H148" s="221">
        <v>6271</v>
      </c>
      <c r="J148" s="234">
        <f t="shared" si="5"/>
        <v>6111.3099999999995</v>
      </c>
      <c r="K148" s="169"/>
      <c r="L148" s="223"/>
      <c r="M148" s="169"/>
      <c r="N148" s="169"/>
      <c r="O148" s="169"/>
    </row>
    <row r="149" spans="1:15" x14ac:dyDescent="0.2">
      <c r="A149" s="210" t="s">
        <v>878</v>
      </c>
      <c r="B149" s="221">
        <v>5413</v>
      </c>
      <c r="C149" s="218">
        <v>5594</v>
      </c>
      <c r="D149" s="228">
        <v>5706</v>
      </c>
      <c r="E149" s="221">
        <v>5991</v>
      </c>
      <c r="F149" s="221">
        <v>6111</v>
      </c>
      <c r="G149" s="222">
        <f t="shared" si="4"/>
        <v>733.32</v>
      </c>
      <c r="H149" s="221">
        <v>6351</v>
      </c>
      <c r="J149" s="234">
        <f t="shared" si="5"/>
        <v>6192.11</v>
      </c>
      <c r="K149" s="169"/>
      <c r="L149" s="223"/>
      <c r="M149" s="169"/>
      <c r="N149" s="169"/>
      <c r="O149" s="169"/>
    </row>
    <row r="150" spans="1:15" x14ac:dyDescent="0.2">
      <c r="A150" s="210" t="s">
        <v>880</v>
      </c>
      <c r="B150" s="221">
        <v>5484</v>
      </c>
      <c r="C150" s="218">
        <v>5664</v>
      </c>
      <c r="D150" s="228">
        <v>5777</v>
      </c>
      <c r="E150" s="221">
        <v>6066</v>
      </c>
      <c r="F150" s="221">
        <v>6187</v>
      </c>
      <c r="G150" s="222">
        <f t="shared" si="4"/>
        <v>742.44</v>
      </c>
      <c r="H150" s="221">
        <v>6427</v>
      </c>
      <c r="J150" s="234">
        <f t="shared" si="5"/>
        <v>6268.869999999999</v>
      </c>
      <c r="K150" s="169"/>
      <c r="L150" s="223"/>
      <c r="M150" s="169"/>
      <c r="N150" s="169"/>
      <c r="O150" s="169"/>
    </row>
    <row r="151" spans="1:15" x14ac:dyDescent="0.2">
      <c r="A151" s="210" t="s">
        <v>51</v>
      </c>
      <c r="B151" s="221">
        <v>5553</v>
      </c>
      <c r="C151" s="218">
        <v>5734</v>
      </c>
      <c r="D151" s="228">
        <v>5848</v>
      </c>
      <c r="E151" s="221">
        <v>6141</v>
      </c>
      <c r="F151" s="221">
        <v>6264</v>
      </c>
      <c r="G151" s="222">
        <f t="shared" si="4"/>
        <v>751.68000000000006</v>
      </c>
      <c r="H151" s="221">
        <v>6504</v>
      </c>
      <c r="J151" s="234">
        <f t="shared" si="5"/>
        <v>6346.64</v>
      </c>
      <c r="K151" s="169">
        <f>J151*0.93</f>
        <v>5902.3752000000004</v>
      </c>
      <c r="L151" s="223"/>
      <c r="M151" s="169"/>
      <c r="N151" s="169"/>
      <c r="O151" s="169"/>
    </row>
    <row r="152" spans="1:15" x14ac:dyDescent="0.2">
      <c r="D152" s="169"/>
      <c r="E152" s="226"/>
      <c r="F152" s="226"/>
      <c r="G152" s="222"/>
      <c r="H152" s="217"/>
      <c r="J152" s="234">
        <f t="shared" si="5"/>
        <v>0</v>
      </c>
      <c r="K152" s="169"/>
      <c r="L152" s="223"/>
      <c r="M152" s="169"/>
      <c r="N152" s="169"/>
      <c r="O152" s="169"/>
    </row>
    <row r="153" spans="1:15" x14ac:dyDescent="0.2">
      <c r="A153" s="210" t="s">
        <v>887</v>
      </c>
      <c r="B153" s="221">
        <v>4858</v>
      </c>
      <c r="C153" s="218">
        <v>4955</v>
      </c>
      <c r="D153" s="228">
        <v>5054</v>
      </c>
      <c r="E153" s="221">
        <v>5307</v>
      </c>
      <c r="F153" s="221">
        <v>5413</v>
      </c>
      <c r="G153" s="222">
        <f t="shared" si="4"/>
        <v>649.56000000000006</v>
      </c>
      <c r="H153" s="221">
        <v>5629</v>
      </c>
      <c r="J153" s="234">
        <f t="shared" si="5"/>
        <v>5485.1299999999992</v>
      </c>
      <c r="K153" s="169"/>
      <c r="L153" s="223"/>
      <c r="M153" s="58"/>
      <c r="N153" s="169"/>
      <c r="O153" s="169"/>
    </row>
    <row r="154" spans="1:15" x14ac:dyDescent="0.2">
      <c r="A154" s="210" t="s">
        <v>890</v>
      </c>
      <c r="B154" s="221">
        <v>5068</v>
      </c>
      <c r="C154" s="218">
        <v>5169</v>
      </c>
      <c r="D154" s="228">
        <v>5273</v>
      </c>
      <c r="E154" s="221">
        <v>5536</v>
      </c>
      <c r="F154" s="221">
        <v>5647</v>
      </c>
      <c r="G154" s="222">
        <f t="shared" si="4"/>
        <v>677.64</v>
      </c>
      <c r="H154" s="221">
        <v>5873</v>
      </c>
      <c r="J154" s="234">
        <f t="shared" si="5"/>
        <v>5722.3033333333333</v>
      </c>
      <c r="K154" s="169"/>
      <c r="L154" s="223"/>
      <c r="M154" s="169"/>
      <c r="N154" s="169"/>
      <c r="O154" s="169"/>
    </row>
    <row r="155" spans="1:15" x14ac:dyDescent="0.2">
      <c r="A155" s="210" t="s">
        <v>893</v>
      </c>
      <c r="B155" s="221">
        <v>5276</v>
      </c>
      <c r="C155" s="218">
        <v>5381</v>
      </c>
      <c r="D155" s="228">
        <v>5489</v>
      </c>
      <c r="E155" s="221">
        <v>5763</v>
      </c>
      <c r="F155" s="221">
        <v>5879</v>
      </c>
      <c r="G155" s="222">
        <f t="shared" si="4"/>
        <v>705.48</v>
      </c>
      <c r="H155" s="221">
        <v>6114</v>
      </c>
      <c r="J155" s="234">
        <f t="shared" si="5"/>
        <v>5957.373333333333</v>
      </c>
      <c r="K155" s="169"/>
      <c r="L155" s="223"/>
      <c r="M155" s="169"/>
      <c r="N155" s="169"/>
      <c r="O155" s="169"/>
    </row>
    <row r="156" spans="1:15" x14ac:dyDescent="0.2">
      <c r="A156" s="210" t="s">
        <v>895</v>
      </c>
      <c r="B156" s="221">
        <v>5484</v>
      </c>
      <c r="C156" s="218">
        <v>5594</v>
      </c>
      <c r="D156" s="228">
        <v>5706</v>
      </c>
      <c r="E156" s="221">
        <v>5991</v>
      </c>
      <c r="F156" s="221">
        <v>6111</v>
      </c>
      <c r="G156" s="222">
        <f t="shared" si="4"/>
        <v>733.32</v>
      </c>
      <c r="H156" s="221">
        <v>6351</v>
      </c>
      <c r="J156" s="234">
        <f t="shared" si="5"/>
        <v>6192.11</v>
      </c>
      <c r="K156" s="169"/>
      <c r="L156" s="223"/>
      <c r="M156" s="169"/>
      <c r="N156" s="169"/>
      <c r="O156" s="169"/>
    </row>
    <row r="157" spans="1:15" x14ac:dyDescent="0.2">
      <c r="A157" s="210" t="s">
        <v>898</v>
      </c>
      <c r="B157" s="221">
        <v>5692</v>
      </c>
      <c r="C157" s="218">
        <v>5806</v>
      </c>
      <c r="D157" s="228">
        <v>5922</v>
      </c>
      <c r="E157" s="221">
        <v>6218</v>
      </c>
      <c r="F157" s="221">
        <v>6343</v>
      </c>
      <c r="G157" s="222">
        <f t="shared" si="4"/>
        <v>761.16</v>
      </c>
      <c r="H157" s="221">
        <v>6583</v>
      </c>
      <c r="J157" s="234">
        <f t="shared" si="5"/>
        <v>6426.4299999999994</v>
      </c>
      <c r="K157" s="169"/>
      <c r="L157" s="223"/>
      <c r="M157" s="169"/>
      <c r="N157" s="169"/>
      <c r="O157" s="169"/>
    </row>
    <row r="158" spans="1:15" x14ac:dyDescent="0.2">
      <c r="A158" s="210" t="s">
        <v>901</v>
      </c>
      <c r="B158" s="221">
        <v>5832</v>
      </c>
      <c r="C158" s="218">
        <v>5949</v>
      </c>
      <c r="D158" s="228">
        <v>6068</v>
      </c>
      <c r="E158" s="221">
        <v>6368</v>
      </c>
      <c r="F158" s="221">
        <v>6495</v>
      </c>
      <c r="G158" s="222">
        <f t="shared" si="4"/>
        <v>779.4</v>
      </c>
      <c r="H158" s="221">
        <v>6735</v>
      </c>
      <c r="J158" s="234">
        <f t="shared" si="5"/>
        <v>6579.95</v>
      </c>
      <c r="K158" s="169"/>
      <c r="L158" s="223"/>
      <c r="M158" s="169"/>
      <c r="N158" s="169"/>
      <c r="O158" s="169"/>
    </row>
    <row r="159" spans="1:15" x14ac:dyDescent="0.2">
      <c r="A159" s="210" t="s">
        <v>904</v>
      </c>
      <c r="B159" s="221">
        <v>6006</v>
      </c>
      <c r="C159" s="218">
        <v>6126</v>
      </c>
      <c r="D159" s="228">
        <v>6248</v>
      </c>
      <c r="E159" s="221">
        <v>6548</v>
      </c>
      <c r="F159" s="221">
        <v>6679</v>
      </c>
      <c r="G159" s="222">
        <f t="shared" si="4"/>
        <v>801.48</v>
      </c>
      <c r="H159" s="221">
        <v>6919</v>
      </c>
      <c r="J159" s="234">
        <f t="shared" si="5"/>
        <v>6765.7899999999991</v>
      </c>
      <c r="K159" s="169"/>
      <c r="L159" s="223"/>
      <c r="M159" s="169"/>
      <c r="N159" s="169"/>
      <c r="O159" s="169"/>
    </row>
    <row r="160" spans="1:15" x14ac:dyDescent="0.2">
      <c r="A160" s="210" t="s">
        <v>907</v>
      </c>
      <c r="B160" s="221">
        <v>6180</v>
      </c>
      <c r="C160" s="218">
        <v>6303</v>
      </c>
      <c r="D160" s="228">
        <v>6429</v>
      </c>
      <c r="E160" s="221">
        <v>6729</v>
      </c>
      <c r="F160" s="221">
        <v>6864</v>
      </c>
      <c r="G160" s="222">
        <f t="shared" si="4"/>
        <v>823.68000000000006</v>
      </c>
      <c r="H160" s="221">
        <v>7104</v>
      </c>
      <c r="J160" s="234">
        <f t="shared" si="5"/>
        <v>6952.64</v>
      </c>
      <c r="K160" s="169"/>
      <c r="L160" s="223"/>
      <c r="M160" s="169"/>
      <c r="N160" s="169"/>
      <c r="O160" s="169"/>
    </row>
    <row r="161" spans="1:15" x14ac:dyDescent="0.2">
      <c r="A161" s="210" t="s">
        <v>910</v>
      </c>
      <c r="B161" s="221">
        <v>6353</v>
      </c>
      <c r="C161" s="218">
        <v>6480</v>
      </c>
      <c r="D161" s="228">
        <v>6609</v>
      </c>
      <c r="E161" s="221">
        <v>6909</v>
      </c>
      <c r="F161" s="221">
        <v>7048</v>
      </c>
      <c r="G161" s="222">
        <f t="shared" si="4"/>
        <v>845.76</v>
      </c>
      <c r="H161" s="221">
        <v>7288</v>
      </c>
      <c r="J161" s="234">
        <f t="shared" si="5"/>
        <v>7138.4799999999987</v>
      </c>
      <c r="K161" s="169"/>
      <c r="L161" s="223"/>
      <c r="M161" s="169"/>
      <c r="N161" s="169"/>
      <c r="O161" s="169"/>
    </row>
    <row r="162" spans="1:15" x14ac:dyDescent="0.2">
      <c r="A162" s="210" t="s">
        <v>912</v>
      </c>
      <c r="B162" s="221">
        <v>6440</v>
      </c>
      <c r="C162" s="218">
        <v>6569</v>
      </c>
      <c r="D162" s="228">
        <v>6700</v>
      </c>
      <c r="E162" s="221">
        <v>7000</v>
      </c>
      <c r="F162" s="221">
        <v>7140</v>
      </c>
      <c r="G162" s="222">
        <f t="shared" si="4"/>
        <v>856.80000000000007</v>
      </c>
      <c r="H162" s="221">
        <v>7380</v>
      </c>
      <c r="J162" s="234">
        <f t="shared" si="5"/>
        <v>7231.4</v>
      </c>
      <c r="K162" s="169"/>
      <c r="L162" s="223"/>
      <c r="M162" s="169"/>
      <c r="N162" s="169"/>
      <c r="O162" s="169"/>
    </row>
    <row r="163" spans="1:15" x14ac:dyDescent="0.2">
      <c r="A163" s="210" t="s">
        <v>914</v>
      </c>
      <c r="B163" s="221">
        <v>6528</v>
      </c>
      <c r="C163" s="218">
        <v>6659</v>
      </c>
      <c r="D163" s="228">
        <v>6792</v>
      </c>
      <c r="E163" s="221">
        <v>7092</v>
      </c>
      <c r="F163" s="221">
        <v>7234</v>
      </c>
      <c r="G163" s="222">
        <f t="shared" si="4"/>
        <v>868.08</v>
      </c>
      <c r="H163" s="221">
        <v>7474</v>
      </c>
      <c r="J163" s="234">
        <f t="shared" si="5"/>
        <v>7326.3399999999992</v>
      </c>
      <c r="K163" s="169"/>
      <c r="L163" s="223"/>
      <c r="M163" s="169"/>
      <c r="N163" s="169"/>
      <c r="O163" s="169"/>
    </row>
    <row r="164" spans="1:15" x14ac:dyDescent="0.2">
      <c r="A164" s="210" t="s">
        <v>916</v>
      </c>
      <c r="B164" s="221">
        <v>6615</v>
      </c>
      <c r="C164" s="218">
        <v>6748</v>
      </c>
      <c r="D164" s="228">
        <v>6883</v>
      </c>
      <c r="E164" s="221">
        <v>7183</v>
      </c>
      <c r="F164" s="221">
        <v>7326</v>
      </c>
      <c r="G164" s="222">
        <f t="shared" si="4"/>
        <v>879.12</v>
      </c>
      <c r="H164" s="221">
        <v>7566</v>
      </c>
      <c r="J164" s="234">
        <f t="shared" si="5"/>
        <v>7419.26</v>
      </c>
      <c r="K164" s="169"/>
      <c r="L164" s="223"/>
      <c r="M164" s="169"/>
      <c r="N164" s="169"/>
      <c r="O164" s="169"/>
    </row>
    <row r="165" spans="1:15" x14ac:dyDescent="0.2">
      <c r="A165" s="210" t="s">
        <v>56</v>
      </c>
      <c r="B165" s="221">
        <v>6702</v>
      </c>
      <c r="C165" s="218">
        <v>6836</v>
      </c>
      <c r="D165" s="228">
        <v>6973</v>
      </c>
      <c r="E165" s="221">
        <v>7273</v>
      </c>
      <c r="F165" s="221">
        <v>7419</v>
      </c>
      <c r="G165" s="222">
        <f t="shared" si="4"/>
        <v>890.28</v>
      </c>
      <c r="H165" s="221">
        <v>7659</v>
      </c>
      <c r="J165" s="234">
        <f t="shared" si="5"/>
        <v>7513.19</v>
      </c>
      <c r="K165" s="169">
        <f>J165*0.93</f>
        <v>6987.2667000000001</v>
      </c>
      <c r="L165" s="223"/>
      <c r="M165" s="169"/>
      <c r="N165" s="169"/>
      <c r="O165" s="169"/>
    </row>
    <row r="166" spans="1:15" x14ac:dyDescent="0.2">
      <c r="D166" s="169"/>
      <c r="E166" s="226"/>
      <c r="F166" s="226"/>
      <c r="G166" s="222"/>
      <c r="H166" s="217"/>
      <c r="J166" s="234">
        <f t="shared" si="5"/>
        <v>0</v>
      </c>
      <c r="K166" s="169"/>
      <c r="L166" s="223"/>
      <c r="M166" s="169"/>
      <c r="N166" s="169"/>
      <c r="O166" s="169"/>
    </row>
    <row r="167" spans="1:15" x14ac:dyDescent="0.2">
      <c r="A167" s="210" t="s">
        <v>922</v>
      </c>
      <c r="B167" s="221">
        <v>5692</v>
      </c>
      <c r="C167" s="218">
        <v>5806</v>
      </c>
      <c r="D167" s="228">
        <v>5922</v>
      </c>
      <c r="E167" s="221">
        <v>6218</v>
      </c>
      <c r="F167" s="221">
        <v>6343</v>
      </c>
      <c r="G167" s="222">
        <f t="shared" si="4"/>
        <v>761.16</v>
      </c>
      <c r="H167" s="221">
        <v>6583</v>
      </c>
      <c r="J167" s="234">
        <f t="shared" si="5"/>
        <v>6426.4299999999994</v>
      </c>
      <c r="K167" s="169"/>
      <c r="L167" s="223"/>
      <c r="M167" s="58"/>
      <c r="N167" s="169"/>
      <c r="O167" s="169"/>
    </row>
    <row r="168" spans="1:15" x14ac:dyDescent="0.2">
      <c r="A168" s="210" t="s">
        <v>925</v>
      </c>
      <c r="B168" s="221">
        <v>5918</v>
      </c>
      <c r="C168" s="218">
        <v>6036</v>
      </c>
      <c r="D168" s="228">
        <v>6157</v>
      </c>
      <c r="E168" s="221">
        <v>6457</v>
      </c>
      <c r="F168" s="221">
        <v>6586</v>
      </c>
      <c r="G168" s="222">
        <f t="shared" si="4"/>
        <v>790.32</v>
      </c>
      <c r="H168" s="221">
        <v>6826</v>
      </c>
      <c r="J168" s="234">
        <f t="shared" si="5"/>
        <v>6671.8599999999988</v>
      </c>
      <c r="K168" s="169"/>
      <c r="L168" s="223"/>
      <c r="M168" s="169"/>
      <c r="N168" s="169"/>
      <c r="O168" s="169"/>
    </row>
    <row r="169" spans="1:15" x14ac:dyDescent="0.2">
      <c r="A169" s="210" t="s">
        <v>928</v>
      </c>
      <c r="B169" s="221">
        <v>6180</v>
      </c>
      <c r="C169" s="218">
        <v>6303</v>
      </c>
      <c r="D169" s="228">
        <v>6429</v>
      </c>
      <c r="E169" s="221">
        <v>6729</v>
      </c>
      <c r="F169" s="221">
        <v>6864</v>
      </c>
      <c r="G169" s="222">
        <f t="shared" si="4"/>
        <v>823.68000000000006</v>
      </c>
      <c r="H169" s="221">
        <v>7104</v>
      </c>
      <c r="J169" s="234">
        <f t="shared" si="5"/>
        <v>6952.64</v>
      </c>
      <c r="K169" s="169"/>
      <c r="L169" s="223"/>
      <c r="M169" s="169"/>
      <c r="N169" s="169"/>
      <c r="O169" s="169"/>
    </row>
    <row r="170" spans="1:15" x14ac:dyDescent="0.2">
      <c r="A170" s="210" t="s">
        <v>931</v>
      </c>
      <c r="B170" s="221">
        <v>6440</v>
      </c>
      <c r="C170" s="218">
        <v>6569</v>
      </c>
      <c r="D170" s="228">
        <v>6700</v>
      </c>
      <c r="E170" s="221">
        <v>7000</v>
      </c>
      <c r="F170" s="221">
        <v>7140</v>
      </c>
      <c r="G170" s="222">
        <f t="shared" si="4"/>
        <v>856.80000000000007</v>
      </c>
      <c r="H170" s="221">
        <v>7380</v>
      </c>
      <c r="J170" s="234">
        <f t="shared" si="5"/>
        <v>7231.4</v>
      </c>
      <c r="K170" s="169"/>
      <c r="L170" s="223"/>
      <c r="M170" s="169"/>
      <c r="N170" s="169"/>
      <c r="O170" s="169"/>
    </row>
    <row r="171" spans="1:15" x14ac:dyDescent="0.2">
      <c r="A171" s="210" t="s">
        <v>933</v>
      </c>
      <c r="B171" s="221">
        <v>6702</v>
      </c>
      <c r="C171" s="218">
        <v>6836</v>
      </c>
      <c r="D171" s="228">
        <v>6973</v>
      </c>
      <c r="E171" s="221">
        <v>7273</v>
      </c>
      <c r="F171" s="221">
        <v>7419</v>
      </c>
      <c r="G171" s="222">
        <f t="shared" si="4"/>
        <v>890.28</v>
      </c>
      <c r="H171" s="221">
        <v>7659</v>
      </c>
      <c r="J171" s="234">
        <f t="shared" si="5"/>
        <v>7513.19</v>
      </c>
      <c r="K171" s="169"/>
      <c r="L171" s="223"/>
      <c r="M171" s="169"/>
      <c r="N171" s="169"/>
      <c r="O171" s="169"/>
    </row>
    <row r="172" spans="1:15" x14ac:dyDescent="0.2">
      <c r="A172" s="210" t="s">
        <v>936</v>
      </c>
      <c r="B172" s="221">
        <v>6877</v>
      </c>
      <c r="C172" s="218">
        <v>7015</v>
      </c>
      <c r="D172" s="228">
        <v>7155</v>
      </c>
      <c r="E172" s="221">
        <v>7455</v>
      </c>
      <c r="F172" s="221">
        <v>7604</v>
      </c>
      <c r="G172" s="222">
        <f t="shared" si="4"/>
        <v>912.48</v>
      </c>
      <c r="H172" s="221">
        <v>7844</v>
      </c>
      <c r="J172" s="234">
        <f t="shared" si="5"/>
        <v>7700.04</v>
      </c>
      <c r="K172" s="169"/>
      <c r="L172" s="223"/>
      <c r="M172" s="169"/>
      <c r="N172" s="169"/>
      <c r="O172" s="169"/>
    </row>
    <row r="173" spans="1:15" x14ac:dyDescent="0.2">
      <c r="A173" s="210" t="s">
        <v>939</v>
      </c>
      <c r="B173" s="221">
        <v>7060</v>
      </c>
      <c r="C173" s="218">
        <v>7201</v>
      </c>
      <c r="D173" s="228">
        <v>7345</v>
      </c>
      <c r="E173" s="221">
        <v>7645</v>
      </c>
      <c r="F173" s="221">
        <v>7798</v>
      </c>
      <c r="G173" s="222">
        <f t="shared" si="4"/>
        <v>935.76</v>
      </c>
      <c r="H173" s="221">
        <v>8038</v>
      </c>
      <c r="J173" s="234">
        <f t="shared" si="5"/>
        <v>7895.9799999999987</v>
      </c>
      <c r="K173" s="169"/>
      <c r="L173" s="223"/>
      <c r="M173" s="169"/>
      <c r="N173" s="169"/>
      <c r="O173" s="169"/>
    </row>
    <row r="174" spans="1:15" x14ac:dyDescent="0.2">
      <c r="A174" s="210" t="s">
        <v>942</v>
      </c>
      <c r="B174" s="221">
        <v>7254</v>
      </c>
      <c r="C174" s="218">
        <v>7399</v>
      </c>
      <c r="D174" s="228">
        <v>7547</v>
      </c>
      <c r="E174" s="221">
        <v>7847</v>
      </c>
      <c r="F174" s="221">
        <v>8004</v>
      </c>
      <c r="G174" s="222">
        <f t="shared" si="4"/>
        <v>960.48</v>
      </c>
      <c r="H174" s="221">
        <v>8244</v>
      </c>
      <c r="J174" s="234">
        <f t="shared" si="5"/>
        <v>8104.04</v>
      </c>
      <c r="K174" s="169"/>
      <c r="L174" s="223"/>
      <c r="M174" s="169"/>
      <c r="N174" s="169"/>
      <c r="O174" s="169"/>
    </row>
    <row r="175" spans="1:15" x14ac:dyDescent="0.2">
      <c r="A175" s="210" t="s">
        <v>61</v>
      </c>
      <c r="B175" s="221">
        <v>7450</v>
      </c>
      <c r="C175" s="218">
        <v>7599</v>
      </c>
      <c r="D175" s="228">
        <v>7751</v>
      </c>
      <c r="E175" s="221">
        <v>8051</v>
      </c>
      <c r="F175" s="221">
        <v>8212</v>
      </c>
      <c r="G175" s="222">
        <f t="shared" si="4"/>
        <v>985.44</v>
      </c>
      <c r="H175" s="221">
        <v>8452</v>
      </c>
      <c r="J175" s="234">
        <f t="shared" si="5"/>
        <v>8314.1200000000008</v>
      </c>
      <c r="K175" s="169"/>
      <c r="L175" s="223"/>
      <c r="M175" s="169"/>
      <c r="N175" s="169"/>
      <c r="O175" s="169"/>
    </row>
    <row r="176" spans="1:15" x14ac:dyDescent="0.2">
      <c r="A176" s="210" t="s">
        <v>947</v>
      </c>
      <c r="B176" s="221">
        <v>7546</v>
      </c>
      <c r="C176" s="218">
        <v>7697</v>
      </c>
      <c r="D176" s="228">
        <v>7851</v>
      </c>
      <c r="E176" s="221">
        <v>8151</v>
      </c>
      <c r="F176" s="221">
        <v>8314</v>
      </c>
      <c r="G176" s="222">
        <f t="shared" si="4"/>
        <v>997.68000000000006</v>
      </c>
      <c r="H176" s="221">
        <v>8554</v>
      </c>
      <c r="J176" s="234">
        <f t="shared" si="5"/>
        <v>8417.14</v>
      </c>
      <c r="K176" s="169"/>
      <c r="L176" s="223"/>
      <c r="M176" s="169"/>
      <c r="N176" s="169"/>
      <c r="O176" s="169"/>
    </row>
    <row r="177" spans="1:15" x14ac:dyDescent="0.2">
      <c r="A177" s="210" t="s">
        <v>950</v>
      </c>
      <c r="B177" s="221">
        <v>7644</v>
      </c>
      <c r="C177" s="218">
        <v>7797</v>
      </c>
      <c r="D177" s="228">
        <v>7953</v>
      </c>
      <c r="E177" s="221">
        <v>8253</v>
      </c>
      <c r="F177" s="221">
        <v>8418</v>
      </c>
      <c r="G177" s="222">
        <f t="shared" si="4"/>
        <v>1010.16</v>
      </c>
      <c r="H177" s="221">
        <v>8658</v>
      </c>
      <c r="J177" s="234">
        <f t="shared" si="5"/>
        <v>8522.18</v>
      </c>
      <c r="K177" s="169"/>
      <c r="L177" s="223"/>
      <c r="M177" s="169"/>
      <c r="N177" s="169"/>
      <c r="O177" s="169"/>
    </row>
    <row r="178" spans="1:15" x14ac:dyDescent="0.2">
      <c r="A178" s="210" t="s">
        <v>953</v>
      </c>
      <c r="B178" s="221">
        <v>7758</v>
      </c>
      <c r="C178" s="218">
        <v>7913</v>
      </c>
      <c r="D178" s="228">
        <v>8071</v>
      </c>
      <c r="E178" s="221">
        <v>8371</v>
      </c>
      <c r="F178" s="221">
        <v>8538</v>
      </c>
      <c r="G178" s="222">
        <f t="shared" si="4"/>
        <v>1024.56</v>
      </c>
      <c r="H178" s="221">
        <v>8778</v>
      </c>
      <c r="J178" s="234">
        <f t="shared" si="5"/>
        <v>8643.3799999999992</v>
      </c>
      <c r="K178" s="169"/>
      <c r="L178" s="223"/>
      <c r="M178" s="169"/>
      <c r="N178" s="169"/>
      <c r="O178" s="169"/>
    </row>
    <row r="179" spans="1:15" x14ac:dyDescent="0.2">
      <c r="A179" s="210" t="s">
        <v>955</v>
      </c>
      <c r="B179" s="221">
        <v>7874</v>
      </c>
      <c r="C179" s="218">
        <v>8031</v>
      </c>
      <c r="D179" s="228">
        <v>8192</v>
      </c>
      <c r="E179" s="221">
        <v>8492</v>
      </c>
      <c r="F179" s="221">
        <v>8662</v>
      </c>
      <c r="G179" s="222">
        <f t="shared" si="4"/>
        <v>1039.44</v>
      </c>
      <c r="H179" s="221">
        <v>8902</v>
      </c>
      <c r="J179" s="234">
        <f t="shared" si="5"/>
        <v>8768.6200000000008</v>
      </c>
      <c r="K179" s="169"/>
      <c r="L179" s="223"/>
      <c r="M179" s="169"/>
      <c r="N179" s="169"/>
      <c r="O179" s="169"/>
    </row>
    <row r="180" spans="1:15" x14ac:dyDescent="0.2">
      <c r="A180" s="210" t="s">
        <v>957</v>
      </c>
      <c r="B180" s="221">
        <v>7986</v>
      </c>
      <c r="C180" s="218">
        <v>8145</v>
      </c>
      <c r="D180" s="228">
        <v>8308</v>
      </c>
      <c r="E180" s="221">
        <v>8608</v>
      </c>
      <c r="F180" s="221">
        <v>8780</v>
      </c>
      <c r="G180" s="222">
        <f t="shared" si="4"/>
        <v>1053.5999999999999</v>
      </c>
      <c r="H180" s="221">
        <v>9020</v>
      </c>
      <c r="J180" s="234">
        <f t="shared" si="5"/>
        <v>8887.7999999999993</v>
      </c>
      <c r="K180" s="169"/>
      <c r="L180" s="223"/>
      <c r="M180" s="169"/>
      <c r="N180" s="169"/>
      <c r="O180" s="169"/>
    </row>
    <row r="181" spans="1:15" x14ac:dyDescent="0.2">
      <c r="A181" s="210" t="s">
        <v>959</v>
      </c>
      <c r="B181" s="221">
        <v>8101</v>
      </c>
      <c r="C181" s="218">
        <v>8263</v>
      </c>
      <c r="D181" s="228">
        <v>8428</v>
      </c>
      <c r="E181" s="221">
        <v>8728</v>
      </c>
      <c r="F181" s="221">
        <v>8903</v>
      </c>
      <c r="G181" s="222">
        <f t="shared" si="4"/>
        <v>1068.3600000000001</v>
      </c>
      <c r="H181" s="221">
        <v>9143</v>
      </c>
      <c r="J181" s="234">
        <f t="shared" si="5"/>
        <v>9012.0300000000007</v>
      </c>
      <c r="K181" s="169">
        <f>J181*0.93</f>
        <v>8381.1879000000008</v>
      </c>
      <c r="L181" s="223"/>
      <c r="M181" s="169"/>
      <c r="N181" s="169"/>
      <c r="O181" s="169"/>
    </row>
    <row r="182" spans="1:15" x14ac:dyDescent="0.2">
      <c r="D182" s="169"/>
      <c r="E182" s="226"/>
      <c r="F182" s="226"/>
      <c r="G182" s="222"/>
      <c r="H182" s="217"/>
      <c r="J182" s="234">
        <f t="shared" si="5"/>
        <v>0</v>
      </c>
      <c r="K182" s="169"/>
      <c r="L182" s="223"/>
      <c r="M182" s="169"/>
      <c r="N182" s="169"/>
      <c r="O182" s="169"/>
    </row>
    <row r="183" spans="1:15" x14ac:dyDescent="0.2">
      <c r="A183" s="210" t="s">
        <v>963</v>
      </c>
      <c r="B183" s="221">
        <v>6702</v>
      </c>
      <c r="C183" s="218">
        <v>6836</v>
      </c>
      <c r="D183" s="228">
        <v>6973</v>
      </c>
      <c r="E183" s="221">
        <v>7273</v>
      </c>
      <c r="F183" s="221">
        <v>7419</v>
      </c>
      <c r="G183" s="222">
        <f t="shared" si="4"/>
        <v>890.28</v>
      </c>
      <c r="H183" s="221">
        <v>7659</v>
      </c>
      <c r="J183" s="234">
        <f t="shared" si="5"/>
        <v>7513.19</v>
      </c>
      <c r="K183" s="169"/>
      <c r="L183" s="223"/>
      <c r="M183" s="58"/>
      <c r="N183" s="169"/>
      <c r="O183" s="169"/>
    </row>
    <row r="184" spans="1:15" x14ac:dyDescent="0.2">
      <c r="A184" s="210" t="s">
        <v>966</v>
      </c>
      <c r="B184" s="221">
        <v>6963</v>
      </c>
      <c r="C184" s="218">
        <v>7103</v>
      </c>
      <c r="D184" s="228">
        <v>7245</v>
      </c>
      <c r="E184" s="221">
        <v>7545</v>
      </c>
      <c r="F184" s="221">
        <v>7696</v>
      </c>
      <c r="G184" s="222">
        <f t="shared" si="4"/>
        <v>923.52</v>
      </c>
      <c r="H184" s="221">
        <v>7936</v>
      </c>
      <c r="J184" s="234">
        <f t="shared" si="5"/>
        <v>7792.9599999999991</v>
      </c>
      <c r="K184" s="169"/>
      <c r="L184" s="223"/>
      <c r="M184" s="169"/>
      <c r="N184" s="169"/>
      <c r="O184" s="169"/>
    </row>
    <row r="185" spans="1:15" x14ac:dyDescent="0.2">
      <c r="A185" s="210" t="s">
        <v>969</v>
      </c>
      <c r="B185" s="221">
        <v>7254</v>
      </c>
      <c r="C185" s="218">
        <v>7399</v>
      </c>
      <c r="D185" s="228">
        <v>7547</v>
      </c>
      <c r="E185" s="221">
        <v>7847</v>
      </c>
      <c r="F185" s="221">
        <v>8004</v>
      </c>
      <c r="G185" s="222">
        <f t="shared" si="4"/>
        <v>960.48</v>
      </c>
      <c r="H185" s="221">
        <v>8244</v>
      </c>
      <c r="J185" s="234">
        <f t="shared" si="5"/>
        <v>8104.04</v>
      </c>
      <c r="K185" s="169"/>
      <c r="L185" s="223"/>
      <c r="M185" s="169"/>
      <c r="N185" s="169"/>
      <c r="O185" s="169"/>
    </row>
    <row r="186" spans="1:15" x14ac:dyDescent="0.2">
      <c r="A186" s="210" t="s">
        <v>972</v>
      </c>
      <c r="B186" s="221">
        <v>7546</v>
      </c>
      <c r="C186" s="218">
        <v>7697</v>
      </c>
      <c r="D186" s="228">
        <v>7851</v>
      </c>
      <c r="E186" s="221">
        <v>8151</v>
      </c>
      <c r="F186" s="221">
        <v>8314</v>
      </c>
      <c r="G186" s="222">
        <f t="shared" si="4"/>
        <v>997.68000000000006</v>
      </c>
      <c r="H186" s="221">
        <v>8554</v>
      </c>
      <c r="J186" s="234">
        <f t="shared" si="5"/>
        <v>8417.14</v>
      </c>
      <c r="K186" s="169"/>
      <c r="L186" s="223"/>
      <c r="M186" s="169"/>
      <c r="N186" s="169"/>
      <c r="O186" s="169"/>
    </row>
    <row r="187" spans="1:15" x14ac:dyDescent="0.2">
      <c r="A187" s="210" t="s">
        <v>975</v>
      </c>
      <c r="B187" s="221">
        <v>7874</v>
      </c>
      <c r="C187" s="218">
        <v>8031</v>
      </c>
      <c r="D187" s="228">
        <v>8192</v>
      </c>
      <c r="E187" s="221">
        <v>8492</v>
      </c>
      <c r="F187" s="221">
        <v>8662</v>
      </c>
      <c r="G187" s="222">
        <f t="shared" si="4"/>
        <v>1039.44</v>
      </c>
      <c r="H187" s="221">
        <v>8902</v>
      </c>
      <c r="J187" s="234">
        <f t="shared" si="5"/>
        <v>8768.6200000000008</v>
      </c>
      <c r="K187" s="169"/>
      <c r="L187" s="223"/>
      <c r="M187" s="169"/>
      <c r="N187" s="169"/>
      <c r="O187" s="169"/>
    </row>
    <row r="188" spans="1:15" x14ac:dyDescent="0.2">
      <c r="A188" s="210" t="s">
        <v>978</v>
      </c>
      <c r="B188" s="221">
        <v>8101</v>
      </c>
      <c r="C188" s="218">
        <v>8263</v>
      </c>
      <c r="D188" s="228">
        <v>8428</v>
      </c>
      <c r="E188" s="221">
        <v>8728</v>
      </c>
      <c r="F188" s="221">
        <v>8903</v>
      </c>
      <c r="G188" s="222">
        <f t="shared" si="4"/>
        <v>1068.3600000000001</v>
      </c>
      <c r="H188" s="221">
        <v>9143</v>
      </c>
      <c r="J188" s="234">
        <f t="shared" si="5"/>
        <v>9012.0300000000007</v>
      </c>
      <c r="K188" s="169"/>
      <c r="L188" s="223"/>
      <c r="M188" s="169"/>
      <c r="N188" s="169"/>
      <c r="O188" s="169"/>
    </row>
    <row r="189" spans="1:15" x14ac:dyDescent="0.2">
      <c r="A189" s="210" t="s">
        <v>981</v>
      </c>
      <c r="B189" s="221">
        <v>8327</v>
      </c>
      <c r="C189" s="218">
        <v>8494</v>
      </c>
      <c r="D189" s="228">
        <v>8664</v>
      </c>
      <c r="E189" s="221">
        <v>8964</v>
      </c>
      <c r="F189" s="221">
        <v>9143</v>
      </c>
      <c r="G189" s="222">
        <f t="shared" si="4"/>
        <v>1097.1600000000001</v>
      </c>
      <c r="H189" s="221">
        <v>9383</v>
      </c>
      <c r="J189" s="234">
        <f t="shared" si="5"/>
        <v>9254.4299999999985</v>
      </c>
      <c r="K189" s="169"/>
      <c r="L189" s="223"/>
      <c r="M189" s="169"/>
      <c r="N189" s="169"/>
      <c r="O189" s="169"/>
    </row>
    <row r="190" spans="1:15" x14ac:dyDescent="0.2">
      <c r="A190" s="210" t="s">
        <v>984</v>
      </c>
      <c r="B190" s="221">
        <v>8555</v>
      </c>
      <c r="C190" s="218">
        <v>8726</v>
      </c>
      <c r="D190" s="228">
        <v>8901</v>
      </c>
      <c r="E190" s="221">
        <v>9201</v>
      </c>
      <c r="F190" s="221">
        <v>9385</v>
      </c>
      <c r="G190" s="222">
        <f t="shared" si="4"/>
        <v>1126.2</v>
      </c>
      <c r="H190" s="221">
        <v>9625</v>
      </c>
      <c r="J190" s="234">
        <f t="shared" si="5"/>
        <v>9498.85</v>
      </c>
      <c r="K190" s="169"/>
      <c r="L190" s="223"/>
      <c r="M190" s="169"/>
      <c r="N190" s="169"/>
      <c r="O190" s="169"/>
    </row>
    <row r="191" spans="1:15" x14ac:dyDescent="0.2">
      <c r="A191" s="210" t="s">
        <v>987</v>
      </c>
      <c r="B191" s="221">
        <v>8785</v>
      </c>
      <c r="C191" s="218">
        <v>8960</v>
      </c>
      <c r="D191" s="228">
        <v>9140</v>
      </c>
      <c r="E191" s="221">
        <v>9440</v>
      </c>
      <c r="F191" s="221">
        <v>9628</v>
      </c>
      <c r="G191" s="222">
        <f t="shared" si="4"/>
        <v>1155.3600000000001</v>
      </c>
      <c r="H191" s="221">
        <v>9868</v>
      </c>
      <c r="J191" s="234">
        <f t="shared" si="5"/>
        <v>9744.2800000000007</v>
      </c>
      <c r="K191" s="169"/>
      <c r="L191" s="223"/>
      <c r="M191" s="169"/>
      <c r="N191" s="169"/>
      <c r="O191" s="169"/>
    </row>
    <row r="192" spans="1:15" x14ac:dyDescent="0.2">
      <c r="A192" s="210" t="s">
        <v>990</v>
      </c>
      <c r="B192" s="221">
        <v>8899</v>
      </c>
      <c r="C192" s="218">
        <v>9077</v>
      </c>
      <c r="D192" s="228">
        <v>9259</v>
      </c>
      <c r="E192" s="221">
        <v>9559</v>
      </c>
      <c r="F192" s="221">
        <v>9750</v>
      </c>
      <c r="G192" s="222">
        <f t="shared" si="4"/>
        <v>1170</v>
      </c>
      <c r="H192" s="221">
        <v>9990</v>
      </c>
      <c r="J192" s="234">
        <f t="shared" si="5"/>
        <v>9867.5</v>
      </c>
      <c r="K192" s="169"/>
      <c r="L192" s="223"/>
      <c r="M192" s="169"/>
      <c r="N192" s="169"/>
      <c r="O192" s="169"/>
    </row>
    <row r="193" spans="1:15" x14ac:dyDescent="0.2">
      <c r="A193" s="210" t="s">
        <v>993</v>
      </c>
      <c r="B193" s="221">
        <v>9014</v>
      </c>
      <c r="C193" s="218">
        <v>9195</v>
      </c>
      <c r="D193" s="228">
        <v>9378</v>
      </c>
      <c r="E193" s="221">
        <v>9678</v>
      </c>
      <c r="F193" s="221">
        <v>9872</v>
      </c>
      <c r="G193" s="222">
        <f t="shared" si="4"/>
        <v>1184.6400000000001</v>
      </c>
      <c r="H193" s="221">
        <v>10112</v>
      </c>
      <c r="J193" s="234">
        <f t="shared" si="5"/>
        <v>9990.7199999999975</v>
      </c>
      <c r="K193" s="169"/>
      <c r="L193" s="223"/>
      <c r="M193" s="169"/>
      <c r="N193" s="169"/>
      <c r="O193" s="169"/>
    </row>
    <row r="194" spans="1:15" x14ac:dyDescent="0.2">
      <c r="A194" s="210" t="s">
        <v>996</v>
      </c>
      <c r="B194" s="221">
        <v>9129</v>
      </c>
      <c r="C194" s="218">
        <v>9311</v>
      </c>
      <c r="D194" s="228">
        <v>9497</v>
      </c>
      <c r="E194" s="221">
        <v>9797</v>
      </c>
      <c r="F194" s="221">
        <v>9993</v>
      </c>
      <c r="G194" s="222">
        <f t="shared" si="4"/>
        <v>1199.1600000000001</v>
      </c>
      <c r="H194" s="221">
        <v>10233</v>
      </c>
      <c r="J194" s="234">
        <f t="shared" si="5"/>
        <v>10112.93</v>
      </c>
      <c r="K194" s="169"/>
      <c r="L194" s="223"/>
      <c r="M194" s="169"/>
      <c r="N194" s="169"/>
      <c r="O194" s="169"/>
    </row>
    <row r="195" spans="1:15" x14ac:dyDescent="0.2">
      <c r="A195" s="210" t="s">
        <v>998</v>
      </c>
      <c r="B195" s="221">
        <v>9242</v>
      </c>
      <c r="C195" s="218">
        <v>9427</v>
      </c>
      <c r="D195" s="228">
        <v>9616</v>
      </c>
      <c r="E195" s="221">
        <v>9916</v>
      </c>
      <c r="F195" s="221">
        <v>10114</v>
      </c>
      <c r="G195" s="222">
        <f t="shared" si="4"/>
        <v>1213.68</v>
      </c>
      <c r="H195" s="221">
        <v>10354</v>
      </c>
      <c r="J195" s="234">
        <f t="shared" si="5"/>
        <v>10235.14</v>
      </c>
      <c r="K195" s="169"/>
      <c r="L195" s="223"/>
      <c r="M195" s="169"/>
      <c r="N195" s="169"/>
      <c r="O195" s="169"/>
    </row>
    <row r="196" spans="1:15" x14ac:dyDescent="0.2">
      <c r="A196" s="210" t="s">
        <v>1000</v>
      </c>
      <c r="B196" s="221">
        <v>9358</v>
      </c>
      <c r="C196" s="218">
        <v>9545</v>
      </c>
      <c r="D196" s="228">
        <v>9736</v>
      </c>
      <c r="E196" s="221">
        <v>10036</v>
      </c>
      <c r="F196" s="221">
        <v>10237</v>
      </c>
      <c r="G196" s="222">
        <f t="shared" si="4"/>
        <v>1228.44</v>
      </c>
      <c r="H196" s="221">
        <v>10477</v>
      </c>
      <c r="J196" s="234">
        <f t="shared" si="5"/>
        <v>10359.370000000001</v>
      </c>
      <c r="K196" s="169"/>
      <c r="L196" s="223"/>
      <c r="M196" s="169"/>
      <c r="N196" s="169"/>
      <c r="O196" s="169"/>
    </row>
    <row r="197" spans="1:15" x14ac:dyDescent="0.2">
      <c r="A197" s="210" t="s">
        <v>1002</v>
      </c>
      <c r="B197" s="221">
        <v>9473</v>
      </c>
      <c r="C197" s="218">
        <v>9662</v>
      </c>
      <c r="D197" s="228">
        <v>9855</v>
      </c>
      <c r="E197" s="221">
        <v>10155</v>
      </c>
      <c r="F197" s="221">
        <v>10358</v>
      </c>
      <c r="G197" s="222">
        <f t="shared" ref="G197:G205" si="6">F197*12*0.01</f>
        <v>1242.96</v>
      </c>
      <c r="H197" s="221">
        <v>10598</v>
      </c>
      <c r="J197" s="234">
        <f t="shared" ref="J197:J205" si="7">11/12*F197+1/12*H197+G197/12</f>
        <v>10481.579999999998</v>
      </c>
      <c r="K197" s="169">
        <f>0.93*J197</f>
        <v>9747.8693999999996</v>
      </c>
      <c r="L197" s="223"/>
      <c r="M197" s="169"/>
      <c r="N197" s="169"/>
      <c r="O197" s="169"/>
    </row>
    <row r="198" spans="1:15" x14ac:dyDescent="0.2">
      <c r="D198" s="169"/>
      <c r="E198" s="226"/>
      <c r="F198" s="226"/>
      <c r="G198" s="222"/>
      <c r="H198" s="217"/>
      <c r="J198" s="234">
        <f t="shared" si="7"/>
        <v>0</v>
      </c>
      <c r="K198" s="169"/>
      <c r="L198" s="223"/>
      <c r="M198" s="169"/>
      <c r="N198" s="169"/>
      <c r="O198" s="169"/>
    </row>
    <row r="199" spans="1:15" x14ac:dyDescent="0.2">
      <c r="A199" s="210" t="s">
        <v>1005</v>
      </c>
      <c r="B199" s="217">
        <v>5430</v>
      </c>
      <c r="C199" s="218">
        <v>5538</v>
      </c>
      <c r="D199" s="228">
        <v>5649</v>
      </c>
      <c r="E199" s="221">
        <v>5932</v>
      </c>
      <c r="F199" s="221">
        <v>6050</v>
      </c>
      <c r="G199" s="222">
        <f t="shared" si="6"/>
        <v>726</v>
      </c>
      <c r="H199" s="221">
        <v>6290</v>
      </c>
      <c r="J199" s="234">
        <f t="shared" si="7"/>
        <v>6130.5</v>
      </c>
      <c r="K199" s="219"/>
      <c r="L199" s="223"/>
      <c r="M199" s="58"/>
      <c r="N199" s="219"/>
      <c r="O199" s="219"/>
    </row>
    <row r="200" spans="1:15" x14ac:dyDescent="0.2">
      <c r="A200" s="210" t="s">
        <v>1007</v>
      </c>
      <c r="B200" s="217">
        <v>6107</v>
      </c>
      <c r="C200" s="218">
        <v>6229</v>
      </c>
      <c r="D200" s="228">
        <v>6354</v>
      </c>
      <c r="E200" s="221">
        <v>6654</v>
      </c>
      <c r="F200" s="221">
        <v>6787</v>
      </c>
      <c r="G200" s="222">
        <f t="shared" si="6"/>
        <v>814.44</v>
      </c>
      <c r="H200" s="221">
        <v>7027</v>
      </c>
      <c r="J200" s="234">
        <f t="shared" si="7"/>
        <v>6874.869999999999</v>
      </c>
      <c r="K200" s="219"/>
      <c r="L200" s="223"/>
      <c r="M200" s="219"/>
      <c r="N200" s="219"/>
      <c r="O200" s="219"/>
    </row>
    <row r="201" spans="1:15" x14ac:dyDescent="0.2">
      <c r="A201" s="210" t="s">
        <v>1009</v>
      </c>
      <c r="B201" s="217">
        <v>6783</v>
      </c>
      <c r="C201" s="218">
        <v>6919</v>
      </c>
      <c r="D201" s="228">
        <v>7057</v>
      </c>
      <c r="E201" s="221">
        <v>7357</v>
      </c>
      <c r="F201" s="221">
        <v>7504</v>
      </c>
      <c r="G201" s="222">
        <f t="shared" si="6"/>
        <v>900.48</v>
      </c>
      <c r="H201" s="221">
        <v>7744</v>
      </c>
      <c r="J201" s="234">
        <f t="shared" si="7"/>
        <v>7599.0399999999991</v>
      </c>
      <c r="K201" s="219"/>
      <c r="L201" s="223"/>
      <c r="M201" s="219"/>
      <c r="N201" s="219"/>
      <c r="O201" s="219"/>
    </row>
    <row r="202" spans="1:15" x14ac:dyDescent="0.2">
      <c r="A202" s="210" t="s">
        <v>1011</v>
      </c>
      <c r="B202" s="217">
        <v>7458</v>
      </c>
      <c r="C202" s="218">
        <v>7607</v>
      </c>
      <c r="D202" s="228">
        <v>7759</v>
      </c>
      <c r="E202" s="221">
        <v>8059</v>
      </c>
      <c r="F202" s="221">
        <v>8221</v>
      </c>
      <c r="G202" s="222">
        <f t="shared" si="6"/>
        <v>986.52</v>
      </c>
      <c r="H202" s="221">
        <v>8461</v>
      </c>
      <c r="J202" s="234">
        <f t="shared" si="7"/>
        <v>8323.2099999999991</v>
      </c>
      <c r="K202" s="219"/>
      <c r="L202" s="223"/>
      <c r="M202" s="219"/>
      <c r="N202" s="219"/>
      <c r="O202" s="219"/>
    </row>
    <row r="203" spans="1:15" x14ac:dyDescent="0.2">
      <c r="A203" s="210" t="s">
        <v>60</v>
      </c>
      <c r="B203" s="217">
        <v>8137</v>
      </c>
      <c r="C203" s="218">
        <v>8299</v>
      </c>
      <c r="D203" s="228">
        <v>8465</v>
      </c>
      <c r="E203" s="221">
        <v>8765</v>
      </c>
      <c r="F203" s="221">
        <v>8941</v>
      </c>
      <c r="G203" s="222">
        <f t="shared" si="6"/>
        <v>1072.92</v>
      </c>
      <c r="H203" s="221">
        <v>9181</v>
      </c>
      <c r="J203" s="234">
        <f t="shared" si="7"/>
        <v>9050.41</v>
      </c>
      <c r="K203" s="243"/>
      <c r="L203" s="223"/>
      <c r="M203" s="219"/>
      <c r="N203" s="219"/>
      <c r="O203" s="219"/>
    </row>
    <row r="204" spans="1:15" x14ac:dyDescent="0.2">
      <c r="A204" s="210" t="s">
        <v>62</v>
      </c>
      <c r="B204" s="217">
        <v>8813</v>
      </c>
      <c r="C204" s="218">
        <v>8989</v>
      </c>
      <c r="D204" s="228">
        <v>9169</v>
      </c>
      <c r="E204" s="221">
        <v>9469</v>
      </c>
      <c r="F204" s="221">
        <v>9658</v>
      </c>
      <c r="G204" s="222">
        <f t="shared" si="6"/>
        <v>1158.96</v>
      </c>
      <c r="H204" s="221">
        <v>9898</v>
      </c>
      <c r="J204" s="234">
        <f t="shared" si="7"/>
        <v>9774.58</v>
      </c>
      <c r="K204" s="219"/>
      <c r="L204" s="223"/>
      <c r="M204" s="219"/>
      <c r="N204" s="219"/>
      <c r="O204" s="219"/>
    </row>
    <row r="205" spans="1:15" x14ac:dyDescent="0.2">
      <c r="A205" s="210" t="s">
        <v>59</v>
      </c>
      <c r="B205" s="217">
        <v>9489</v>
      </c>
      <c r="C205" s="218">
        <v>9679</v>
      </c>
      <c r="D205" s="228">
        <v>9872</v>
      </c>
      <c r="E205" s="221">
        <v>10172</v>
      </c>
      <c r="F205" s="221">
        <v>10376</v>
      </c>
      <c r="G205" s="222">
        <f t="shared" si="6"/>
        <v>1245.1200000000001</v>
      </c>
      <c r="H205" s="221">
        <v>10616</v>
      </c>
      <c r="J205" s="234">
        <f t="shared" si="7"/>
        <v>10499.759999999998</v>
      </c>
      <c r="K205" s="219">
        <f>J205*0.93</f>
        <v>9764.7767999999996</v>
      </c>
      <c r="L205" s="223"/>
      <c r="M205" s="219"/>
      <c r="N205" s="219"/>
      <c r="O205" s="219"/>
    </row>
    <row r="207" spans="1:15" x14ac:dyDescent="0.2">
      <c r="B207" s="229"/>
      <c r="C207" s="230"/>
      <c r="D207" s="229"/>
      <c r="E207" s="229"/>
    </row>
    <row r="209" spans="4:5" x14ac:dyDescent="0.2">
      <c r="D209" s="231"/>
      <c r="E209" s="231"/>
    </row>
  </sheetData>
  <hyperlinks>
    <hyperlink ref="B1" r:id="rId1" display="https://cms.denederlandseggz.nl/assets/common/Salaristabellen.pdf" xr:uid="{8679E30F-2A12-401F-B84D-F82488055DA2}"/>
    <hyperlink ref="D1" r:id="rId2" display="https://cms.denederlandseggz.nl/assets/common/Salaristabellen.pdf" xr:uid="{B38D688A-A149-4A9A-90A0-5BB8AD736F48}"/>
    <hyperlink ref="E1" r:id="rId3" display="https://cms.denederlandseggz.nl/assets/common/Salaristabellen.pdf" xr:uid="{669CB48C-951A-4297-BE30-DCD995874D95}"/>
    <hyperlink ref="F1" r:id="rId4" display="https://cms.denederlandseggz.nl/assets/common/Salaristabellen.pdf" xr:uid="{8054EC72-0249-4F83-B0B1-CC828B8564E6}"/>
    <hyperlink ref="H1" r:id="rId5" display="https://cms.denederlandseggz.nl/assets/common/Salaristabellen.pdf" xr:uid="{F6527771-DA1A-487A-8FC3-7B6A1765DCE8}"/>
    <hyperlink ref="G1" r:id="rId6" display="https://www.denederlandseggz.nl/nieuws/2023/akkoord-over-aanvullende-loonsverhoging-ggz" xr:uid="{8C91623B-6448-4EAE-95CC-7199BA80DC18}"/>
    <hyperlink ref="C1" r:id="rId7" display="https://cms.denederlandseggz.nl/assets/common/Salaristabellen.pdf" xr:uid="{BC241397-AD82-43DB-A635-B29B9AB0DA9A}"/>
  </hyperlinks>
  <pageMargins left="0.7" right="0.7" top="0.75" bottom="0.75" header="0.3" footer="0.3"/>
  <pageSetup paperSize="9" orientation="portrait"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69CD-896F-468A-A75E-09B35BB2A62D}">
  <sheetPr>
    <tabColor theme="6" tint="0.79998168889431442"/>
  </sheetPr>
  <dimension ref="A1:I227"/>
  <sheetViews>
    <sheetView topLeftCell="A176" workbookViewId="0">
      <selection activeCell="H45" sqref="H45"/>
    </sheetView>
  </sheetViews>
  <sheetFormatPr defaultColWidth="9" defaultRowHeight="12" x14ac:dyDescent="0.2"/>
  <cols>
    <col min="1" max="8" width="9" style="18"/>
    <col min="10" max="16384" width="9" style="18"/>
  </cols>
  <sheetData>
    <row r="1" spans="1:8" x14ac:dyDescent="0.2">
      <c r="A1" s="235" t="s">
        <v>1031</v>
      </c>
      <c r="B1" s="247" t="s">
        <v>1037</v>
      </c>
      <c r="C1" s="247" t="s">
        <v>1037</v>
      </c>
      <c r="D1" s="247" t="s">
        <v>1038</v>
      </c>
      <c r="E1" s="247" t="s">
        <v>1038</v>
      </c>
      <c r="F1" s="247" t="s">
        <v>1038</v>
      </c>
      <c r="G1" t="s">
        <v>1034</v>
      </c>
      <c r="H1" s="232"/>
    </row>
    <row r="2" spans="1:8" x14ac:dyDescent="0.2">
      <c r="A2" s="235" t="s">
        <v>1039</v>
      </c>
      <c r="B2" s="209"/>
      <c r="C2" s="210"/>
      <c r="D2" s="210"/>
      <c r="E2" s="210"/>
      <c r="F2" s="210"/>
      <c r="G2"/>
      <c r="H2" s="232"/>
    </row>
    <row r="3" spans="1:8" ht="36" x14ac:dyDescent="0.2">
      <c r="A3" s="225"/>
      <c r="B3" s="212">
        <v>44927</v>
      </c>
      <c r="C3" s="213">
        <v>45108</v>
      </c>
      <c r="D3" s="214" t="s">
        <v>1040</v>
      </c>
      <c r="E3" s="214" t="s">
        <v>1041</v>
      </c>
      <c r="F3" s="214" t="s">
        <v>1042</v>
      </c>
      <c r="G3"/>
      <c r="H3" s="233" t="s">
        <v>1027</v>
      </c>
    </row>
    <row r="4" spans="1:8" x14ac:dyDescent="0.2">
      <c r="A4" s="225" t="s">
        <v>497</v>
      </c>
      <c r="B4" s="229">
        <v>1934.4</v>
      </c>
      <c r="C4" s="244">
        <v>1995</v>
      </c>
      <c r="D4" s="245">
        <f>C4*1.08</f>
        <v>2154.6000000000004</v>
      </c>
      <c r="E4" s="245">
        <f>D4*1.0125</f>
        <v>2181.5325000000003</v>
      </c>
      <c r="F4" s="245">
        <f>E4*1.03</f>
        <v>2246.9784750000003</v>
      </c>
      <c r="G4"/>
      <c r="H4" s="246">
        <f>AVERAGE(D4:E4)</f>
        <v>2168.0662500000003</v>
      </c>
    </row>
    <row r="5" spans="1:8" x14ac:dyDescent="0.2">
      <c r="A5" s="267" t="s">
        <v>501</v>
      </c>
      <c r="B5" s="217">
        <v>1934.4</v>
      </c>
      <c r="C5" s="218">
        <v>1995</v>
      </c>
      <c r="D5" s="245">
        <f t="shared" ref="D5:D68" si="0">C5*1.08</f>
        <v>2154.6000000000004</v>
      </c>
      <c r="E5" s="245">
        <f t="shared" ref="E5:E68" si="1">D5*1.0125</f>
        <v>2181.5325000000003</v>
      </c>
      <c r="F5" s="245">
        <f t="shared" ref="F5:F68" si="2">E5*1.03</f>
        <v>2246.9784750000003</v>
      </c>
      <c r="G5"/>
      <c r="H5" s="246">
        <f t="shared" ref="H5:H68" si="3">AVERAGE(D5:E5)</f>
        <v>2168.0662500000003</v>
      </c>
    </row>
    <row r="6" spans="1:8" x14ac:dyDescent="0.2">
      <c r="A6" s="225" t="s">
        <v>505</v>
      </c>
      <c r="B6" s="217">
        <v>1942.82</v>
      </c>
      <c r="C6" s="218">
        <v>1995</v>
      </c>
      <c r="D6" s="245">
        <f t="shared" si="0"/>
        <v>2154.6000000000004</v>
      </c>
      <c r="E6" s="245">
        <f t="shared" si="1"/>
        <v>2181.5325000000003</v>
      </c>
      <c r="F6" s="245">
        <f t="shared" si="2"/>
        <v>2246.9784750000003</v>
      </c>
      <c r="G6"/>
      <c r="H6" s="246">
        <f t="shared" si="3"/>
        <v>2168.0662500000003</v>
      </c>
    </row>
    <row r="7" spans="1:8" x14ac:dyDescent="0.2">
      <c r="A7" s="225" t="s">
        <v>509</v>
      </c>
      <c r="B7" s="221">
        <v>2000.67</v>
      </c>
      <c r="C7" s="218">
        <v>2000.67</v>
      </c>
      <c r="D7" s="245">
        <f t="shared" si="0"/>
        <v>2160.7236000000003</v>
      </c>
      <c r="E7" s="245">
        <f t="shared" si="1"/>
        <v>2187.732645</v>
      </c>
      <c r="F7" s="245">
        <f t="shared" si="2"/>
        <v>2253.3646243500002</v>
      </c>
      <c r="G7"/>
      <c r="H7" s="246">
        <f t="shared" si="3"/>
        <v>2174.2281225000002</v>
      </c>
    </row>
    <row r="8" spans="1:8" x14ac:dyDescent="0.2">
      <c r="A8" s="267" t="s">
        <v>513</v>
      </c>
      <c r="B8" s="221">
        <v>2061.19</v>
      </c>
      <c r="C8" s="218">
        <v>2061.19</v>
      </c>
      <c r="D8" s="245">
        <f t="shared" si="0"/>
        <v>2226.0852</v>
      </c>
      <c r="E8" s="245">
        <f t="shared" si="1"/>
        <v>2253.9112649999997</v>
      </c>
      <c r="F8" s="245">
        <f t="shared" si="2"/>
        <v>2321.5286029499998</v>
      </c>
      <c r="G8"/>
      <c r="H8" s="246">
        <f t="shared" si="3"/>
        <v>2239.9982325000001</v>
      </c>
    </row>
    <row r="9" spans="1:8" x14ac:dyDescent="0.2">
      <c r="A9" s="225" t="s">
        <v>517</v>
      </c>
      <c r="B9" s="221">
        <v>2123.1</v>
      </c>
      <c r="C9" s="218">
        <v>2123.1</v>
      </c>
      <c r="D9" s="245">
        <f t="shared" si="0"/>
        <v>2292.9479999999999</v>
      </c>
      <c r="E9" s="245">
        <f t="shared" si="1"/>
        <v>2321.6098499999998</v>
      </c>
      <c r="F9" s="245">
        <f t="shared" si="2"/>
        <v>2391.2581455</v>
      </c>
      <c r="G9"/>
      <c r="H9" s="246">
        <f t="shared" si="3"/>
        <v>2307.2789249999996</v>
      </c>
    </row>
    <row r="10" spans="1:8" x14ac:dyDescent="0.2">
      <c r="A10" s="225" t="s">
        <v>521</v>
      </c>
      <c r="B10" s="221">
        <v>2186.3200000000002</v>
      </c>
      <c r="C10" s="218">
        <v>2186.3200000000002</v>
      </c>
      <c r="D10" s="245">
        <f t="shared" si="0"/>
        <v>2361.2256000000002</v>
      </c>
      <c r="E10" s="245">
        <f t="shared" si="1"/>
        <v>2390.7409200000002</v>
      </c>
      <c r="F10" s="245">
        <f t="shared" si="2"/>
        <v>2462.4631476000004</v>
      </c>
      <c r="G10"/>
      <c r="H10" s="246">
        <f t="shared" si="3"/>
        <v>2375.98326</v>
      </c>
    </row>
    <row r="11" spans="1:8" x14ac:dyDescent="0.2">
      <c r="A11" s="267" t="s">
        <v>525</v>
      </c>
      <c r="B11" s="221">
        <v>2252.2800000000002</v>
      </c>
      <c r="C11" s="218">
        <v>2252.2800000000002</v>
      </c>
      <c r="D11" s="245">
        <f t="shared" si="0"/>
        <v>2432.4624000000003</v>
      </c>
      <c r="E11" s="245">
        <f t="shared" si="1"/>
        <v>2462.8681800000004</v>
      </c>
      <c r="F11" s="245">
        <f t="shared" si="2"/>
        <v>2536.7542254000005</v>
      </c>
      <c r="G11"/>
      <c r="H11" s="246">
        <f t="shared" si="3"/>
        <v>2447.6652900000004</v>
      </c>
    </row>
    <row r="12" spans="1:8" x14ac:dyDescent="0.2">
      <c r="A12" s="225" t="s">
        <v>529</v>
      </c>
      <c r="B12" s="221">
        <v>2319.54</v>
      </c>
      <c r="C12" s="218">
        <v>2319.54</v>
      </c>
      <c r="D12" s="245">
        <f t="shared" si="0"/>
        <v>2505.1032</v>
      </c>
      <c r="E12" s="245">
        <f t="shared" si="1"/>
        <v>2536.4169899999997</v>
      </c>
      <c r="F12" s="245">
        <f t="shared" si="2"/>
        <v>2612.5094996999997</v>
      </c>
      <c r="G12"/>
      <c r="H12" s="246">
        <f t="shared" si="3"/>
        <v>2520.7600949999996</v>
      </c>
    </row>
    <row r="13" spans="1:8" x14ac:dyDescent="0.2">
      <c r="A13" s="225" t="s">
        <v>532</v>
      </c>
      <c r="B13" s="221">
        <v>2389.4899999999998</v>
      </c>
      <c r="C13" s="218">
        <v>2389.4899999999998</v>
      </c>
      <c r="D13" s="245">
        <f t="shared" si="0"/>
        <v>2580.6491999999998</v>
      </c>
      <c r="E13" s="245">
        <f t="shared" si="1"/>
        <v>2612.9073149999999</v>
      </c>
      <c r="F13" s="245">
        <f t="shared" si="2"/>
        <v>2691.2945344499999</v>
      </c>
      <c r="G13"/>
      <c r="H13" s="246">
        <f t="shared" si="3"/>
        <v>2596.7782575000001</v>
      </c>
    </row>
    <row r="14" spans="1:8" x14ac:dyDescent="0.2">
      <c r="A14" s="225" t="s">
        <v>535</v>
      </c>
      <c r="B14" s="217">
        <v>0</v>
      </c>
      <c r="C14">
        <v>0</v>
      </c>
      <c r="D14" s="245">
        <f t="shared" si="0"/>
        <v>0</v>
      </c>
      <c r="E14" s="245">
        <f t="shared" si="1"/>
        <v>0</v>
      </c>
      <c r="F14" s="245">
        <f t="shared" si="2"/>
        <v>0</v>
      </c>
      <c r="G14"/>
      <c r="H14" s="246">
        <f t="shared" si="3"/>
        <v>0</v>
      </c>
    </row>
    <row r="15" spans="1:8" x14ac:dyDescent="0.2">
      <c r="A15" s="225" t="s">
        <v>538</v>
      </c>
      <c r="B15" s="221">
        <v>0</v>
      </c>
      <c r="C15" s="218">
        <v>0</v>
      </c>
      <c r="D15" s="245">
        <f t="shared" si="0"/>
        <v>0</v>
      </c>
      <c r="E15" s="245">
        <f t="shared" si="1"/>
        <v>0</v>
      </c>
      <c r="F15" s="245">
        <f t="shared" si="2"/>
        <v>0</v>
      </c>
      <c r="G15"/>
      <c r="H15" s="246">
        <f t="shared" si="3"/>
        <v>0</v>
      </c>
    </row>
    <row r="16" spans="1:8" x14ac:dyDescent="0.2">
      <c r="A16" s="225" t="s">
        <v>541</v>
      </c>
      <c r="B16" s="221">
        <v>0</v>
      </c>
      <c r="C16" s="218">
        <v>0</v>
      </c>
      <c r="D16" s="245">
        <f t="shared" si="0"/>
        <v>0</v>
      </c>
      <c r="E16" s="245">
        <f t="shared" si="1"/>
        <v>0</v>
      </c>
      <c r="F16" s="245">
        <f t="shared" si="2"/>
        <v>0</v>
      </c>
      <c r="G16"/>
      <c r="H16" s="246">
        <f t="shared" si="3"/>
        <v>0</v>
      </c>
    </row>
    <row r="17" spans="1:8" x14ac:dyDescent="0.2">
      <c r="A17" s="225" t="s">
        <v>544</v>
      </c>
      <c r="B17" s="221">
        <v>0</v>
      </c>
      <c r="C17" s="218">
        <v>0</v>
      </c>
      <c r="D17" s="245">
        <f t="shared" si="0"/>
        <v>0</v>
      </c>
      <c r="E17" s="245">
        <f t="shared" si="1"/>
        <v>0</v>
      </c>
      <c r="F17" s="245">
        <f t="shared" si="2"/>
        <v>0</v>
      </c>
      <c r="G17"/>
      <c r="H17" s="246">
        <f t="shared" si="3"/>
        <v>0</v>
      </c>
    </row>
    <row r="18" spans="1:8" x14ac:dyDescent="0.2">
      <c r="A18" s="225"/>
      <c r="B18" s="221"/>
      <c r="C18" s="218"/>
      <c r="D18" s="245"/>
      <c r="E18" s="245"/>
      <c r="F18" s="245"/>
      <c r="G18"/>
      <c r="H18" s="246"/>
    </row>
    <row r="19" spans="1:8" x14ac:dyDescent="0.2">
      <c r="A19" s="225" t="s">
        <v>547</v>
      </c>
      <c r="B19" s="221">
        <v>1934.4</v>
      </c>
      <c r="C19" s="218">
        <v>1995</v>
      </c>
      <c r="D19" s="245">
        <f t="shared" si="0"/>
        <v>2154.6000000000004</v>
      </c>
      <c r="E19" s="245">
        <f t="shared" si="1"/>
        <v>2181.5325000000003</v>
      </c>
      <c r="F19" s="245">
        <f t="shared" si="2"/>
        <v>2246.9784750000003</v>
      </c>
      <c r="G19"/>
      <c r="H19" s="246">
        <f t="shared" si="3"/>
        <v>2168.0662500000003</v>
      </c>
    </row>
    <row r="20" spans="1:8" x14ac:dyDescent="0.2">
      <c r="A20" s="225" t="s">
        <v>550</v>
      </c>
      <c r="B20" s="221">
        <v>1934.4</v>
      </c>
      <c r="C20" s="218">
        <v>1995</v>
      </c>
      <c r="D20" s="245">
        <f t="shared" si="0"/>
        <v>2154.6000000000004</v>
      </c>
      <c r="E20" s="245">
        <f t="shared" si="1"/>
        <v>2181.5325000000003</v>
      </c>
      <c r="F20" s="245">
        <f t="shared" si="2"/>
        <v>2246.9784750000003</v>
      </c>
      <c r="G20"/>
      <c r="H20" s="246">
        <f t="shared" si="3"/>
        <v>2168.0662500000003</v>
      </c>
    </row>
    <row r="21" spans="1:8" x14ac:dyDescent="0.2">
      <c r="A21" s="225" t="s">
        <v>553</v>
      </c>
      <c r="B21" s="221">
        <v>1976.48</v>
      </c>
      <c r="C21" s="218">
        <v>1995</v>
      </c>
      <c r="D21" s="245">
        <f t="shared" si="0"/>
        <v>2154.6000000000004</v>
      </c>
      <c r="E21" s="245">
        <f t="shared" si="1"/>
        <v>2181.5325000000003</v>
      </c>
      <c r="F21" s="245">
        <f t="shared" si="2"/>
        <v>2246.9784750000003</v>
      </c>
      <c r="G21"/>
      <c r="H21" s="246">
        <f t="shared" si="3"/>
        <v>2168.0662500000003</v>
      </c>
    </row>
    <row r="22" spans="1:8" x14ac:dyDescent="0.2">
      <c r="A22" s="225" t="s">
        <v>556</v>
      </c>
      <c r="B22" s="221">
        <v>2037</v>
      </c>
      <c r="C22" s="218">
        <v>2037</v>
      </c>
      <c r="D22" s="245">
        <f t="shared" si="0"/>
        <v>2199.96</v>
      </c>
      <c r="E22" s="245">
        <f t="shared" si="1"/>
        <v>2227.4594999999999</v>
      </c>
      <c r="F22" s="245">
        <f t="shared" si="2"/>
        <v>2294.283285</v>
      </c>
      <c r="G22"/>
      <c r="H22" s="246">
        <f t="shared" si="3"/>
        <v>2213.70975</v>
      </c>
    </row>
    <row r="23" spans="1:8" x14ac:dyDescent="0.2">
      <c r="A23" s="225" t="s">
        <v>559</v>
      </c>
      <c r="B23" s="221">
        <v>2098.88</v>
      </c>
      <c r="C23" s="218">
        <v>2098.88</v>
      </c>
      <c r="D23" s="245">
        <f t="shared" si="0"/>
        <v>2266.7904000000003</v>
      </c>
      <c r="E23" s="245">
        <f t="shared" si="1"/>
        <v>2295.1252800000002</v>
      </c>
      <c r="F23" s="245">
        <f t="shared" si="2"/>
        <v>2363.9790384000003</v>
      </c>
      <c r="G23"/>
      <c r="H23" s="246">
        <f t="shared" si="3"/>
        <v>2280.95784</v>
      </c>
    </row>
    <row r="24" spans="1:8" x14ac:dyDescent="0.2">
      <c r="A24" s="225" t="s">
        <v>562</v>
      </c>
      <c r="B24" s="221">
        <v>2163.4699999999998</v>
      </c>
      <c r="C24" s="218">
        <v>2163.4699999999998</v>
      </c>
      <c r="D24" s="245">
        <f t="shared" si="0"/>
        <v>2336.5475999999999</v>
      </c>
      <c r="E24" s="245">
        <f t="shared" si="1"/>
        <v>2365.7544449999996</v>
      </c>
      <c r="F24" s="245">
        <f t="shared" si="2"/>
        <v>2436.7270783499998</v>
      </c>
      <c r="G24"/>
      <c r="H24" s="246">
        <f t="shared" si="3"/>
        <v>2351.1510224999997</v>
      </c>
    </row>
    <row r="25" spans="1:8" x14ac:dyDescent="0.2">
      <c r="A25" s="225" t="s">
        <v>565</v>
      </c>
      <c r="B25" s="221">
        <v>2229.39</v>
      </c>
      <c r="C25" s="218">
        <v>2229.39</v>
      </c>
      <c r="D25" s="245">
        <f t="shared" si="0"/>
        <v>2407.7411999999999</v>
      </c>
      <c r="E25" s="245">
        <f t="shared" si="1"/>
        <v>2437.8379649999997</v>
      </c>
      <c r="F25" s="245">
        <f t="shared" si="2"/>
        <v>2510.9731039499998</v>
      </c>
      <c r="G25"/>
      <c r="H25" s="246">
        <f t="shared" si="3"/>
        <v>2422.7895824999996</v>
      </c>
    </row>
    <row r="26" spans="1:8" x14ac:dyDescent="0.2">
      <c r="A26" s="225" t="s">
        <v>568</v>
      </c>
      <c r="B26" s="217">
        <v>2297.35</v>
      </c>
      <c r="C26">
        <v>2297.35</v>
      </c>
      <c r="D26" s="245">
        <f t="shared" si="0"/>
        <v>2481.1379999999999</v>
      </c>
      <c r="E26" s="245">
        <f t="shared" si="1"/>
        <v>2512.1522249999998</v>
      </c>
      <c r="F26" s="245">
        <f t="shared" si="2"/>
        <v>2587.5167917499998</v>
      </c>
      <c r="G26"/>
      <c r="H26" s="246">
        <f t="shared" si="3"/>
        <v>2496.6451124999999</v>
      </c>
    </row>
    <row r="27" spans="1:8" x14ac:dyDescent="0.2">
      <c r="A27" s="225" t="s">
        <v>571</v>
      </c>
      <c r="B27" s="221">
        <v>2367.31</v>
      </c>
      <c r="C27" s="218">
        <v>2367.31</v>
      </c>
      <c r="D27" s="245">
        <f t="shared" si="0"/>
        <v>2556.6948000000002</v>
      </c>
      <c r="E27" s="245">
        <f t="shared" si="1"/>
        <v>2588.6534850000003</v>
      </c>
      <c r="F27" s="245">
        <f t="shared" si="2"/>
        <v>2666.3130895500003</v>
      </c>
      <c r="G27"/>
      <c r="H27" s="246">
        <f t="shared" si="3"/>
        <v>2572.6741425</v>
      </c>
    </row>
    <row r="28" spans="1:8" x14ac:dyDescent="0.2">
      <c r="A28" s="225" t="s">
        <v>574</v>
      </c>
      <c r="B28" s="221">
        <v>2439.31</v>
      </c>
      <c r="C28" s="218">
        <v>2439.31</v>
      </c>
      <c r="D28" s="245">
        <f t="shared" si="0"/>
        <v>2634.4548</v>
      </c>
      <c r="E28" s="245">
        <f t="shared" si="1"/>
        <v>2667.3854849999998</v>
      </c>
      <c r="F28" s="245">
        <f t="shared" si="2"/>
        <v>2747.40704955</v>
      </c>
      <c r="G28"/>
      <c r="H28" s="246">
        <f t="shared" si="3"/>
        <v>2650.9201425000001</v>
      </c>
    </row>
    <row r="29" spans="1:8" x14ac:dyDescent="0.2">
      <c r="A29" s="225" t="s">
        <v>577</v>
      </c>
      <c r="B29" s="221">
        <v>2513.98</v>
      </c>
      <c r="C29" s="218">
        <v>2513.98</v>
      </c>
      <c r="D29" s="245">
        <f t="shared" si="0"/>
        <v>2715.0984000000003</v>
      </c>
      <c r="E29" s="245">
        <f t="shared" si="1"/>
        <v>2749.0371300000002</v>
      </c>
      <c r="F29" s="245">
        <f t="shared" si="2"/>
        <v>2831.5082439000003</v>
      </c>
      <c r="G29"/>
      <c r="H29" s="246">
        <f t="shared" si="3"/>
        <v>2732.0677650000002</v>
      </c>
    </row>
    <row r="30" spans="1:8" x14ac:dyDescent="0.2">
      <c r="A30" s="225" t="s">
        <v>580</v>
      </c>
      <c r="B30" s="221">
        <v>0</v>
      </c>
      <c r="C30" s="218">
        <v>0</v>
      </c>
      <c r="D30" s="245">
        <f t="shared" si="0"/>
        <v>0</v>
      </c>
      <c r="E30" s="245">
        <f t="shared" si="1"/>
        <v>0</v>
      </c>
      <c r="F30" s="245">
        <f t="shared" si="2"/>
        <v>0</v>
      </c>
      <c r="G30"/>
      <c r="H30" s="246">
        <f t="shared" si="3"/>
        <v>0</v>
      </c>
    </row>
    <row r="31" spans="1:8" x14ac:dyDescent="0.2">
      <c r="A31" s="225" t="s">
        <v>583</v>
      </c>
      <c r="B31" s="221">
        <v>0</v>
      </c>
      <c r="C31" s="218">
        <v>0</v>
      </c>
      <c r="D31" s="245">
        <f t="shared" si="0"/>
        <v>0</v>
      </c>
      <c r="E31" s="245">
        <f t="shared" si="1"/>
        <v>0</v>
      </c>
      <c r="F31" s="245">
        <f t="shared" si="2"/>
        <v>0</v>
      </c>
      <c r="G31"/>
      <c r="H31" s="246">
        <f t="shared" si="3"/>
        <v>0</v>
      </c>
    </row>
    <row r="32" spans="1:8" x14ac:dyDescent="0.2">
      <c r="A32" s="225" t="s">
        <v>586</v>
      </c>
      <c r="B32" s="221">
        <v>0</v>
      </c>
      <c r="C32" s="218">
        <v>0</v>
      </c>
      <c r="D32" s="245">
        <f t="shared" si="0"/>
        <v>0</v>
      </c>
      <c r="E32" s="245">
        <f t="shared" si="1"/>
        <v>0</v>
      </c>
      <c r="F32" s="245">
        <f t="shared" si="2"/>
        <v>0</v>
      </c>
      <c r="G32"/>
      <c r="H32" s="246">
        <f t="shared" si="3"/>
        <v>0</v>
      </c>
    </row>
    <row r="33" spans="1:8" x14ac:dyDescent="0.2">
      <c r="A33" s="225"/>
      <c r="B33" s="221"/>
      <c r="C33" s="218"/>
      <c r="D33" s="245"/>
      <c r="E33" s="245"/>
      <c r="F33" s="245"/>
      <c r="G33"/>
      <c r="H33" s="246"/>
    </row>
    <row r="34" spans="1:8" x14ac:dyDescent="0.2">
      <c r="A34" s="225" t="s">
        <v>589</v>
      </c>
      <c r="B34" s="221">
        <v>1955.6</v>
      </c>
      <c r="C34" s="218">
        <v>1995</v>
      </c>
      <c r="D34" s="245">
        <f t="shared" si="0"/>
        <v>2154.6000000000004</v>
      </c>
      <c r="E34" s="245">
        <f t="shared" si="1"/>
        <v>2181.5325000000003</v>
      </c>
      <c r="F34" s="245">
        <f t="shared" si="2"/>
        <v>2246.9784750000003</v>
      </c>
      <c r="G34"/>
      <c r="H34" s="246">
        <f t="shared" si="3"/>
        <v>2168.0662500000003</v>
      </c>
    </row>
    <row r="35" spans="1:8" x14ac:dyDescent="0.2">
      <c r="A35" s="225" t="s">
        <v>592</v>
      </c>
      <c r="B35" s="221">
        <v>2016.15</v>
      </c>
      <c r="C35" s="218">
        <v>2016.15</v>
      </c>
      <c r="D35" s="245">
        <f t="shared" si="0"/>
        <v>2177.4420000000005</v>
      </c>
      <c r="E35" s="245">
        <f t="shared" si="1"/>
        <v>2204.6600250000006</v>
      </c>
      <c r="F35" s="245">
        <f t="shared" si="2"/>
        <v>2270.7998257500008</v>
      </c>
      <c r="G35"/>
      <c r="H35" s="246">
        <f t="shared" si="3"/>
        <v>2191.0510125000005</v>
      </c>
    </row>
    <row r="36" spans="1:8" x14ac:dyDescent="0.2">
      <c r="A36" s="225" t="s">
        <v>595</v>
      </c>
      <c r="B36" s="221">
        <v>2078.7199999999998</v>
      </c>
      <c r="C36" s="218">
        <v>2078.7199999999998</v>
      </c>
      <c r="D36" s="245">
        <f t="shared" si="0"/>
        <v>2245.0176000000001</v>
      </c>
      <c r="E36" s="245">
        <f t="shared" si="1"/>
        <v>2273.08032</v>
      </c>
      <c r="F36" s="245">
        <f t="shared" si="2"/>
        <v>2341.2727296000003</v>
      </c>
      <c r="G36"/>
      <c r="H36" s="246">
        <f t="shared" si="3"/>
        <v>2259.0489600000001</v>
      </c>
    </row>
    <row r="37" spans="1:8" x14ac:dyDescent="0.2">
      <c r="A37" s="225" t="s">
        <v>598</v>
      </c>
      <c r="B37" s="221">
        <v>2143.3000000000002</v>
      </c>
      <c r="C37" s="218">
        <v>2143.3000000000002</v>
      </c>
      <c r="D37" s="245">
        <f t="shared" si="0"/>
        <v>2314.7640000000001</v>
      </c>
      <c r="E37" s="245">
        <f t="shared" si="1"/>
        <v>2343.6985500000001</v>
      </c>
      <c r="F37" s="245">
        <f t="shared" si="2"/>
        <v>2414.0095065</v>
      </c>
      <c r="G37"/>
      <c r="H37" s="246">
        <f t="shared" si="3"/>
        <v>2329.2312750000001</v>
      </c>
    </row>
    <row r="38" spans="1:8" x14ac:dyDescent="0.2">
      <c r="A38" s="225" t="s">
        <v>601</v>
      </c>
      <c r="B38" s="221">
        <v>2209.91</v>
      </c>
      <c r="C38" s="218">
        <v>2209.91</v>
      </c>
      <c r="D38" s="245">
        <f t="shared" si="0"/>
        <v>2386.7028</v>
      </c>
      <c r="E38" s="245">
        <f t="shared" si="1"/>
        <v>2416.5365849999998</v>
      </c>
      <c r="F38" s="245">
        <f t="shared" si="2"/>
        <v>2489.0326825500001</v>
      </c>
      <c r="G38"/>
      <c r="H38" s="246">
        <f t="shared" si="3"/>
        <v>2401.6196924999999</v>
      </c>
    </row>
    <row r="39" spans="1:8" x14ac:dyDescent="0.2">
      <c r="A39" s="225" t="s">
        <v>603</v>
      </c>
      <c r="B39" s="217">
        <v>2277.84</v>
      </c>
      <c r="C39">
        <v>2277.84</v>
      </c>
      <c r="D39" s="245">
        <f t="shared" si="0"/>
        <v>2460.0672000000004</v>
      </c>
      <c r="E39" s="245">
        <f t="shared" si="1"/>
        <v>2490.8180400000001</v>
      </c>
      <c r="F39" s="245">
        <f t="shared" si="2"/>
        <v>2565.5425812000003</v>
      </c>
      <c r="G39"/>
      <c r="H39" s="246">
        <f t="shared" si="3"/>
        <v>2475.4426200000003</v>
      </c>
    </row>
    <row r="40" spans="1:8" x14ac:dyDescent="0.2">
      <c r="A40" s="225" t="s">
        <v>606</v>
      </c>
      <c r="B40" s="221">
        <v>2348.4699999999998</v>
      </c>
      <c r="C40" s="218">
        <v>2348.4699999999998</v>
      </c>
      <c r="D40" s="245">
        <f t="shared" si="0"/>
        <v>2536.3476000000001</v>
      </c>
      <c r="E40" s="245">
        <f t="shared" si="1"/>
        <v>2568.0519450000002</v>
      </c>
      <c r="F40" s="245">
        <f t="shared" si="2"/>
        <v>2645.0935033500004</v>
      </c>
      <c r="G40"/>
      <c r="H40" s="246">
        <f t="shared" si="3"/>
        <v>2552.1997725000001</v>
      </c>
    </row>
    <row r="41" spans="1:8" x14ac:dyDescent="0.2">
      <c r="A41" s="225" t="s">
        <v>609</v>
      </c>
      <c r="B41" s="221">
        <v>2421.7800000000002</v>
      </c>
      <c r="C41" s="218">
        <v>2421.7800000000002</v>
      </c>
      <c r="D41" s="245">
        <f t="shared" si="0"/>
        <v>2615.5224000000003</v>
      </c>
      <c r="E41" s="245">
        <f t="shared" si="1"/>
        <v>2648.2164300000004</v>
      </c>
      <c r="F41" s="245">
        <f t="shared" si="2"/>
        <v>2727.6629229000005</v>
      </c>
      <c r="G41"/>
      <c r="H41" s="246">
        <f t="shared" si="3"/>
        <v>2631.8694150000001</v>
      </c>
    </row>
    <row r="42" spans="1:8" x14ac:dyDescent="0.2">
      <c r="A42" s="225" t="s">
        <v>612</v>
      </c>
      <c r="B42" s="221">
        <v>2496.4699999999998</v>
      </c>
      <c r="C42" s="218">
        <v>2496.4699999999998</v>
      </c>
      <c r="D42" s="245">
        <f t="shared" si="0"/>
        <v>2696.1875999999997</v>
      </c>
      <c r="E42" s="245">
        <f t="shared" si="1"/>
        <v>2729.8899449999994</v>
      </c>
      <c r="F42" s="245">
        <f t="shared" si="2"/>
        <v>2811.7866433499994</v>
      </c>
      <c r="G42"/>
      <c r="H42" s="246">
        <f t="shared" si="3"/>
        <v>2713.0387724999996</v>
      </c>
    </row>
    <row r="43" spans="1:8" x14ac:dyDescent="0.2">
      <c r="A43" s="225" t="s">
        <v>615</v>
      </c>
      <c r="B43" s="221">
        <v>2573.83</v>
      </c>
      <c r="C43" s="218">
        <v>2573.83</v>
      </c>
      <c r="D43" s="245">
        <f t="shared" si="0"/>
        <v>2779.7364000000002</v>
      </c>
      <c r="E43" s="245">
        <f t="shared" si="1"/>
        <v>2814.4831050000003</v>
      </c>
      <c r="F43" s="245">
        <f t="shared" si="2"/>
        <v>2898.9175981500002</v>
      </c>
      <c r="G43"/>
      <c r="H43" s="246">
        <f t="shared" si="3"/>
        <v>2797.1097525000005</v>
      </c>
    </row>
    <row r="44" spans="1:8" x14ac:dyDescent="0.2">
      <c r="A44" s="225" t="s">
        <v>618</v>
      </c>
      <c r="B44" s="221">
        <v>2653.87</v>
      </c>
      <c r="C44" s="218">
        <v>2653.87</v>
      </c>
      <c r="D44" s="245">
        <f t="shared" si="0"/>
        <v>2866.1795999999999</v>
      </c>
      <c r="E44" s="245">
        <f t="shared" si="1"/>
        <v>2902.0068449999999</v>
      </c>
      <c r="F44" s="245">
        <f t="shared" si="2"/>
        <v>2989.06705035</v>
      </c>
      <c r="G44"/>
      <c r="H44" s="246">
        <f t="shared" si="3"/>
        <v>2884.0932224999997</v>
      </c>
    </row>
    <row r="45" spans="1:8" x14ac:dyDescent="0.2">
      <c r="A45" s="225" t="s">
        <v>621</v>
      </c>
      <c r="B45" s="221">
        <v>0</v>
      </c>
      <c r="C45" s="218">
        <v>0</v>
      </c>
      <c r="D45" s="245">
        <f t="shared" si="0"/>
        <v>0</v>
      </c>
      <c r="E45" s="245">
        <f t="shared" si="1"/>
        <v>0</v>
      </c>
      <c r="F45" s="245">
        <f t="shared" si="2"/>
        <v>0</v>
      </c>
      <c r="G45"/>
      <c r="H45" s="246">
        <f t="shared" si="3"/>
        <v>0</v>
      </c>
    </row>
    <row r="46" spans="1:8" x14ac:dyDescent="0.2">
      <c r="A46" s="225" t="s">
        <v>624</v>
      </c>
      <c r="B46" s="221">
        <v>0</v>
      </c>
      <c r="C46" s="218">
        <v>0</v>
      </c>
      <c r="D46" s="245">
        <f t="shared" si="0"/>
        <v>0</v>
      </c>
      <c r="E46" s="245">
        <f t="shared" si="1"/>
        <v>0</v>
      </c>
      <c r="F46" s="245">
        <f t="shared" si="2"/>
        <v>0</v>
      </c>
      <c r="G46"/>
      <c r="H46" s="246">
        <f t="shared" si="3"/>
        <v>0</v>
      </c>
    </row>
    <row r="47" spans="1:8" x14ac:dyDescent="0.2">
      <c r="A47" s="225" t="s">
        <v>627</v>
      </c>
      <c r="B47" s="221">
        <v>0</v>
      </c>
      <c r="C47" s="218">
        <v>0</v>
      </c>
      <c r="D47" s="245">
        <f t="shared" si="0"/>
        <v>0</v>
      </c>
      <c r="E47" s="245">
        <f t="shared" si="1"/>
        <v>0</v>
      </c>
      <c r="F47" s="245">
        <f t="shared" si="2"/>
        <v>0</v>
      </c>
      <c r="G47"/>
      <c r="H47" s="246">
        <f t="shared" si="3"/>
        <v>0</v>
      </c>
    </row>
    <row r="48" spans="1:8" x14ac:dyDescent="0.2">
      <c r="A48" s="225"/>
      <c r="B48" s="221"/>
      <c r="C48" s="218"/>
      <c r="D48" s="245"/>
      <c r="E48" s="245"/>
      <c r="F48" s="245"/>
      <c r="G48"/>
      <c r="H48" s="246"/>
    </row>
    <row r="49" spans="1:8" x14ac:dyDescent="0.2">
      <c r="A49" s="225" t="s">
        <v>630</v>
      </c>
      <c r="B49" s="221">
        <v>2082.1</v>
      </c>
      <c r="C49" s="218">
        <v>2082.1</v>
      </c>
      <c r="D49" s="245">
        <f t="shared" si="0"/>
        <v>2248.6680000000001</v>
      </c>
      <c r="E49" s="245">
        <f t="shared" si="1"/>
        <v>2276.7763500000001</v>
      </c>
      <c r="F49" s="245">
        <f t="shared" si="2"/>
        <v>2345.0796405000001</v>
      </c>
      <c r="G49"/>
      <c r="H49" s="246">
        <f t="shared" si="3"/>
        <v>2262.7221749999999</v>
      </c>
    </row>
    <row r="50" spans="1:8" x14ac:dyDescent="0.2">
      <c r="A50" s="225" t="s">
        <v>633</v>
      </c>
      <c r="B50" s="221">
        <v>2147.33</v>
      </c>
      <c r="C50" s="218">
        <v>2147.33</v>
      </c>
      <c r="D50" s="245">
        <f t="shared" si="0"/>
        <v>2319.1163999999999</v>
      </c>
      <c r="E50" s="245">
        <f t="shared" si="1"/>
        <v>2348.1053549999997</v>
      </c>
      <c r="F50" s="245">
        <f t="shared" si="2"/>
        <v>2418.5485156499999</v>
      </c>
      <c r="G50"/>
      <c r="H50" s="246">
        <f t="shared" si="3"/>
        <v>2333.6108774999998</v>
      </c>
    </row>
    <row r="51" spans="1:8" x14ac:dyDescent="0.2">
      <c r="A51" s="225" t="s">
        <v>635</v>
      </c>
      <c r="B51" s="221">
        <v>2215.3000000000002</v>
      </c>
      <c r="C51" s="218">
        <v>2215.3000000000002</v>
      </c>
      <c r="D51" s="245">
        <f t="shared" si="0"/>
        <v>2392.5240000000003</v>
      </c>
      <c r="E51" s="245">
        <f t="shared" si="1"/>
        <v>2422.43055</v>
      </c>
      <c r="F51" s="245">
        <f t="shared" si="2"/>
        <v>2495.1034665000002</v>
      </c>
      <c r="G51"/>
      <c r="H51" s="246">
        <f t="shared" si="3"/>
        <v>2407.4772750000002</v>
      </c>
    </row>
    <row r="52" spans="1:8" x14ac:dyDescent="0.2">
      <c r="A52" s="225" t="s">
        <v>637</v>
      </c>
      <c r="B52" s="217">
        <v>2285.21</v>
      </c>
      <c r="C52">
        <v>2285.21</v>
      </c>
      <c r="D52" s="245">
        <f t="shared" si="0"/>
        <v>2468.0268000000001</v>
      </c>
      <c r="E52" s="245">
        <f t="shared" si="1"/>
        <v>2498.8771350000002</v>
      </c>
      <c r="F52" s="245">
        <f t="shared" si="2"/>
        <v>2573.8434490500003</v>
      </c>
      <c r="G52"/>
      <c r="H52" s="246">
        <f t="shared" si="3"/>
        <v>2483.4519675000001</v>
      </c>
    </row>
    <row r="53" spans="1:8" x14ac:dyDescent="0.2">
      <c r="A53" s="225" t="s">
        <v>640</v>
      </c>
      <c r="B53" s="221">
        <v>2357.19</v>
      </c>
      <c r="C53" s="218">
        <v>2357.19</v>
      </c>
      <c r="D53" s="245">
        <f t="shared" si="0"/>
        <v>2545.7652000000003</v>
      </c>
      <c r="E53" s="245">
        <f t="shared" si="1"/>
        <v>2577.5872650000001</v>
      </c>
      <c r="F53" s="245">
        <f t="shared" si="2"/>
        <v>2654.91488295</v>
      </c>
      <c r="G53"/>
      <c r="H53" s="246">
        <f t="shared" si="3"/>
        <v>2561.6762325</v>
      </c>
    </row>
    <row r="54" spans="1:8" x14ac:dyDescent="0.2">
      <c r="A54" s="225" t="s">
        <v>643</v>
      </c>
      <c r="B54" s="221">
        <v>2431.19</v>
      </c>
      <c r="C54" s="218">
        <v>2431.19</v>
      </c>
      <c r="D54" s="245">
        <f t="shared" si="0"/>
        <v>2625.6852000000003</v>
      </c>
      <c r="E54" s="245">
        <f t="shared" si="1"/>
        <v>2658.5062650000004</v>
      </c>
      <c r="F54" s="245">
        <f t="shared" si="2"/>
        <v>2738.2614529500006</v>
      </c>
      <c r="G54"/>
      <c r="H54" s="246">
        <f t="shared" si="3"/>
        <v>2642.0957325000004</v>
      </c>
    </row>
    <row r="55" spans="1:8" x14ac:dyDescent="0.2">
      <c r="A55" s="225" t="s">
        <v>646</v>
      </c>
      <c r="B55" s="221">
        <v>2507.88</v>
      </c>
      <c r="C55" s="218">
        <v>2507.88</v>
      </c>
      <c r="D55" s="245">
        <f t="shared" si="0"/>
        <v>2708.5104000000001</v>
      </c>
      <c r="E55" s="245">
        <f t="shared" si="1"/>
        <v>2742.3667799999998</v>
      </c>
      <c r="F55" s="245">
        <f t="shared" si="2"/>
        <v>2824.6377834</v>
      </c>
      <c r="G55"/>
      <c r="H55" s="246">
        <f t="shared" si="3"/>
        <v>2725.4385899999997</v>
      </c>
    </row>
    <row r="56" spans="1:8" x14ac:dyDescent="0.2">
      <c r="A56" s="225" t="s">
        <v>649</v>
      </c>
      <c r="B56" s="221">
        <v>2586.59</v>
      </c>
      <c r="C56" s="218">
        <v>2586.59</v>
      </c>
      <c r="D56" s="245">
        <f t="shared" si="0"/>
        <v>2793.5172000000002</v>
      </c>
      <c r="E56" s="245">
        <f t="shared" si="1"/>
        <v>2828.4361650000001</v>
      </c>
      <c r="F56" s="245">
        <f t="shared" si="2"/>
        <v>2913.2892499500003</v>
      </c>
      <c r="G56"/>
      <c r="H56" s="246">
        <f t="shared" si="3"/>
        <v>2810.9766825000002</v>
      </c>
    </row>
    <row r="57" spans="1:8" x14ac:dyDescent="0.2">
      <c r="A57" s="225" t="s">
        <v>652</v>
      </c>
      <c r="B57" s="221">
        <v>2668.71</v>
      </c>
      <c r="C57" s="218">
        <v>2668.71</v>
      </c>
      <c r="D57" s="245">
        <f t="shared" si="0"/>
        <v>2882.2068000000004</v>
      </c>
      <c r="E57" s="245">
        <f t="shared" si="1"/>
        <v>2918.2343850000002</v>
      </c>
      <c r="F57" s="245">
        <f t="shared" si="2"/>
        <v>3005.7814165500004</v>
      </c>
      <c r="G57"/>
      <c r="H57" s="246">
        <f t="shared" si="3"/>
        <v>2900.2205925000003</v>
      </c>
    </row>
    <row r="58" spans="1:8" x14ac:dyDescent="0.2">
      <c r="A58" s="225" t="s">
        <v>655</v>
      </c>
      <c r="B58" s="221">
        <v>2752.76</v>
      </c>
      <c r="C58" s="218">
        <v>2752.76</v>
      </c>
      <c r="D58" s="245">
        <f t="shared" si="0"/>
        <v>2972.9808000000003</v>
      </c>
      <c r="E58" s="245">
        <f t="shared" si="1"/>
        <v>3010.1430600000003</v>
      </c>
      <c r="F58" s="245">
        <f t="shared" si="2"/>
        <v>3100.4473518000004</v>
      </c>
      <c r="G58"/>
      <c r="H58" s="246">
        <f t="shared" si="3"/>
        <v>2991.5619300000003</v>
      </c>
    </row>
    <row r="59" spans="1:8" x14ac:dyDescent="0.2">
      <c r="A59" s="225" t="s">
        <v>658</v>
      </c>
      <c r="B59" s="221">
        <v>2838.86</v>
      </c>
      <c r="C59" s="218">
        <v>2838.86</v>
      </c>
      <c r="D59" s="245">
        <f t="shared" si="0"/>
        <v>3065.9688000000006</v>
      </c>
      <c r="E59" s="245">
        <f t="shared" si="1"/>
        <v>3104.2934100000002</v>
      </c>
      <c r="F59" s="245">
        <f t="shared" si="2"/>
        <v>3197.4222123000004</v>
      </c>
      <c r="G59"/>
      <c r="H59" s="246">
        <f t="shared" si="3"/>
        <v>3085.1311050000004</v>
      </c>
    </row>
    <row r="60" spans="1:8" x14ac:dyDescent="0.2">
      <c r="A60" s="225" t="s">
        <v>661</v>
      </c>
      <c r="B60" s="221">
        <v>0</v>
      </c>
      <c r="C60" s="218">
        <v>0</v>
      </c>
      <c r="D60" s="245">
        <f t="shared" si="0"/>
        <v>0</v>
      </c>
      <c r="E60" s="245">
        <f t="shared" si="1"/>
        <v>0</v>
      </c>
      <c r="F60" s="245">
        <f t="shared" si="2"/>
        <v>0</v>
      </c>
      <c r="G60"/>
      <c r="H60" s="246">
        <f t="shared" si="3"/>
        <v>0</v>
      </c>
    </row>
    <row r="61" spans="1:8" x14ac:dyDescent="0.2">
      <c r="A61" s="225" t="s">
        <v>664</v>
      </c>
      <c r="B61" s="221">
        <v>0</v>
      </c>
      <c r="C61" s="218">
        <v>0</v>
      </c>
      <c r="D61" s="245">
        <f t="shared" si="0"/>
        <v>0</v>
      </c>
      <c r="E61" s="245">
        <f t="shared" si="1"/>
        <v>0</v>
      </c>
      <c r="F61" s="245">
        <f t="shared" si="2"/>
        <v>0</v>
      </c>
      <c r="G61"/>
      <c r="H61" s="246">
        <f t="shared" si="3"/>
        <v>0</v>
      </c>
    </row>
    <row r="62" spans="1:8" x14ac:dyDescent="0.2">
      <c r="A62" s="225" t="s">
        <v>667</v>
      </c>
      <c r="B62" s="221">
        <v>0</v>
      </c>
      <c r="C62" s="218">
        <v>0</v>
      </c>
      <c r="D62" s="245">
        <f t="shared" si="0"/>
        <v>0</v>
      </c>
      <c r="E62" s="245">
        <f t="shared" si="1"/>
        <v>0</v>
      </c>
      <c r="F62" s="245">
        <f t="shared" si="2"/>
        <v>0</v>
      </c>
      <c r="G62"/>
      <c r="H62" s="246">
        <f t="shared" si="3"/>
        <v>0</v>
      </c>
    </row>
    <row r="63" spans="1:8" x14ac:dyDescent="0.2">
      <c r="A63" s="225"/>
      <c r="B63" s="221"/>
      <c r="C63" s="218"/>
      <c r="D63" s="245"/>
      <c r="E63" s="245"/>
      <c r="F63" s="245"/>
      <c r="G63"/>
      <c r="H63" s="246"/>
    </row>
    <row r="64" spans="1:8" x14ac:dyDescent="0.2">
      <c r="A64" s="225" t="s">
        <v>28</v>
      </c>
      <c r="B64" s="221">
        <v>2155.38</v>
      </c>
      <c r="C64" s="218">
        <v>2155.38</v>
      </c>
      <c r="D64" s="245">
        <f t="shared" si="0"/>
        <v>2327.8104000000003</v>
      </c>
      <c r="E64" s="245">
        <f t="shared" si="1"/>
        <v>2356.9080300000001</v>
      </c>
      <c r="F64" s="245">
        <f t="shared" si="2"/>
        <v>2427.6152709000003</v>
      </c>
      <c r="G64"/>
      <c r="H64" s="246">
        <f t="shared" si="3"/>
        <v>2342.3592150000004</v>
      </c>
    </row>
    <row r="65" spans="1:8" x14ac:dyDescent="0.2">
      <c r="A65" s="225" t="s">
        <v>504</v>
      </c>
      <c r="B65" s="217">
        <v>2224.6799999999998</v>
      </c>
      <c r="C65">
        <v>2224.6799999999998</v>
      </c>
      <c r="D65" s="245">
        <f t="shared" si="0"/>
        <v>2402.6543999999999</v>
      </c>
      <c r="E65" s="245">
        <f t="shared" si="1"/>
        <v>2432.6875799999998</v>
      </c>
      <c r="F65" s="245">
        <f t="shared" si="2"/>
        <v>2505.6682074</v>
      </c>
      <c r="G65"/>
      <c r="H65" s="246">
        <f t="shared" si="3"/>
        <v>2417.6709899999996</v>
      </c>
    </row>
    <row r="66" spans="1:8" x14ac:dyDescent="0.2">
      <c r="A66" s="242" t="s">
        <v>508</v>
      </c>
      <c r="B66" s="221">
        <v>2295.33</v>
      </c>
      <c r="C66" s="218">
        <v>2295.33</v>
      </c>
      <c r="D66" s="245">
        <f t="shared" si="0"/>
        <v>2478.9564</v>
      </c>
      <c r="E66" s="245">
        <f t="shared" si="1"/>
        <v>2509.9433549999999</v>
      </c>
      <c r="F66" s="245">
        <f t="shared" si="2"/>
        <v>2585.2416556499998</v>
      </c>
      <c r="G66"/>
      <c r="H66" s="246">
        <f t="shared" si="3"/>
        <v>2494.4498775000002</v>
      </c>
    </row>
    <row r="67" spans="1:8" x14ac:dyDescent="0.2">
      <c r="A67" s="242" t="s">
        <v>512</v>
      </c>
      <c r="B67" s="221">
        <v>2369.3200000000002</v>
      </c>
      <c r="C67" s="218">
        <v>2369.3200000000002</v>
      </c>
      <c r="D67" s="245">
        <f t="shared" si="0"/>
        <v>2558.8656000000005</v>
      </c>
      <c r="E67" s="245">
        <f t="shared" si="1"/>
        <v>2590.8514200000004</v>
      </c>
      <c r="F67" s="245">
        <f t="shared" si="2"/>
        <v>2668.5769626000006</v>
      </c>
      <c r="G67"/>
      <c r="H67" s="246">
        <f t="shared" si="3"/>
        <v>2574.8585100000005</v>
      </c>
    </row>
    <row r="68" spans="1:8" x14ac:dyDescent="0.2">
      <c r="A68" s="242" t="s">
        <v>516</v>
      </c>
      <c r="B68" s="221">
        <v>2444.6999999999998</v>
      </c>
      <c r="C68" s="218">
        <v>2444.6999999999998</v>
      </c>
      <c r="D68" s="245">
        <f t="shared" si="0"/>
        <v>2640.2759999999998</v>
      </c>
      <c r="E68" s="245">
        <f t="shared" si="1"/>
        <v>2673.2794499999995</v>
      </c>
      <c r="F68" s="245">
        <f t="shared" si="2"/>
        <v>2753.4778334999996</v>
      </c>
      <c r="G68"/>
      <c r="H68" s="246">
        <f t="shared" si="3"/>
        <v>2656.7777249999999</v>
      </c>
    </row>
    <row r="69" spans="1:8" x14ac:dyDescent="0.2">
      <c r="A69" s="242" t="s">
        <v>520</v>
      </c>
      <c r="B69" s="221">
        <v>2523.35</v>
      </c>
      <c r="C69" s="218">
        <v>2523.35</v>
      </c>
      <c r="D69" s="245">
        <f t="shared" ref="D69:D132" si="4">C69*1.08</f>
        <v>2725.2180000000003</v>
      </c>
      <c r="E69" s="245">
        <f t="shared" ref="E69:E132" si="5">D69*1.0125</f>
        <v>2759.2832250000001</v>
      </c>
      <c r="F69" s="245">
        <f t="shared" ref="F69:F132" si="6">E69*1.03</f>
        <v>2842.0617217500003</v>
      </c>
      <c r="G69"/>
      <c r="H69" s="246">
        <f t="shared" ref="H69:H132" si="7">AVERAGE(D69:E69)</f>
        <v>2742.2506125</v>
      </c>
    </row>
    <row r="70" spans="1:8" x14ac:dyDescent="0.2">
      <c r="A70" s="242" t="s">
        <v>524</v>
      </c>
      <c r="B70" s="221">
        <v>2604.1</v>
      </c>
      <c r="C70" s="218">
        <v>2604.1</v>
      </c>
      <c r="D70" s="245">
        <f t="shared" si="4"/>
        <v>2812.4279999999999</v>
      </c>
      <c r="E70" s="245">
        <f t="shared" si="5"/>
        <v>2847.5833499999999</v>
      </c>
      <c r="F70" s="245">
        <f t="shared" si="6"/>
        <v>2933.0108504999998</v>
      </c>
      <c r="G70"/>
      <c r="H70" s="246">
        <f t="shared" si="7"/>
        <v>2830.0056749999999</v>
      </c>
    </row>
    <row r="71" spans="1:8" x14ac:dyDescent="0.2">
      <c r="A71" s="242" t="s">
        <v>528</v>
      </c>
      <c r="B71" s="221">
        <v>2686.85</v>
      </c>
      <c r="C71" s="218">
        <v>2686.85</v>
      </c>
      <c r="D71" s="245">
        <f t="shared" si="4"/>
        <v>2901.7980000000002</v>
      </c>
      <c r="E71" s="245">
        <f t="shared" si="5"/>
        <v>2938.070475</v>
      </c>
      <c r="F71" s="245">
        <f t="shared" si="6"/>
        <v>3026.2125892500003</v>
      </c>
      <c r="G71"/>
      <c r="H71" s="246">
        <f t="shared" si="7"/>
        <v>2919.9342375000001</v>
      </c>
    </row>
    <row r="72" spans="1:8" x14ac:dyDescent="0.2">
      <c r="A72" s="242" t="s">
        <v>531</v>
      </c>
      <c r="B72" s="221">
        <v>2772.97</v>
      </c>
      <c r="C72" s="218">
        <v>2772.97</v>
      </c>
      <c r="D72" s="245">
        <f t="shared" si="4"/>
        <v>2994.8076000000001</v>
      </c>
      <c r="E72" s="245">
        <f t="shared" si="5"/>
        <v>3032.2426949999999</v>
      </c>
      <c r="F72" s="245">
        <f t="shared" si="6"/>
        <v>3123.2099758499999</v>
      </c>
      <c r="G72"/>
      <c r="H72" s="246">
        <f t="shared" si="7"/>
        <v>3013.5251475</v>
      </c>
    </row>
    <row r="73" spans="1:8" x14ac:dyDescent="0.2">
      <c r="A73" s="242" t="s">
        <v>534</v>
      </c>
      <c r="B73" s="221">
        <v>2861.74</v>
      </c>
      <c r="C73" s="218">
        <v>2861.74</v>
      </c>
      <c r="D73" s="245">
        <f t="shared" si="4"/>
        <v>3090.6792</v>
      </c>
      <c r="E73" s="245">
        <f t="shared" si="5"/>
        <v>3129.3126899999997</v>
      </c>
      <c r="F73" s="245">
        <f t="shared" si="6"/>
        <v>3223.1920706999999</v>
      </c>
      <c r="G73"/>
      <c r="H73" s="246">
        <f t="shared" si="7"/>
        <v>3109.9959449999997</v>
      </c>
    </row>
    <row r="74" spans="1:8" x14ac:dyDescent="0.2">
      <c r="A74" s="242" t="s">
        <v>686</v>
      </c>
      <c r="B74" s="221">
        <v>2953.27</v>
      </c>
      <c r="C74" s="218">
        <v>2953.27</v>
      </c>
      <c r="D74" s="245">
        <f t="shared" si="4"/>
        <v>3189.5316000000003</v>
      </c>
      <c r="E74" s="245">
        <f t="shared" si="5"/>
        <v>3229.4007449999999</v>
      </c>
      <c r="F74" s="245">
        <f t="shared" si="6"/>
        <v>3326.2827673500001</v>
      </c>
      <c r="G74"/>
      <c r="H74" s="246">
        <f t="shared" si="7"/>
        <v>3209.4661725000001</v>
      </c>
    </row>
    <row r="75" spans="1:8" x14ac:dyDescent="0.2">
      <c r="A75" s="242" t="s">
        <v>25</v>
      </c>
      <c r="B75" s="221">
        <v>3048.08</v>
      </c>
      <c r="C75" s="218">
        <v>3048.08</v>
      </c>
      <c r="D75" s="245">
        <f t="shared" si="4"/>
        <v>3291.9264000000003</v>
      </c>
      <c r="E75" s="245">
        <f t="shared" si="5"/>
        <v>3333.07548</v>
      </c>
      <c r="F75" s="245">
        <f t="shared" si="6"/>
        <v>3433.0677444000003</v>
      </c>
      <c r="G75"/>
      <c r="H75" s="246">
        <f t="shared" si="7"/>
        <v>3312.5009399999999</v>
      </c>
    </row>
    <row r="76" spans="1:8" x14ac:dyDescent="0.2">
      <c r="A76" s="242" t="s">
        <v>690</v>
      </c>
      <c r="B76" s="221">
        <v>0</v>
      </c>
      <c r="C76" s="218">
        <v>0</v>
      </c>
      <c r="D76" s="245">
        <f t="shared" si="4"/>
        <v>0</v>
      </c>
      <c r="E76" s="245">
        <f t="shared" si="5"/>
        <v>0</v>
      </c>
      <c r="F76" s="245">
        <f t="shared" si="6"/>
        <v>0</v>
      </c>
      <c r="G76"/>
      <c r="H76" s="246">
        <f t="shared" si="7"/>
        <v>0</v>
      </c>
    </row>
    <row r="77" spans="1:8" x14ac:dyDescent="0.2">
      <c r="A77" s="225" t="s">
        <v>691</v>
      </c>
      <c r="B77" s="217">
        <v>0</v>
      </c>
      <c r="C77">
        <v>0</v>
      </c>
      <c r="D77" s="245">
        <f t="shared" si="4"/>
        <v>0</v>
      </c>
      <c r="E77" s="245">
        <f t="shared" si="5"/>
        <v>0</v>
      </c>
      <c r="F77" s="245">
        <f t="shared" si="6"/>
        <v>0</v>
      </c>
      <c r="G77"/>
      <c r="H77" s="246">
        <f t="shared" si="7"/>
        <v>0</v>
      </c>
    </row>
    <row r="78" spans="1:8" x14ac:dyDescent="0.2">
      <c r="A78" s="225"/>
      <c r="B78" s="217"/>
      <c r="C78"/>
      <c r="D78" s="245"/>
      <c r="E78" s="245"/>
      <c r="F78" s="245"/>
      <c r="G78"/>
      <c r="H78" s="246"/>
    </row>
    <row r="79" spans="1:8" x14ac:dyDescent="0.2">
      <c r="A79" s="225" t="s">
        <v>694</v>
      </c>
      <c r="B79" s="221">
        <v>2311.48</v>
      </c>
      <c r="C79" s="218">
        <v>2311.48</v>
      </c>
      <c r="D79" s="245">
        <f t="shared" si="4"/>
        <v>2496.3984</v>
      </c>
      <c r="E79" s="245">
        <f t="shared" si="5"/>
        <v>2527.60338</v>
      </c>
      <c r="F79" s="245">
        <f t="shared" si="6"/>
        <v>2603.4314813999999</v>
      </c>
      <c r="G79"/>
      <c r="H79" s="246">
        <f t="shared" si="7"/>
        <v>2512.0008900000003</v>
      </c>
    </row>
    <row r="80" spans="1:8" x14ac:dyDescent="0.2">
      <c r="A80" s="225" t="s">
        <v>697</v>
      </c>
      <c r="B80" s="221">
        <v>2386.7800000000002</v>
      </c>
      <c r="C80" s="218">
        <v>2386.7800000000002</v>
      </c>
      <c r="D80" s="245">
        <f t="shared" si="4"/>
        <v>2577.7224000000006</v>
      </c>
      <c r="E80" s="245">
        <f t="shared" si="5"/>
        <v>2609.9439300000004</v>
      </c>
      <c r="F80" s="245">
        <f t="shared" si="6"/>
        <v>2688.2422479000006</v>
      </c>
      <c r="G80"/>
      <c r="H80" s="246">
        <f t="shared" si="7"/>
        <v>2593.8331650000005</v>
      </c>
    </row>
    <row r="81" spans="1:9" x14ac:dyDescent="0.2">
      <c r="A81" s="225" t="s">
        <v>700</v>
      </c>
      <c r="B81" s="221">
        <v>2464.1799999999998</v>
      </c>
      <c r="C81" s="218">
        <v>2464.1799999999998</v>
      </c>
      <c r="D81" s="245">
        <f t="shared" si="4"/>
        <v>2661.3144000000002</v>
      </c>
      <c r="E81" s="245">
        <f t="shared" si="5"/>
        <v>2694.5808299999999</v>
      </c>
      <c r="F81" s="245">
        <f t="shared" si="6"/>
        <v>2775.4182548999997</v>
      </c>
      <c r="G81"/>
      <c r="H81" s="246">
        <f t="shared" si="7"/>
        <v>2677.947615</v>
      </c>
    </row>
    <row r="82" spans="1:9" x14ac:dyDescent="0.2">
      <c r="A82" s="225" t="s">
        <v>703</v>
      </c>
      <c r="B82" s="221">
        <v>2544.2399999999998</v>
      </c>
      <c r="C82" s="218">
        <v>2544.2399999999998</v>
      </c>
      <c r="D82" s="245">
        <f t="shared" si="4"/>
        <v>2747.7791999999999</v>
      </c>
      <c r="E82" s="245">
        <f t="shared" si="5"/>
        <v>2782.12644</v>
      </c>
      <c r="F82" s="245">
        <f t="shared" si="6"/>
        <v>2865.5902332000001</v>
      </c>
      <c r="G82"/>
      <c r="H82" s="246">
        <f t="shared" si="7"/>
        <v>2764.95282</v>
      </c>
    </row>
    <row r="83" spans="1:9" x14ac:dyDescent="0.2">
      <c r="A83" s="225" t="s">
        <v>706</v>
      </c>
      <c r="B83" s="221">
        <v>2626.97</v>
      </c>
      <c r="C83" s="218">
        <v>2626.97</v>
      </c>
      <c r="D83" s="245">
        <f t="shared" si="4"/>
        <v>2837.1275999999998</v>
      </c>
      <c r="E83" s="245">
        <f t="shared" si="5"/>
        <v>2872.5916949999996</v>
      </c>
      <c r="F83" s="245">
        <f t="shared" si="6"/>
        <v>2958.7694458499996</v>
      </c>
      <c r="G83"/>
      <c r="H83" s="246">
        <f t="shared" si="7"/>
        <v>2854.8596474999995</v>
      </c>
    </row>
    <row r="84" spans="1:9" x14ac:dyDescent="0.2">
      <c r="A84" s="225" t="s">
        <v>709</v>
      </c>
      <c r="B84" s="221">
        <v>2712.38</v>
      </c>
      <c r="C84" s="218">
        <v>2712.38</v>
      </c>
      <c r="D84" s="245">
        <f t="shared" si="4"/>
        <v>2929.3704000000002</v>
      </c>
      <c r="E84" s="245">
        <f t="shared" si="5"/>
        <v>2965.9875300000003</v>
      </c>
      <c r="F84" s="245">
        <f t="shared" si="6"/>
        <v>3054.9671559000003</v>
      </c>
      <c r="G84"/>
      <c r="H84" s="246">
        <f t="shared" si="7"/>
        <v>2947.6789650000001</v>
      </c>
    </row>
    <row r="85" spans="1:9" x14ac:dyDescent="0.2">
      <c r="A85" s="225" t="s">
        <v>712</v>
      </c>
      <c r="B85" s="221">
        <v>2800.54</v>
      </c>
      <c r="C85" s="218">
        <v>2800.54</v>
      </c>
      <c r="D85" s="245">
        <f t="shared" si="4"/>
        <v>3024.5832</v>
      </c>
      <c r="E85" s="245">
        <f t="shared" si="5"/>
        <v>3062.3904899999998</v>
      </c>
      <c r="F85" s="245">
        <f t="shared" si="6"/>
        <v>3154.2622047</v>
      </c>
      <c r="G85"/>
      <c r="H85" s="246">
        <f t="shared" si="7"/>
        <v>3043.4868449999999</v>
      </c>
    </row>
    <row r="86" spans="1:9" x14ac:dyDescent="0.2">
      <c r="A86" s="225" t="s">
        <v>715</v>
      </c>
      <c r="B86" s="221">
        <v>2891.35</v>
      </c>
      <c r="C86" s="218">
        <v>2891.35</v>
      </c>
      <c r="D86" s="245">
        <f t="shared" si="4"/>
        <v>3122.6579999999999</v>
      </c>
      <c r="E86" s="245">
        <f t="shared" si="5"/>
        <v>3161.6912249999996</v>
      </c>
      <c r="F86" s="245">
        <f t="shared" si="6"/>
        <v>3256.5419617499997</v>
      </c>
      <c r="G86"/>
      <c r="H86" s="246">
        <f t="shared" si="7"/>
        <v>3142.1746125</v>
      </c>
    </row>
    <row r="87" spans="1:9" x14ac:dyDescent="0.2">
      <c r="A87" s="225" t="s">
        <v>718</v>
      </c>
      <c r="B87" s="221">
        <v>2985.53</v>
      </c>
      <c r="C87" s="218">
        <v>2985.53</v>
      </c>
      <c r="D87" s="245">
        <f t="shared" si="4"/>
        <v>3224.3724000000007</v>
      </c>
      <c r="E87" s="245">
        <f t="shared" si="5"/>
        <v>3264.6770550000006</v>
      </c>
      <c r="F87" s="245">
        <f t="shared" si="6"/>
        <v>3362.6173666500008</v>
      </c>
      <c r="G87"/>
      <c r="H87" s="246">
        <f t="shared" si="7"/>
        <v>3244.5247275000006</v>
      </c>
      <c r="I87" s="253"/>
    </row>
    <row r="88" spans="1:9" x14ac:dyDescent="0.2">
      <c r="A88" s="225" t="s">
        <v>721</v>
      </c>
      <c r="B88" s="221">
        <v>3082.38</v>
      </c>
      <c r="C88" s="218">
        <v>3082.38</v>
      </c>
      <c r="D88" s="245">
        <f t="shared" si="4"/>
        <v>3328.9704000000002</v>
      </c>
      <c r="E88" s="245">
        <f t="shared" si="5"/>
        <v>3370.5825300000001</v>
      </c>
      <c r="F88" s="245">
        <f t="shared" si="6"/>
        <v>3471.7000059000002</v>
      </c>
      <c r="G88"/>
      <c r="H88" s="246">
        <f t="shared" si="7"/>
        <v>3349.7764649999999</v>
      </c>
    </row>
    <row r="89" spans="1:9" x14ac:dyDescent="0.2">
      <c r="A89" s="225" t="s">
        <v>723</v>
      </c>
      <c r="B89" s="221">
        <v>3182.63</v>
      </c>
      <c r="C89" s="218">
        <v>3182.63</v>
      </c>
      <c r="D89" s="245">
        <f t="shared" si="4"/>
        <v>3437.2404000000001</v>
      </c>
      <c r="E89" s="245">
        <f t="shared" si="5"/>
        <v>3480.2059049999998</v>
      </c>
      <c r="F89" s="245">
        <f t="shared" si="6"/>
        <v>3584.6120821499999</v>
      </c>
      <c r="G89"/>
      <c r="H89" s="246">
        <f t="shared" si="7"/>
        <v>3458.7231524999997</v>
      </c>
    </row>
    <row r="90" spans="1:9" x14ac:dyDescent="0.2">
      <c r="A90" s="225" t="s">
        <v>30</v>
      </c>
      <c r="B90" s="221">
        <v>3286.25</v>
      </c>
      <c r="C90" s="218">
        <v>3286.25</v>
      </c>
      <c r="D90" s="245">
        <f t="shared" si="4"/>
        <v>3549.15</v>
      </c>
      <c r="E90" s="245">
        <f t="shared" si="5"/>
        <v>3593.5143749999997</v>
      </c>
      <c r="F90" s="245">
        <f t="shared" si="6"/>
        <v>3701.3198062500001</v>
      </c>
      <c r="G90"/>
      <c r="H90" s="246">
        <f t="shared" si="7"/>
        <v>3571.3321875000001</v>
      </c>
    </row>
    <row r="91" spans="1:9" x14ac:dyDescent="0.2">
      <c r="A91" s="225" t="s">
        <v>725</v>
      </c>
      <c r="B91" s="221">
        <v>0</v>
      </c>
      <c r="C91" s="218">
        <v>0</v>
      </c>
      <c r="D91" s="245">
        <f t="shared" si="4"/>
        <v>0</v>
      </c>
      <c r="E91" s="245">
        <f t="shared" si="5"/>
        <v>0</v>
      </c>
      <c r="F91" s="245">
        <f t="shared" si="6"/>
        <v>0</v>
      </c>
      <c r="G91"/>
      <c r="H91" s="246">
        <f t="shared" si="7"/>
        <v>0</v>
      </c>
    </row>
    <row r="92" spans="1:9" x14ac:dyDescent="0.2">
      <c r="A92" s="225" t="s">
        <v>727</v>
      </c>
      <c r="B92" s="217">
        <v>0</v>
      </c>
      <c r="C92">
        <v>0</v>
      </c>
      <c r="D92" s="245">
        <f t="shared" si="4"/>
        <v>0</v>
      </c>
      <c r="E92" s="245">
        <f t="shared" si="5"/>
        <v>0</v>
      </c>
      <c r="F92" s="245">
        <f t="shared" si="6"/>
        <v>0</v>
      </c>
      <c r="G92"/>
      <c r="H92" s="246">
        <f t="shared" si="7"/>
        <v>0</v>
      </c>
    </row>
    <row r="93" spans="1:9" x14ac:dyDescent="0.2">
      <c r="A93" s="225"/>
      <c r="B93" s="217"/>
      <c r="C93"/>
      <c r="D93" s="245">
        <f t="shared" si="4"/>
        <v>0</v>
      </c>
      <c r="E93" s="245"/>
      <c r="F93" s="245"/>
      <c r="G93"/>
      <c r="H93" s="246">
        <f t="shared" si="7"/>
        <v>0</v>
      </c>
    </row>
    <row r="94" spans="1:9" x14ac:dyDescent="0.2">
      <c r="A94" s="225" t="s">
        <v>730</v>
      </c>
      <c r="B94" s="221">
        <v>2487.7199999999998</v>
      </c>
      <c r="C94" s="218">
        <v>2487.7199999999998</v>
      </c>
      <c r="D94" s="245">
        <f t="shared" si="4"/>
        <v>2686.7375999999999</v>
      </c>
      <c r="E94" s="245">
        <f t="shared" si="5"/>
        <v>2720.3218199999997</v>
      </c>
      <c r="F94" s="245">
        <f t="shared" si="6"/>
        <v>2801.9314745999995</v>
      </c>
      <c r="G94"/>
      <c r="H94" s="246">
        <f t="shared" si="7"/>
        <v>2703.5297099999998</v>
      </c>
    </row>
    <row r="95" spans="1:9" x14ac:dyDescent="0.2">
      <c r="A95" s="225" t="s">
        <v>733</v>
      </c>
      <c r="B95" s="221">
        <v>2569.79</v>
      </c>
      <c r="C95" s="218">
        <v>2569.79</v>
      </c>
      <c r="D95" s="245">
        <f t="shared" si="4"/>
        <v>2775.3732</v>
      </c>
      <c r="E95" s="245">
        <f t="shared" si="5"/>
        <v>2810.0653649999999</v>
      </c>
      <c r="F95" s="245">
        <f t="shared" si="6"/>
        <v>2894.3673259500001</v>
      </c>
      <c r="G95"/>
      <c r="H95" s="246">
        <f t="shared" si="7"/>
        <v>2792.7192825000002</v>
      </c>
    </row>
    <row r="96" spans="1:9" x14ac:dyDescent="0.2">
      <c r="A96" s="225" t="s">
        <v>736</v>
      </c>
      <c r="B96" s="221">
        <v>2654.55</v>
      </c>
      <c r="C96" s="218">
        <v>2654.55</v>
      </c>
      <c r="D96" s="245">
        <f t="shared" si="4"/>
        <v>2866.9140000000002</v>
      </c>
      <c r="E96" s="245">
        <f t="shared" si="5"/>
        <v>2902.7504250000002</v>
      </c>
      <c r="F96" s="245">
        <f t="shared" si="6"/>
        <v>2989.8329377500004</v>
      </c>
      <c r="G96"/>
      <c r="H96" s="246">
        <f t="shared" si="7"/>
        <v>2884.8322125000004</v>
      </c>
    </row>
    <row r="97" spans="1:9" x14ac:dyDescent="0.2">
      <c r="A97" s="225" t="s">
        <v>739</v>
      </c>
      <c r="B97" s="221">
        <v>2742.02</v>
      </c>
      <c r="C97" s="218">
        <v>2742.02</v>
      </c>
      <c r="D97" s="245">
        <f t="shared" si="4"/>
        <v>2961.3816000000002</v>
      </c>
      <c r="E97" s="245">
        <f t="shared" si="5"/>
        <v>2998.39887</v>
      </c>
      <c r="F97" s="245">
        <f t="shared" si="6"/>
        <v>3088.3508360999999</v>
      </c>
      <c r="G97"/>
      <c r="H97" s="246">
        <f t="shared" si="7"/>
        <v>2979.8902349999998</v>
      </c>
    </row>
    <row r="98" spans="1:9" x14ac:dyDescent="0.2">
      <c r="A98" s="225" t="s">
        <v>742</v>
      </c>
      <c r="B98" s="221">
        <v>2832.83</v>
      </c>
      <c r="C98" s="218">
        <v>2832.83</v>
      </c>
      <c r="D98" s="245">
        <f t="shared" si="4"/>
        <v>3059.4564</v>
      </c>
      <c r="E98" s="245">
        <f t="shared" si="5"/>
        <v>3097.6996049999998</v>
      </c>
      <c r="F98" s="245">
        <f t="shared" si="6"/>
        <v>3190.6305931500001</v>
      </c>
      <c r="G98"/>
      <c r="H98" s="246">
        <f t="shared" si="7"/>
        <v>3078.5780024999999</v>
      </c>
    </row>
    <row r="99" spans="1:9" x14ac:dyDescent="0.2">
      <c r="A99" s="225" t="s">
        <v>745</v>
      </c>
      <c r="B99" s="221">
        <v>2926.32</v>
      </c>
      <c r="C99" s="218">
        <v>2926.32</v>
      </c>
      <c r="D99" s="245">
        <f t="shared" si="4"/>
        <v>3160.4256000000005</v>
      </c>
      <c r="E99" s="245">
        <f t="shared" si="5"/>
        <v>3199.9309200000002</v>
      </c>
      <c r="F99" s="245">
        <f t="shared" si="6"/>
        <v>3295.9288476000002</v>
      </c>
      <c r="G99"/>
      <c r="H99" s="246">
        <f t="shared" si="7"/>
        <v>3180.1782600000006</v>
      </c>
    </row>
    <row r="100" spans="1:9" x14ac:dyDescent="0.2">
      <c r="A100" s="225" t="s">
        <v>748</v>
      </c>
      <c r="B100" s="221">
        <v>3022.52</v>
      </c>
      <c r="C100" s="218">
        <v>3022.52</v>
      </c>
      <c r="D100" s="245">
        <f t="shared" si="4"/>
        <v>3264.3216000000002</v>
      </c>
      <c r="E100" s="245">
        <f t="shared" si="5"/>
        <v>3305.1256200000003</v>
      </c>
      <c r="F100" s="245">
        <f t="shared" si="6"/>
        <v>3404.2793886000004</v>
      </c>
      <c r="G100"/>
      <c r="H100" s="246">
        <f t="shared" si="7"/>
        <v>3284.72361</v>
      </c>
    </row>
    <row r="101" spans="1:9" x14ac:dyDescent="0.2">
      <c r="A101" s="225" t="s">
        <v>751</v>
      </c>
      <c r="B101" s="221">
        <v>3122.77</v>
      </c>
      <c r="C101" s="218">
        <v>3122.77</v>
      </c>
      <c r="D101" s="245">
        <f t="shared" si="4"/>
        <v>3372.5916000000002</v>
      </c>
      <c r="E101" s="245">
        <f t="shared" si="5"/>
        <v>3414.7489949999999</v>
      </c>
      <c r="F101" s="245">
        <f t="shared" si="6"/>
        <v>3517.1914648500001</v>
      </c>
      <c r="G101"/>
      <c r="H101" s="246">
        <f t="shared" si="7"/>
        <v>3393.6702974999998</v>
      </c>
    </row>
    <row r="102" spans="1:9" x14ac:dyDescent="0.2">
      <c r="A102" s="225" t="s">
        <v>753</v>
      </c>
      <c r="B102" s="221">
        <v>3225.71</v>
      </c>
      <c r="C102" s="218">
        <v>3225.71</v>
      </c>
      <c r="D102" s="245">
        <f t="shared" si="4"/>
        <v>3483.7668000000003</v>
      </c>
      <c r="E102" s="245">
        <f t="shared" si="5"/>
        <v>3527.313885</v>
      </c>
      <c r="F102" s="245">
        <f t="shared" si="6"/>
        <v>3633.1333015499999</v>
      </c>
      <c r="G102"/>
      <c r="H102" s="246">
        <f t="shared" si="7"/>
        <v>3505.5403425000004</v>
      </c>
    </row>
    <row r="103" spans="1:9" x14ac:dyDescent="0.2">
      <c r="A103" s="225" t="s">
        <v>755</v>
      </c>
      <c r="B103" s="221">
        <v>3331.98</v>
      </c>
      <c r="C103" s="218">
        <v>3331.98</v>
      </c>
      <c r="D103" s="245">
        <f t="shared" si="4"/>
        <v>3598.5384000000004</v>
      </c>
      <c r="E103" s="245">
        <f t="shared" si="5"/>
        <v>3643.5201300000003</v>
      </c>
      <c r="F103" s="245">
        <f t="shared" si="6"/>
        <v>3752.8257339000006</v>
      </c>
      <c r="G103"/>
      <c r="H103" s="246">
        <f t="shared" si="7"/>
        <v>3621.0292650000001</v>
      </c>
    </row>
    <row r="104" spans="1:9" x14ac:dyDescent="0.2">
      <c r="A104" s="225" t="s">
        <v>757</v>
      </c>
      <c r="B104" s="221">
        <v>3441.65</v>
      </c>
      <c r="C104" s="218">
        <v>3441.65</v>
      </c>
      <c r="D104" s="245">
        <f t="shared" si="4"/>
        <v>3716.9820000000004</v>
      </c>
      <c r="E104" s="245">
        <f t="shared" si="5"/>
        <v>3763.4442750000003</v>
      </c>
      <c r="F104" s="245">
        <f t="shared" si="6"/>
        <v>3876.3476032500002</v>
      </c>
      <c r="G104"/>
      <c r="H104" s="246">
        <f t="shared" si="7"/>
        <v>3740.2131375000004</v>
      </c>
    </row>
    <row r="105" spans="1:9" x14ac:dyDescent="0.2">
      <c r="A105" s="225" t="s">
        <v>36</v>
      </c>
      <c r="B105" s="221">
        <v>3555.32</v>
      </c>
      <c r="C105" s="218">
        <v>3555.32</v>
      </c>
      <c r="D105" s="245">
        <f t="shared" si="4"/>
        <v>3839.7456000000006</v>
      </c>
      <c r="E105" s="245">
        <f t="shared" si="5"/>
        <v>3887.7424200000005</v>
      </c>
      <c r="F105" s="245">
        <f t="shared" si="6"/>
        <v>4004.3746926000008</v>
      </c>
      <c r="G105"/>
      <c r="H105" s="246">
        <f t="shared" si="7"/>
        <v>3863.7440100000003</v>
      </c>
      <c r="I105">
        <f>H105*0.93</f>
        <v>3593.2819293000007</v>
      </c>
    </row>
    <row r="106" spans="1:9" x14ac:dyDescent="0.2">
      <c r="A106" s="225" t="s">
        <v>761</v>
      </c>
      <c r="B106" s="221">
        <v>0</v>
      </c>
      <c r="C106" s="218">
        <v>0</v>
      </c>
      <c r="D106" s="245">
        <f t="shared" si="4"/>
        <v>0</v>
      </c>
      <c r="E106" s="245">
        <f t="shared" si="5"/>
        <v>0</v>
      </c>
      <c r="F106" s="245">
        <f t="shared" si="6"/>
        <v>0</v>
      </c>
      <c r="G106"/>
      <c r="H106" s="246">
        <f t="shared" si="7"/>
        <v>0</v>
      </c>
    </row>
    <row r="107" spans="1:9" x14ac:dyDescent="0.2">
      <c r="A107" s="225" t="s">
        <v>763</v>
      </c>
      <c r="B107" s="217">
        <v>0</v>
      </c>
      <c r="C107">
        <v>0</v>
      </c>
      <c r="D107" s="245">
        <f t="shared" si="4"/>
        <v>0</v>
      </c>
      <c r="E107" s="245">
        <f t="shared" si="5"/>
        <v>0</v>
      </c>
      <c r="F107" s="245">
        <f t="shared" si="6"/>
        <v>0</v>
      </c>
      <c r="G107"/>
      <c r="H107" s="246">
        <f t="shared" si="7"/>
        <v>0</v>
      </c>
    </row>
    <row r="108" spans="1:9" x14ac:dyDescent="0.2">
      <c r="A108" s="225"/>
      <c r="B108" s="217"/>
      <c r="C108"/>
      <c r="D108" s="245"/>
      <c r="E108" s="245"/>
      <c r="F108" s="245"/>
      <c r="G108"/>
      <c r="H108" s="246"/>
    </row>
    <row r="109" spans="1:9" x14ac:dyDescent="0.2">
      <c r="A109" s="225" t="s">
        <v>766</v>
      </c>
      <c r="B109" s="221">
        <v>2600.73</v>
      </c>
      <c r="C109" s="218">
        <v>2600.73</v>
      </c>
      <c r="D109" s="245">
        <f t="shared" si="4"/>
        <v>2808.7884000000004</v>
      </c>
      <c r="E109" s="245">
        <f t="shared" si="5"/>
        <v>2843.8982550000001</v>
      </c>
      <c r="F109" s="245">
        <f t="shared" si="6"/>
        <v>2929.2152026500003</v>
      </c>
      <c r="G109"/>
      <c r="H109" s="246">
        <f t="shared" si="7"/>
        <v>2826.3433275000002</v>
      </c>
    </row>
    <row r="110" spans="1:9" x14ac:dyDescent="0.2">
      <c r="A110" s="225" t="s">
        <v>769</v>
      </c>
      <c r="B110" s="221">
        <v>2688.17</v>
      </c>
      <c r="C110" s="218">
        <v>2688.17</v>
      </c>
      <c r="D110" s="245">
        <f t="shared" si="4"/>
        <v>2903.2236000000003</v>
      </c>
      <c r="E110" s="245">
        <f t="shared" si="5"/>
        <v>2939.513895</v>
      </c>
      <c r="F110" s="245">
        <f t="shared" si="6"/>
        <v>3027.69931185</v>
      </c>
      <c r="G110"/>
      <c r="H110" s="246">
        <f t="shared" si="7"/>
        <v>2921.3687475000002</v>
      </c>
    </row>
    <row r="111" spans="1:9" x14ac:dyDescent="0.2">
      <c r="A111" s="225" t="s">
        <v>772</v>
      </c>
      <c r="B111" s="221">
        <v>2777.64</v>
      </c>
      <c r="C111" s="218">
        <v>2777.64</v>
      </c>
      <c r="D111" s="245">
        <f t="shared" si="4"/>
        <v>2999.8512000000001</v>
      </c>
      <c r="E111" s="245">
        <f t="shared" si="5"/>
        <v>3037.3493399999998</v>
      </c>
      <c r="F111" s="245">
        <f t="shared" si="6"/>
        <v>3128.4698202</v>
      </c>
      <c r="G111"/>
      <c r="H111" s="246">
        <f t="shared" si="7"/>
        <v>3018.6002699999999</v>
      </c>
    </row>
    <row r="112" spans="1:9" x14ac:dyDescent="0.2">
      <c r="A112" s="225" t="s">
        <v>775</v>
      </c>
      <c r="B112" s="221">
        <v>2871.15</v>
      </c>
      <c r="C112" s="218">
        <v>2871.15</v>
      </c>
      <c r="D112" s="245">
        <f t="shared" si="4"/>
        <v>3100.8420000000001</v>
      </c>
      <c r="E112" s="245">
        <f t="shared" si="5"/>
        <v>3139.6025249999998</v>
      </c>
      <c r="F112" s="245">
        <f t="shared" si="6"/>
        <v>3233.7906007500001</v>
      </c>
      <c r="G112"/>
      <c r="H112" s="246">
        <f t="shared" si="7"/>
        <v>3120.2222624999999</v>
      </c>
    </row>
    <row r="113" spans="1:9" x14ac:dyDescent="0.2">
      <c r="A113" s="225" t="s">
        <v>778</v>
      </c>
      <c r="B113" s="221">
        <v>2967.37</v>
      </c>
      <c r="C113" s="218">
        <v>2967.37</v>
      </c>
      <c r="D113" s="245">
        <f t="shared" si="4"/>
        <v>3204.7596000000003</v>
      </c>
      <c r="E113" s="245">
        <f t="shared" si="5"/>
        <v>3244.8190950000003</v>
      </c>
      <c r="F113" s="245">
        <f t="shared" si="6"/>
        <v>3342.1636678500004</v>
      </c>
      <c r="G113"/>
      <c r="H113" s="246">
        <f t="shared" si="7"/>
        <v>3224.7893475000001</v>
      </c>
    </row>
    <row r="114" spans="1:9" x14ac:dyDescent="0.2">
      <c r="A114" s="225" t="s">
        <v>781</v>
      </c>
      <c r="B114" s="221">
        <v>3066.25</v>
      </c>
      <c r="C114" s="218">
        <v>3066.25</v>
      </c>
      <c r="D114" s="245">
        <f t="shared" si="4"/>
        <v>3311.55</v>
      </c>
      <c r="E114" s="245">
        <f t="shared" si="5"/>
        <v>3352.944375</v>
      </c>
      <c r="F114" s="245">
        <f t="shared" si="6"/>
        <v>3453.53270625</v>
      </c>
      <c r="G114"/>
      <c r="H114" s="246">
        <f t="shared" si="7"/>
        <v>3332.2471875000001</v>
      </c>
    </row>
    <row r="115" spans="1:9" x14ac:dyDescent="0.2">
      <c r="A115" s="225" t="s">
        <v>784</v>
      </c>
      <c r="B115" s="221">
        <v>3169.19</v>
      </c>
      <c r="C115" s="218">
        <v>3169.19</v>
      </c>
      <c r="D115" s="245">
        <f t="shared" si="4"/>
        <v>3422.7252000000003</v>
      </c>
      <c r="E115" s="245">
        <f t="shared" si="5"/>
        <v>3465.5092650000001</v>
      </c>
      <c r="F115" s="245">
        <f t="shared" si="6"/>
        <v>3569.4745429500003</v>
      </c>
      <c r="G115"/>
      <c r="H115" s="246">
        <f t="shared" si="7"/>
        <v>3444.1172325000002</v>
      </c>
    </row>
    <row r="116" spans="1:9" x14ac:dyDescent="0.2">
      <c r="A116" s="225" t="s">
        <v>786</v>
      </c>
      <c r="B116" s="221">
        <v>3275.47</v>
      </c>
      <c r="C116" s="218">
        <v>3275.47</v>
      </c>
      <c r="D116" s="245">
        <f t="shared" si="4"/>
        <v>3537.5075999999999</v>
      </c>
      <c r="E116" s="245">
        <f t="shared" si="5"/>
        <v>3581.7264449999998</v>
      </c>
      <c r="F116" s="245">
        <f t="shared" si="6"/>
        <v>3689.1782383499999</v>
      </c>
      <c r="G116"/>
      <c r="H116" s="246">
        <f t="shared" si="7"/>
        <v>3559.6170224999996</v>
      </c>
    </row>
    <row r="117" spans="1:9" x14ac:dyDescent="0.2">
      <c r="A117" s="225" t="s">
        <v>788</v>
      </c>
      <c r="B117" s="221">
        <v>3385.13</v>
      </c>
      <c r="C117" s="218">
        <v>3385.13</v>
      </c>
      <c r="D117" s="245">
        <f t="shared" si="4"/>
        <v>3655.9404000000004</v>
      </c>
      <c r="E117" s="245">
        <f t="shared" si="5"/>
        <v>3701.6396550000004</v>
      </c>
      <c r="F117" s="245">
        <f t="shared" si="6"/>
        <v>3812.6888446500006</v>
      </c>
      <c r="G117"/>
      <c r="H117" s="246">
        <f t="shared" si="7"/>
        <v>3678.7900275000002</v>
      </c>
    </row>
    <row r="118" spans="1:9" x14ac:dyDescent="0.2">
      <c r="A118" s="225" t="s">
        <v>790</v>
      </c>
      <c r="B118" s="221">
        <v>3498.8</v>
      </c>
      <c r="C118" s="218">
        <v>3498.8</v>
      </c>
      <c r="D118" s="245">
        <f t="shared" si="4"/>
        <v>3778.7040000000006</v>
      </c>
      <c r="E118" s="245">
        <f t="shared" si="5"/>
        <v>3825.9378000000006</v>
      </c>
      <c r="F118" s="245">
        <f t="shared" si="6"/>
        <v>3940.7159340000007</v>
      </c>
      <c r="G118"/>
      <c r="H118" s="246">
        <f t="shared" si="7"/>
        <v>3802.3209000000006</v>
      </c>
    </row>
    <row r="119" spans="1:9" x14ac:dyDescent="0.2">
      <c r="A119" s="225" t="s">
        <v>793</v>
      </c>
      <c r="B119" s="221">
        <v>3615.88</v>
      </c>
      <c r="C119" s="218">
        <v>3615.88</v>
      </c>
      <c r="D119" s="245">
        <f t="shared" si="4"/>
        <v>3905.1504000000004</v>
      </c>
      <c r="E119" s="245">
        <f t="shared" si="5"/>
        <v>3953.9647800000002</v>
      </c>
      <c r="F119" s="245">
        <f t="shared" si="6"/>
        <v>4072.5837234000005</v>
      </c>
      <c r="G119"/>
      <c r="H119" s="246">
        <f t="shared" si="7"/>
        <v>3929.5575900000003</v>
      </c>
    </row>
    <row r="120" spans="1:9" x14ac:dyDescent="0.2">
      <c r="A120" s="225" t="s">
        <v>795</v>
      </c>
      <c r="B120" s="221">
        <v>3736.95</v>
      </c>
      <c r="C120" s="218">
        <v>3736.95</v>
      </c>
      <c r="D120" s="245">
        <f t="shared" si="4"/>
        <v>4035.9059999999999</v>
      </c>
      <c r="E120" s="245">
        <f t="shared" si="5"/>
        <v>4086.3548249999999</v>
      </c>
      <c r="F120" s="245">
        <f t="shared" si="6"/>
        <v>4208.9454697499996</v>
      </c>
      <c r="G120"/>
      <c r="H120" s="246">
        <f t="shared" si="7"/>
        <v>4061.1304124999997</v>
      </c>
    </row>
    <row r="121" spans="1:9" x14ac:dyDescent="0.2">
      <c r="A121" s="225" t="s">
        <v>40</v>
      </c>
      <c r="B121" s="217">
        <v>3862.06</v>
      </c>
      <c r="C121">
        <v>3862.06</v>
      </c>
      <c r="D121" s="245">
        <f t="shared" si="4"/>
        <v>4171.0248000000001</v>
      </c>
      <c r="E121" s="245">
        <f t="shared" si="5"/>
        <v>4223.1626100000003</v>
      </c>
      <c r="F121" s="245">
        <f t="shared" si="6"/>
        <v>4349.8574883000001</v>
      </c>
      <c r="G121"/>
      <c r="H121" s="246">
        <f t="shared" si="7"/>
        <v>4197.0937050000002</v>
      </c>
      <c r="I121">
        <f>H121*0.93</f>
        <v>3903.2971456500004</v>
      </c>
    </row>
    <row r="122" spans="1:9" x14ac:dyDescent="0.2">
      <c r="A122" s="225" t="s">
        <v>799</v>
      </c>
      <c r="B122" s="221">
        <v>0</v>
      </c>
      <c r="C122" s="218">
        <v>0</v>
      </c>
      <c r="D122" s="245">
        <f t="shared" si="4"/>
        <v>0</v>
      </c>
      <c r="E122" s="245">
        <f t="shared" si="5"/>
        <v>0</v>
      </c>
      <c r="F122" s="245">
        <f t="shared" si="6"/>
        <v>0</v>
      </c>
      <c r="G122"/>
      <c r="H122" s="246">
        <f t="shared" si="7"/>
        <v>0</v>
      </c>
    </row>
    <row r="123" spans="1:9" x14ac:dyDescent="0.2">
      <c r="A123" s="225"/>
      <c r="B123" s="221"/>
      <c r="C123" s="218"/>
      <c r="D123" s="245"/>
      <c r="E123" s="245"/>
      <c r="F123" s="245"/>
      <c r="G123"/>
      <c r="H123" s="246"/>
    </row>
    <row r="124" spans="1:9" x14ac:dyDescent="0.2">
      <c r="A124" s="225" t="s">
        <v>802</v>
      </c>
      <c r="B124" s="221">
        <v>2817.36</v>
      </c>
      <c r="C124" s="218">
        <v>2817.36</v>
      </c>
      <c r="D124" s="245">
        <f t="shared" si="4"/>
        <v>3042.7488000000003</v>
      </c>
      <c r="E124" s="245">
        <f t="shared" si="5"/>
        <v>3080.78316</v>
      </c>
      <c r="F124" s="245">
        <f t="shared" si="6"/>
        <v>3173.2066548000003</v>
      </c>
      <c r="G124"/>
      <c r="H124" s="246">
        <f t="shared" si="7"/>
        <v>3061.7659800000001</v>
      </c>
    </row>
    <row r="125" spans="1:9" x14ac:dyDescent="0.2">
      <c r="A125" s="225" t="s">
        <v>805</v>
      </c>
      <c r="B125" s="221">
        <v>2912.89</v>
      </c>
      <c r="C125" s="218">
        <v>2912.89</v>
      </c>
      <c r="D125" s="245">
        <f t="shared" si="4"/>
        <v>3145.9212000000002</v>
      </c>
      <c r="E125" s="245">
        <f t="shared" si="5"/>
        <v>3185.2452149999999</v>
      </c>
      <c r="F125" s="245">
        <f t="shared" si="6"/>
        <v>3280.80257145</v>
      </c>
      <c r="G125"/>
      <c r="H125" s="246">
        <f t="shared" si="7"/>
        <v>3165.5832074999998</v>
      </c>
    </row>
    <row r="126" spans="1:9" x14ac:dyDescent="0.2">
      <c r="A126" s="225" t="s">
        <v>808</v>
      </c>
      <c r="B126" s="221">
        <v>3012.47</v>
      </c>
      <c r="C126" s="218">
        <v>3012.47</v>
      </c>
      <c r="D126" s="245">
        <f t="shared" si="4"/>
        <v>3253.4675999999999</v>
      </c>
      <c r="E126" s="245">
        <f t="shared" si="5"/>
        <v>3294.135945</v>
      </c>
      <c r="F126" s="245">
        <f t="shared" si="6"/>
        <v>3392.96002335</v>
      </c>
      <c r="G126"/>
      <c r="H126" s="246">
        <f t="shared" si="7"/>
        <v>3273.8017725</v>
      </c>
    </row>
    <row r="127" spans="1:9" x14ac:dyDescent="0.2">
      <c r="A127" s="225" t="s">
        <v>811</v>
      </c>
      <c r="B127" s="221">
        <v>3114.69</v>
      </c>
      <c r="C127" s="218">
        <v>3114.69</v>
      </c>
      <c r="D127" s="245">
        <f t="shared" si="4"/>
        <v>3363.8652000000002</v>
      </c>
      <c r="E127" s="245">
        <f t="shared" si="5"/>
        <v>3405.9135150000002</v>
      </c>
      <c r="F127" s="245">
        <f t="shared" si="6"/>
        <v>3508.0909204500003</v>
      </c>
      <c r="G127"/>
      <c r="H127" s="246">
        <f t="shared" si="7"/>
        <v>3384.8893575000002</v>
      </c>
    </row>
    <row r="128" spans="1:9" x14ac:dyDescent="0.2">
      <c r="A128" s="225" t="s">
        <v>814</v>
      </c>
      <c r="B128" s="221">
        <v>3220.32</v>
      </c>
      <c r="C128" s="218">
        <v>3220.32</v>
      </c>
      <c r="D128" s="245">
        <f t="shared" si="4"/>
        <v>3477.9456000000005</v>
      </c>
      <c r="E128" s="245">
        <f t="shared" si="5"/>
        <v>3521.4199200000003</v>
      </c>
      <c r="F128" s="245">
        <f t="shared" si="6"/>
        <v>3627.0625176000003</v>
      </c>
      <c r="G128"/>
      <c r="H128" s="246">
        <f t="shared" si="7"/>
        <v>3499.6827600000006</v>
      </c>
    </row>
    <row r="129" spans="1:9" x14ac:dyDescent="0.2">
      <c r="A129" s="225" t="s">
        <v>817</v>
      </c>
      <c r="B129" s="221">
        <v>3329.96</v>
      </c>
      <c r="C129" s="218">
        <v>3329.96</v>
      </c>
      <c r="D129" s="245">
        <f t="shared" si="4"/>
        <v>3596.3568000000005</v>
      </c>
      <c r="E129" s="245">
        <f t="shared" si="5"/>
        <v>3641.3112600000004</v>
      </c>
      <c r="F129" s="245">
        <f t="shared" si="6"/>
        <v>3750.5505978000006</v>
      </c>
      <c r="G129"/>
      <c r="H129" s="246">
        <f t="shared" si="7"/>
        <v>3618.8340300000004</v>
      </c>
    </row>
    <row r="130" spans="1:9" x14ac:dyDescent="0.2">
      <c r="A130" s="225" t="s">
        <v>819</v>
      </c>
      <c r="B130" s="221">
        <v>3442.96</v>
      </c>
      <c r="C130" s="218">
        <v>3442.96</v>
      </c>
      <c r="D130" s="245">
        <f t="shared" si="4"/>
        <v>3718.3968000000004</v>
      </c>
      <c r="E130" s="245">
        <f t="shared" si="5"/>
        <v>3764.8767600000001</v>
      </c>
      <c r="F130" s="245">
        <f t="shared" si="6"/>
        <v>3877.8230628000001</v>
      </c>
      <c r="G130"/>
      <c r="H130" s="246">
        <f t="shared" si="7"/>
        <v>3741.6367800000003</v>
      </c>
    </row>
    <row r="131" spans="1:9" x14ac:dyDescent="0.2">
      <c r="A131" s="225" t="s">
        <v>821</v>
      </c>
      <c r="B131" s="221">
        <v>3560.04</v>
      </c>
      <c r="C131" s="218">
        <v>3560.04</v>
      </c>
      <c r="D131" s="245">
        <f t="shared" si="4"/>
        <v>3844.8432000000003</v>
      </c>
      <c r="E131" s="245">
        <f t="shared" si="5"/>
        <v>3892.9037400000002</v>
      </c>
      <c r="F131" s="245">
        <f t="shared" si="6"/>
        <v>4009.6908522000003</v>
      </c>
      <c r="G131"/>
      <c r="H131" s="246">
        <f t="shared" si="7"/>
        <v>3868.8734700000005</v>
      </c>
    </row>
    <row r="132" spans="1:9" x14ac:dyDescent="0.2">
      <c r="A132" s="225" t="s">
        <v>823</v>
      </c>
      <c r="B132" s="221">
        <v>3681.11</v>
      </c>
      <c r="C132" s="218">
        <v>3681.11</v>
      </c>
      <c r="D132" s="245">
        <f t="shared" si="4"/>
        <v>3975.5988000000002</v>
      </c>
      <c r="E132" s="245">
        <f t="shared" si="5"/>
        <v>4025.2937849999998</v>
      </c>
      <c r="F132" s="245">
        <f t="shared" si="6"/>
        <v>4146.0525985499999</v>
      </c>
      <c r="G132"/>
      <c r="H132" s="246">
        <f t="shared" si="7"/>
        <v>4000.4462924999998</v>
      </c>
    </row>
    <row r="133" spans="1:9" x14ac:dyDescent="0.2">
      <c r="A133" s="225" t="s">
        <v>826</v>
      </c>
      <c r="B133" s="221">
        <v>3806.23</v>
      </c>
      <c r="C133" s="218">
        <v>3806.23</v>
      </c>
      <c r="D133" s="245">
        <f t="shared" ref="D133:D196" si="8">C133*1.08</f>
        <v>4110.7284</v>
      </c>
      <c r="E133" s="245">
        <f t="shared" ref="E133:E196" si="9">D133*1.0125</f>
        <v>4162.1125050000001</v>
      </c>
      <c r="F133" s="245">
        <f t="shared" ref="F133:F196" si="10">E133*1.03</f>
        <v>4286.9758801500002</v>
      </c>
      <c r="G133"/>
      <c r="H133" s="246">
        <f t="shared" ref="H133:H196" si="11">AVERAGE(D133:E133)</f>
        <v>4136.4204525000005</v>
      </c>
    </row>
    <row r="134" spans="1:9" x14ac:dyDescent="0.2">
      <c r="A134" s="225" t="s">
        <v>828</v>
      </c>
      <c r="B134" s="221">
        <v>3936.07</v>
      </c>
      <c r="C134" s="218">
        <v>3936.07</v>
      </c>
      <c r="D134" s="245">
        <f t="shared" si="8"/>
        <v>4250.9556000000002</v>
      </c>
      <c r="E134" s="245">
        <f t="shared" si="9"/>
        <v>4304.0925450000004</v>
      </c>
      <c r="F134" s="245">
        <f t="shared" si="10"/>
        <v>4433.2153213500005</v>
      </c>
      <c r="G134"/>
      <c r="H134" s="246">
        <f t="shared" si="11"/>
        <v>4277.5240725000003</v>
      </c>
    </row>
    <row r="135" spans="1:9" x14ac:dyDescent="0.2">
      <c r="A135" s="225" t="s">
        <v>830</v>
      </c>
      <c r="B135" s="217">
        <v>4069.96</v>
      </c>
      <c r="C135">
        <v>4069.96</v>
      </c>
      <c r="D135" s="245">
        <f t="shared" si="8"/>
        <v>4395.5568000000003</v>
      </c>
      <c r="E135" s="245">
        <f t="shared" si="9"/>
        <v>4450.50126</v>
      </c>
      <c r="F135" s="245">
        <f t="shared" si="10"/>
        <v>4584.0162977999998</v>
      </c>
      <c r="G135"/>
      <c r="H135" s="246">
        <f t="shared" si="11"/>
        <v>4423.0290299999997</v>
      </c>
    </row>
    <row r="136" spans="1:9" x14ac:dyDescent="0.2">
      <c r="A136" s="225" t="s">
        <v>41</v>
      </c>
      <c r="B136" s="221">
        <v>4207.88</v>
      </c>
      <c r="C136" s="218">
        <v>4207.88</v>
      </c>
      <c r="D136" s="245">
        <f t="shared" si="8"/>
        <v>4544.5104000000001</v>
      </c>
      <c r="E136" s="245">
        <f t="shared" si="9"/>
        <v>4601.3167800000001</v>
      </c>
      <c r="F136" s="245">
        <f t="shared" si="10"/>
        <v>4739.3562834000004</v>
      </c>
      <c r="G136"/>
      <c r="H136" s="246">
        <f t="shared" si="11"/>
        <v>4572.9135900000001</v>
      </c>
      <c r="I136">
        <f>H136*0.93</f>
        <v>4252.8096387000005</v>
      </c>
    </row>
    <row r="137" spans="1:9" x14ac:dyDescent="0.2">
      <c r="A137" s="225" t="s">
        <v>835</v>
      </c>
      <c r="B137" s="221">
        <v>0</v>
      </c>
      <c r="C137" s="218">
        <v>0</v>
      </c>
      <c r="D137" s="245">
        <f t="shared" si="8"/>
        <v>0</v>
      </c>
      <c r="E137" s="245">
        <f t="shared" si="9"/>
        <v>0</v>
      </c>
      <c r="F137" s="245">
        <f t="shared" si="10"/>
        <v>0</v>
      </c>
      <c r="G137"/>
      <c r="H137" s="246">
        <f t="shared" si="11"/>
        <v>0</v>
      </c>
    </row>
    <row r="138" spans="1:9" x14ac:dyDescent="0.2">
      <c r="A138" s="225"/>
      <c r="B138" s="221"/>
      <c r="C138" s="218"/>
      <c r="D138" s="245"/>
      <c r="E138" s="245"/>
      <c r="F138" s="245"/>
      <c r="G138"/>
      <c r="H138" s="246"/>
    </row>
    <row r="139" spans="1:9" x14ac:dyDescent="0.2">
      <c r="A139" s="225" t="s">
        <v>537</v>
      </c>
      <c r="B139" s="221">
        <v>3065.59</v>
      </c>
      <c r="C139" s="218">
        <v>3065.59</v>
      </c>
      <c r="D139" s="245">
        <f t="shared" si="8"/>
        <v>3310.8372000000004</v>
      </c>
      <c r="E139" s="245">
        <f t="shared" si="9"/>
        <v>3352.2226650000002</v>
      </c>
      <c r="F139" s="245">
        <f t="shared" si="10"/>
        <v>3452.7893449500002</v>
      </c>
      <c r="G139"/>
      <c r="H139" s="246">
        <f t="shared" si="11"/>
        <v>3331.5299325000005</v>
      </c>
    </row>
    <row r="140" spans="1:9" x14ac:dyDescent="0.2">
      <c r="A140" s="225" t="s">
        <v>540</v>
      </c>
      <c r="B140" s="221">
        <v>3171.2</v>
      </c>
      <c r="C140" s="218">
        <v>3171.2</v>
      </c>
      <c r="D140" s="245">
        <f t="shared" si="8"/>
        <v>3424.8960000000002</v>
      </c>
      <c r="E140" s="245">
        <f t="shared" si="9"/>
        <v>3467.7071999999998</v>
      </c>
      <c r="F140" s="245">
        <f t="shared" si="10"/>
        <v>3571.7384160000001</v>
      </c>
      <c r="G140"/>
      <c r="H140" s="246">
        <f t="shared" si="11"/>
        <v>3446.3015999999998</v>
      </c>
    </row>
    <row r="141" spans="1:9" x14ac:dyDescent="0.2">
      <c r="A141" s="225" t="s">
        <v>543</v>
      </c>
      <c r="B141" s="221">
        <v>3280.88</v>
      </c>
      <c r="C141" s="218">
        <v>3280.88</v>
      </c>
      <c r="D141" s="245">
        <f t="shared" si="8"/>
        <v>3543.3504000000003</v>
      </c>
      <c r="E141" s="245">
        <f t="shared" si="9"/>
        <v>3587.64228</v>
      </c>
      <c r="F141" s="245">
        <f t="shared" si="10"/>
        <v>3695.2715484</v>
      </c>
      <c r="G141"/>
      <c r="H141" s="246">
        <f t="shared" si="11"/>
        <v>3565.4963400000001</v>
      </c>
    </row>
    <row r="142" spans="1:9" x14ac:dyDescent="0.2">
      <c r="A142" s="225" t="s">
        <v>546</v>
      </c>
      <c r="B142" s="221">
        <v>3393.87</v>
      </c>
      <c r="C142" s="218">
        <v>3393.87</v>
      </c>
      <c r="D142" s="245">
        <f t="shared" si="8"/>
        <v>3665.3796000000002</v>
      </c>
      <c r="E142" s="245">
        <f t="shared" si="9"/>
        <v>3711.1968449999999</v>
      </c>
      <c r="F142" s="245">
        <f t="shared" si="10"/>
        <v>3822.5327503500002</v>
      </c>
      <c r="G142"/>
      <c r="H142" s="246">
        <f t="shared" si="11"/>
        <v>3688.2882225000003</v>
      </c>
    </row>
    <row r="143" spans="1:9" x14ac:dyDescent="0.2">
      <c r="A143" s="225" t="s">
        <v>549</v>
      </c>
      <c r="B143" s="221">
        <v>3510.96</v>
      </c>
      <c r="C143" s="218">
        <v>3510.96</v>
      </c>
      <c r="D143" s="245">
        <f t="shared" si="8"/>
        <v>3791.8368000000005</v>
      </c>
      <c r="E143" s="245">
        <f t="shared" si="9"/>
        <v>3839.2347600000003</v>
      </c>
      <c r="F143" s="245">
        <f t="shared" si="10"/>
        <v>3954.4118028000003</v>
      </c>
      <c r="G143"/>
      <c r="H143" s="246">
        <f t="shared" si="11"/>
        <v>3815.5357800000002</v>
      </c>
    </row>
    <row r="144" spans="1:9" x14ac:dyDescent="0.2">
      <c r="A144" s="225" t="s">
        <v>552</v>
      </c>
      <c r="B144" s="221">
        <v>3632.02</v>
      </c>
      <c r="C144" s="218">
        <v>3632.02</v>
      </c>
      <c r="D144" s="245">
        <f t="shared" si="8"/>
        <v>3922.5816000000004</v>
      </c>
      <c r="E144" s="245">
        <f t="shared" si="9"/>
        <v>3971.6138700000001</v>
      </c>
      <c r="F144" s="245">
        <f t="shared" si="10"/>
        <v>4090.7622861000004</v>
      </c>
      <c r="G144"/>
      <c r="H144" s="246">
        <f t="shared" si="11"/>
        <v>3947.0977350000003</v>
      </c>
    </row>
    <row r="145" spans="1:9" x14ac:dyDescent="0.2">
      <c r="A145" s="225" t="s">
        <v>555</v>
      </c>
      <c r="B145" s="221">
        <v>3757.12</v>
      </c>
      <c r="C145" s="218">
        <v>3757.12</v>
      </c>
      <c r="D145" s="245">
        <f t="shared" si="8"/>
        <v>4057.6896000000002</v>
      </c>
      <c r="E145" s="245">
        <f t="shared" si="9"/>
        <v>4108.4107199999999</v>
      </c>
      <c r="F145" s="245">
        <f t="shared" si="10"/>
        <v>4231.6630415999998</v>
      </c>
      <c r="G145"/>
      <c r="H145" s="246">
        <f t="shared" si="11"/>
        <v>4083.0501599999998</v>
      </c>
    </row>
    <row r="146" spans="1:9" x14ac:dyDescent="0.2">
      <c r="A146" s="225" t="s">
        <v>558</v>
      </c>
      <c r="B146" s="221">
        <v>3886.97</v>
      </c>
      <c r="C146" s="218">
        <v>3886.97</v>
      </c>
      <c r="D146" s="245">
        <f t="shared" si="8"/>
        <v>4197.9276</v>
      </c>
      <c r="E146" s="245">
        <f t="shared" si="9"/>
        <v>4250.4016949999996</v>
      </c>
      <c r="F146" s="245">
        <f t="shared" si="10"/>
        <v>4377.9137458499999</v>
      </c>
      <c r="G146"/>
      <c r="H146" s="246">
        <f t="shared" si="11"/>
        <v>4224.1646474999998</v>
      </c>
    </row>
    <row r="147" spans="1:9" x14ac:dyDescent="0.2">
      <c r="A147" s="225" t="s">
        <v>561</v>
      </c>
      <c r="B147" s="221">
        <v>4021.53</v>
      </c>
      <c r="C147" s="218">
        <v>4021.53</v>
      </c>
      <c r="D147" s="245">
        <f t="shared" si="8"/>
        <v>4343.2524000000003</v>
      </c>
      <c r="E147" s="245">
        <f t="shared" si="9"/>
        <v>4397.5430550000001</v>
      </c>
      <c r="F147" s="245">
        <f t="shared" si="10"/>
        <v>4529.4693466500003</v>
      </c>
      <c r="G147"/>
      <c r="H147" s="246">
        <f t="shared" si="11"/>
        <v>4370.3977274999997</v>
      </c>
    </row>
    <row r="148" spans="1:9" x14ac:dyDescent="0.2">
      <c r="A148" s="225" t="s">
        <v>564</v>
      </c>
      <c r="B148" s="217">
        <v>4160.09</v>
      </c>
      <c r="C148">
        <v>4160.09</v>
      </c>
      <c r="D148" s="245">
        <f t="shared" si="8"/>
        <v>4492.8972000000003</v>
      </c>
      <c r="E148" s="245">
        <f t="shared" si="9"/>
        <v>4549.0584150000004</v>
      </c>
      <c r="F148" s="245">
        <f t="shared" si="10"/>
        <v>4685.5301674500006</v>
      </c>
      <c r="G148"/>
      <c r="H148" s="246">
        <f t="shared" si="11"/>
        <v>4520.9778075000004</v>
      </c>
    </row>
    <row r="149" spans="1:9" x14ac:dyDescent="0.2">
      <c r="A149" s="225" t="s">
        <v>567</v>
      </c>
      <c r="B149" s="221">
        <v>4303.3900000000003</v>
      </c>
      <c r="C149" s="218">
        <v>4303.3900000000003</v>
      </c>
      <c r="D149" s="245">
        <f t="shared" si="8"/>
        <v>4647.6612000000005</v>
      </c>
      <c r="E149" s="245">
        <f t="shared" si="9"/>
        <v>4705.7569650000005</v>
      </c>
      <c r="F149" s="245">
        <f t="shared" si="10"/>
        <v>4846.9296739500005</v>
      </c>
      <c r="G149"/>
      <c r="H149" s="246">
        <f t="shared" si="11"/>
        <v>4676.7090825000005</v>
      </c>
    </row>
    <row r="150" spans="1:9" x14ac:dyDescent="0.2">
      <c r="A150" s="225" t="s">
        <v>855</v>
      </c>
      <c r="B150" s="221">
        <v>4452.0600000000004</v>
      </c>
      <c r="C150" s="218">
        <v>4452.0600000000004</v>
      </c>
      <c r="D150" s="245">
        <f t="shared" si="8"/>
        <v>4808.2248000000009</v>
      </c>
      <c r="E150" s="245">
        <f t="shared" si="9"/>
        <v>4868.3276100000003</v>
      </c>
      <c r="F150" s="245">
        <f t="shared" si="10"/>
        <v>5014.3774383</v>
      </c>
      <c r="G150"/>
      <c r="H150" s="246">
        <f t="shared" si="11"/>
        <v>4838.2762050000001</v>
      </c>
    </row>
    <row r="151" spans="1:9" x14ac:dyDescent="0.2">
      <c r="A151" s="225" t="s">
        <v>46</v>
      </c>
      <c r="B151" s="221">
        <v>4605.45</v>
      </c>
      <c r="C151" s="218">
        <v>4605.45</v>
      </c>
      <c r="D151" s="245">
        <f t="shared" si="8"/>
        <v>4973.8860000000004</v>
      </c>
      <c r="E151" s="245">
        <f t="shared" si="9"/>
        <v>5036.0595750000002</v>
      </c>
      <c r="F151" s="245">
        <f t="shared" si="10"/>
        <v>5187.1413622500004</v>
      </c>
      <c r="G151"/>
      <c r="H151" s="246">
        <f t="shared" si="11"/>
        <v>5004.9727875000008</v>
      </c>
      <c r="I151">
        <f>H151*0.93</f>
        <v>4654.6246923750014</v>
      </c>
    </row>
    <row r="152" spans="1:9" x14ac:dyDescent="0.2">
      <c r="A152" s="225" t="s">
        <v>860</v>
      </c>
      <c r="B152" s="221">
        <v>0</v>
      </c>
      <c r="C152" s="218">
        <v>0</v>
      </c>
      <c r="D152" s="245">
        <f t="shared" si="8"/>
        <v>0</v>
      </c>
      <c r="E152" s="245">
        <f t="shared" si="9"/>
        <v>0</v>
      </c>
      <c r="F152" s="245">
        <f t="shared" si="10"/>
        <v>0</v>
      </c>
      <c r="G152"/>
      <c r="H152" s="246">
        <f t="shared" si="11"/>
        <v>0</v>
      </c>
    </row>
    <row r="153" spans="1:9" x14ac:dyDescent="0.2">
      <c r="A153" s="225"/>
      <c r="B153" s="221"/>
      <c r="C153" s="218"/>
      <c r="D153" s="245"/>
      <c r="E153" s="245"/>
      <c r="F153" s="245"/>
      <c r="G153"/>
      <c r="H153" s="246"/>
    </row>
    <row r="154" spans="1:9" x14ac:dyDescent="0.2">
      <c r="A154" s="225" t="s">
        <v>863</v>
      </c>
      <c r="B154" s="221">
        <v>3506.2</v>
      </c>
      <c r="C154" s="218">
        <v>3506.2</v>
      </c>
      <c r="D154" s="245">
        <f t="shared" si="8"/>
        <v>3786.6959999999999</v>
      </c>
      <c r="E154" s="245">
        <f t="shared" si="9"/>
        <v>3834.0296999999996</v>
      </c>
      <c r="F154" s="245">
        <f t="shared" si="10"/>
        <v>3949.0505909999997</v>
      </c>
      <c r="G154"/>
      <c r="H154" s="246">
        <f t="shared" si="11"/>
        <v>3810.3628499999995</v>
      </c>
    </row>
    <row r="155" spans="1:9" x14ac:dyDescent="0.2">
      <c r="A155" s="225" t="s">
        <v>866</v>
      </c>
      <c r="B155" s="221">
        <v>3629.34</v>
      </c>
      <c r="C155" s="218">
        <v>3629.34</v>
      </c>
      <c r="D155" s="245">
        <f t="shared" si="8"/>
        <v>3919.6872000000003</v>
      </c>
      <c r="E155" s="245">
        <f t="shared" si="9"/>
        <v>3968.6832899999999</v>
      </c>
      <c r="F155" s="245">
        <f t="shared" si="10"/>
        <v>4087.7437887000001</v>
      </c>
      <c r="G155"/>
      <c r="H155" s="246">
        <f t="shared" si="11"/>
        <v>3944.1852450000001</v>
      </c>
    </row>
    <row r="156" spans="1:9" x14ac:dyDescent="0.2">
      <c r="A156" s="225" t="s">
        <v>869</v>
      </c>
      <c r="B156" s="221">
        <v>3756.49</v>
      </c>
      <c r="C156" s="218">
        <v>3756.49</v>
      </c>
      <c r="D156" s="245">
        <f t="shared" si="8"/>
        <v>4057.0092</v>
      </c>
      <c r="E156" s="245">
        <f t="shared" si="9"/>
        <v>4107.7218149999999</v>
      </c>
      <c r="F156" s="245">
        <f t="shared" si="10"/>
        <v>4230.9534694499998</v>
      </c>
      <c r="G156"/>
      <c r="H156" s="246">
        <f t="shared" si="11"/>
        <v>4082.3655074999997</v>
      </c>
    </row>
    <row r="157" spans="1:9" x14ac:dyDescent="0.2">
      <c r="A157" s="225" t="s">
        <v>872</v>
      </c>
      <c r="B157" s="221">
        <v>3887.66</v>
      </c>
      <c r="C157" s="218">
        <v>3887.66</v>
      </c>
      <c r="D157" s="245">
        <f t="shared" si="8"/>
        <v>4198.6728000000003</v>
      </c>
      <c r="E157" s="245">
        <f t="shared" si="9"/>
        <v>4251.1562100000001</v>
      </c>
      <c r="F157" s="245">
        <f t="shared" si="10"/>
        <v>4378.6908963000005</v>
      </c>
      <c r="G157"/>
      <c r="H157" s="246">
        <f t="shared" si="11"/>
        <v>4224.9145050000006</v>
      </c>
    </row>
    <row r="158" spans="1:9" x14ac:dyDescent="0.2">
      <c r="A158" s="225" t="s">
        <v>874</v>
      </c>
      <c r="B158" s="221">
        <v>4023.55</v>
      </c>
      <c r="C158" s="218">
        <v>4023.55</v>
      </c>
      <c r="D158" s="245">
        <f t="shared" si="8"/>
        <v>4345.4340000000002</v>
      </c>
      <c r="E158" s="245">
        <f t="shared" si="9"/>
        <v>4399.7519249999996</v>
      </c>
      <c r="F158" s="245">
        <f t="shared" si="10"/>
        <v>4531.7444827499994</v>
      </c>
      <c r="G158"/>
      <c r="H158" s="246">
        <f t="shared" si="11"/>
        <v>4372.5929624999999</v>
      </c>
    </row>
    <row r="159" spans="1:9" x14ac:dyDescent="0.2">
      <c r="A159" s="225" t="s">
        <v>877</v>
      </c>
      <c r="B159" s="221">
        <v>4164.8</v>
      </c>
      <c r="C159" s="218">
        <v>4164.8</v>
      </c>
      <c r="D159" s="245">
        <f t="shared" si="8"/>
        <v>4497.9840000000004</v>
      </c>
      <c r="E159" s="245">
        <f t="shared" si="9"/>
        <v>4554.2088000000003</v>
      </c>
      <c r="F159" s="245">
        <f t="shared" si="10"/>
        <v>4690.8350640000008</v>
      </c>
      <c r="G159"/>
      <c r="H159" s="246">
        <f t="shared" si="11"/>
        <v>4526.0964000000004</v>
      </c>
    </row>
    <row r="160" spans="1:9" x14ac:dyDescent="0.2">
      <c r="A160" s="225" t="s">
        <v>879</v>
      </c>
      <c r="B160" s="221">
        <v>4310.1000000000004</v>
      </c>
      <c r="C160" s="218">
        <v>4310.1000000000004</v>
      </c>
      <c r="D160" s="245">
        <f t="shared" si="8"/>
        <v>4654.9080000000004</v>
      </c>
      <c r="E160" s="245">
        <f t="shared" si="9"/>
        <v>4713.0943500000003</v>
      </c>
      <c r="F160" s="245">
        <f t="shared" si="10"/>
        <v>4854.4871805000002</v>
      </c>
      <c r="G160"/>
      <c r="H160" s="246">
        <f t="shared" si="11"/>
        <v>4684.0011750000003</v>
      </c>
    </row>
    <row r="161" spans="1:9" x14ac:dyDescent="0.2">
      <c r="A161" s="225" t="s">
        <v>882</v>
      </c>
      <c r="B161" s="221">
        <v>4460.8100000000004</v>
      </c>
      <c r="C161" s="218">
        <v>4460.8100000000004</v>
      </c>
      <c r="D161" s="245">
        <f t="shared" si="8"/>
        <v>4817.6748000000007</v>
      </c>
      <c r="E161" s="245">
        <f t="shared" si="9"/>
        <v>4877.8957350000001</v>
      </c>
      <c r="F161" s="245">
        <f t="shared" si="10"/>
        <v>5024.2326070500003</v>
      </c>
      <c r="G161"/>
      <c r="H161" s="246">
        <f t="shared" si="11"/>
        <v>4847.7852675000004</v>
      </c>
    </row>
    <row r="162" spans="1:9" x14ac:dyDescent="0.2">
      <c r="A162" s="225" t="s">
        <v>884</v>
      </c>
      <c r="B162" s="221">
        <v>4617.54</v>
      </c>
      <c r="C162" s="218">
        <v>4617.54</v>
      </c>
      <c r="D162" s="245">
        <f t="shared" si="8"/>
        <v>4986.9432000000006</v>
      </c>
      <c r="E162" s="245">
        <f t="shared" si="9"/>
        <v>5049.27999</v>
      </c>
      <c r="F162" s="245">
        <f t="shared" si="10"/>
        <v>5200.7583897000004</v>
      </c>
      <c r="G162"/>
      <c r="H162" s="246">
        <f t="shared" si="11"/>
        <v>5018.1115950000003</v>
      </c>
    </row>
    <row r="163" spans="1:9" x14ac:dyDescent="0.2">
      <c r="A163" s="225" t="s">
        <v>886</v>
      </c>
      <c r="B163" s="217">
        <v>4779.01</v>
      </c>
      <c r="C163">
        <v>4779.01</v>
      </c>
      <c r="D163" s="245">
        <f t="shared" si="8"/>
        <v>5161.3308000000006</v>
      </c>
      <c r="E163" s="245">
        <f t="shared" si="9"/>
        <v>5225.8474350000006</v>
      </c>
      <c r="F163" s="245">
        <f t="shared" si="10"/>
        <v>5382.622858050001</v>
      </c>
      <c r="G163"/>
      <c r="H163" s="246">
        <f t="shared" si="11"/>
        <v>5193.5891175000006</v>
      </c>
    </row>
    <row r="164" spans="1:9" x14ac:dyDescent="0.2">
      <c r="A164" s="225" t="s">
        <v>889</v>
      </c>
      <c r="B164" s="221">
        <v>4945.84</v>
      </c>
      <c r="C164" s="218">
        <v>4945.84</v>
      </c>
      <c r="D164" s="245">
        <f t="shared" si="8"/>
        <v>5341.5072000000009</v>
      </c>
      <c r="E164" s="245">
        <f t="shared" si="9"/>
        <v>5408.2760400000006</v>
      </c>
      <c r="F164" s="245">
        <f t="shared" si="10"/>
        <v>5570.5243212000005</v>
      </c>
      <c r="G164"/>
      <c r="H164" s="246">
        <f t="shared" si="11"/>
        <v>5374.8916200000003</v>
      </c>
    </row>
    <row r="165" spans="1:9" x14ac:dyDescent="0.2">
      <c r="A165" s="225" t="s">
        <v>892</v>
      </c>
      <c r="B165" s="221">
        <v>5119.3999999999996</v>
      </c>
      <c r="C165" s="218">
        <v>5119.3999999999996</v>
      </c>
      <c r="D165" s="245">
        <f t="shared" si="8"/>
        <v>5528.9520000000002</v>
      </c>
      <c r="E165" s="245">
        <f t="shared" si="9"/>
        <v>5598.0639000000001</v>
      </c>
      <c r="F165" s="245">
        <f t="shared" si="10"/>
        <v>5766.0058170000002</v>
      </c>
      <c r="G165"/>
      <c r="H165" s="246">
        <f t="shared" si="11"/>
        <v>5563.5079500000002</v>
      </c>
    </row>
    <row r="166" spans="1:9" x14ac:dyDescent="0.2">
      <c r="A166" s="225" t="s">
        <v>50</v>
      </c>
      <c r="B166" s="221">
        <v>5298.33</v>
      </c>
      <c r="C166" s="218">
        <v>5298.33</v>
      </c>
      <c r="D166" s="245">
        <f t="shared" si="8"/>
        <v>5722.1964000000007</v>
      </c>
      <c r="E166" s="245">
        <f t="shared" si="9"/>
        <v>5793.7238550000002</v>
      </c>
      <c r="F166" s="245">
        <f t="shared" si="10"/>
        <v>5967.5355706500004</v>
      </c>
      <c r="G166"/>
      <c r="H166" s="246">
        <f t="shared" si="11"/>
        <v>5757.9601275000005</v>
      </c>
      <c r="I166">
        <f>H166*0.93</f>
        <v>5354.9029185750005</v>
      </c>
    </row>
    <row r="167" spans="1:9" x14ac:dyDescent="0.2">
      <c r="A167" s="225" t="s">
        <v>897</v>
      </c>
      <c r="B167" s="221">
        <v>0</v>
      </c>
      <c r="C167" s="218">
        <v>0</v>
      </c>
      <c r="D167" s="245">
        <f t="shared" si="8"/>
        <v>0</v>
      </c>
      <c r="E167" s="245">
        <f t="shared" si="9"/>
        <v>0</v>
      </c>
      <c r="F167" s="245">
        <f t="shared" si="10"/>
        <v>0</v>
      </c>
      <c r="G167"/>
      <c r="H167" s="246">
        <f t="shared" si="11"/>
        <v>0</v>
      </c>
    </row>
    <row r="168" spans="1:9" x14ac:dyDescent="0.2">
      <c r="A168" s="225"/>
      <c r="B168" s="221"/>
      <c r="C168" s="218"/>
      <c r="D168" s="245"/>
      <c r="E168" s="245"/>
      <c r="F168" s="245"/>
      <c r="G168"/>
      <c r="H168" s="246"/>
    </row>
    <row r="169" spans="1:9" x14ac:dyDescent="0.2">
      <c r="A169" s="225" t="s">
        <v>900</v>
      </c>
      <c r="B169" s="221">
        <v>3862.06</v>
      </c>
      <c r="C169" s="218">
        <v>3862.06</v>
      </c>
      <c r="D169" s="245">
        <f t="shared" si="8"/>
        <v>4171.0248000000001</v>
      </c>
      <c r="E169" s="245">
        <f t="shared" si="9"/>
        <v>4223.1626100000003</v>
      </c>
      <c r="F169" s="245">
        <f t="shared" si="10"/>
        <v>4349.8574883000001</v>
      </c>
      <c r="G169"/>
      <c r="H169" s="246">
        <f t="shared" si="11"/>
        <v>4197.0937050000002</v>
      </c>
    </row>
    <row r="170" spans="1:9" x14ac:dyDescent="0.2">
      <c r="A170" s="225" t="s">
        <v>903</v>
      </c>
      <c r="B170" s="221">
        <v>3999.31</v>
      </c>
      <c r="C170" s="218">
        <v>3999.31</v>
      </c>
      <c r="D170" s="245">
        <f t="shared" si="8"/>
        <v>4319.2548000000006</v>
      </c>
      <c r="E170" s="245">
        <f t="shared" si="9"/>
        <v>4373.2454850000004</v>
      </c>
      <c r="F170" s="245">
        <f t="shared" si="10"/>
        <v>4504.4428495500006</v>
      </c>
      <c r="G170"/>
      <c r="H170" s="246">
        <f t="shared" si="11"/>
        <v>4346.2501425000009</v>
      </c>
    </row>
    <row r="171" spans="1:9" x14ac:dyDescent="0.2">
      <c r="A171" s="225" t="s">
        <v>906</v>
      </c>
      <c r="B171" s="221">
        <v>4141.26</v>
      </c>
      <c r="C171" s="218">
        <v>4141.26</v>
      </c>
      <c r="D171" s="245">
        <f t="shared" si="8"/>
        <v>4472.5608000000002</v>
      </c>
      <c r="E171" s="245">
        <f t="shared" si="9"/>
        <v>4528.4678100000001</v>
      </c>
      <c r="F171" s="245">
        <f t="shared" si="10"/>
        <v>4664.3218443000005</v>
      </c>
      <c r="G171"/>
      <c r="H171" s="246">
        <f t="shared" si="11"/>
        <v>4500.5143050000006</v>
      </c>
    </row>
    <row r="172" spans="1:9" x14ac:dyDescent="0.2">
      <c r="A172" s="225" t="s">
        <v>909</v>
      </c>
      <c r="B172" s="221">
        <v>4287.8999999999996</v>
      </c>
      <c r="C172" s="218">
        <v>4287.8999999999996</v>
      </c>
      <c r="D172" s="245">
        <f t="shared" si="8"/>
        <v>4630.9319999999998</v>
      </c>
      <c r="E172" s="245">
        <f t="shared" si="9"/>
        <v>4688.8186499999993</v>
      </c>
      <c r="F172" s="245">
        <f t="shared" si="10"/>
        <v>4829.4832094999992</v>
      </c>
      <c r="G172"/>
      <c r="H172" s="246">
        <f t="shared" si="11"/>
        <v>4659.8753249999991</v>
      </c>
    </row>
    <row r="173" spans="1:9" x14ac:dyDescent="0.2">
      <c r="A173" s="225" t="s">
        <v>911</v>
      </c>
      <c r="B173" s="221">
        <v>4440.63</v>
      </c>
      <c r="C173" s="218">
        <v>4440.63</v>
      </c>
      <c r="D173" s="245">
        <f t="shared" si="8"/>
        <v>4795.8804</v>
      </c>
      <c r="E173" s="245">
        <f t="shared" si="9"/>
        <v>4855.8289049999994</v>
      </c>
      <c r="F173" s="245">
        <f t="shared" si="10"/>
        <v>5001.5037721499993</v>
      </c>
      <c r="G173"/>
      <c r="H173" s="246">
        <f t="shared" si="11"/>
        <v>4825.8546525000002</v>
      </c>
    </row>
    <row r="174" spans="1:9" x14ac:dyDescent="0.2">
      <c r="A174" s="225" t="s">
        <v>913</v>
      </c>
      <c r="B174" s="221">
        <v>4598.0600000000004</v>
      </c>
      <c r="C174" s="218">
        <v>4598.0600000000004</v>
      </c>
      <c r="D174" s="245">
        <f t="shared" si="8"/>
        <v>4965.9048000000012</v>
      </c>
      <c r="E174" s="245">
        <f t="shared" si="9"/>
        <v>5027.978610000001</v>
      </c>
      <c r="F174" s="245">
        <f t="shared" si="10"/>
        <v>5178.8179683000008</v>
      </c>
      <c r="G174"/>
      <c r="H174" s="246">
        <f t="shared" si="11"/>
        <v>4996.9417050000011</v>
      </c>
    </row>
    <row r="175" spans="1:9" x14ac:dyDescent="0.2">
      <c r="A175" s="225" t="s">
        <v>915</v>
      </c>
      <c r="B175" s="221">
        <v>4761.51</v>
      </c>
      <c r="C175" s="218">
        <v>4761.51</v>
      </c>
      <c r="D175" s="245">
        <f t="shared" si="8"/>
        <v>5142.430800000001</v>
      </c>
      <c r="E175" s="245">
        <f t="shared" si="9"/>
        <v>5206.711185000001</v>
      </c>
      <c r="F175" s="245">
        <f t="shared" si="10"/>
        <v>5362.9125205500013</v>
      </c>
      <c r="G175"/>
      <c r="H175" s="246">
        <f t="shared" si="11"/>
        <v>5174.570992500001</v>
      </c>
    </row>
    <row r="176" spans="1:9" x14ac:dyDescent="0.2">
      <c r="A176" s="225" t="s">
        <v>918</v>
      </c>
      <c r="B176" s="221">
        <v>4930.3900000000003</v>
      </c>
      <c r="C176" s="218">
        <v>4930.3900000000003</v>
      </c>
      <c r="D176" s="245">
        <f t="shared" si="8"/>
        <v>5324.8212000000003</v>
      </c>
      <c r="E176" s="245">
        <f t="shared" si="9"/>
        <v>5391.3814650000004</v>
      </c>
      <c r="F176" s="245">
        <f t="shared" si="10"/>
        <v>5553.1229089500002</v>
      </c>
      <c r="G176"/>
      <c r="H176" s="246">
        <f t="shared" si="11"/>
        <v>5358.1013325000004</v>
      </c>
    </row>
    <row r="177" spans="1:9" x14ac:dyDescent="0.2">
      <c r="A177" s="225" t="s">
        <v>919</v>
      </c>
      <c r="B177" s="221">
        <v>5105.28</v>
      </c>
      <c r="C177" s="218">
        <v>5105.28</v>
      </c>
      <c r="D177" s="245">
        <f t="shared" si="8"/>
        <v>5513.7024000000001</v>
      </c>
      <c r="E177" s="245">
        <f t="shared" si="9"/>
        <v>5582.6236799999997</v>
      </c>
      <c r="F177" s="245">
        <f t="shared" si="10"/>
        <v>5750.1023903999994</v>
      </c>
      <c r="G177"/>
      <c r="H177" s="246">
        <f t="shared" si="11"/>
        <v>5548.1630399999995</v>
      </c>
    </row>
    <row r="178" spans="1:9" x14ac:dyDescent="0.2">
      <c r="A178" s="225" t="s">
        <v>921</v>
      </c>
      <c r="B178" s="217">
        <v>5286.24</v>
      </c>
      <c r="C178">
        <v>5286.24</v>
      </c>
      <c r="D178" s="245">
        <f t="shared" si="8"/>
        <v>5709.1392000000005</v>
      </c>
      <c r="E178" s="245">
        <f t="shared" si="9"/>
        <v>5780.5034400000004</v>
      </c>
      <c r="F178" s="245">
        <f t="shared" si="10"/>
        <v>5953.9185432000004</v>
      </c>
      <c r="G178"/>
      <c r="H178" s="246">
        <f t="shared" si="11"/>
        <v>5744.8213200000009</v>
      </c>
    </row>
    <row r="179" spans="1:9" x14ac:dyDescent="0.2">
      <c r="A179" s="225" t="s">
        <v>924</v>
      </c>
      <c r="B179" s="221">
        <v>5473.93</v>
      </c>
      <c r="C179" s="218">
        <v>5473.93</v>
      </c>
      <c r="D179" s="245">
        <f t="shared" si="8"/>
        <v>5911.8444000000009</v>
      </c>
      <c r="E179" s="245">
        <f t="shared" si="9"/>
        <v>5985.7424550000005</v>
      </c>
      <c r="F179" s="245">
        <f t="shared" si="10"/>
        <v>6165.3147286500007</v>
      </c>
      <c r="G179"/>
      <c r="H179" s="246">
        <f t="shared" si="11"/>
        <v>5948.7934275000007</v>
      </c>
    </row>
    <row r="180" spans="1:9" x14ac:dyDescent="0.2">
      <c r="A180" s="225" t="s">
        <v>927</v>
      </c>
      <c r="B180" s="221">
        <v>5668.32</v>
      </c>
      <c r="C180" s="218">
        <v>5668.32</v>
      </c>
      <c r="D180" s="245">
        <f t="shared" si="8"/>
        <v>6121.7856000000002</v>
      </c>
      <c r="E180" s="245">
        <f t="shared" si="9"/>
        <v>6198.3079200000002</v>
      </c>
      <c r="F180" s="245">
        <f t="shared" si="10"/>
        <v>6384.2571576</v>
      </c>
      <c r="G180"/>
      <c r="H180" s="246">
        <f t="shared" si="11"/>
        <v>6160.0467600000002</v>
      </c>
    </row>
    <row r="181" spans="1:9" x14ac:dyDescent="0.2">
      <c r="A181" s="225" t="s">
        <v>930</v>
      </c>
      <c r="B181" s="221">
        <v>5869.46</v>
      </c>
      <c r="C181" s="218">
        <v>5869.46</v>
      </c>
      <c r="D181" s="245">
        <f t="shared" si="8"/>
        <v>6339.0168000000003</v>
      </c>
      <c r="E181" s="245">
        <f t="shared" si="9"/>
        <v>6418.2545099999998</v>
      </c>
      <c r="F181" s="245">
        <f t="shared" si="10"/>
        <v>6610.8021453000001</v>
      </c>
      <c r="G181"/>
      <c r="H181" s="246">
        <f t="shared" si="11"/>
        <v>6378.635655</v>
      </c>
    </row>
    <row r="182" spans="1:9" x14ac:dyDescent="0.2">
      <c r="A182" s="225" t="s">
        <v>55</v>
      </c>
      <c r="B182" s="221">
        <v>6078.02</v>
      </c>
      <c r="C182" s="218">
        <v>6078.02</v>
      </c>
      <c r="D182" s="245">
        <f t="shared" si="8"/>
        <v>6564.2616000000007</v>
      </c>
      <c r="E182" s="245">
        <f t="shared" si="9"/>
        <v>6646.3148700000002</v>
      </c>
      <c r="F182" s="245">
        <f t="shared" si="10"/>
        <v>6845.7043161000001</v>
      </c>
      <c r="G182"/>
      <c r="H182" s="246">
        <f t="shared" si="11"/>
        <v>6605.288235</v>
      </c>
      <c r="I182">
        <f>H182*0.93</f>
        <v>6142.9180585500008</v>
      </c>
    </row>
    <row r="183" spans="1:9" x14ac:dyDescent="0.2">
      <c r="A183" s="225"/>
      <c r="B183" s="221"/>
      <c r="C183" s="218"/>
      <c r="D183" s="245"/>
      <c r="E183" s="245"/>
      <c r="F183" s="245"/>
      <c r="G183"/>
      <c r="H183" s="246"/>
    </row>
    <row r="184" spans="1:9" x14ac:dyDescent="0.2">
      <c r="A184" s="225" t="s">
        <v>935</v>
      </c>
      <c r="B184" s="221">
        <v>4402.95</v>
      </c>
      <c r="C184" s="218">
        <v>4402.95</v>
      </c>
      <c r="D184" s="245">
        <f t="shared" si="8"/>
        <v>4755.1859999999997</v>
      </c>
      <c r="E184" s="245">
        <f t="shared" si="9"/>
        <v>4814.6258249999992</v>
      </c>
      <c r="F184" s="245">
        <f t="shared" si="10"/>
        <v>4959.0645997499996</v>
      </c>
      <c r="G184"/>
      <c r="H184" s="246">
        <f t="shared" si="11"/>
        <v>4784.9059124999994</v>
      </c>
    </row>
    <row r="185" spans="1:9" x14ac:dyDescent="0.2">
      <c r="A185" s="225" t="s">
        <v>938</v>
      </c>
      <c r="B185" s="221">
        <v>4561.72</v>
      </c>
      <c r="C185" s="218">
        <v>4561.72</v>
      </c>
      <c r="D185" s="245">
        <f t="shared" si="8"/>
        <v>4926.6576000000005</v>
      </c>
      <c r="E185" s="245">
        <f t="shared" si="9"/>
        <v>4988.24082</v>
      </c>
      <c r="F185" s="245">
        <f t="shared" si="10"/>
        <v>5137.8880446000003</v>
      </c>
      <c r="G185"/>
      <c r="H185" s="246">
        <f t="shared" si="11"/>
        <v>4957.4492100000007</v>
      </c>
    </row>
    <row r="186" spans="1:9" x14ac:dyDescent="0.2">
      <c r="A186" s="225" t="s">
        <v>941</v>
      </c>
      <c r="B186" s="221">
        <v>4725.87</v>
      </c>
      <c r="C186" s="218">
        <v>4725.87</v>
      </c>
      <c r="D186" s="245">
        <f t="shared" si="8"/>
        <v>5103.9396000000006</v>
      </c>
      <c r="E186" s="245">
        <f t="shared" si="9"/>
        <v>5167.7388450000008</v>
      </c>
      <c r="F186" s="245">
        <f t="shared" si="10"/>
        <v>5322.7710103500012</v>
      </c>
      <c r="G186"/>
      <c r="H186" s="246">
        <f t="shared" si="11"/>
        <v>5135.8392225000007</v>
      </c>
    </row>
    <row r="187" spans="1:9" x14ac:dyDescent="0.2">
      <c r="A187" s="225" t="s">
        <v>944</v>
      </c>
      <c r="B187" s="221">
        <v>4896.0600000000004</v>
      </c>
      <c r="C187" s="218">
        <v>4896.0600000000004</v>
      </c>
      <c r="D187" s="245">
        <f t="shared" si="8"/>
        <v>5287.7448000000004</v>
      </c>
      <c r="E187" s="245">
        <f t="shared" si="9"/>
        <v>5353.8416100000004</v>
      </c>
      <c r="F187" s="245">
        <f t="shared" si="10"/>
        <v>5514.4568583000009</v>
      </c>
      <c r="G187"/>
      <c r="H187" s="246">
        <f t="shared" si="11"/>
        <v>5320.7932049999999</v>
      </c>
    </row>
    <row r="188" spans="1:9" x14ac:dyDescent="0.2">
      <c r="A188" s="225" t="s">
        <v>946</v>
      </c>
      <c r="B188" s="221">
        <v>5072.3</v>
      </c>
      <c r="C188" s="218">
        <v>5072.3</v>
      </c>
      <c r="D188" s="245">
        <f t="shared" si="8"/>
        <v>5478.0840000000007</v>
      </c>
      <c r="E188" s="245">
        <f t="shared" si="9"/>
        <v>5546.560050000001</v>
      </c>
      <c r="F188" s="245">
        <f t="shared" si="10"/>
        <v>5712.956851500001</v>
      </c>
      <c r="G188"/>
      <c r="H188" s="246">
        <f t="shared" si="11"/>
        <v>5512.3220250000013</v>
      </c>
    </row>
    <row r="189" spans="1:9" x14ac:dyDescent="0.2">
      <c r="A189" s="225" t="s">
        <v>949</v>
      </c>
      <c r="B189" s="221">
        <v>5254.61</v>
      </c>
      <c r="C189" s="218">
        <v>5254.61</v>
      </c>
      <c r="D189" s="245">
        <f t="shared" si="8"/>
        <v>5674.9787999999999</v>
      </c>
      <c r="E189" s="245">
        <f t="shared" si="9"/>
        <v>5745.9160349999993</v>
      </c>
      <c r="F189" s="245">
        <f t="shared" si="10"/>
        <v>5918.2935160499992</v>
      </c>
      <c r="G189"/>
      <c r="H189" s="246">
        <f t="shared" si="11"/>
        <v>5710.4474174999996</v>
      </c>
    </row>
    <row r="190" spans="1:9" x14ac:dyDescent="0.2">
      <c r="A190" s="225" t="s">
        <v>952</v>
      </c>
      <c r="B190" s="221">
        <v>5443.64</v>
      </c>
      <c r="C190" s="218">
        <v>5443.64</v>
      </c>
      <c r="D190" s="245">
        <f t="shared" si="8"/>
        <v>5879.1312000000007</v>
      </c>
      <c r="E190" s="245">
        <f t="shared" si="9"/>
        <v>5952.6203400000004</v>
      </c>
      <c r="F190" s="245">
        <f t="shared" si="10"/>
        <v>6131.1989502000006</v>
      </c>
      <c r="G190"/>
      <c r="H190" s="246">
        <f t="shared" si="11"/>
        <v>5915.8757700000006</v>
      </c>
    </row>
    <row r="191" spans="1:9" x14ac:dyDescent="0.2">
      <c r="A191" s="225" t="s">
        <v>954</v>
      </c>
      <c r="B191" s="221">
        <v>5640.09</v>
      </c>
      <c r="C191" s="218">
        <v>5640.09</v>
      </c>
      <c r="D191" s="245">
        <f t="shared" si="8"/>
        <v>6091.2972000000009</v>
      </c>
      <c r="E191" s="245">
        <f t="shared" si="9"/>
        <v>6167.4384150000005</v>
      </c>
      <c r="F191" s="245">
        <f t="shared" si="10"/>
        <v>6352.461567450001</v>
      </c>
      <c r="G191"/>
      <c r="H191" s="246">
        <f t="shared" si="11"/>
        <v>6129.3678075000007</v>
      </c>
    </row>
    <row r="192" spans="1:9" x14ac:dyDescent="0.2">
      <c r="A192" s="225" t="s">
        <v>956</v>
      </c>
      <c r="B192" s="221">
        <v>5842.57</v>
      </c>
      <c r="C192" s="218">
        <v>5842.57</v>
      </c>
      <c r="D192" s="245">
        <f t="shared" si="8"/>
        <v>6309.9755999999998</v>
      </c>
      <c r="E192" s="245">
        <f t="shared" si="9"/>
        <v>6388.8502949999993</v>
      </c>
      <c r="F192" s="245">
        <f t="shared" si="10"/>
        <v>6580.5158038499994</v>
      </c>
      <c r="G192"/>
      <c r="H192" s="246">
        <f t="shared" si="11"/>
        <v>6349.4129474999991</v>
      </c>
    </row>
    <row r="193" spans="1:9" x14ac:dyDescent="0.2">
      <c r="A193" s="225" t="s">
        <v>958</v>
      </c>
      <c r="B193" s="221">
        <v>6053.14</v>
      </c>
      <c r="C193" s="218">
        <v>6053.14</v>
      </c>
      <c r="D193" s="245">
        <f t="shared" si="8"/>
        <v>6537.3912000000009</v>
      </c>
      <c r="E193" s="245">
        <f t="shared" si="9"/>
        <v>6619.1085900000007</v>
      </c>
      <c r="F193" s="245">
        <f t="shared" si="10"/>
        <v>6817.6818477000006</v>
      </c>
      <c r="G193"/>
      <c r="H193" s="246">
        <f t="shared" si="11"/>
        <v>6578.2498950000008</v>
      </c>
    </row>
    <row r="194" spans="1:9" x14ac:dyDescent="0.2">
      <c r="A194" s="225" t="s">
        <v>961</v>
      </c>
      <c r="B194" s="221">
        <v>6271.11</v>
      </c>
      <c r="C194" s="218">
        <v>6271.11</v>
      </c>
      <c r="D194" s="245">
        <f t="shared" si="8"/>
        <v>6772.7988000000005</v>
      </c>
      <c r="E194" s="245">
        <f t="shared" si="9"/>
        <v>6857.4587849999998</v>
      </c>
      <c r="F194" s="245">
        <f t="shared" si="10"/>
        <v>7063.1825485500003</v>
      </c>
      <c r="G194"/>
      <c r="H194" s="246">
        <f t="shared" si="11"/>
        <v>6815.1287924999997</v>
      </c>
    </row>
    <row r="195" spans="1:9" x14ac:dyDescent="0.2">
      <c r="A195" s="225" t="s">
        <v>962</v>
      </c>
      <c r="B195" s="217">
        <v>6497.12</v>
      </c>
      <c r="C195">
        <v>6497.12</v>
      </c>
      <c r="D195" s="245">
        <f t="shared" si="8"/>
        <v>7016.8896000000004</v>
      </c>
      <c r="E195" s="245">
        <f t="shared" si="9"/>
        <v>7104.6007200000004</v>
      </c>
      <c r="F195" s="245">
        <f t="shared" si="10"/>
        <v>7317.7387416000001</v>
      </c>
      <c r="G195"/>
      <c r="H195" s="246">
        <f t="shared" si="11"/>
        <v>7060.7451600000004</v>
      </c>
    </row>
    <row r="196" spans="1:9" x14ac:dyDescent="0.2">
      <c r="A196" s="225" t="s">
        <v>965</v>
      </c>
      <c r="B196" s="221">
        <v>6730.58</v>
      </c>
      <c r="C196" s="218">
        <v>6730.58</v>
      </c>
      <c r="D196" s="245">
        <f t="shared" si="8"/>
        <v>7269.0264000000006</v>
      </c>
      <c r="E196" s="245">
        <f t="shared" si="9"/>
        <v>7359.8892300000007</v>
      </c>
      <c r="F196" s="245">
        <f t="shared" si="10"/>
        <v>7580.6859069000011</v>
      </c>
      <c r="G196"/>
      <c r="H196" s="246">
        <f t="shared" si="11"/>
        <v>7314.4578150000007</v>
      </c>
    </row>
    <row r="197" spans="1:9" x14ac:dyDescent="0.2">
      <c r="A197" s="225" t="s">
        <v>968</v>
      </c>
      <c r="B197" s="221">
        <v>6972.74</v>
      </c>
      <c r="C197" s="218">
        <v>6972.74</v>
      </c>
      <c r="D197" s="245">
        <f t="shared" ref="D197:D227" si="12">C197*1.08</f>
        <v>7530.5592000000006</v>
      </c>
      <c r="E197" s="245">
        <f t="shared" ref="E197:E227" si="13">D197*1.0125</f>
        <v>7624.6911900000005</v>
      </c>
      <c r="F197" s="245">
        <f t="shared" ref="F197:F227" si="14">E197*1.03</f>
        <v>7853.4319257000006</v>
      </c>
      <c r="G197"/>
      <c r="H197" s="246">
        <f t="shared" ref="H197:H227" si="15">AVERAGE(D197:E197)</f>
        <v>7577.6251950000005</v>
      </c>
      <c r="I197">
        <f>0.93*H197</f>
        <v>7047.191431350001</v>
      </c>
    </row>
    <row r="198" spans="1:9" x14ac:dyDescent="0.2">
      <c r="A198" s="225"/>
      <c r="B198" s="221"/>
      <c r="C198" s="218"/>
      <c r="D198" s="245"/>
      <c r="E198" s="245"/>
      <c r="F198" s="245"/>
      <c r="G198"/>
      <c r="H198" s="246"/>
    </row>
    <row r="199" spans="1:9" x14ac:dyDescent="0.2">
      <c r="A199" s="225" t="s">
        <v>971</v>
      </c>
      <c r="B199" s="221">
        <v>5516.98</v>
      </c>
      <c r="C199" s="218">
        <v>5516.98</v>
      </c>
      <c r="D199" s="245">
        <f t="shared" si="12"/>
        <v>5958.3383999999996</v>
      </c>
      <c r="E199" s="245">
        <f t="shared" si="13"/>
        <v>6032.8176299999996</v>
      </c>
      <c r="F199" s="245">
        <f t="shared" si="14"/>
        <v>6213.8021589</v>
      </c>
      <c r="G199"/>
      <c r="H199" s="246">
        <f t="shared" si="15"/>
        <v>5995.5780149999991</v>
      </c>
    </row>
    <row r="200" spans="1:9" x14ac:dyDescent="0.2">
      <c r="A200" s="225" t="s">
        <v>974</v>
      </c>
      <c r="B200" s="221">
        <v>5718.1</v>
      </c>
      <c r="C200" s="218">
        <v>5718.1</v>
      </c>
      <c r="D200" s="245">
        <f t="shared" si="12"/>
        <v>6175.5480000000007</v>
      </c>
      <c r="E200" s="245">
        <f t="shared" si="13"/>
        <v>6252.7423500000004</v>
      </c>
      <c r="F200" s="245">
        <f t="shared" si="14"/>
        <v>6440.3246205000005</v>
      </c>
      <c r="G200"/>
      <c r="H200" s="246">
        <f t="shared" si="15"/>
        <v>6214.1451750000006</v>
      </c>
    </row>
    <row r="201" spans="1:9" x14ac:dyDescent="0.2">
      <c r="A201" s="225" t="s">
        <v>977</v>
      </c>
      <c r="B201" s="221">
        <v>5927.35</v>
      </c>
      <c r="C201" s="218">
        <v>5927.35</v>
      </c>
      <c r="D201" s="245">
        <f t="shared" si="12"/>
        <v>6401.5380000000005</v>
      </c>
      <c r="E201" s="245">
        <f t="shared" si="13"/>
        <v>6481.5572250000005</v>
      </c>
      <c r="F201" s="245">
        <f t="shared" si="14"/>
        <v>6676.0039417500011</v>
      </c>
      <c r="G201"/>
      <c r="H201" s="246">
        <f t="shared" si="15"/>
        <v>6441.5476125000005</v>
      </c>
    </row>
    <row r="202" spans="1:9" x14ac:dyDescent="0.2">
      <c r="A202" s="225" t="s">
        <v>980</v>
      </c>
      <c r="B202" s="221">
        <v>6143.26</v>
      </c>
      <c r="C202" s="218">
        <v>6143.26</v>
      </c>
      <c r="D202" s="245">
        <f t="shared" si="12"/>
        <v>6634.720800000001</v>
      </c>
      <c r="E202" s="245">
        <f t="shared" si="13"/>
        <v>6717.6548100000009</v>
      </c>
      <c r="F202" s="245">
        <f t="shared" si="14"/>
        <v>6919.1844543000016</v>
      </c>
      <c r="G202"/>
      <c r="H202" s="246">
        <f t="shared" si="15"/>
        <v>6676.1878050000014</v>
      </c>
    </row>
    <row r="203" spans="1:9" x14ac:dyDescent="0.2">
      <c r="A203" s="225" t="s">
        <v>983</v>
      </c>
      <c r="B203" s="221">
        <v>6367.96</v>
      </c>
      <c r="C203" s="218">
        <v>6367.96</v>
      </c>
      <c r="D203" s="245">
        <f t="shared" si="12"/>
        <v>6877.3968000000004</v>
      </c>
      <c r="E203" s="245">
        <f t="shared" si="13"/>
        <v>6963.3642600000003</v>
      </c>
      <c r="F203" s="245">
        <f t="shared" si="14"/>
        <v>7172.2651878000006</v>
      </c>
      <c r="G203"/>
      <c r="H203" s="246">
        <f t="shared" si="15"/>
        <v>6920.3805300000004</v>
      </c>
    </row>
    <row r="204" spans="1:9" x14ac:dyDescent="0.2">
      <c r="A204" s="225" t="s">
        <v>986</v>
      </c>
      <c r="B204" s="221">
        <v>6600.05</v>
      </c>
      <c r="C204" s="218">
        <v>6600.05</v>
      </c>
      <c r="D204" s="245">
        <f t="shared" si="12"/>
        <v>7128.054000000001</v>
      </c>
      <c r="E204" s="245">
        <f t="shared" si="13"/>
        <v>7217.1546750000007</v>
      </c>
      <c r="F204" s="245">
        <f t="shared" si="14"/>
        <v>7433.6693152500011</v>
      </c>
      <c r="G204"/>
      <c r="H204" s="246">
        <f t="shared" si="15"/>
        <v>7172.6043375000008</v>
      </c>
    </row>
    <row r="205" spans="1:9" x14ac:dyDescent="0.2">
      <c r="A205" s="225" t="s">
        <v>989</v>
      </c>
      <c r="B205" s="221">
        <v>6840.89</v>
      </c>
      <c r="C205" s="218">
        <v>6840.89</v>
      </c>
      <c r="D205" s="245">
        <f t="shared" si="12"/>
        <v>7388.1612000000005</v>
      </c>
      <c r="E205" s="245">
        <f t="shared" si="13"/>
        <v>7480.5132149999999</v>
      </c>
      <c r="F205" s="245">
        <f t="shared" si="14"/>
        <v>7704.9286114500001</v>
      </c>
      <c r="G205"/>
      <c r="H205" s="246">
        <f t="shared" si="15"/>
        <v>7434.3372075000007</v>
      </c>
    </row>
    <row r="206" spans="1:9" x14ac:dyDescent="0.2">
      <c r="A206" s="225" t="s">
        <v>992</v>
      </c>
      <c r="B206" s="221">
        <v>7090.46</v>
      </c>
      <c r="C206" s="218">
        <v>7090.46</v>
      </c>
      <c r="D206" s="245">
        <f t="shared" si="12"/>
        <v>7657.6968000000006</v>
      </c>
      <c r="E206" s="245">
        <f t="shared" si="13"/>
        <v>7753.4180100000003</v>
      </c>
      <c r="F206" s="245">
        <f t="shared" si="14"/>
        <v>7986.0205503000007</v>
      </c>
      <c r="G206"/>
      <c r="H206" s="246">
        <f t="shared" si="15"/>
        <v>7705.5574050000005</v>
      </c>
    </row>
    <row r="207" spans="1:9" x14ac:dyDescent="0.2">
      <c r="A207" s="225" t="s">
        <v>995</v>
      </c>
      <c r="B207" s="221">
        <v>7349.45</v>
      </c>
      <c r="C207" s="218">
        <v>7349.45</v>
      </c>
      <c r="D207" s="245">
        <f t="shared" si="12"/>
        <v>7937.4059999999999</v>
      </c>
      <c r="E207" s="245">
        <f t="shared" si="13"/>
        <v>8036.6235749999996</v>
      </c>
      <c r="F207" s="245">
        <f t="shared" si="14"/>
        <v>8277.7222822500007</v>
      </c>
      <c r="G207"/>
      <c r="H207" s="246">
        <f t="shared" si="15"/>
        <v>7987.0147875000002</v>
      </c>
    </row>
    <row r="208" spans="1:9" x14ac:dyDescent="0.2">
      <c r="A208" s="225" t="s">
        <v>997</v>
      </c>
      <c r="B208" s="221">
        <v>7617.88</v>
      </c>
      <c r="C208" s="218">
        <v>7617.88</v>
      </c>
      <c r="D208" s="245">
        <f t="shared" si="12"/>
        <v>8227.3104000000003</v>
      </c>
      <c r="E208" s="245">
        <f t="shared" si="13"/>
        <v>8330.1517800000001</v>
      </c>
      <c r="F208" s="245">
        <f t="shared" si="14"/>
        <v>8580.0563333999999</v>
      </c>
      <c r="G208"/>
      <c r="H208" s="246">
        <f t="shared" si="15"/>
        <v>8278.7310900000011</v>
      </c>
    </row>
    <row r="209" spans="1:9" x14ac:dyDescent="0.2">
      <c r="A209" s="225" t="s">
        <v>999</v>
      </c>
      <c r="B209" s="221">
        <v>7895.71</v>
      </c>
      <c r="C209" s="218">
        <v>7895.71</v>
      </c>
      <c r="D209" s="245">
        <f t="shared" si="12"/>
        <v>8527.3667999999998</v>
      </c>
      <c r="E209" s="245">
        <f t="shared" si="13"/>
        <v>8633.958885</v>
      </c>
      <c r="F209" s="245">
        <f t="shared" si="14"/>
        <v>8892.9776515499998</v>
      </c>
      <c r="G209"/>
      <c r="H209" s="246">
        <f t="shared" si="15"/>
        <v>8580.6628424999999</v>
      </c>
    </row>
    <row r="210" spans="1:9" x14ac:dyDescent="0.2">
      <c r="A210" s="225" t="s">
        <v>1001</v>
      </c>
      <c r="B210" s="221">
        <v>8183.66</v>
      </c>
      <c r="C210" s="218">
        <v>8183.66</v>
      </c>
      <c r="D210" s="245">
        <f t="shared" si="12"/>
        <v>8838.3528000000006</v>
      </c>
      <c r="E210" s="245">
        <f t="shared" si="13"/>
        <v>8948.8322100000005</v>
      </c>
      <c r="F210" s="245">
        <f t="shared" si="14"/>
        <v>9217.2971763000005</v>
      </c>
      <c r="G210"/>
      <c r="H210" s="246">
        <f t="shared" si="15"/>
        <v>8893.5925050000005</v>
      </c>
    </row>
    <row r="211" spans="1:9" x14ac:dyDescent="0.2">
      <c r="A211" s="225" t="s">
        <v>1003</v>
      </c>
      <c r="B211" s="221">
        <v>8482.99</v>
      </c>
      <c r="C211" s="218">
        <v>8482.99</v>
      </c>
      <c r="D211" s="245">
        <f t="shared" si="12"/>
        <v>9161.6292000000012</v>
      </c>
      <c r="E211" s="245">
        <f t="shared" si="13"/>
        <v>9276.1495650000015</v>
      </c>
      <c r="F211" s="245">
        <f t="shared" si="14"/>
        <v>9554.434051950002</v>
      </c>
      <c r="G211"/>
      <c r="H211" s="246">
        <f t="shared" si="15"/>
        <v>9218.8893825000014</v>
      </c>
    </row>
    <row r="212" spans="1:9" x14ac:dyDescent="0.2">
      <c r="A212" s="225" t="s">
        <v>1004</v>
      </c>
      <c r="B212" s="217">
        <v>8792.4699999999993</v>
      </c>
      <c r="C212">
        <v>8792.4699999999993</v>
      </c>
      <c r="D212" s="245">
        <f t="shared" si="12"/>
        <v>9495.8675999999996</v>
      </c>
      <c r="E212" s="245">
        <f t="shared" si="13"/>
        <v>9614.5659449999985</v>
      </c>
      <c r="F212" s="245">
        <f t="shared" si="14"/>
        <v>9903.002923349999</v>
      </c>
      <c r="G212"/>
      <c r="H212" s="246">
        <f t="shared" si="15"/>
        <v>9555.2167724999999</v>
      </c>
      <c r="I212">
        <f>H212*0.93</f>
        <v>8886.3515984250007</v>
      </c>
    </row>
    <row r="213" spans="1:9" x14ac:dyDescent="0.2">
      <c r="A213" s="225"/>
      <c r="B213" s="217"/>
      <c r="C213"/>
      <c r="D213" s="245"/>
      <c r="E213" s="245"/>
      <c r="F213" s="245"/>
      <c r="G213"/>
      <c r="H213" s="246"/>
    </row>
    <row r="214" spans="1:9" x14ac:dyDescent="0.2">
      <c r="A214" s="225" t="s">
        <v>570</v>
      </c>
      <c r="B214" s="217">
        <v>6411.02</v>
      </c>
      <c r="C214" s="218">
        <v>6411.02</v>
      </c>
      <c r="D214" s="245">
        <f t="shared" si="12"/>
        <v>6923.9016000000011</v>
      </c>
      <c r="E214" s="245">
        <f t="shared" si="13"/>
        <v>7010.4503700000005</v>
      </c>
      <c r="F214" s="245">
        <f t="shared" si="14"/>
        <v>7220.7638811000006</v>
      </c>
      <c r="G214"/>
      <c r="H214" s="246">
        <f t="shared" si="15"/>
        <v>6967.1759850000008</v>
      </c>
    </row>
    <row r="215" spans="1:9" x14ac:dyDescent="0.2">
      <c r="A215" s="225" t="s">
        <v>573</v>
      </c>
      <c r="B215" s="217">
        <v>6648.5</v>
      </c>
      <c r="C215" s="218">
        <v>6648.5</v>
      </c>
      <c r="D215" s="245">
        <f t="shared" si="12"/>
        <v>7180.38</v>
      </c>
      <c r="E215" s="245">
        <f t="shared" si="13"/>
        <v>7270.1347500000002</v>
      </c>
      <c r="F215" s="245">
        <f t="shared" si="14"/>
        <v>7488.2387925000003</v>
      </c>
      <c r="G215"/>
      <c r="H215" s="246">
        <f t="shared" si="15"/>
        <v>7225.2573750000001</v>
      </c>
    </row>
    <row r="216" spans="1:9" x14ac:dyDescent="0.2">
      <c r="A216" s="225" t="s">
        <v>576</v>
      </c>
      <c r="B216" s="217">
        <v>6894.03</v>
      </c>
      <c r="C216" s="218">
        <v>6894.03</v>
      </c>
      <c r="D216" s="245">
        <f t="shared" si="12"/>
        <v>7445.5524000000005</v>
      </c>
      <c r="E216" s="245">
        <f t="shared" si="13"/>
        <v>7538.6218049999998</v>
      </c>
      <c r="F216" s="245">
        <f t="shared" si="14"/>
        <v>7764.7804591499998</v>
      </c>
      <c r="G216"/>
      <c r="H216" s="246">
        <f t="shared" si="15"/>
        <v>7492.0871024999997</v>
      </c>
    </row>
    <row r="217" spans="1:9" x14ac:dyDescent="0.2">
      <c r="A217" s="225" t="s">
        <v>579</v>
      </c>
      <c r="B217" s="217">
        <v>7148.98</v>
      </c>
      <c r="C217" s="218">
        <v>7148.98</v>
      </c>
      <c r="D217" s="245">
        <f t="shared" si="12"/>
        <v>7720.8984</v>
      </c>
      <c r="E217" s="245">
        <f t="shared" si="13"/>
        <v>7817.4096300000001</v>
      </c>
      <c r="F217" s="245">
        <f t="shared" si="14"/>
        <v>8051.9319189000007</v>
      </c>
      <c r="G217"/>
      <c r="H217" s="246">
        <f t="shared" si="15"/>
        <v>7769.1540150000001</v>
      </c>
    </row>
    <row r="218" spans="1:9" x14ac:dyDescent="0.2">
      <c r="A218" s="225" t="s">
        <v>582</v>
      </c>
      <c r="B218" s="217">
        <v>7414.03</v>
      </c>
      <c r="C218" s="218">
        <v>7414.03</v>
      </c>
      <c r="D218" s="245">
        <f t="shared" si="12"/>
        <v>8007.1523999999999</v>
      </c>
      <c r="E218" s="245">
        <f t="shared" si="13"/>
        <v>8107.2418049999997</v>
      </c>
      <c r="F218" s="245">
        <f t="shared" si="14"/>
        <v>8350.45905915</v>
      </c>
      <c r="G218"/>
      <c r="H218" s="246">
        <f t="shared" si="15"/>
        <v>8057.1971025000003</v>
      </c>
    </row>
    <row r="219" spans="1:9" x14ac:dyDescent="0.2">
      <c r="A219" s="225" t="s">
        <v>585</v>
      </c>
      <c r="B219" s="217">
        <v>7687.85</v>
      </c>
      <c r="C219" s="218">
        <v>7687.85</v>
      </c>
      <c r="D219" s="245">
        <f t="shared" si="12"/>
        <v>8302.8780000000006</v>
      </c>
      <c r="E219" s="245">
        <f t="shared" si="13"/>
        <v>8406.6639749999995</v>
      </c>
      <c r="F219" s="245">
        <f t="shared" si="14"/>
        <v>8658.8638942500002</v>
      </c>
      <c r="G219"/>
      <c r="H219" s="246">
        <f t="shared" si="15"/>
        <v>8354.7709875</v>
      </c>
    </row>
    <row r="220" spans="1:9" x14ac:dyDescent="0.2">
      <c r="A220" s="225" t="s">
        <v>588</v>
      </c>
      <c r="B220" s="217">
        <v>7972.4</v>
      </c>
      <c r="C220" s="218">
        <v>7972.4</v>
      </c>
      <c r="D220" s="245">
        <f t="shared" si="12"/>
        <v>8610.1920000000009</v>
      </c>
      <c r="E220" s="245">
        <f t="shared" si="13"/>
        <v>8717.8194000000003</v>
      </c>
      <c r="F220" s="245">
        <f t="shared" si="14"/>
        <v>8979.3539820000005</v>
      </c>
      <c r="G220"/>
      <c r="H220" s="246">
        <f t="shared" si="15"/>
        <v>8664.0057000000015</v>
      </c>
    </row>
    <row r="221" spans="1:9" x14ac:dyDescent="0.2">
      <c r="A221" s="225" t="s">
        <v>591</v>
      </c>
      <c r="B221">
        <v>8267.74</v>
      </c>
      <c r="C221" s="19">
        <v>8267.74</v>
      </c>
      <c r="D221" s="245">
        <f t="shared" si="12"/>
        <v>8929.1592000000001</v>
      </c>
      <c r="E221" s="245">
        <f t="shared" si="13"/>
        <v>9040.77369</v>
      </c>
      <c r="F221" s="245">
        <f t="shared" si="14"/>
        <v>9311.9969007</v>
      </c>
      <c r="G221" s="19"/>
      <c r="H221" s="246">
        <f t="shared" si="15"/>
        <v>8984.966445</v>
      </c>
    </row>
    <row r="222" spans="1:9" x14ac:dyDescent="0.2">
      <c r="A222" s="225" t="s">
        <v>594</v>
      </c>
      <c r="B222">
        <v>8573.81</v>
      </c>
      <c r="C222" s="19">
        <v>8573.81</v>
      </c>
      <c r="D222" s="245">
        <f t="shared" si="12"/>
        <v>9259.7147999999997</v>
      </c>
      <c r="E222" s="245">
        <f t="shared" si="13"/>
        <v>9375.4612349999989</v>
      </c>
      <c r="F222" s="245">
        <f t="shared" si="14"/>
        <v>9656.7250720499997</v>
      </c>
      <c r="G222" s="19"/>
      <c r="H222" s="246">
        <f t="shared" si="15"/>
        <v>9317.5880174999984</v>
      </c>
    </row>
    <row r="223" spans="1:9" x14ac:dyDescent="0.2">
      <c r="A223" s="225" t="s">
        <v>597</v>
      </c>
      <c r="B223">
        <v>8890.66</v>
      </c>
      <c r="C223" s="19">
        <v>8890.66</v>
      </c>
      <c r="D223" s="245">
        <f t="shared" si="12"/>
        <v>9601.9128000000001</v>
      </c>
      <c r="E223" s="245">
        <f t="shared" si="13"/>
        <v>9721.9367099999999</v>
      </c>
      <c r="F223" s="245">
        <f t="shared" si="14"/>
        <v>10013.594811299999</v>
      </c>
      <c r="G223" s="19"/>
      <c r="H223" s="246">
        <f t="shared" si="15"/>
        <v>9661.924755</v>
      </c>
    </row>
    <row r="224" spans="1:9" x14ac:dyDescent="0.2">
      <c r="A224" s="225" t="s">
        <v>600</v>
      </c>
      <c r="B224">
        <v>9219.6200000000008</v>
      </c>
      <c r="C224" s="19">
        <v>9219.6200000000008</v>
      </c>
      <c r="D224" s="245">
        <f t="shared" si="12"/>
        <v>9957.1896000000015</v>
      </c>
      <c r="E224" s="245">
        <f t="shared" si="13"/>
        <v>10081.654470000001</v>
      </c>
      <c r="F224" s="245">
        <f t="shared" si="14"/>
        <v>10384.104104100001</v>
      </c>
      <c r="G224" s="19"/>
      <c r="H224" s="246">
        <f t="shared" si="15"/>
        <v>10019.422035000001</v>
      </c>
    </row>
    <row r="225" spans="1:9" x14ac:dyDescent="0.2">
      <c r="A225" s="225" t="s">
        <v>602</v>
      </c>
      <c r="B225">
        <v>9560.7000000000007</v>
      </c>
      <c r="C225" s="19">
        <v>9560.7000000000007</v>
      </c>
      <c r="D225" s="245">
        <f t="shared" si="12"/>
        <v>10325.556000000002</v>
      </c>
      <c r="E225" s="245">
        <f t="shared" si="13"/>
        <v>10454.625450000001</v>
      </c>
      <c r="F225" s="245">
        <f t="shared" si="14"/>
        <v>10768.264213500002</v>
      </c>
      <c r="G225" s="19"/>
      <c r="H225" s="246">
        <f t="shared" si="15"/>
        <v>10390.090725000002</v>
      </c>
    </row>
    <row r="226" spans="1:9" x14ac:dyDescent="0.2">
      <c r="A226" s="225" t="s">
        <v>1022</v>
      </c>
      <c r="B226">
        <v>9914.5400000000009</v>
      </c>
      <c r="C226" s="19">
        <v>9914.5400000000009</v>
      </c>
      <c r="D226" s="245">
        <f t="shared" si="12"/>
        <v>10707.703200000002</v>
      </c>
      <c r="E226" s="245">
        <f t="shared" si="13"/>
        <v>10841.549490000001</v>
      </c>
      <c r="F226" s="245">
        <f t="shared" si="14"/>
        <v>11166.795974700002</v>
      </c>
      <c r="G226" s="19"/>
      <c r="H226" s="246">
        <f t="shared" si="15"/>
        <v>10774.626345000001</v>
      </c>
    </row>
    <row r="227" spans="1:9" x14ac:dyDescent="0.2">
      <c r="A227" s="225" t="s">
        <v>1023</v>
      </c>
      <c r="B227">
        <v>10281.16</v>
      </c>
      <c r="C227" s="19">
        <v>10281.16</v>
      </c>
      <c r="D227" s="245">
        <f t="shared" si="12"/>
        <v>11103.6528</v>
      </c>
      <c r="E227" s="245">
        <f t="shared" si="13"/>
        <v>11242.44846</v>
      </c>
      <c r="F227" s="245">
        <f t="shared" si="14"/>
        <v>11579.7219138</v>
      </c>
      <c r="G227" s="19"/>
      <c r="H227" s="246">
        <f t="shared" si="15"/>
        <v>11173.05063</v>
      </c>
      <c r="I227">
        <f>H227*0.93</f>
        <v>10390.937085900001</v>
      </c>
    </row>
  </sheetData>
  <phoneticPr fontId="9" type="noConversion"/>
  <hyperlinks>
    <hyperlink ref="B1" r:id="rId1" display="https://www.jeugdzorg-werkt.nl/sites/fcb_jeugdzorg/files/2023-05/Salarisschalen-Cao-Jeugdzorg-2021-2023-mei 2023.pdf" xr:uid="{35966C93-7795-4545-9022-07D177745448}"/>
    <hyperlink ref="C1" r:id="rId2" display="https://www.jeugdzorg-werkt.nl/sites/fcb_jeugdzorg/files/2023-05/Salarisschalen-Cao-Jeugdzorg-2021-2023-mei 2023.pdf" xr:uid="{F4533910-6EA2-4125-8C30-E67AF02573B3}"/>
    <hyperlink ref="D1" r:id="rId3" location=":~:text=Jeugdzorg%20Nederland%20heeft%20met%20de,afgesproken%20tot%20ruim%2012%20procent." display="https://www.jeugdzorgnederland.nl/actueel/akkoord-over-jeugdzorg-cao/ - :~:text=Jeugdzorg%20Nederland%20heeft%20met%20de,afgesproken%20tot%20ruim%2012%20procent." xr:uid="{D2A16B86-CAA6-47CA-A849-770AFE56F4E3}"/>
    <hyperlink ref="E1" r:id="rId4" location=":~:text=Jeugdzorg%20Nederland%20heeft%20met%20de,afgesproken%20tot%20ruim%2012%20procent." display="https://www.jeugdzorgnederland.nl/actueel/akkoord-over-jeugdzorg-cao/ - :~:text=Jeugdzorg%20Nederland%20heeft%20met%20de,afgesproken%20tot%20ruim%2012%20procent." xr:uid="{C9099957-FEBF-4F5D-A0C3-3330C425B970}"/>
    <hyperlink ref="F1" r:id="rId5" location=":~:text=Jeugdzorg%20Nederland%20heeft%20met%20de,afgesproken%20tot%20ruim%2012%20procent." display="https://www.jeugdzorgnederland.nl/actueel/akkoord-over-jeugdzorg-cao/ - :~:text=Jeugdzorg%20Nederland%20heeft%20met%20de,afgesproken%20tot%20ruim%2012%20procent." xr:uid="{AA115D46-9763-414A-9EFE-9FB2C21D1D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3661-4E22-4A6F-B044-A4824E084D14}">
  <sheetPr>
    <tabColor theme="6" tint="0.79998168889431442"/>
  </sheetPr>
  <dimension ref="A1:L227"/>
  <sheetViews>
    <sheetView workbookViewId="0">
      <pane ySplit="3" topLeftCell="A218" activePane="bottomLeft" state="frozen"/>
      <selection activeCell="H45" sqref="H45"/>
      <selection pane="bottomLeft" activeCell="H45" sqref="H45"/>
    </sheetView>
  </sheetViews>
  <sheetFormatPr defaultRowHeight="12" x14ac:dyDescent="0.2"/>
  <cols>
    <col min="1" max="1" width="8.85546875" style="225"/>
    <col min="2" max="3" width="10.7109375" customWidth="1"/>
    <col min="4" max="4" width="10.7109375" style="217" customWidth="1"/>
    <col min="5" max="8" width="10.7109375" customWidth="1"/>
    <col min="10" max="10" width="11.42578125" customWidth="1"/>
  </cols>
  <sheetData>
    <row r="1" spans="1:12" x14ac:dyDescent="0.2">
      <c r="A1" s="235" t="s">
        <v>1031</v>
      </c>
      <c r="B1" s="207" t="s">
        <v>1043</v>
      </c>
      <c r="C1" s="207" t="s">
        <v>1044</v>
      </c>
      <c r="D1" s="207" t="s">
        <v>1043</v>
      </c>
      <c r="E1" s="207" t="s">
        <v>1045</v>
      </c>
      <c r="F1" s="236" t="s">
        <v>1045</v>
      </c>
      <c r="G1" s="236" t="s">
        <v>1045</v>
      </c>
      <c r="H1" s="236" t="s">
        <v>1045</v>
      </c>
      <c r="I1" t="s">
        <v>1034</v>
      </c>
      <c r="J1" s="232"/>
    </row>
    <row r="2" spans="1:12" x14ac:dyDescent="0.2">
      <c r="A2" s="235" t="s">
        <v>1046</v>
      </c>
      <c r="B2" s="210"/>
      <c r="C2" s="210"/>
      <c r="D2" s="209"/>
      <c r="E2" s="209"/>
      <c r="F2" s="210"/>
      <c r="G2" s="210"/>
      <c r="H2" s="210"/>
      <c r="J2" s="232"/>
    </row>
    <row r="3" spans="1:12" ht="24" x14ac:dyDescent="0.2">
      <c r="B3" s="237">
        <v>44348</v>
      </c>
      <c r="C3" s="237">
        <v>44682</v>
      </c>
      <c r="D3" s="238">
        <v>45047</v>
      </c>
      <c r="E3" s="238">
        <v>45170</v>
      </c>
      <c r="F3" s="237">
        <v>45261</v>
      </c>
      <c r="G3" s="237">
        <v>45444</v>
      </c>
      <c r="H3" s="237">
        <v>45627</v>
      </c>
      <c r="J3" s="233" t="s">
        <v>1027</v>
      </c>
    </row>
    <row r="4" spans="1:12" x14ac:dyDescent="0.2">
      <c r="A4" s="225" t="s">
        <v>499</v>
      </c>
      <c r="B4" s="220">
        <v>1601</v>
      </c>
      <c r="C4" s="239">
        <v>1686</v>
      </c>
      <c r="D4" s="220">
        <v>1740</v>
      </c>
      <c r="E4" s="220">
        <v>1820</v>
      </c>
      <c r="F4" s="220">
        <v>1900</v>
      </c>
      <c r="G4" s="220">
        <v>1955</v>
      </c>
      <c r="H4" s="220">
        <v>2010</v>
      </c>
      <c r="J4" s="234">
        <f>F4*5/12+G4*6/12+H4*1/12</f>
        <v>1936.6666666666665</v>
      </c>
    </row>
    <row r="5" spans="1:12" x14ac:dyDescent="0.2">
      <c r="A5" s="225" t="s">
        <v>503</v>
      </c>
      <c r="B5" s="220">
        <v>1630</v>
      </c>
      <c r="C5" s="239">
        <v>1715</v>
      </c>
      <c r="D5" s="220">
        <v>1770</v>
      </c>
      <c r="E5" s="220">
        <v>1850</v>
      </c>
      <c r="F5" s="220">
        <v>1930</v>
      </c>
      <c r="G5" s="220">
        <v>1985</v>
      </c>
      <c r="H5" s="220">
        <v>2040</v>
      </c>
      <c r="J5" s="234">
        <f t="shared" ref="J5:J68" si="0">F5*5/12+G5*6/12+H5*1/12</f>
        <v>1966.6666666666665</v>
      </c>
    </row>
    <row r="6" spans="1:12" x14ac:dyDescent="0.2">
      <c r="A6" s="225" t="s">
        <v>507</v>
      </c>
      <c r="B6" s="220">
        <v>1660</v>
      </c>
      <c r="C6" s="239">
        <v>1745</v>
      </c>
      <c r="D6" s="220">
        <v>1801</v>
      </c>
      <c r="E6" s="220">
        <v>1881</v>
      </c>
      <c r="F6" s="220">
        <v>1961</v>
      </c>
      <c r="G6" s="220">
        <v>2016</v>
      </c>
      <c r="H6" s="220">
        <v>2071</v>
      </c>
      <c r="J6" s="234">
        <f t="shared" si="0"/>
        <v>1997.6666666666667</v>
      </c>
    </row>
    <row r="7" spans="1:12" x14ac:dyDescent="0.2">
      <c r="A7" s="225" t="s">
        <v>511</v>
      </c>
      <c r="B7" s="220">
        <v>1724</v>
      </c>
      <c r="C7" s="239">
        <v>1809</v>
      </c>
      <c r="D7" s="220">
        <v>1867</v>
      </c>
      <c r="E7" s="220">
        <v>1947</v>
      </c>
      <c r="F7" s="220">
        <v>2027</v>
      </c>
      <c r="G7" s="220">
        <v>2082</v>
      </c>
      <c r="H7" s="220">
        <v>2137</v>
      </c>
      <c r="J7" s="234">
        <f t="shared" si="0"/>
        <v>2063.666666666667</v>
      </c>
    </row>
    <row r="8" spans="1:12" x14ac:dyDescent="0.2">
      <c r="A8" s="225" t="s">
        <v>515</v>
      </c>
      <c r="B8" s="220">
        <v>1788</v>
      </c>
      <c r="C8" s="239">
        <v>1873</v>
      </c>
      <c r="D8" s="220">
        <v>1933</v>
      </c>
      <c r="E8" s="220">
        <v>2013</v>
      </c>
      <c r="F8" s="220">
        <v>2093</v>
      </c>
      <c r="G8" s="220">
        <v>2148</v>
      </c>
      <c r="H8" s="220">
        <v>2203</v>
      </c>
      <c r="J8" s="234">
        <f t="shared" si="0"/>
        <v>2129.666666666667</v>
      </c>
    </row>
    <row r="9" spans="1:12" x14ac:dyDescent="0.2">
      <c r="A9" s="225" t="s">
        <v>519</v>
      </c>
      <c r="B9" s="220">
        <v>1821</v>
      </c>
      <c r="C9" s="239">
        <v>1906</v>
      </c>
      <c r="D9" s="220">
        <v>1967</v>
      </c>
      <c r="E9" s="220">
        <v>2047</v>
      </c>
      <c r="F9" s="220">
        <v>2127</v>
      </c>
      <c r="G9" s="220">
        <v>2182</v>
      </c>
      <c r="H9" s="220">
        <v>2237</v>
      </c>
      <c r="J9" s="234">
        <f t="shared" si="0"/>
        <v>2163.6666666666665</v>
      </c>
    </row>
    <row r="10" spans="1:12" x14ac:dyDescent="0.2">
      <c r="A10" s="225" t="s">
        <v>523</v>
      </c>
      <c r="B10" s="220">
        <v>1872</v>
      </c>
      <c r="C10" s="239">
        <v>1957</v>
      </c>
      <c r="D10" s="220">
        <v>2020</v>
      </c>
      <c r="E10" s="220">
        <v>2100</v>
      </c>
      <c r="F10" s="220">
        <v>2180</v>
      </c>
      <c r="G10" s="220">
        <v>2235</v>
      </c>
      <c r="H10" s="220">
        <v>2290</v>
      </c>
      <c r="J10" s="234">
        <f t="shared" si="0"/>
        <v>2216.666666666667</v>
      </c>
    </row>
    <row r="11" spans="1:12" x14ac:dyDescent="0.2">
      <c r="A11" s="225" t="s">
        <v>527</v>
      </c>
      <c r="B11" s="220">
        <v>1920</v>
      </c>
      <c r="C11" s="239">
        <v>2005</v>
      </c>
      <c r="D11" s="220">
        <v>2069</v>
      </c>
      <c r="E11" s="220">
        <v>2149</v>
      </c>
      <c r="F11" s="220">
        <v>2229</v>
      </c>
      <c r="G11" s="220">
        <v>2284</v>
      </c>
      <c r="H11" s="220">
        <v>2339</v>
      </c>
      <c r="J11" s="234">
        <f t="shared" si="0"/>
        <v>2265.6666666666665</v>
      </c>
    </row>
    <row r="12" spans="1:12" x14ac:dyDescent="0.2">
      <c r="A12" s="225" t="s">
        <v>530</v>
      </c>
      <c r="B12" s="220">
        <v>1969</v>
      </c>
      <c r="C12" s="239">
        <v>2054</v>
      </c>
      <c r="D12" s="220">
        <v>2120</v>
      </c>
      <c r="E12" s="220">
        <v>2200</v>
      </c>
      <c r="F12" s="220">
        <v>2280</v>
      </c>
      <c r="G12" s="220">
        <v>2335</v>
      </c>
      <c r="H12" s="220">
        <v>2390</v>
      </c>
      <c r="J12" s="234">
        <f t="shared" si="0"/>
        <v>2316.6666666666665</v>
      </c>
    </row>
    <row r="13" spans="1:12" x14ac:dyDescent="0.2">
      <c r="A13" s="225" t="s">
        <v>533</v>
      </c>
      <c r="B13" s="220">
        <v>2025</v>
      </c>
      <c r="C13" s="239">
        <v>2110</v>
      </c>
      <c r="D13" s="220">
        <v>2178</v>
      </c>
      <c r="E13" s="220">
        <v>2258</v>
      </c>
      <c r="F13" s="220">
        <v>2338</v>
      </c>
      <c r="G13" s="220">
        <v>2393</v>
      </c>
      <c r="H13" s="220">
        <v>2448</v>
      </c>
      <c r="J13" s="234">
        <f t="shared" si="0"/>
        <v>2374.6666666666665</v>
      </c>
    </row>
    <row r="14" spans="1:12" x14ac:dyDescent="0.2">
      <c r="B14" s="169"/>
      <c r="E14" s="226"/>
      <c r="F14" s="226"/>
      <c r="G14" s="226"/>
      <c r="H14" s="226"/>
      <c r="J14" s="234"/>
    </row>
    <row r="15" spans="1:12" x14ac:dyDescent="0.2">
      <c r="A15" s="225" t="s">
        <v>498</v>
      </c>
      <c r="B15" s="220">
        <v>1630</v>
      </c>
      <c r="C15" s="240">
        <v>1715</v>
      </c>
      <c r="D15" s="220">
        <v>1770</v>
      </c>
      <c r="E15" s="220">
        <v>1850</v>
      </c>
      <c r="F15" s="220">
        <v>1930</v>
      </c>
      <c r="G15" s="220">
        <v>1985</v>
      </c>
      <c r="H15" s="220">
        <v>2040</v>
      </c>
      <c r="J15" s="234">
        <f t="shared" si="0"/>
        <v>1966.6666666666665</v>
      </c>
      <c r="L15" s="241"/>
    </row>
    <row r="16" spans="1:12" x14ac:dyDescent="0.2">
      <c r="A16" s="225" t="s">
        <v>502</v>
      </c>
      <c r="B16" s="220">
        <v>1660</v>
      </c>
      <c r="C16" s="240">
        <v>1745</v>
      </c>
      <c r="D16" s="220">
        <v>1801</v>
      </c>
      <c r="E16" s="220">
        <v>1881</v>
      </c>
      <c r="F16" s="220">
        <v>1961</v>
      </c>
      <c r="G16" s="220">
        <v>2016</v>
      </c>
      <c r="H16" s="220">
        <v>2071</v>
      </c>
      <c r="J16" s="234">
        <f t="shared" si="0"/>
        <v>1997.6666666666667</v>
      </c>
      <c r="L16" s="241"/>
    </row>
    <row r="17" spans="1:12" x14ac:dyDescent="0.2">
      <c r="A17" s="225" t="s">
        <v>506</v>
      </c>
      <c r="B17" s="220">
        <v>1724</v>
      </c>
      <c r="C17" s="240">
        <v>1809</v>
      </c>
      <c r="D17" s="220">
        <v>1867</v>
      </c>
      <c r="E17" s="220">
        <v>1947</v>
      </c>
      <c r="F17" s="220">
        <v>2027</v>
      </c>
      <c r="G17" s="220">
        <v>2082</v>
      </c>
      <c r="H17" s="220">
        <v>2137</v>
      </c>
      <c r="J17" s="234">
        <f t="shared" si="0"/>
        <v>2063.666666666667</v>
      </c>
      <c r="L17" s="241"/>
    </row>
    <row r="18" spans="1:12" x14ac:dyDescent="0.2">
      <c r="A18" s="225" t="s">
        <v>510</v>
      </c>
      <c r="B18" s="220">
        <v>1788</v>
      </c>
      <c r="C18" s="240">
        <v>1873</v>
      </c>
      <c r="D18" s="220">
        <v>1933</v>
      </c>
      <c r="E18" s="220">
        <v>2013</v>
      </c>
      <c r="F18" s="220">
        <v>2093</v>
      </c>
      <c r="G18" s="220">
        <v>2148</v>
      </c>
      <c r="H18" s="220">
        <v>2203</v>
      </c>
      <c r="J18" s="234">
        <f t="shared" si="0"/>
        <v>2129.666666666667</v>
      </c>
      <c r="L18" s="241"/>
    </row>
    <row r="19" spans="1:12" x14ac:dyDescent="0.2">
      <c r="A19" s="225" t="s">
        <v>514</v>
      </c>
      <c r="B19" s="220">
        <v>1821</v>
      </c>
      <c r="C19" s="240">
        <v>1906</v>
      </c>
      <c r="D19" s="220">
        <v>1967</v>
      </c>
      <c r="E19" s="220">
        <v>2047</v>
      </c>
      <c r="F19" s="220">
        <v>2127</v>
      </c>
      <c r="G19" s="220">
        <v>2182</v>
      </c>
      <c r="H19" s="220">
        <v>2237</v>
      </c>
      <c r="J19" s="234">
        <f t="shared" si="0"/>
        <v>2163.6666666666665</v>
      </c>
      <c r="L19" s="241"/>
    </row>
    <row r="20" spans="1:12" x14ac:dyDescent="0.2">
      <c r="A20" s="225" t="s">
        <v>518</v>
      </c>
      <c r="B20" s="220">
        <v>1872</v>
      </c>
      <c r="C20" s="240">
        <v>1957</v>
      </c>
      <c r="D20" s="220">
        <v>2020</v>
      </c>
      <c r="E20" s="220">
        <v>2100</v>
      </c>
      <c r="F20" s="220">
        <v>2180</v>
      </c>
      <c r="G20" s="220">
        <v>2235</v>
      </c>
      <c r="H20" s="220">
        <v>2290</v>
      </c>
      <c r="J20" s="234">
        <f t="shared" si="0"/>
        <v>2216.666666666667</v>
      </c>
      <c r="L20" s="241"/>
    </row>
    <row r="21" spans="1:12" x14ac:dyDescent="0.2">
      <c r="A21" s="225" t="s">
        <v>522</v>
      </c>
      <c r="B21" s="220">
        <v>1920</v>
      </c>
      <c r="C21" s="240">
        <v>2005</v>
      </c>
      <c r="D21" s="220">
        <v>2069</v>
      </c>
      <c r="E21" s="220">
        <v>2149</v>
      </c>
      <c r="F21" s="220">
        <v>2229</v>
      </c>
      <c r="G21" s="220">
        <v>2284</v>
      </c>
      <c r="H21" s="220">
        <v>2339</v>
      </c>
      <c r="J21" s="234">
        <f t="shared" si="0"/>
        <v>2265.6666666666665</v>
      </c>
      <c r="L21" s="241"/>
    </row>
    <row r="22" spans="1:12" x14ac:dyDescent="0.2">
      <c r="A22" s="225" t="s">
        <v>526</v>
      </c>
      <c r="B22" s="220">
        <v>1969</v>
      </c>
      <c r="C22" s="240">
        <v>2054</v>
      </c>
      <c r="D22" s="220">
        <v>2120</v>
      </c>
      <c r="E22" s="220">
        <v>2200</v>
      </c>
      <c r="F22" s="220">
        <v>2280</v>
      </c>
      <c r="G22" s="220">
        <v>2335</v>
      </c>
      <c r="H22" s="220">
        <v>2390</v>
      </c>
      <c r="J22" s="234">
        <f t="shared" si="0"/>
        <v>2316.6666666666665</v>
      </c>
      <c r="L22" s="241"/>
    </row>
    <row r="23" spans="1:12" x14ac:dyDescent="0.2">
      <c r="A23" s="225" t="s">
        <v>26</v>
      </c>
      <c r="B23" s="220">
        <v>2025</v>
      </c>
      <c r="C23" s="240">
        <v>2110</v>
      </c>
      <c r="D23" s="220">
        <v>2178</v>
      </c>
      <c r="E23" s="220">
        <v>2258</v>
      </c>
      <c r="F23" s="220">
        <v>2338</v>
      </c>
      <c r="G23" s="220">
        <v>2393</v>
      </c>
      <c r="H23" s="220">
        <v>2448</v>
      </c>
      <c r="J23" s="234">
        <f t="shared" si="0"/>
        <v>2374.6666666666665</v>
      </c>
      <c r="L23" s="241"/>
    </row>
    <row r="24" spans="1:12" x14ac:dyDescent="0.2">
      <c r="A24" s="225" t="s">
        <v>566</v>
      </c>
      <c r="B24" s="220">
        <v>2087</v>
      </c>
      <c r="C24" s="240">
        <v>2172</v>
      </c>
      <c r="D24" s="220">
        <v>2242</v>
      </c>
      <c r="E24" s="220">
        <v>2322</v>
      </c>
      <c r="F24" s="220">
        <v>2402</v>
      </c>
      <c r="G24" s="220">
        <v>2457</v>
      </c>
      <c r="H24" s="220">
        <v>2512</v>
      </c>
      <c r="J24" s="234">
        <f t="shared" si="0"/>
        <v>2438.666666666667</v>
      </c>
      <c r="L24" s="241"/>
    </row>
    <row r="25" spans="1:12" x14ac:dyDescent="0.2">
      <c r="A25" s="225" t="s">
        <v>567</v>
      </c>
      <c r="B25" s="220">
        <v>2151</v>
      </c>
      <c r="C25" s="240">
        <v>2236</v>
      </c>
      <c r="D25" s="220">
        <v>2308</v>
      </c>
      <c r="E25" s="220">
        <v>2388</v>
      </c>
      <c r="F25" s="220">
        <v>2468</v>
      </c>
      <c r="G25" s="220">
        <v>2523</v>
      </c>
      <c r="H25" s="220">
        <v>2578</v>
      </c>
      <c r="J25" s="234">
        <f t="shared" si="0"/>
        <v>2504.6666666666665</v>
      </c>
      <c r="L25" s="241"/>
    </row>
    <row r="26" spans="1:12" x14ac:dyDescent="0.2">
      <c r="B26" s="169"/>
      <c r="E26" s="226"/>
      <c r="F26" s="226"/>
      <c r="G26" s="226"/>
      <c r="H26" s="226"/>
      <c r="J26" s="234"/>
      <c r="L26" s="241"/>
    </row>
    <row r="27" spans="1:12" x14ac:dyDescent="0.2">
      <c r="A27" s="225" t="s">
        <v>536</v>
      </c>
      <c r="B27" s="220">
        <v>1660</v>
      </c>
      <c r="C27" s="240">
        <v>1745</v>
      </c>
      <c r="D27" s="217">
        <v>1801</v>
      </c>
      <c r="E27" s="220">
        <v>1881</v>
      </c>
      <c r="F27" s="220">
        <v>1961</v>
      </c>
      <c r="G27" s="220">
        <v>2016</v>
      </c>
      <c r="H27" s="220">
        <v>2071</v>
      </c>
      <c r="J27" s="234">
        <f t="shared" si="0"/>
        <v>1997.6666666666667</v>
      </c>
    </row>
    <row r="28" spans="1:12" x14ac:dyDescent="0.2">
      <c r="A28" s="225" t="s">
        <v>539</v>
      </c>
      <c r="B28" s="220">
        <v>1724</v>
      </c>
      <c r="C28" s="240">
        <v>1809</v>
      </c>
      <c r="D28" s="217">
        <v>1867</v>
      </c>
      <c r="E28" s="220">
        <v>1947</v>
      </c>
      <c r="F28" s="220">
        <v>2027</v>
      </c>
      <c r="G28" s="220">
        <v>2082</v>
      </c>
      <c r="H28" s="220">
        <v>2137</v>
      </c>
      <c r="J28" s="234">
        <f t="shared" si="0"/>
        <v>2063.666666666667</v>
      </c>
    </row>
    <row r="29" spans="1:12" x14ac:dyDescent="0.2">
      <c r="A29" s="225" t="s">
        <v>542</v>
      </c>
      <c r="B29" s="220">
        <v>1788</v>
      </c>
      <c r="C29" s="240">
        <v>1873</v>
      </c>
      <c r="D29" s="217">
        <v>1933</v>
      </c>
      <c r="E29" s="220">
        <v>2013</v>
      </c>
      <c r="F29" s="220">
        <v>2093</v>
      </c>
      <c r="G29" s="220">
        <v>2148</v>
      </c>
      <c r="H29" s="220">
        <v>2203</v>
      </c>
      <c r="J29" s="234">
        <f t="shared" si="0"/>
        <v>2129.666666666667</v>
      </c>
    </row>
    <row r="30" spans="1:12" x14ac:dyDescent="0.2">
      <c r="A30" s="225" t="s">
        <v>545</v>
      </c>
      <c r="B30" s="220">
        <v>1821</v>
      </c>
      <c r="C30" s="240">
        <v>1906</v>
      </c>
      <c r="D30" s="217">
        <v>1967</v>
      </c>
      <c r="E30" s="220">
        <v>2047</v>
      </c>
      <c r="F30" s="220">
        <v>2127</v>
      </c>
      <c r="G30" s="220">
        <v>2182</v>
      </c>
      <c r="H30" s="220">
        <v>2237</v>
      </c>
      <c r="J30" s="234">
        <f t="shared" si="0"/>
        <v>2163.6666666666665</v>
      </c>
    </row>
    <row r="31" spans="1:12" x14ac:dyDescent="0.2">
      <c r="A31" s="225" t="s">
        <v>548</v>
      </c>
      <c r="B31" s="220">
        <v>1872</v>
      </c>
      <c r="C31" s="240">
        <v>1957</v>
      </c>
      <c r="D31" s="217">
        <v>2020</v>
      </c>
      <c r="E31" s="220">
        <v>2100</v>
      </c>
      <c r="F31" s="220">
        <v>2180</v>
      </c>
      <c r="G31" s="220">
        <v>2235</v>
      </c>
      <c r="H31" s="220">
        <v>2290</v>
      </c>
      <c r="J31" s="234">
        <f t="shared" si="0"/>
        <v>2216.666666666667</v>
      </c>
    </row>
    <row r="32" spans="1:12" x14ac:dyDescent="0.2">
      <c r="A32" s="225" t="s">
        <v>551</v>
      </c>
      <c r="B32" s="220">
        <v>1920</v>
      </c>
      <c r="C32" s="240">
        <v>2005</v>
      </c>
      <c r="D32" s="217">
        <v>2069</v>
      </c>
      <c r="E32" s="220">
        <v>2149</v>
      </c>
      <c r="F32" s="220">
        <v>2229</v>
      </c>
      <c r="G32" s="220">
        <v>2284</v>
      </c>
      <c r="H32" s="220">
        <v>2339</v>
      </c>
      <c r="J32" s="234">
        <f t="shared" si="0"/>
        <v>2265.6666666666665</v>
      </c>
    </row>
    <row r="33" spans="1:10" x14ac:dyDescent="0.2">
      <c r="A33" s="225" t="s">
        <v>554</v>
      </c>
      <c r="B33" s="220">
        <v>1969</v>
      </c>
      <c r="C33" s="240">
        <v>2054</v>
      </c>
      <c r="D33" s="217">
        <v>2120</v>
      </c>
      <c r="E33" s="220">
        <v>2200</v>
      </c>
      <c r="F33" s="220">
        <v>2280</v>
      </c>
      <c r="G33" s="220">
        <v>2335</v>
      </c>
      <c r="H33" s="220">
        <v>2390</v>
      </c>
      <c r="J33" s="234">
        <f t="shared" si="0"/>
        <v>2316.6666666666665</v>
      </c>
    </row>
    <row r="34" spans="1:10" x14ac:dyDescent="0.2">
      <c r="A34" s="225" t="s">
        <v>557</v>
      </c>
      <c r="B34" s="220">
        <v>2025</v>
      </c>
      <c r="C34" s="240">
        <v>2110</v>
      </c>
      <c r="D34" s="217">
        <v>2178</v>
      </c>
      <c r="E34" s="220">
        <v>2258</v>
      </c>
      <c r="F34" s="220">
        <v>2338</v>
      </c>
      <c r="G34" s="220">
        <v>2393</v>
      </c>
      <c r="H34" s="220">
        <v>2448</v>
      </c>
      <c r="J34" s="234">
        <f t="shared" si="0"/>
        <v>2374.6666666666665</v>
      </c>
    </row>
    <row r="35" spans="1:10" x14ac:dyDescent="0.2">
      <c r="A35" s="225" t="s">
        <v>560</v>
      </c>
      <c r="B35" s="220">
        <v>2087</v>
      </c>
      <c r="C35" s="240">
        <v>2172</v>
      </c>
      <c r="D35" s="217">
        <v>2242</v>
      </c>
      <c r="E35" s="220">
        <v>2322</v>
      </c>
      <c r="F35" s="220">
        <v>2402</v>
      </c>
      <c r="G35" s="220">
        <v>2457</v>
      </c>
      <c r="H35" s="220">
        <v>2512</v>
      </c>
      <c r="J35" s="234">
        <f t="shared" si="0"/>
        <v>2438.666666666667</v>
      </c>
    </row>
    <row r="36" spans="1:10" x14ac:dyDescent="0.2">
      <c r="A36" s="225" t="s">
        <v>563</v>
      </c>
      <c r="B36" s="220">
        <v>2151</v>
      </c>
      <c r="C36" s="240">
        <v>2236</v>
      </c>
      <c r="D36" s="217">
        <v>2308</v>
      </c>
      <c r="E36" s="220">
        <v>2388</v>
      </c>
      <c r="F36" s="220">
        <v>2468</v>
      </c>
      <c r="G36" s="220">
        <v>2523</v>
      </c>
      <c r="H36" s="220">
        <v>2578</v>
      </c>
      <c r="J36" s="234">
        <f t="shared" si="0"/>
        <v>2504.6666666666665</v>
      </c>
    </row>
    <row r="37" spans="1:10" x14ac:dyDescent="0.2">
      <c r="A37" s="225" t="s">
        <v>600</v>
      </c>
      <c r="B37" s="220">
        <v>2222</v>
      </c>
      <c r="C37" s="240">
        <v>2307</v>
      </c>
      <c r="D37" s="217">
        <v>2381</v>
      </c>
      <c r="E37" s="220">
        <v>2461</v>
      </c>
      <c r="F37" s="220">
        <v>2541</v>
      </c>
      <c r="G37" s="220">
        <v>2596</v>
      </c>
      <c r="H37" s="220">
        <v>2651</v>
      </c>
      <c r="J37" s="234">
        <f t="shared" si="0"/>
        <v>2577.6666666666665</v>
      </c>
    </row>
    <row r="38" spans="1:10" x14ac:dyDescent="0.2">
      <c r="A38" s="225" t="s">
        <v>602</v>
      </c>
      <c r="B38" s="220">
        <v>2296</v>
      </c>
      <c r="C38" s="240">
        <v>2381</v>
      </c>
      <c r="D38" s="217">
        <v>2457</v>
      </c>
      <c r="E38" s="220">
        <v>2537</v>
      </c>
      <c r="F38" s="220">
        <v>2617</v>
      </c>
      <c r="G38" s="220">
        <v>2672</v>
      </c>
      <c r="H38" s="220">
        <v>2727</v>
      </c>
      <c r="J38" s="234">
        <f t="shared" si="0"/>
        <v>2653.666666666667</v>
      </c>
    </row>
    <row r="39" spans="1:10" x14ac:dyDescent="0.2">
      <c r="B39" s="169"/>
      <c r="E39" s="226"/>
      <c r="F39" s="226"/>
      <c r="G39" s="226"/>
      <c r="H39" s="226"/>
      <c r="J39" s="234"/>
    </row>
    <row r="40" spans="1:10" x14ac:dyDescent="0.2">
      <c r="A40" s="225" t="s">
        <v>569</v>
      </c>
      <c r="B40" s="220">
        <v>1724</v>
      </c>
      <c r="C40" s="240">
        <v>1809</v>
      </c>
      <c r="D40" s="220">
        <v>1867</v>
      </c>
      <c r="E40" s="220">
        <v>1947</v>
      </c>
      <c r="F40" s="220">
        <v>2027</v>
      </c>
      <c r="G40" s="220">
        <v>2082</v>
      </c>
      <c r="H40" s="220">
        <v>2137</v>
      </c>
      <c r="J40" s="234">
        <f t="shared" si="0"/>
        <v>2063.666666666667</v>
      </c>
    </row>
    <row r="41" spans="1:10" x14ac:dyDescent="0.2">
      <c r="A41" s="225" t="s">
        <v>572</v>
      </c>
      <c r="B41" s="220">
        <v>1821</v>
      </c>
      <c r="C41" s="240">
        <v>1906</v>
      </c>
      <c r="D41" s="220">
        <v>1967</v>
      </c>
      <c r="E41" s="220">
        <v>2047</v>
      </c>
      <c r="F41" s="220">
        <v>2127</v>
      </c>
      <c r="G41" s="220">
        <v>2182</v>
      </c>
      <c r="H41" s="220">
        <v>2237</v>
      </c>
      <c r="J41" s="234">
        <f t="shared" si="0"/>
        <v>2163.6666666666665</v>
      </c>
    </row>
    <row r="42" spans="1:10" x14ac:dyDescent="0.2">
      <c r="A42" s="225" t="s">
        <v>575</v>
      </c>
      <c r="B42" s="220">
        <v>1872</v>
      </c>
      <c r="C42" s="240">
        <v>1957</v>
      </c>
      <c r="D42" s="220">
        <v>2020</v>
      </c>
      <c r="E42" s="220">
        <v>2100</v>
      </c>
      <c r="F42" s="220">
        <v>2180</v>
      </c>
      <c r="G42" s="220">
        <v>2235</v>
      </c>
      <c r="H42" s="220">
        <v>2290</v>
      </c>
      <c r="J42" s="234">
        <f t="shared" si="0"/>
        <v>2216.666666666667</v>
      </c>
    </row>
    <row r="43" spans="1:10" x14ac:dyDescent="0.2">
      <c r="A43" s="225" t="s">
        <v>578</v>
      </c>
      <c r="B43" s="220">
        <v>1920</v>
      </c>
      <c r="C43" s="240">
        <v>2005</v>
      </c>
      <c r="D43" s="220">
        <v>2069</v>
      </c>
      <c r="E43" s="220">
        <v>2149</v>
      </c>
      <c r="F43" s="220">
        <v>2229</v>
      </c>
      <c r="G43" s="220">
        <v>2284</v>
      </c>
      <c r="H43" s="220">
        <v>2339</v>
      </c>
      <c r="J43" s="234">
        <f t="shared" si="0"/>
        <v>2265.6666666666665</v>
      </c>
    </row>
    <row r="44" spans="1:10" x14ac:dyDescent="0.2">
      <c r="A44" s="225" t="s">
        <v>581</v>
      </c>
      <c r="B44" s="220">
        <v>1969</v>
      </c>
      <c r="C44" s="240">
        <v>2054</v>
      </c>
      <c r="D44" s="220">
        <v>2120</v>
      </c>
      <c r="E44" s="220">
        <v>2200</v>
      </c>
      <c r="F44" s="220">
        <v>2280</v>
      </c>
      <c r="G44" s="220">
        <v>2335</v>
      </c>
      <c r="H44" s="220">
        <v>2390</v>
      </c>
      <c r="J44" s="234">
        <f t="shared" si="0"/>
        <v>2316.6666666666665</v>
      </c>
    </row>
    <row r="45" spans="1:10" x14ac:dyDescent="0.2">
      <c r="A45" s="225" t="s">
        <v>584</v>
      </c>
      <c r="B45" s="220">
        <v>2025</v>
      </c>
      <c r="C45" s="240">
        <v>2110</v>
      </c>
      <c r="D45" s="220">
        <v>2178</v>
      </c>
      <c r="E45" s="220">
        <v>2258</v>
      </c>
      <c r="F45" s="220">
        <v>2338</v>
      </c>
      <c r="G45" s="220">
        <v>2393</v>
      </c>
      <c r="H45" s="220">
        <v>2448</v>
      </c>
      <c r="J45" s="234">
        <f t="shared" si="0"/>
        <v>2374.6666666666665</v>
      </c>
    </row>
    <row r="46" spans="1:10" x14ac:dyDescent="0.2">
      <c r="A46" s="225" t="s">
        <v>587</v>
      </c>
      <c r="B46" s="220">
        <v>2087</v>
      </c>
      <c r="C46" s="240">
        <v>2172</v>
      </c>
      <c r="D46" s="220">
        <v>2242</v>
      </c>
      <c r="E46" s="220">
        <v>2322</v>
      </c>
      <c r="F46" s="220">
        <v>2402</v>
      </c>
      <c r="G46" s="220">
        <v>2457</v>
      </c>
      <c r="H46" s="220">
        <v>2512</v>
      </c>
      <c r="J46" s="234">
        <f t="shared" si="0"/>
        <v>2438.666666666667</v>
      </c>
    </row>
    <row r="47" spans="1:10" x14ac:dyDescent="0.2">
      <c r="A47" s="225" t="s">
        <v>590</v>
      </c>
      <c r="B47" s="220">
        <v>2151</v>
      </c>
      <c r="C47" s="240">
        <v>2236</v>
      </c>
      <c r="D47" s="220">
        <v>2308</v>
      </c>
      <c r="E47" s="220">
        <v>2388</v>
      </c>
      <c r="F47" s="220">
        <v>2468</v>
      </c>
      <c r="G47" s="220">
        <v>2523</v>
      </c>
      <c r="H47" s="220">
        <v>2578</v>
      </c>
      <c r="J47" s="234">
        <f t="shared" si="0"/>
        <v>2504.6666666666665</v>
      </c>
    </row>
    <row r="48" spans="1:10" x14ac:dyDescent="0.2">
      <c r="A48" s="225" t="s">
        <v>593</v>
      </c>
      <c r="B48" s="220">
        <v>2222</v>
      </c>
      <c r="C48" s="240">
        <v>2307</v>
      </c>
      <c r="D48" s="220">
        <v>2381</v>
      </c>
      <c r="E48" s="220">
        <v>2461</v>
      </c>
      <c r="F48" s="220">
        <v>2541</v>
      </c>
      <c r="G48" s="220">
        <v>2596</v>
      </c>
      <c r="H48" s="220">
        <v>2651</v>
      </c>
      <c r="J48" s="234">
        <f t="shared" si="0"/>
        <v>2577.6666666666665</v>
      </c>
    </row>
    <row r="49" spans="1:10" x14ac:dyDescent="0.2">
      <c r="A49" s="225" t="s">
        <v>596</v>
      </c>
      <c r="B49" s="220">
        <v>2296</v>
      </c>
      <c r="C49" s="240">
        <v>2381</v>
      </c>
      <c r="D49" s="220">
        <v>2457</v>
      </c>
      <c r="E49" s="220">
        <v>2537</v>
      </c>
      <c r="F49" s="220">
        <v>2617</v>
      </c>
      <c r="G49" s="220">
        <v>2672</v>
      </c>
      <c r="H49" s="220">
        <v>2727</v>
      </c>
      <c r="J49" s="234">
        <f t="shared" si="0"/>
        <v>2653.666666666667</v>
      </c>
    </row>
    <row r="50" spans="1:10" x14ac:dyDescent="0.2">
      <c r="A50" s="225" t="s">
        <v>599</v>
      </c>
      <c r="B50" s="220">
        <v>2363</v>
      </c>
      <c r="C50" s="240">
        <v>2448</v>
      </c>
      <c r="D50" s="220">
        <v>2526</v>
      </c>
      <c r="E50" s="220">
        <v>2606</v>
      </c>
      <c r="F50" s="220">
        <v>2686</v>
      </c>
      <c r="G50" s="220">
        <v>2741</v>
      </c>
      <c r="H50" s="220">
        <v>2796</v>
      </c>
      <c r="J50" s="234">
        <f t="shared" si="0"/>
        <v>2722.666666666667</v>
      </c>
    </row>
    <row r="51" spans="1:10" x14ac:dyDescent="0.2">
      <c r="A51" s="225" t="s">
        <v>636</v>
      </c>
      <c r="B51" s="220">
        <v>2439</v>
      </c>
      <c r="C51" s="240">
        <v>2524</v>
      </c>
      <c r="D51" s="220">
        <v>2605</v>
      </c>
      <c r="E51" s="220">
        <v>2685</v>
      </c>
      <c r="F51" s="220">
        <v>2766</v>
      </c>
      <c r="G51" s="220">
        <v>2821</v>
      </c>
      <c r="H51" s="220">
        <v>2877</v>
      </c>
      <c r="J51" s="234">
        <f t="shared" si="0"/>
        <v>2802.75</v>
      </c>
    </row>
    <row r="52" spans="1:10" x14ac:dyDescent="0.2">
      <c r="B52" s="169"/>
      <c r="E52" s="226"/>
      <c r="F52" s="226"/>
      <c r="G52" s="226"/>
      <c r="H52" s="226"/>
      <c r="J52" s="234"/>
    </row>
    <row r="53" spans="1:10" x14ac:dyDescent="0.2">
      <c r="A53" s="225" t="s">
        <v>604</v>
      </c>
      <c r="B53" s="220">
        <v>1788</v>
      </c>
      <c r="C53" s="239">
        <v>1873</v>
      </c>
      <c r="D53" s="220">
        <v>1933</v>
      </c>
      <c r="E53" s="220">
        <v>2013</v>
      </c>
      <c r="F53" s="220">
        <v>2093</v>
      </c>
      <c r="G53" s="220">
        <v>2148</v>
      </c>
      <c r="H53" s="220">
        <v>2203</v>
      </c>
      <c r="J53" s="234">
        <f t="shared" si="0"/>
        <v>2129.666666666667</v>
      </c>
    </row>
    <row r="54" spans="1:10" x14ac:dyDescent="0.2">
      <c r="A54" s="225" t="s">
        <v>607</v>
      </c>
      <c r="B54" s="220">
        <v>1872</v>
      </c>
      <c r="C54" s="239">
        <v>1957</v>
      </c>
      <c r="D54" s="220">
        <v>2020</v>
      </c>
      <c r="E54" s="220">
        <v>2100</v>
      </c>
      <c r="F54" s="220">
        <v>2180</v>
      </c>
      <c r="G54" s="220">
        <v>2235</v>
      </c>
      <c r="H54" s="220">
        <v>2290</v>
      </c>
      <c r="J54" s="234">
        <f t="shared" si="0"/>
        <v>2216.666666666667</v>
      </c>
    </row>
    <row r="55" spans="1:10" x14ac:dyDescent="0.2">
      <c r="A55" s="225" t="s">
        <v>610</v>
      </c>
      <c r="B55" s="220">
        <v>1969</v>
      </c>
      <c r="C55" s="239">
        <v>2054</v>
      </c>
      <c r="D55" s="220">
        <v>2120</v>
      </c>
      <c r="E55" s="220">
        <v>2200</v>
      </c>
      <c r="F55" s="220">
        <v>2280</v>
      </c>
      <c r="G55" s="220">
        <v>2335</v>
      </c>
      <c r="H55" s="220">
        <v>2390</v>
      </c>
      <c r="J55" s="234">
        <f t="shared" si="0"/>
        <v>2316.6666666666665</v>
      </c>
    </row>
    <row r="56" spans="1:10" x14ac:dyDescent="0.2">
      <c r="A56" s="225" t="s">
        <v>613</v>
      </c>
      <c r="B56" s="220">
        <v>2025</v>
      </c>
      <c r="C56" s="239">
        <v>2110</v>
      </c>
      <c r="D56" s="220">
        <v>2178</v>
      </c>
      <c r="E56" s="220">
        <v>2258</v>
      </c>
      <c r="F56" s="220">
        <v>2338</v>
      </c>
      <c r="G56" s="220">
        <v>2393</v>
      </c>
      <c r="H56" s="220">
        <v>2448</v>
      </c>
      <c r="J56" s="234">
        <f t="shared" si="0"/>
        <v>2374.6666666666665</v>
      </c>
    </row>
    <row r="57" spans="1:10" x14ac:dyDescent="0.2">
      <c r="A57" s="225" t="s">
        <v>616</v>
      </c>
      <c r="B57" s="220">
        <v>2087</v>
      </c>
      <c r="C57" s="239">
        <v>2172</v>
      </c>
      <c r="D57" s="220">
        <v>2242</v>
      </c>
      <c r="E57" s="220">
        <v>2322</v>
      </c>
      <c r="F57" s="220">
        <v>2402</v>
      </c>
      <c r="G57" s="220">
        <v>2457</v>
      </c>
      <c r="H57" s="220">
        <v>2512</v>
      </c>
      <c r="J57" s="234">
        <f t="shared" si="0"/>
        <v>2438.666666666667</v>
      </c>
    </row>
    <row r="58" spans="1:10" x14ac:dyDescent="0.2">
      <c r="A58" s="225" t="s">
        <v>619</v>
      </c>
      <c r="B58" s="220">
        <v>2151</v>
      </c>
      <c r="C58" s="239">
        <v>2236</v>
      </c>
      <c r="D58" s="220">
        <v>2308</v>
      </c>
      <c r="E58" s="220">
        <v>2388</v>
      </c>
      <c r="F58" s="220">
        <v>2468</v>
      </c>
      <c r="G58" s="220">
        <v>2523</v>
      </c>
      <c r="H58" s="220">
        <v>2578</v>
      </c>
      <c r="J58" s="234">
        <f t="shared" si="0"/>
        <v>2504.6666666666665</v>
      </c>
    </row>
    <row r="59" spans="1:10" x14ac:dyDescent="0.2">
      <c r="A59" s="225" t="s">
        <v>622</v>
      </c>
      <c r="B59" s="220">
        <v>2222</v>
      </c>
      <c r="C59" s="239">
        <v>2307</v>
      </c>
      <c r="D59" s="220">
        <v>2381</v>
      </c>
      <c r="E59" s="220">
        <v>2461</v>
      </c>
      <c r="F59" s="220">
        <v>2541</v>
      </c>
      <c r="G59" s="220">
        <v>2596</v>
      </c>
      <c r="H59" s="220">
        <v>2651</v>
      </c>
      <c r="J59" s="234">
        <f t="shared" si="0"/>
        <v>2577.6666666666665</v>
      </c>
    </row>
    <row r="60" spans="1:10" x14ac:dyDescent="0.2">
      <c r="A60" s="225" t="s">
        <v>625</v>
      </c>
      <c r="B60" s="220">
        <v>2296</v>
      </c>
      <c r="C60" s="239">
        <v>2381</v>
      </c>
      <c r="D60" s="220">
        <v>2457</v>
      </c>
      <c r="E60" s="220">
        <v>2537</v>
      </c>
      <c r="F60" s="220">
        <v>2617</v>
      </c>
      <c r="G60" s="220">
        <v>2672</v>
      </c>
      <c r="H60" s="220">
        <v>2727</v>
      </c>
      <c r="J60" s="234">
        <f t="shared" si="0"/>
        <v>2653.666666666667</v>
      </c>
    </row>
    <row r="61" spans="1:10" x14ac:dyDescent="0.2">
      <c r="A61" s="225" t="s">
        <v>628</v>
      </c>
      <c r="B61" s="220">
        <v>2363</v>
      </c>
      <c r="C61" s="239">
        <v>2448</v>
      </c>
      <c r="D61" s="220">
        <v>2526</v>
      </c>
      <c r="E61" s="220">
        <v>2606</v>
      </c>
      <c r="F61" s="220">
        <v>2686</v>
      </c>
      <c r="G61" s="220">
        <v>2741</v>
      </c>
      <c r="H61" s="220">
        <v>2796</v>
      </c>
      <c r="J61" s="234">
        <f t="shared" si="0"/>
        <v>2722.666666666667</v>
      </c>
    </row>
    <row r="62" spans="1:10" x14ac:dyDescent="0.2">
      <c r="A62" s="225" t="s">
        <v>631</v>
      </c>
      <c r="B62" s="220">
        <v>2439</v>
      </c>
      <c r="C62" s="239">
        <v>2524</v>
      </c>
      <c r="D62" s="220">
        <v>2605</v>
      </c>
      <c r="E62" s="220">
        <v>2685</v>
      </c>
      <c r="F62" s="220">
        <v>2766</v>
      </c>
      <c r="G62" s="220">
        <v>2821</v>
      </c>
      <c r="H62" s="220">
        <v>2877</v>
      </c>
      <c r="J62" s="234">
        <f t="shared" si="0"/>
        <v>2802.75</v>
      </c>
    </row>
    <row r="63" spans="1:10" x14ac:dyDescent="0.2">
      <c r="A63" s="225" t="s">
        <v>634</v>
      </c>
      <c r="B63" s="220">
        <v>2501</v>
      </c>
      <c r="C63" s="239">
        <v>2586</v>
      </c>
      <c r="D63" s="220">
        <v>2669</v>
      </c>
      <c r="E63" s="220">
        <v>2749</v>
      </c>
      <c r="F63" s="220">
        <v>2831</v>
      </c>
      <c r="G63" s="220">
        <v>2888</v>
      </c>
      <c r="H63" s="220">
        <v>2946</v>
      </c>
      <c r="J63" s="234">
        <f t="shared" si="0"/>
        <v>2869.083333333333</v>
      </c>
    </row>
    <row r="64" spans="1:10" x14ac:dyDescent="0.2">
      <c r="A64" s="225" t="s">
        <v>27</v>
      </c>
      <c r="B64" s="220">
        <v>2574</v>
      </c>
      <c r="C64" s="239">
        <v>2659</v>
      </c>
      <c r="D64" s="220">
        <v>2744</v>
      </c>
      <c r="E64" s="220">
        <v>2826</v>
      </c>
      <c r="F64" s="220">
        <v>2911</v>
      </c>
      <c r="G64" s="220">
        <v>2969</v>
      </c>
      <c r="H64" s="220">
        <v>3028</v>
      </c>
      <c r="J64" s="234">
        <f t="shared" si="0"/>
        <v>2949.7500000000005</v>
      </c>
    </row>
    <row r="65" spans="1:10" x14ac:dyDescent="0.2">
      <c r="B65" s="169"/>
      <c r="E65" s="226"/>
      <c r="F65" s="226"/>
      <c r="G65" s="226"/>
      <c r="H65" s="226"/>
      <c r="J65" s="234"/>
    </row>
    <row r="66" spans="1:10" x14ac:dyDescent="0.2">
      <c r="A66" s="242" t="s">
        <v>638</v>
      </c>
      <c r="B66" s="243">
        <v>1821</v>
      </c>
      <c r="C66" s="239">
        <v>1906</v>
      </c>
      <c r="D66" s="220">
        <v>1967</v>
      </c>
      <c r="E66" s="220">
        <v>2047</v>
      </c>
      <c r="F66" s="220">
        <v>2127</v>
      </c>
      <c r="G66" s="220">
        <v>2182</v>
      </c>
      <c r="H66" s="220">
        <v>2237</v>
      </c>
      <c r="J66" s="234">
        <f t="shared" si="0"/>
        <v>2163.6666666666665</v>
      </c>
    </row>
    <row r="67" spans="1:10" x14ac:dyDescent="0.2">
      <c r="A67" s="242" t="s">
        <v>641</v>
      </c>
      <c r="B67" s="243">
        <v>1920</v>
      </c>
      <c r="C67" s="239">
        <v>2005</v>
      </c>
      <c r="D67" s="220">
        <v>2069</v>
      </c>
      <c r="E67" s="220">
        <v>2149</v>
      </c>
      <c r="F67" s="220">
        <v>2229</v>
      </c>
      <c r="G67" s="220">
        <v>2284</v>
      </c>
      <c r="H67" s="220">
        <v>2339</v>
      </c>
      <c r="J67" s="234">
        <f t="shared" si="0"/>
        <v>2265.6666666666665</v>
      </c>
    </row>
    <row r="68" spans="1:10" x14ac:dyDescent="0.2">
      <c r="A68" s="242" t="s">
        <v>644</v>
      </c>
      <c r="B68" s="243">
        <v>2025</v>
      </c>
      <c r="C68" s="239">
        <v>2110</v>
      </c>
      <c r="D68" s="220">
        <v>2178</v>
      </c>
      <c r="E68" s="220">
        <v>2258</v>
      </c>
      <c r="F68" s="220">
        <v>2338</v>
      </c>
      <c r="G68" s="220">
        <v>2393</v>
      </c>
      <c r="H68" s="220">
        <v>2448</v>
      </c>
      <c r="J68" s="234">
        <f t="shared" si="0"/>
        <v>2374.6666666666665</v>
      </c>
    </row>
    <row r="69" spans="1:10" x14ac:dyDescent="0.2">
      <c r="A69" s="242" t="s">
        <v>647</v>
      </c>
      <c r="B69" s="243">
        <v>2151</v>
      </c>
      <c r="C69" s="239">
        <v>2236</v>
      </c>
      <c r="D69" s="220">
        <v>2308</v>
      </c>
      <c r="E69" s="220">
        <v>2388</v>
      </c>
      <c r="F69" s="220">
        <v>2468</v>
      </c>
      <c r="G69" s="220">
        <v>2523</v>
      </c>
      <c r="H69" s="220">
        <v>2578</v>
      </c>
      <c r="J69" s="234">
        <f t="shared" ref="J69:J131" si="1">F69*5/12+G69*6/12+H69*1/12</f>
        <v>2504.6666666666665</v>
      </c>
    </row>
    <row r="70" spans="1:10" x14ac:dyDescent="0.2">
      <c r="A70" s="242" t="s">
        <v>650</v>
      </c>
      <c r="B70" s="243">
        <v>2222</v>
      </c>
      <c r="C70" s="239">
        <v>2307</v>
      </c>
      <c r="D70" s="220">
        <v>2381</v>
      </c>
      <c r="E70" s="220">
        <v>2461</v>
      </c>
      <c r="F70" s="220">
        <v>2541</v>
      </c>
      <c r="G70" s="220">
        <v>2596</v>
      </c>
      <c r="H70" s="220">
        <v>2651</v>
      </c>
      <c r="J70" s="234">
        <f t="shared" si="1"/>
        <v>2577.6666666666665</v>
      </c>
    </row>
    <row r="71" spans="1:10" x14ac:dyDescent="0.2">
      <c r="A71" s="242" t="s">
        <v>653</v>
      </c>
      <c r="B71" s="243">
        <v>2296</v>
      </c>
      <c r="C71" s="239">
        <v>2381</v>
      </c>
      <c r="D71" s="220">
        <v>2457</v>
      </c>
      <c r="E71" s="220">
        <v>2537</v>
      </c>
      <c r="F71" s="220">
        <v>2617</v>
      </c>
      <c r="G71" s="220">
        <v>2672</v>
      </c>
      <c r="H71" s="220">
        <v>2727</v>
      </c>
      <c r="J71" s="234">
        <f t="shared" si="1"/>
        <v>2653.666666666667</v>
      </c>
    </row>
    <row r="72" spans="1:10" x14ac:dyDescent="0.2">
      <c r="A72" s="242" t="s">
        <v>656</v>
      </c>
      <c r="B72" s="243">
        <v>2363</v>
      </c>
      <c r="C72" s="239">
        <v>2448</v>
      </c>
      <c r="D72" s="220">
        <v>2526</v>
      </c>
      <c r="E72" s="220">
        <v>2606</v>
      </c>
      <c r="F72" s="220">
        <v>2686</v>
      </c>
      <c r="G72" s="220">
        <v>2741</v>
      </c>
      <c r="H72" s="220">
        <v>2796</v>
      </c>
      <c r="J72" s="234">
        <f t="shared" si="1"/>
        <v>2722.666666666667</v>
      </c>
    </row>
    <row r="73" spans="1:10" x14ac:dyDescent="0.2">
      <c r="A73" s="242" t="s">
        <v>659</v>
      </c>
      <c r="B73" s="243">
        <v>2439</v>
      </c>
      <c r="C73" s="239">
        <v>2524</v>
      </c>
      <c r="D73" s="220">
        <v>2605</v>
      </c>
      <c r="E73" s="220">
        <v>2685</v>
      </c>
      <c r="F73" s="220">
        <v>2766</v>
      </c>
      <c r="G73" s="220">
        <v>2821</v>
      </c>
      <c r="H73" s="220">
        <v>2877</v>
      </c>
      <c r="J73" s="234">
        <f t="shared" si="1"/>
        <v>2802.75</v>
      </c>
    </row>
    <row r="74" spans="1:10" x14ac:dyDescent="0.2">
      <c r="A74" s="242" t="s">
        <v>662</v>
      </c>
      <c r="B74" s="243">
        <v>2501</v>
      </c>
      <c r="C74" s="239">
        <v>2586</v>
      </c>
      <c r="D74" s="220">
        <v>2669</v>
      </c>
      <c r="E74" s="220">
        <v>2749</v>
      </c>
      <c r="F74" s="220">
        <v>2831</v>
      </c>
      <c r="G74" s="220">
        <v>2888</v>
      </c>
      <c r="H74" s="220">
        <v>2946</v>
      </c>
      <c r="J74" s="234">
        <f t="shared" si="1"/>
        <v>2869.083333333333</v>
      </c>
    </row>
    <row r="75" spans="1:10" x14ac:dyDescent="0.2">
      <c r="A75" s="242" t="s">
        <v>665</v>
      </c>
      <c r="B75" s="243">
        <v>2574</v>
      </c>
      <c r="C75" s="239">
        <v>2659</v>
      </c>
      <c r="D75" s="220">
        <v>2744</v>
      </c>
      <c r="E75" s="220">
        <v>2826</v>
      </c>
      <c r="F75" s="220">
        <v>2911</v>
      </c>
      <c r="G75" s="220">
        <v>2969</v>
      </c>
      <c r="H75" s="220">
        <v>3028</v>
      </c>
      <c r="J75" s="234">
        <f t="shared" si="1"/>
        <v>2949.7500000000005</v>
      </c>
    </row>
    <row r="76" spans="1:10" x14ac:dyDescent="0.2">
      <c r="A76" s="242" t="s">
        <v>31</v>
      </c>
      <c r="B76" s="243">
        <v>2643</v>
      </c>
      <c r="C76" s="239">
        <v>2728</v>
      </c>
      <c r="D76" s="220">
        <v>2815</v>
      </c>
      <c r="E76" s="220">
        <v>2899</v>
      </c>
      <c r="F76" s="220">
        <v>2986</v>
      </c>
      <c r="G76" s="220">
        <v>3046</v>
      </c>
      <c r="H76" s="220">
        <v>3107</v>
      </c>
      <c r="J76" s="234">
        <f t="shared" si="1"/>
        <v>3026.0833333333335</v>
      </c>
    </row>
    <row r="77" spans="1:10" x14ac:dyDescent="0.2">
      <c r="A77" s="242" t="s">
        <v>33</v>
      </c>
      <c r="B77" s="243">
        <v>2716</v>
      </c>
      <c r="C77" s="239">
        <v>2801</v>
      </c>
      <c r="D77" s="220">
        <v>2891</v>
      </c>
      <c r="E77" s="220">
        <v>2978</v>
      </c>
      <c r="F77" s="220">
        <v>3067</v>
      </c>
      <c r="G77" s="220">
        <v>3128</v>
      </c>
      <c r="H77" s="220">
        <v>3191</v>
      </c>
      <c r="J77" s="234">
        <f t="shared" si="1"/>
        <v>3107.8333333333335</v>
      </c>
    </row>
    <row r="78" spans="1:10" x14ac:dyDescent="0.2">
      <c r="A78" s="242"/>
      <c r="B78" s="220"/>
      <c r="C78" s="220"/>
      <c r="D78" s="220"/>
      <c r="E78" s="226"/>
      <c r="F78" s="226"/>
      <c r="G78" s="226"/>
      <c r="H78" s="226"/>
      <c r="J78" s="234"/>
    </row>
    <row r="79" spans="1:10" x14ac:dyDescent="0.2">
      <c r="A79" s="242" t="s">
        <v>668</v>
      </c>
      <c r="B79" s="220">
        <v>1920</v>
      </c>
      <c r="C79" s="239">
        <v>2110</v>
      </c>
      <c r="D79" s="217">
        <v>2178</v>
      </c>
      <c r="E79" s="220">
        <v>2258</v>
      </c>
      <c r="F79" s="220">
        <v>2338</v>
      </c>
      <c r="G79" s="220">
        <v>2393</v>
      </c>
      <c r="H79" s="220">
        <v>2448</v>
      </c>
      <c r="J79" s="234">
        <f t="shared" si="1"/>
        <v>2374.6666666666665</v>
      </c>
    </row>
    <row r="80" spans="1:10" x14ac:dyDescent="0.2">
      <c r="A80" s="242" t="s">
        <v>670</v>
      </c>
      <c r="B80" s="220">
        <v>2025</v>
      </c>
      <c r="C80" s="239">
        <v>2236</v>
      </c>
      <c r="D80" s="217">
        <v>2308</v>
      </c>
      <c r="E80" s="220">
        <v>2388</v>
      </c>
      <c r="F80" s="220">
        <v>2468</v>
      </c>
      <c r="G80" s="220">
        <v>2523</v>
      </c>
      <c r="H80" s="220">
        <v>2578</v>
      </c>
      <c r="J80" s="234">
        <f t="shared" si="1"/>
        <v>2504.6666666666665</v>
      </c>
    </row>
    <row r="81" spans="1:10" x14ac:dyDescent="0.2">
      <c r="A81" s="242" t="s">
        <v>672</v>
      </c>
      <c r="B81" s="220">
        <v>2151</v>
      </c>
      <c r="C81" s="239">
        <v>2381</v>
      </c>
      <c r="D81" s="217">
        <v>2457</v>
      </c>
      <c r="E81" s="220">
        <v>2537</v>
      </c>
      <c r="F81" s="220">
        <v>2617</v>
      </c>
      <c r="G81" s="220">
        <v>2672</v>
      </c>
      <c r="H81" s="220">
        <v>2727</v>
      </c>
      <c r="J81" s="234">
        <f t="shared" si="1"/>
        <v>2653.666666666667</v>
      </c>
    </row>
    <row r="82" spans="1:10" x14ac:dyDescent="0.2">
      <c r="A82" s="242" t="s">
        <v>674</v>
      </c>
      <c r="B82" s="220">
        <v>2296</v>
      </c>
      <c r="C82" s="239">
        <v>2448</v>
      </c>
      <c r="D82" s="217">
        <v>2526</v>
      </c>
      <c r="E82" s="220">
        <v>2606</v>
      </c>
      <c r="F82" s="220">
        <v>2686</v>
      </c>
      <c r="G82" s="220">
        <v>2741</v>
      </c>
      <c r="H82" s="220">
        <v>2796</v>
      </c>
      <c r="J82" s="234">
        <f t="shared" si="1"/>
        <v>2722.666666666667</v>
      </c>
    </row>
    <row r="83" spans="1:10" x14ac:dyDescent="0.2">
      <c r="A83" s="242" t="s">
        <v>676</v>
      </c>
      <c r="B83" s="220">
        <v>2363</v>
      </c>
      <c r="C83" s="239">
        <v>2524</v>
      </c>
      <c r="D83" s="217">
        <v>2605</v>
      </c>
      <c r="E83" s="220">
        <v>2685</v>
      </c>
      <c r="F83" s="220">
        <v>2766</v>
      </c>
      <c r="G83" s="220">
        <v>2821</v>
      </c>
      <c r="H83" s="220">
        <v>2877</v>
      </c>
      <c r="J83" s="234">
        <f t="shared" si="1"/>
        <v>2802.75</v>
      </c>
    </row>
    <row r="84" spans="1:10" x14ac:dyDescent="0.2">
      <c r="A84" s="242" t="s">
        <v>678</v>
      </c>
      <c r="B84" s="220">
        <v>2439</v>
      </c>
      <c r="C84" s="239">
        <v>2586</v>
      </c>
      <c r="D84" s="217">
        <v>2669</v>
      </c>
      <c r="E84" s="220">
        <v>2749</v>
      </c>
      <c r="F84" s="220">
        <v>2831</v>
      </c>
      <c r="G84" s="220">
        <v>2888</v>
      </c>
      <c r="H84" s="220">
        <v>2946</v>
      </c>
      <c r="J84" s="234">
        <f t="shared" si="1"/>
        <v>2869.083333333333</v>
      </c>
    </row>
    <row r="85" spans="1:10" x14ac:dyDescent="0.2">
      <c r="A85" s="242" t="s">
        <v>680</v>
      </c>
      <c r="B85" s="220">
        <v>2501</v>
      </c>
      <c r="C85" s="239">
        <v>2659</v>
      </c>
      <c r="D85" s="217">
        <v>2744</v>
      </c>
      <c r="E85" s="220">
        <v>2826</v>
      </c>
      <c r="F85" s="220">
        <v>2911</v>
      </c>
      <c r="G85" s="220">
        <v>2969</v>
      </c>
      <c r="H85" s="220">
        <v>3028</v>
      </c>
      <c r="J85" s="234">
        <f t="shared" si="1"/>
        <v>2949.7500000000005</v>
      </c>
    </row>
    <row r="86" spans="1:10" x14ac:dyDescent="0.2">
      <c r="A86" s="242" t="s">
        <v>682</v>
      </c>
      <c r="B86" s="220">
        <v>2574</v>
      </c>
      <c r="C86" s="239">
        <v>2728</v>
      </c>
      <c r="D86" s="217">
        <v>2815</v>
      </c>
      <c r="E86" s="220">
        <v>2899</v>
      </c>
      <c r="F86" s="220">
        <v>2986</v>
      </c>
      <c r="G86" s="220">
        <v>3046</v>
      </c>
      <c r="H86" s="220">
        <v>3107</v>
      </c>
      <c r="J86" s="234">
        <f t="shared" si="1"/>
        <v>3026.0833333333335</v>
      </c>
    </row>
    <row r="87" spans="1:10" x14ac:dyDescent="0.2">
      <c r="A87" s="242" t="s">
        <v>684</v>
      </c>
      <c r="B87" s="220">
        <v>2643</v>
      </c>
      <c r="C87" s="239">
        <v>2801</v>
      </c>
      <c r="D87" s="217">
        <v>2891</v>
      </c>
      <c r="E87" s="220">
        <v>2978</v>
      </c>
      <c r="F87" s="220">
        <v>3067</v>
      </c>
      <c r="G87" s="220">
        <v>3128</v>
      </c>
      <c r="H87" s="220">
        <v>3191</v>
      </c>
      <c r="J87" s="234">
        <f t="shared" si="1"/>
        <v>3107.8333333333335</v>
      </c>
    </row>
    <row r="88" spans="1:10" x14ac:dyDescent="0.2">
      <c r="A88" s="242" t="s">
        <v>687</v>
      </c>
      <c r="B88" s="220">
        <v>2716</v>
      </c>
      <c r="C88" s="239">
        <v>2869</v>
      </c>
      <c r="D88" s="217">
        <v>2961</v>
      </c>
      <c r="E88" s="220">
        <v>3050</v>
      </c>
      <c r="F88" s="220">
        <v>3142</v>
      </c>
      <c r="G88" s="220">
        <v>3205</v>
      </c>
      <c r="H88" s="220">
        <v>3269</v>
      </c>
      <c r="J88" s="234">
        <f t="shared" si="1"/>
        <v>3184.0833333333335</v>
      </c>
    </row>
    <row r="89" spans="1:10" x14ac:dyDescent="0.2">
      <c r="A89" s="242" t="s">
        <v>689</v>
      </c>
      <c r="B89" s="220">
        <v>2784</v>
      </c>
      <c r="C89" s="239">
        <v>2938</v>
      </c>
      <c r="D89" s="217">
        <v>3032</v>
      </c>
      <c r="E89" s="220">
        <v>3123</v>
      </c>
      <c r="F89" s="220">
        <v>3217</v>
      </c>
      <c r="G89" s="220">
        <v>3281</v>
      </c>
      <c r="H89" s="220">
        <v>3347</v>
      </c>
      <c r="J89" s="234">
        <f t="shared" si="1"/>
        <v>3259.8333333333335</v>
      </c>
    </row>
    <row r="90" spans="1:10" x14ac:dyDescent="0.2">
      <c r="A90" s="242" t="s">
        <v>34</v>
      </c>
      <c r="B90" s="220">
        <v>2853</v>
      </c>
      <c r="C90" s="239">
        <v>3009</v>
      </c>
      <c r="D90" s="217">
        <v>3105</v>
      </c>
      <c r="E90" s="220">
        <v>3198</v>
      </c>
      <c r="F90" s="220">
        <v>3294</v>
      </c>
      <c r="G90" s="220">
        <v>3360</v>
      </c>
      <c r="H90" s="220">
        <v>3427</v>
      </c>
      <c r="J90" s="234">
        <f t="shared" si="1"/>
        <v>3338.0833333333335</v>
      </c>
    </row>
    <row r="91" spans="1:10" x14ac:dyDescent="0.2">
      <c r="A91" s="242"/>
      <c r="B91" s="169"/>
      <c r="E91" s="226"/>
      <c r="F91" s="226"/>
      <c r="G91" s="226"/>
      <c r="H91" s="226"/>
      <c r="J91" s="234"/>
    </row>
    <row r="92" spans="1:10" x14ac:dyDescent="0.2">
      <c r="A92" s="242" t="s">
        <v>692</v>
      </c>
      <c r="B92" s="220">
        <v>2025</v>
      </c>
      <c r="C92" s="239">
        <v>2236</v>
      </c>
      <c r="D92" s="220">
        <v>2457</v>
      </c>
      <c r="E92" s="220">
        <v>2537</v>
      </c>
      <c r="F92" s="220">
        <v>2617</v>
      </c>
      <c r="G92" s="220">
        <v>2672</v>
      </c>
      <c r="H92" s="220">
        <v>2727</v>
      </c>
      <c r="J92" s="234">
        <f t="shared" si="1"/>
        <v>2653.666666666667</v>
      </c>
    </row>
    <row r="93" spans="1:10" x14ac:dyDescent="0.2">
      <c r="A93" s="242" t="s">
        <v>695</v>
      </c>
      <c r="B93" s="220">
        <v>2151</v>
      </c>
      <c r="C93" s="239">
        <v>2381</v>
      </c>
      <c r="D93" s="220">
        <v>2605</v>
      </c>
      <c r="E93" s="220">
        <v>2685</v>
      </c>
      <c r="F93" s="220">
        <v>2766</v>
      </c>
      <c r="G93" s="220">
        <v>2821</v>
      </c>
      <c r="H93" s="220">
        <v>2877</v>
      </c>
      <c r="J93" s="234">
        <f t="shared" si="1"/>
        <v>2802.75</v>
      </c>
    </row>
    <row r="94" spans="1:10" x14ac:dyDescent="0.2">
      <c r="A94" s="242" t="s">
        <v>698</v>
      </c>
      <c r="B94" s="220">
        <v>2296</v>
      </c>
      <c r="C94" s="239">
        <v>2524</v>
      </c>
      <c r="D94" s="220">
        <v>2669</v>
      </c>
      <c r="E94" s="220">
        <v>2749</v>
      </c>
      <c r="F94" s="220">
        <v>2831</v>
      </c>
      <c r="G94" s="220">
        <v>2888</v>
      </c>
      <c r="H94" s="220">
        <v>2946</v>
      </c>
      <c r="J94" s="234">
        <f t="shared" si="1"/>
        <v>2869.083333333333</v>
      </c>
    </row>
    <row r="95" spans="1:10" x14ac:dyDescent="0.2">
      <c r="A95" s="242" t="s">
        <v>701</v>
      </c>
      <c r="B95" s="220">
        <v>2439</v>
      </c>
      <c r="C95" s="239">
        <v>2586</v>
      </c>
      <c r="D95" s="220">
        <v>2744</v>
      </c>
      <c r="E95" s="220">
        <v>2826</v>
      </c>
      <c r="F95" s="220">
        <v>2911</v>
      </c>
      <c r="G95" s="220">
        <v>2969</v>
      </c>
      <c r="H95" s="220">
        <v>3028</v>
      </c>
      <c r="J95" s="234">
        <f t="shared" si="1"/>
        <v>2949.7500000000005</v>
      </c>
    </row>
    <row r="96" spans="1:10" x14ac:dyDescent="0.2">
      <c r="A96" s="242" t="s">
        <v>704</v>
      </c>
      <c r="B96" s="220">
        <v>2501</v>
      </c>
      <c r="C96" s="239">
        <v>2659</v>
      </c>
      <c r="D96" s="220">
        <v>2815</v>
      </c>
      <c r="E96" s="220">
        <v>2899</v>
      </c>
      <c r="F96" s="220">
        <v>2986</v>
      </c>
      <c r="G96" s="220">
        <v>3046</v>
      </c>
      <c r="H96" s="220">
        <v>3107</v>
      </c>
      <c r="J96" s="234">
        <f t="shared" si="1"/>
        <v>3026.0833333333335</v>
      </c>
    </row>
    <row r="97" spans="1:10" x14ac:dyDescent="0.2">
      <c r="A97" s="242" t="s">
        <v>707</v>
      </c>
      <c r="B97" s="220">
        <v>2574</v>
      </c>
      <c r="C97" s="239">
        <v>2728</v>
      </c>
      <c r="D97" s="220">
        <v>2891</v>
      </c>
      <c r="E97" s="220">
        <v>2978</v>
      </c>
      <c r="F97" s="220">
        <v>3067</v>
      </c>
      <c r="G97" s="220">
        <v>3128</v>
      </c>
      <c r="H97" s="220">
        <v>3191</v>
      </c>
      <c r="J97" s="234">
        <f t="shared" si="1"/>
        <v>3107.8333333333335</v>
      </c>
    </row>
    <row r="98" spans="1:10" x14ac:dyDescent="0.2">
      <c r="A98" s="242" t="s">
        <v>710</v>
      </c>
      <c r="B98" s="220">
        <v>2643</v>
      </c>
      <c r="C98" s="239">
        <v>2801</v>
      </c>
      <c r="D98" s="220">
        <v>2961</v>
      </c>
      <c r="E98" s="220">
        <v>3050</v>
      </c>
      <c r="F98" s="220">
        <v>3142</v>
      </c>
      <c r="G98" s="220">
        <v>3205</v>
      </c>
      <c r="H98" s="220">
        <v>3269</v>
      </c>
      <c r="J98" s="234">
        <f t="shared" si="1"/>
        <v>3184.0833333333335</v>
      </c>
    </row>
    <row r="99" spans="1:10" x14ac:dyDescent="0.2">
      <c r="A99" s="242" t="s">
        <v>713</v>
      </c>
      <c r="B99" s="220">
        <v>2716</v>
      </c>
      <c r="C99" s="239">
        <v>2869</v>
      </c>
      <c r="D99" s="220">
        <v>3032</v>
      </c>
      <c r="E99" s="220">
        <v>3123</v>
      </c>
      <c r="F99" s="220">
        <v>3217</v>
      </c>
      <c r="G99" s="220">
        <v>3281</v>
      </c>
      <c r="H99" s="220">
        <v>3347</v>
      </c>
      <c r="J99" s="234">
        <f t="shared" si="1"/>
        <v>3259.8333333333335</v>
      </c>
    </row>
    <row r="100" spans="1:10" x14ac:dyDescent="0.2">
      <c r="A100" s="242" t="s">
        <v>716</v>
      </c>
      <c r="B100" s="220">
        <v>2784</v>
      </c>
      <c r="C100" s="239">
        <v>2938</v>
      </c>
      <c r="D100" s="220">
        <v>3105</v>
      </c>
      <c r="E100" s="220">
        <v>3198</v>
      </c>
      <c r="F100" s="220">
        <v>3294</v>
      </c>
      <c r="G100" s="220">
        <v>3360</v>
      </c>
      <c r="H100" s="220">
        <v>3427</v>
      </c>
      <c r="J100" s="234">
        <f t="shared" si="1"/>
        <v>3338.0833333333335</v>
      </c>
    </row>
    <row r="101" spans="1:10" x14ac:dyDescent="0.2">
      <c r="A101" s="242" t="s">
        <v>719</v>
      </c>
      <c r="B101" s="220">
        <v>2853</v>
      </c>
      <c r="C101" s="239">
        <v>3009</v>
      </c>
      <c r="D101" s="220">
        <v>3176</v>
      </c>
      <c r="E101" s="220">
        <v>3271</v>
      </c>
      <c r="F101" s="220">
        <v>3369</v>
      </c>
      <c r="G101" s="220">
        <v>3436</v>
      </c>
      <c r="H101" s="220">
        <v>3505</v>
      </c>
      <c r="J101" s="234">
        <f t="shared" si="1"/>
        <v>3413.8333333333335</v>
      </c>
    </row>
    <row r="102" spans="1:10" x14ac:dyDescent="0.2">
      <c r="A102" s="242" t="s">
        <v>722</v>
      </c>
      <c r="B102" s="220">
        <v>2924</v>
      </c>
      <c r="C102" s="239">
        <v>3078</v>
      </c>
      <c r="D102" s="220">
        <v>3255</v>
      </c>
      <c r="E102" s="220">
        <v>3353</v>
      </c>
      <c r="F102" s="220">
        <v>3454</v>
      </c>
      <c r="G102" s="220">
        <v>3523</v>
      </c>
      <c r="H102" s="220">
        <v>3593</v>
      </c>
      <c r="J102" s="234">
        <f t="shared" si="1"/>
        <v>3500.0833333333335</v>
      </c>
    </row>
    <row r="103" spans="1:10" x14ac:dyDescent="0.2">
      <c r="A103" s="242" t="s">
        <v>38</v>
      </c>
      <c r="B103" s="220">
        <v>2993</v>
      </c>
      <c r="C103" s="239">
        <v>3154</v>
      </c>
      <c r="D103" s="220">
        <v>3332</v>
      </c>
      <c r="E103" s="220">
        <v>3432</v>
      </c>
      <c r="F103" s="220">
        <v>3535</v>
      </c>
      <c r="G103" s="220">
        <v>3606</v>
      </c>
      <c r="H103" s="220">
        <v>3678</v>
      </c>
      <c r="J103" s="234">
        <f t="shared" si="1"/>
        <v>3582.416666666667</v>
      </c>
    </row>
    <row r="104" spans="1:10" x14ac:dyDescent="0.2">
      <c r="A104" s="242"/>
      <c r="B104" s="169"/>
      <c r="E104" s="226"/>
      <c r="F104" s="226"/>
      <c r="G104" s="226"/>
      <c r="H104" s="226"/>
      <c r="J104" s="234"/>
    </row>
    <row r="105" spans="1:10" x14ac:dyDescent="0.2">
      <c r="A105" s="242" t="s">
        <v>728</v>
      </c>
      <c r="B105" s="220">
        <v>2151</v>
      </c>
      <c r="C105" s="239">
        <v>2381</v>
      </c>
      <c r="D105" s="220">
        <v>2605</v>
      </c>
      <c r="E105" s="220">
        <v>2685</v>
      </c>
      <c r="F105" s="220">
        <v>2766</v>
      </c>
      <c r="G105" s="220">
        <v>2821</v>
      </c>
      <c r="H105" s="220">
        <v>2877</v>
      </c>
      <c r="J105" s="234">
        <f t="shared" si="1"/>
        <v>2802.75</v>
      </c>
    </row>
    <row r="106" spans="1:10" x14ac:dyDescent="0.2">
      <c r="A106" s="242" t="s">
        <v>731</v>
      </c>
      <c r="B106" s="220">
        <v>2296</v>
      </c>
      <c r="C106" s="239">
        <v>2524</v>
      </c>
      <c r="D106" s="220">
        <v>2744</v>
      </c>
      <c r="E106" s="220">
        <v>2826</v>
      </c>
      <c r="F106" s="220">
        <v>2911</v>
      </c>
      <c r="G106" s="220">
        <v>2969</v>
      </c>
      <c r="H106" s="220">
        <v>3028</v>
      </c>
      <c r="J106" s="234">
        <f t="shared" si="1"/>
        <v>2949.7500000000005</v>
      </c>
    </row>
    <row r="107" spans="1:10" x14ac:dyDescent="0.2">
      <c r="A107" s="242" t="s">
        <v>734</v>
      </c>
      <c r="B107" s="220">
        <v>2439</v>
      </c>
      <c r="C107" s="239">
        <v>2659</v>
      </c>
      <c r="D107" s="220">
        <v>2891</v>
      </c>
      <c r="E107" s="220">
        <v>2978</v>
      </c>
      <c r="F107" s="220">
        <v>3067</v>
      </c>
      <c r="G107" s="220">
        <v>3128</v>
      </c>
      <c r="H107" s="220">
        <v>3191</v>
      </c>
      <c r="J107" s="234">
        <f t="shared" si="1"/>
        <v>3107.8333333333335</v>
      </c>
    </row>
    <row r="108" spans="1:10" x14ac:dyDescent="0.2">
      <c r="A108" s="242" t="s">
        <v>737</v>
      </c>
      <c r="B108" s="220">
        <v>2574</v>
      </c>
      <c r="C108" s="239">
        <v>2801</v>
      </c>
      <c r="D108" s="220">
        <v>2961</v>
      </c>
      <c r="E108" s="220">
        <v>3050</v>
      </c>
      <c r="F108" s="220">
        <v>3142</v>
      </c>
      <c r="G108" s="220">
        <v>3205</v>
      </c>
      <c r="H108" s="220">
        <v>3269</v>
      </c>
      <c r="J108" s="234">
        <f t="shared" si="1"/>
        <v>3184.0833333333335</v>
      </c>
    </row>
    <row r="109" spans="1:10" x14ac:dyDescent="0.2">
      <c r="A109" s="242" t="s">
        <v>740</v>
      </c>
      <c r="B109" s="220">
        <v>2716</v>
      </c>
      <c r="C109" s="239">
        <v>2869</v>
      </c>
      <c r="D109" s="220">
        <v>3032</v>
      </c>
      <c r="E109" s="220">
        <v>3123</v>
      </c>
      <c r="F109" s="220">
        <v>3217</v>
      </c>
      <c r="G109" s="220">
        <v>3281</v>
      </c>
      <c r="H109" s="220">
        <v>3347</v>
      </c>
      <c r="J109" s="234">
        <f t="shared" si="1"/>
        <v>3259.8333333333335</v>
      </c>
    </row>
    <row r="110" spans="1:10" x14ac:dyDescent="0.2">
      <c r="A110" s="242" t="s">
        <v>743</v>
      </c>
      <c r="B110" s="220">
        <v>2784</v>
      </c>
      <c r="C110" s="239">
        <v>2938</v>
      </c>
      <c r="D110" s="220">
        <v>3105</v>
      </c>
      <c r="E110" s="220">
        <v>3198</v>
      </c>
      <c r="F110" s="220">
        <v>3294</v>
      </c>
      <c r="G110" s="220">
        <v>3360</v>
      </c>
      <c r="H110" s="220">
        <v>3427</v>
      </c>
      <c r="J110" s="234">
        <f t="shared" si="1"/>
        <v>3338.0833333333335</v>
      </c>
    </row>
    <row r="111" spans="1:10" x14ac:dyDescent="0.2">
      <c r="A111" s="242" t="s">
        <v>746</v>
      </c>
      <c r="B111" s="220">
        <v>2853</v>
      </c>
      <c r="C111" s="239">
        <v>3009</v>
      </c>
      <c r="D111" s="220">
        <v>3176</v>
      </c>
      <c r="E111" s="220">
        <v>3271</v>
      </c>
      <c r="F111" s="220">
        <v>3369</v>
      </c>
      <c r="G111" s="220">
        <v>3436</v>
      </c>
      <c r="H111" s="220">
        <v>3505</v>
      </c>
      <c r="J111" s="234">
        <f t="shared" si="1"/>
        <v>3413.8333333333335</v>
      </c>
    </row>
    <row r="112" spans="1:10" x14ac:dyDescent="0.2">
      <c r="A112" s="242" t="s">
        <v>749</v>
      </c>
      <c r="B112" s="220">
        <v>2924</v>
      </c>
      <c r="C112" s="239">
        <v>3078</v>
      </c>
      <c r="D112" s="220">
        <v>3255</v>
      </c>
      <c r="E112" s="220">
        <v>3353</v>
      </c>
      <c r="F112" s="220">
        <v>3454</v>
      </c>
      <c r="G112" s="220">
        <v>3523</v>
      </c>
      <c r="H112" s="220">
        <v>3593</v>
      </c>
      <c r="J112" s="234">
        <f t="shared" si="1"/>
        <v>3500.0833333333335</v>
      </c>
    </row>
    <row r="113" spans="1:10" x14ac:dyDescent="0.2">
      <c r="A113" s="242" t="s">
        <v>752</v>
      </c>
      <c r="B113" s="220">
        <v>2993</v>
      </c>
      <c r="C113" s="239">
        <v>3154</v>
      </c>
      <c r="D113" s="220">
        <v>3332</v>
      </c>
      <c r="E113" s="220">
        <v>3432</v>
      </c>
      <c r="F113" s="220">
        <v>3535</v>
      </c>
      <c r="G113" s="220">
        <v>3606</v>
      </c>
      <c r="H113" s="220">
        <v>3678</v>
      </c>
      <c r="J113" s="234">
        <f t="shared" si="1"/>
        <v>3582.416666666667</v>
      </c>
    </row>
    <row r="114" spans="1:10" x14ac:dyDescent="0.2">
      <c r="A114" s="242" t="s">
        <v>754</v>
      </c>
      <c r="B114" s="220">
        <v>3069</v>
      </c>
      <c r="C114" s="239">
        <v>3229</v>
      </c>
      <c r="D114" s="220">
        <v>3413</v>
      </c>
      <c r="E114" s="220">
        <v>3515</v>
      </c>
      <c r="F114" s="220">
        <v>3620</v>
      </c>
      <c r="G114" s="220">
        <v>3692</v>
      </c>
      <c r="H114" s="220">
        <v>3766</v>
      </c>
      <c r="J114" s="234">
        <f t="shared" si="1"/>
        <v>3668.1666666666665</v>
      </c>
    </row>
    <row r="115" spans="1:10" x14ac:dyDescent="0.2">
      <c r="A115" s="242" t="s">
        <v>756</v>
      </c>
      <c r="B115" s="220">
        <v>3144</v>
      </c>
      <c r="C115" s="239">
        <v>3307</v>
      </c>
      <c r="D115" s="220">
        <v>3482</v>
      </c>
      <c r="E115" s="220">
        <v>3586</v>
      </c>
      <c r="F115" s="220">
        <v>3694</v>
      </c>
      <c r="G115" s="220">
        <v>3768</v>
      </c>
      <c r="H115" s="220">
        <v>3843</v>
      </c>
      <c r="J115" s="234">
        <f t="shared" si="1"/>
        <v>3743.416666666667</v>
      </c>
    </row>
    <row r="116" spans="1:10" x14ac:dyDescent="0.2">
      <c r="A116" s="242" t="s">
        <v>758</v>
      </c>
      <c r="B116" s="220">
        <v>3222</v>
      </c>
      <c r="C116" s="239">
        <v>3374</v>
      </c>
      <c r="D116" s="220">
        <v>3562</v>
      </c>
      <c r="E116" s="220">
        <v>3669</v>
      </c>
      <c r="F116" s="220">
        <v>3779</v>
      </c>
      <c r="G116" s="220">
        <v>3855</v>
      </c>
      <c r="H116" s="220">
        <v>3932</v>
      </c>
      <c r="J116" s="234">
        <f t="shared" si="1"/>
        <v>3829.7499999999995</v>
      </c>
    </row>
    <row r="117" spans="1:10" x14ac:dyDescent="0.2">
      <c r="A117" s="242" t="s">
        <v>32</v>
      </c>
      <c r="B117" s="220">
        <v>3289</v>
      </c>
      <c r="C117" s="239">
        <v>3452</v>
      </c>
      <c r="D117" s="220">
        <v>3640</v>
      </c>
      <c r="E117" s="220">
        <v>3749</v>
      </c>
      <c r="F117" s="220">
        <v>3861</v>
      </c>
      <c r="G117" s="220">
        <v>3938</v>
      </c>
      <c r="H117" s="220">
        <v>4017</v>
      </c>
      <c r="J117" s="234">
        <f t="shared" si="1"/>
        <v>3912.5</v>
      </c>
    </row>
    <row r="118" spans="1:10" x14ac:dyDescent="0.2">
      <c r="A118" s="242"/>
      <c r="B118" s="220"/>
      <c r="C118" s="220"/>
      <c r="E118" s="226"/>
      <c r="F118" s="226"/>
      <c r="G118" s="226"/>
      <c r="H118" s="226"/>
      <c r="J118" s="234"/>
    </row>
    <row r="119" spans="1:10" x14ac:dyDescent="0.2">
      <c r="A119" s="242" t="s">
        <v>764</v>
      </c>
      <c r="B119" s="243">
        <v>2501</v>
      </c>
      <c r="C119" s="239">
        <v>2728</v>
      </c>
      <c r="D119" s="220">
        <v>2815</v>
      </c>
      <c r="E119" s="220">
        <v>2899</v>
      </c>
      <c r="F119" s="220">
        <v>2986</v>
      </c>
      <c r="G119" s="220">
        <v>3046</v>
      </c>
      <c r="H119" s="220">
        <v>3107</v>
      </c>
      <c r="J119" s="234">
        <f t="shared" si="1"/>
        <v>3026.0833333333335</v>
      </c>
    </row>
    <row r="120" spans="1:10" x14ac:dyDescent="0.2">
      <c r="A120" s="242" t="s">
        <v>767</v>
      </c>
      <c r="B120" s="243">
        <v>2643</v>
      </c>
      <c r="C120" s="239">
        <v>2869</v>
      </c>
      <c r="D120" s="220">
        <v>2961</v>
      </c>
      <c r="E120" s="220">
        <v>3050</v>
      </c>
      <c r="F120" s="220">
        <v>3142</v>
      </c>
      <c r="G120" s="220">
        <v>3205</v>
      </c>
      <c r="H120" s="220">
        <v>3269</v>
      </c>
      <c r="J120" s="234">
        <f t="shared" si="1"/>
        <v>3184.0833333333335</v>
      </c>
    </row>
    <row r="121" spans="1:10" x14ac:dyDescent="0.2">
      <c r="A121" s="242" t="s">
        <v>770</v>
      </c>
      <c r="B121" s="243">
        <v>2784</v>
      </c>
      <c r="C121" s="239">
        <v>3009</v>
      </c>
      <c r="D121" s="220">
        <v>3105</v>
      </c>
      <c r="E121" s="220">
        <v>3198</v>
      </c>
      <c r="F121" s="220">
        <v>3294</v>
      </c>
      <c r="G121" s="220">
        <v>3360</v>
      </c>
      <c r="H121" s="220">
        <v>3427</v>
      </c>
      <c r="J121" s="234">
        <f t="shared" si="1"/>
        <v>3338.0833333333335</v>
      </c>
    </row>
    <row r="122" spans="1:10" x14ac:dyDescent="0.2">
      <c r="A122" s="242" t="s">
        <v>773</v>
      </c>
      <c r="B122" s="243">
        <v>2924</v>
      </c>
      <c r="C122" s="239">
        <v>3154</v>
      </c>
      <c r="D122" s="220">
        <v>3255</v>
      </c>
      <c r="E122" s="220">
        <v>3353</v>
      </c>
      <c r="F122" s="220">
        <v>3454</v>
      </c>
      <c r="G122" s="220">
        <v>3523</v>
      </c>
      <c r="H122" s="220">
        <v>3593</v>
      </c>
      <c r="J122" s="234">
        <f t="shared" si="1"/>
        <v>3500.0833333333335</v>
      </c>
    </row>
    <row r="123" spans="1:10" x14ac:dyDescent="0.2">
      <c r="A123" s="242" t="s">
        <v>776</v>
      </c>
      <c r="B123" s="243">
        <v>3069</v>
      </c>
      <c r="C123" s="239">
        <v>3307</v>
      </c>
      <c r="D123" s="220">
        <v>3413</v>
      </c>
      <c r="E123" s="220">
        <v>3515</v>
      </c>
      <c r="F123" s="220">
        <v>3620</v>
      </c>
      <c r="G123" s="220">
        <v>3692</v>
      </c>
      <c r="H123" s="220">
        <v>3766</v>
      </c>
      <c r="J123" s="234">
        <f t="shared" si="1"/>
        <v>3668.1666666666665</v>
      </c>
    </row>
    <row r="124" spans="1:10" x14ac:dyDescent="0.2">
      <c r="A124" s="242" t="s">
        <v>779</v>
      </c>
      <c r="B124" s="243">
        <v>3222</v>
      </c>
      <c r="C124" s="239">
        <v>3374</v>
      </c>
      <c r="D124" s="220">
        <v>3482</v>
      </c>
      <c r="E124" s="220">
        <v>3586</v>
      </c>
      <c r="F124" s="220">
        <v>3694</v>
      </c>
      <c r="G124" s="220">
        <v>3768</v>
      </c>
      <c r="H124" s="220">
        <v>3843</v>
      </c>
      <c r="J124" s="234">
        <f t="shared" si="1"/>
        <v>3743.416666666667</v>
      </c>
    </row>
    <row r="125" spans="1:10" x14ac:dyDescent="0.2">
      <c r="A125" s="242" t="s">
        <v>782</v>
      </c>
      <c r="B125" s="243">
        <v>3289</v>
      </c>
      <c r="C125" s="239">
        <v>3452</v>
      </c>
      <c r="D125" s="220">
        <v>3562</v>
      </c>
      <c r="E125" s="220">
        <v>3669</v>
      </c>
      <c r="F125" s="220">
        <v>3779</v>
      </c>
      <c r="G125" s="220">
        <v>3855</v>
      </c>
      <c r="H125" s="220">
        <v>3932</v>
      </c>
      <c r="J125" s="234">
        <f t="shared" si="1"/>
        <v>3829.7499999999995</v>
      </c>
    </row>
    <row r="126" spans="1:10" x14ac:dyDescent="0.2">
      <c r="A126" s="242" t="s">
        <v>785</v>
      </c>
      <c r="B126" s="243">
        <v>3367</v>
      </c>
      <c r="C126" s="239">
        <v>3527</v>
      </c>
      <c r="D126" s="220">
        <v>3640</v>
      </c>
      <c r="E126" s="220">
        <v>3749</v>
      </c>
      <c r="F126" s="220">
        <v>3861</v>
      </c>
      <c r="G126" s="220">
        <v>3938</v>
      </c>
      <c r="H126" s="220">
        <v>4017</v>
      </c>
      <c r="J126" s="234">
        <f t="shared" si="1"/>
        <v>3912.5</v>
      </c>
    </row>
    <row r="127" spans="1:10" x14ac:dyDescent="0.2">
      <c r="A127" s="242" t="s">
        <v>787</v>
      </c>
      <c r="B127" s="243">
        <v>3442</v>
      </c>
      <c r="C127" s="239">
        <v>3598</v>
      </c>
      <c r="D127" s="220">
        <v>3713</v>
      </c>
      <c r="E127" s="220">
        <v>3824</v>
      </c>
      <c r="F127" s="220">
        <v>3939</v>
      </c>
      <c r="G127" s="220">
        <v>4018</v>
      </c>
      <c r="H127" s="220">
        <v>4098</v>
      </c>
      <c r="J127" s="234">
        <f t="shared" si="1"/>
        <v>3991.75</v>
      </c>
    </row>
    <row r="128" spans="1:10" x14ac:dyDescent="0.2">
      <c r="A128" s="242" t="s">
        <v>789</v>
      </c>
      <c r="B128" s="243">
        <v>3513</v>
      </c>
      <c r="C128" s="239">
        <v>3673</v>
      </c>
      <c r="D128" s="220">
        <v>3791</v>
      </c>
      <c r="E128" s="220">
        <v>3905</v>
      </c>
      <c r="F128" s="220">
        <v>4022</v>
      </c>
      <c r="G128" s="220">
        <v>4102</v>
      </c>
      <c r="H128" s="220">
        <v>4184</v>
      </c>
      <c r="J128" s="234">
        <f t="shared" si="1"/>
        <v>4075.4999999999995</v>
      </c>
    </row>
    <row r="129" spans="1:11" x14ac:dyDescent="0.2">
      <c r="A129" s="242" t="s">
        <v>791</v>
      </c>
      <c r="B129" s="243">
        <v>3588</v>
      </c>
      <c r="C129" s="239">
        <v>3746</v>
      </c>
      <c r="D129" s="220">
        <v>3866</v>
      </c>
      <c r="E129" s="220">
        <v>3982</v>
      </c>
      <c r="F129" s="220">
        <v>4101</v>
      </c>
      <c r="G129" s="220">
        <v>4183</v>
      </c>
      <c r="H129" s="220">
        <v>4267</v>
      </c>
      <c r="J129" s="234">
        <f>F129*5/12+G129*6/12+H129*1/12</f>
        <v>4155.833333333333</v>
      </c>
    </row>
    <row r="130" spans="1:11" x14ac:dyDescent="0.2">
      <c r="A130" s="242" t="s">
        <v>42</v>
      </c>
      <c r="B130" s="243">
        <v>3661</v>
      </c>
      <c r="C130" s="239">
        <v>3823</v>
      </c>
      <c r="D130" s="220">
        <v>3945</v>
      </c>
      <c r="E130" s="220">
        <v>4063</v>
      </c>
      <c r="F130" s="220">
        <v>4185</v>
      </c>
      <c r="G130" s="220">
        <v>4269</v>
      </c>
      <c r="H130" s="220">
        <v>4354</v>
      </c>
      <c r="J130" s="234">
        <f t="shared" si="1"/>
        <v>4241.083333333333</v>
      </c>
    </row>
    <row r="131" spans="1:11" x14ac:dyDescent="0.2">
      <c r="A131" s="242" t="s">
        <v>44</v>
      </c>
      <c r="B131" s="243">
        <v>3738</v>
      </c>
      <c r="C131" s="239">
        <v>3894</v>
      </c>
      <c r="D131" s="220">
        <v>4019</v>
      </c>
      <c r="E131" s="220">
        <v>4140</v>
      </c>
      <c r="F131" s="220">
        <v>4264</v>
      </c>
      <c r="G131" s="220">
        <v>4349</v>
      </c>
      <c r="H131" s="220">
        <v>4436</v>
      </c>
      <c r="J131" s="234">
        <f t="shared" si="1"/>
        <v>4320.8333333333339</v>
      </c>
      <c r="K131">
        <f>0.93*J131</f>
        <v>4018.3750000000009</v>
      </c>
    </row>
    <row r="132" spans="1:11" x14ac:dyDescent="0.2">
      <c r="A132" s="242"/>
      <c r="B132" s="243"/>
      <c r="C132" s="243"/>
      <c r="D132" s="220"/>
      <c r="E132" s="226"/>
      <c r="F132" s="226"/>
      <c r="G132" s="226"/>
      <c r="H132" s="226"/>
      <c r="J132" s="234"/>
    </row>
    <row r="133" spans="1:11" x14ac:dyDescent="0.2">
      <c r="A133" s="242" t="s">
        <v>797</v>
      </c>
      <c r="B133" s="220">
        <v>2853</v>
      </c>
      <c r="C133" s="239">
        <v>2938</v>
      </c>
      <c r="D133" s="217">
        <v>3032</v>
      </c>
      <c r="E133" s="220">
        <v>3123</v>
      </c>
      <c r="F133" s="220">
        <v>3217</v>
      </c>
      <c r="G133" s="220">
        <v>3281</v>
      </c>
      <c r="H133" s="220">
        <v>3347</v>
      </c>
      <c r="J133" s="234">
        <f t="shared" ref="J133:J196" si="2">F133*5/12+G133*6/12+H133*1/12</f>
        <v>3259.8333333333335</v>
      </c>
    </row>
    <row r="134" spans="1:11" x14ac:dyDescent="0.2">
      <c r="A134" s="242" t="s">
        <v>800</v>
      </c>
      <c r="B134" s="220">
        <v>2993</v>
      </c>
      <c r="C134" s="239">
        <v>3078</v>
      </c>
      <c r="D134" s="217">
        <v>3176</v>
      </c>
      <c r="E134" s="220">
        <v>3271</v>
      </c>
      <c r="F134" s="220">
        <v>3369</v>
      </c>
      <c r="G134" s="220">
        <v>3436</v>
      </c>
      <c r="H134" s="220">
        <v>3505</v>
      </c>
      <c r="J134" s="234">
        <f t="shared" si="2"/>
        <v>3413.8333333333335</v>
      </c>
    </row>
    <row r="135" spans="1:11" x14ac:dyDescent="0.2">
      <c r="A135" s="242" t="s">
        <v>803</v>
      </c>
      <c r="B135" s="220">
        <v>3144</v>
      </c>
      <c r="C135" s="239">
        <v>3229</v>
      </c>
      <c r="D135" s="217">
        <v>3332</v>
      </c>
      <c r="E135" s="220">
        <v>3432</v>
      </c>
      <c r="F135" s="220">
        <v>3535</v>
      </c>
      <c r="G135" s="220">
        <v>3606</v>
      </c>
      <c r="H135" s="220">
        <v>3678</v>
      </c>
      <c r="J135" s="234">
        <f t="shared" si="2"/>
        <v>3582.416666666667</v>
      </c>
    </row>
    <row r="136" spans="1:11" x14ac:dyDescent="0.2">
      <c r="A136" s="242" t="s">
        <v>806</v>
      </c>
      <c r="B136" s="220">
        <v>3289</v>
      </c>
      <c r="C136" s="239">
        <v>3374</v>
      </c>
      <c r="D136" s="217">
        <v>3482</v>
      </c>
      <c r="E136" s="220">
        <v>3586</v>
      </c>
      <c r="F136" s="220">
        <v>3694</v>
      </c>
      <c r="G136" s="220">
        <v>3768</v>
      </c>
      <c r="H136" s="220">
        <v>3843</v>
      </c>
      <c r="J136" s="234">
        <f t="shared" si="2"/>
        <v>3743.416666666667</v>
      </c>
    </row>
    <row r="137" spans="1:11" x14ac:dyDescent="0.2">
      <c r="A137" s="242" t="s">
        <v>809</v>
      </c>
      <c r="B137" s="220">
        <v>3442</v>
      </c>
      <c r="C137" s="239">
        <v>3527</v>
      </c>
      <c r="D137" s="217">
        <v>3640</v>
      </c>
      <c r="E137" s="220">
        <v>3749</v>
      </c>
      <c r="F137" s="220">
        <v>3861</v>
      </c>
      <c r="G137" s="220">
        <v>3938</v>
      </c>
      <c r="H137" s="220">
        <v>4017</v>
      </c>
      <c r="J137" s="234">
        <f t="shared" si="2"/>
        <v>3912.5</v>
      </c>
    </row>
    <row r="138" spans="1:11" x14ac:dyDescent="0.2">
      <c r="A138" s="242" t="s">
        <v>812</v>
      </c>
      <c r="B138" s="220">
        <v>3588</v>
      </c>
      <c r="C138" s="239">
        <v>3673</v>
      </c>
      <c r="D138" s="217">
        <v>3791</v>
      </c>
      <c r="E138" s="220">
        <v>3905</v>
      </c>
      <c r="F138" s="220">
        <v>4022</v>
      </c>
      <c r="G138" s="220">
        <v>4102</v>
      </c>
      <c r="H138" s="220">
        <v>4184</v>
      </c>
      <c r="J138" s="234">
        <f t="shared" si="2"/>
        <v>4075.4999999999995</v>
      </c>
    </row>
    <row r="139" spans="1:11" x14ac:dyDescent="0.2">
      <c r="A139" s="242" t="s">
        <v>815</v>
      </c>
      <c r="B139" s="220">
        <v>3738</v>
      </c>
      <c r="C139" s="239">
        <v>3823</v>
      </c>
      <c r="D139" s="217">
        <v>3945</v>
      </c>
      <c r="E139" s="220">
        <v>4063</v>
      </c>
      <c r="F139" s="220">
        <v>4185</v>
      </c>
      <c r="G139" s="220">
        <v>4269</v>
      </c>
      <c r="H139" s="220">
        <v>4354</v>
      </c>
      <c r="J139" s="234">
        <f t="shared" si="2"/>
        <v>4241.083333333333</v>
      </c>
    </row>
    <row r="140" spans="1:11" x14ac:dyDescent="0.2">
      <c r="A140" s="242" t="s">
        <v>818</v>
      </c>
      <c r="B140" s="220">
        <v>3809</v>
      </c>
      <c r="C140" s="239">
        <v>3894</v>
      </c>
      <c r="D140" s="217">
        <v>4019</v>
      </c>
      <c r="E140" s="220">
        <v>4140</v>
      </c>
      <c r="F140" s="220">
        <v>4264</v>
      </c>
      <c r="G140" s="220">
        <v>4349</v>
      </c>
      <c r="H140" s="220">
        <v>4436</v>
      </c>
      <c r="J140" s="234">
        <f t="shared" si="2"/>
        <v>4320.8333333333339</v>
      </c>
    </row>
    <row r="141" spans="1:11" x14ac:dyDescent="0.2">
      <c r="A141" s="242" t="s">
        <v>820</v>
      </c>
      <c r="B141" s="220">
        <v>3893</v>
      </c>
      <c r="C141" s="239">
        <v>3979</v>
      </c>
      <c r="D141" s="217">
        <v>4106</v>
      </c>
      <c r="E141" s="220">
        <v>4229</v>
      </c>
      <c r="F141" s="220">
        <v>4356</v>
      </c>
      <c r="G141" s="220">
        <v>4443</v>
      </c>
      <c r="H141" s="220">
        <v>4532</v>
      </c>
      <c r="J141" s="234">
        <f t="shared" si="2"/>
        <v>4414.166666666667</v>
      </c>
    </row>
    <row r="142" spans="1:11" x14ac:dyDescent="0.2">
      <c r="A142" s="242" t="s">
        <v>822</v>
      </c>
      <c r="B142" s="220">
        <v>3976</v>
      </c>
      <c r="C142" s="239">
        <v>4063</v>
      </c>
      <c r="D142" s="217">
        <v>4193</v>
      </c>
      <c r="E142" s="220">
        <v>4319</v>
      </c>
      <c r="F142" s="220">
        <v>4449</v>
      </c>
      <c r="G142" s="220">
        <v>4538</v>
      </c>
      <c r="H142" s="220">
        <v>4629</v>
      </c>
      <c r="J142" s="234">
        <f t="shared" si="2"/>
        <v>4508.5</v>
      </c>
    </row>
    <row r="143" spans="1:11" x14ac:dyDescent="0.2">
      <c r="A143" s="242" t="s">
        <v>824</v>
      </c>
      <c r="B143" s="220">
        <v>4059</v>
      </c>
      <c r="C143" s="239">
        <v>4148</v>
      </c>
      <c r="D143" s="217">
        <v>4281</v>
      </c>
      <c r="E143" s="220">
        <v>4409</v>
      </c>
      <c r="F143" s="220">
        <v>4541</v>
      </c>
      <c r="G143" s="220">
        <v>4632</v>
      </c>
      <c r="H143" s="220">
        <v>4725</v>
      </c>
      <c r="J143" s="234">
        <f t="shared" si="2"/>
        <v>4601.833333333333</v>
      </c>
    </row>
    <row r="144" spans="1:11" x14ac:dyDescent="0.2">
      <c r="A144" s="242" t="s">
        <v>43</v>
      </c>
      <c r="B144" s="220">
        <v>4137</v>
      </c>
      <c r="C144" s="239">
        <v>4228</v>
      </c>
      <c r="D144" s="217">
        <v>4363</v>
      </c>
      <c r="E144" s="220">
        <v>4494</v>
      </c>
      <c r="F144" s="220">
        <v>4629</v>
      </c>
      <c r="G144" s="220">
        <v>4722</v>
      </c>
      <c r="H144" s="220">
        <v>4816</v>
      </c>
      <c r="J144" s="234">
        <f t="shared" si="2"/>
        <v>4691.083333333333</v>
      </c>
    </row>
    <row r="145" spans="1:11" x14ac:dyDescent="0.2">
      <c r="A145" s="242" t="s">
        <v>48</v>
      </c>
      <c r="B145" s="220">
        <v>4211</v>
      </c>
      <c r="C145" s="239">
        <v>4304</v>
      </c>
      <c r="D145" s="217">
        <v>4442</v>
      </c>
      <c r="E145" s="220">
        <v>4575</v>
      </c>
      <c r="F145" s="220">
        <v>4712</v>
      </c>
      <c r="G145" s="220">
        <v>4806</v>
      </c>
      <c r="H145" s="220">
        <v>4902</v>
      </c>
      <c r="J145" s="234">
        <f t="shared" si="2"/>
        <v>4774.833333333333</v>
      </c>
      <c r="K145">
        <f>J145*0.93</f>
        <v>4440.5950000000003</v>
      </c>
    </row>
    <row r="146" spans="1:11" x14ac:dyDescent="0.2">
      <c r="A146" s="242"/>
      <c r="B146" s="220"/>
      <c r="C146" s="220"/>
      <c r="E146" s="226"/>
      <c r="F146" s="226"/>
      <c r="G146" s="226"/>
      <c r="H146" s="226"/>
      <c r="J146" s="234"/>
    </row>
    <row r="147" spans="1:11" x14ac:dyDescent="0.2">
      <c r="A147" s="242" t="s">
        <v>831</v>
      </c>
      <c r="B147" s="220">
        <v>3289</v>
      </c>
      <c r="C147" s="239">
        <v>3374</v>
      </c>
      <c r="D147" s="220">
        <v>3482</v>
      </c>
      <c r="E147" s="220">
        <v>3586</v>
      </c>
      <c r="F147" s="220">
        <v>3694</v>
      </c>
      <c r="G147" s="220">
        <v>3768</v>
      </c>
      <c r="H147" s="220">
        <v>3843</v>
      </c>
      <c r="J147" s="234">
        <f t="shared" si="2"/>
        <v>3743.416666666667</v>
      </c>
    </row>
    <row r="148" spans="1:11" x14ac:dyDescent="0.2">
      <c r="A148" s="242" t="s">
        <v>833</v>
      </c>
      <c r="B148" s="220">
        <v>3442</v>
      </c>
      <c r="C148" s="239">
        <v>3527</v>
      </c>
      <c r="D148" s="220">
        <v>3640</v>
      </c>
      <c r="E148" s="220">
        <v>3749</v>
      </c>
      <c r="F148" s="220">
        <v>3861</v>
      </c>
      <c r="G148" s="220">
        <v>3938</v>
      </c>
      <c r="H148" s="220">
        <v>4017</v>
      </c>
      <c r="J148" s="234">
        <f t="shared" si="2"/>
        <v>3912.5</v>
      </c>
    </row>
    <row r="149" spans="1:11" x14ac:dyDescent="0.2">
      <c r="A149" s="242" t="s">
        <v>836</v>
      </c>
      <c r="B149" s="220">
        <v>3588</v>
      </c>
      <c r="C149" s="239">
        <v>3673</v>
      </c>
      <c r="D149" s="220">
        <v>3791</v>
      </c>
      <c r="E149" s="220">
        <v>3905</v>
      </c>
      <c r="F149" s="220">
        <v>4022</v>
      </c>
      <c r="G149" s="220">
        <v>4102</v>
      </c>
      <c r="H149" s="220">
        <v>4184</v>
      </c>
      <c r="J149" s="234">
        <f t="shared" si="2"/>
        <v>4075.4999999999995</v>
      </c>
    </row>
    <row r="150" spans="1:11" x14ac:dyDescent="0.2">
      <c r="A150" s="242" t="s">
        <v>838</v>
      </c>
      <c r="B150" s="220">
        <v>3738</v>
      </c>
      <c r="C150" s="239">
        <v>3823</v>
      </c>
      <c r="D150" s="220">
        <v>3945</v>
      </c>
      <c r="E150" s="220">
        <v>4063</v>
      </c>
      <c r="F150" s="220">
        <v>4185</v>
      </c>
      <c r="G150" s="220">
        <v>4269</v>
      </c>
      <c r="H150" s="220">
        <v>4354</v>
      </c>
      <c r="J150" s="234">
        <f t="shared" si="2"/>
        <v>4241.083333333333</v>
      </c>
    </row>
    <row r="151" spans="1:11" x14ac:dyDescent="0.2">
      <c r="A151" s="242" t="s">
        <v>840</v>
      </c>
      <c r="B151" s="220">
        <v>3893</v>
      </c>
      <c r="C151" s="239">
        <v>3979</v>
      </c>
      <c r="D151" s="220">
        <v>4106</v>
      </c>
      <c r="E151" s="220">
        <v>4229</v>
      </c>
      <c r="F151" s="220">
        <v>4356</v>
      </c>
      <c r="G151" s="220">
        <v>4443</v>
      </c>
      <c r="H151" s="220">
        <v>4532</v>
      </c>
      <c r="J151" s="234">
        <f t="shared" si="2"/>
        <v>4414.166666666667</v>
      </c>
    </row>
    <row r="152" spans="1:11" x14ac:dyDescent="0.2">
      <c r="A152" s="242" t="s">
        <v>842</v>
      </c>
      <c r="B152" s="220">
        <v>4059</v>
      </c>
      <c r="C152" s="239">
        <v>4148</v>
      </c>
      <c r="D152" s="220">
        <v>4281</v>
      </c>
      <c r="E152" s="220">
        <v>4409</v>
      </c>
      <c r="F152" s="220">
        <v>4541</v>
      </c>
      <c r="G152" s="220">
        <v>4632</v>
      </c>
      <c r="H152" s="220">
        <v>4725</v>
      </c>
      <c r="J152" s="234">
        <f t="shared" si="2"/>
        <v>4601.833333333333</v>
      </c>
    </row>
    <row r="153" spans="1:11" x14ac:dyDescent="0.2">
      <c r="A153" s="242" t="s">
        <v>844</v>
      </c>
      <c r="B153" s="220">
        <v>4211</v>
      </c>
      <c r="C153" s="239">
        <v>4304</v>
      </c>
      <c r="D153" s="220">
        <v>4442</v>
      </c>
      <c r="E153" s="220">
        <v>4575</v>
      </c>
      <c r="F153" s="220">
        <v>4712</v>
      </c>
      <c r="G153" s="220">
        <v>4806</v>
      </c>
      <c r="H153" s="220">
        <v>4902</v>
      </c>
      <c r="J153" s="234">
        <f t="shared" si="2"/>
        <v>4774.833333333333</v>
      </c>
    </row>
    <row r="154" spans="1:11" x14ac:dyDescent="0.2">
      <c r="A154" s="242" t="s">
        <v>846</v>
      </c>
      <c r="B154" s="220">
        <v>4368</v>
      </c>
      <c r="C154" s="239">
        <v>4464</v>
      </c>
      <c r="D154" s="220">
        <v>4607</v>
      </c>
      <c r="E154" s="220">
        <v>4745</v>
      </c>
      <c r="F154" s="220">
        <v>4887</v>
      </c>
      <c r="G154" s="220">
        <v>4985</v>
      </c>
      <c r="H154" s="220">
        <v>5085</v>
      </c>
      <c r="J154" s="234">
        <f t="shared" si="2"/>
        <v>4952.5</v>
      </c>
    </row>
    <row r="155" spans="1:11" x14ac:dyDescent="0.2">
      <c r="A155" s="242" t="s">
        <v>847</v>
      </c>
      <c r="B155" s="220">
        <v>4525</v>
      </c>
      <c r="C155" s="239">
        <v>4625</v>
      </c>
      <c r="D155" s="220">
        <v>4773</v>
      </c>
      <c r="E155" s="220">
        <v>4916</v>
      </c>
      <c r="F155" s="220">
        <v>5063</v>
      </c>
      <c r="G155" s="220">
        <v>5164</v>
      </c>
      <c r="H155" s="220">
        <v>5267</v>
      </c>
      <c r="J155" s="234">
        <f t="shared" si="2"/>
        <v>5130.5000000000009</v>
      </c>
    </row>
    <row r="156" spans="1:11" x14ac:dyDescent="0.2">
      <c r="A156" s="242" t="s">
        <v>848</v>
      </c>
      <c r="B156" s="220">
        <v>4589</v>
      </c>
      <c r="C156" s="239">
        <v>4690</v>
      </c>
      <c r="D156" s="220">
        <v>4840</v>
      </c>
      <c r="E156" s="220">
        <v>4985</v>
      </c>
      <c r="F156" s="220">
        <v>5135</v>
      </c>
      <c r="G156" s="220">
        <v>5238</v>
      </c>
      <c r="H156" s="220">
        <v>5343</v>
      </c>
      <c r="J156" s="234">
        <f t="shared" si="2"/>
        <v>5203.8333333333339</v>
      </c>
    </row>
    <row r="157" spans="1:11" x14ac:dyDescent="0.2">
      <c r="A157" s="242" t="s">
        <v>47</v>
      </c>
      <c r="B157" s="220">
        <v>4660</v>
      </c>
      <c r="C157" s="239">
        <v>4763</v>
      </c>
      <c r="D157" s="220">
        <v>4915</v>
      </c>
      <c r="E157" s="220">
        <v>5062</v>
      </c>
      <c r="F157" s="220">
        <v>5214</v>
      </c>
      <c r="G157" s="220">
        <v>5318</v>
      </c>
      <c r="H157" s="220">
        <v>5424</v>
      </c>
      <c r="J157" s="234">
        <f t="shared" si="2"/>
        <v>5283.5</v>
      </c>
    </row>
    <row r="158" spans="1:11" x14ac:dyDescent="0.2">
      <c r="A158" s="242" t="s">
        <v>876</v>
      </c>
      <c r="B158" s="220">
        <v>4731</v>
      </c>
      <c r="C158" s="239">
        <v>4835</v>
      </c>
      <c r="D158" s="220">
        <v>4990</v>
      </c>
      <c r="E158" s="220">
        <v>5140</v>
      </c>
      <c r="F158" s="220">
        <v>5294</v>
      </c>
      <c r="G158" s="220">
        <v>5400</v>
      </c>
      <c r="H158" s="220">
        <v>5508</v>
      </c>
      <c r="J158" s="234">
        <f t="shared" si="2"/>
        <v>5364.8333333333339</v>
      </c>
    </row>
    <row r="159" spans="1:11" x14ac:dyDescent="0.2">
      <c r="A159" s="242" t="s">
        <v>52</v>
      </c>
      <c r="B159" s="220">
        <v>4799</v>
      </c>
      <c r="C159" s="239">
        <v>4905</v>
      </c>
      <c r="D159" s="220">
        <v>5062</v>
      </c>
      <c r="E159" s="220">
        <v>5214</v>
      </c>
      <c r="F159" s="220">
        <v>5370</v>
      </c>
      <c r="G159" s="220">
        <v>5477</v>
      </c>
      <c r="H159" s="220">
        <v>5587</v>
      </c>
      <c r="J159" s="234">
        <f t="shared" si="2"/>
        <v>5441.583333333333</v>
      </c>
      <c r="K159">
        <f>J159*0.93</f>
        <v>5060.6724999999997</v>
      </c>
    </row>
    <row r="160" spans="1:11" x14ac:dyDescent="0.2">
      <c r="A160" s="242"/>
      <c r="B160" s="169"/>
      <c r="E160" s="226"/>
      <c r="F160" s="226"/>
      <c r="G160" s="226"/>
      <c r="H160" s="220"/>
      <c r="J160" s="234"/>
    </row>
    <row r="161" spans="1:11" x14ac:dyDescent="0.2">
      <c r="A161" s="242" t="s">
        <v>851</v>
      </c>
      <c r="B161" s="220">
        <v>3738</v>
      </c>
      <c r="C161" s="239">
        <v>3823</v>
      </c>
      <c r="D161" s="220">
        <v>3945</v>
      </c>
      <c r="E161" s="220">
        <v>4063</v>
      </c>
      <c r="F161" s="220">
        <v>4185</v>
      </c>
      <c r="G161" s="220">
        <v>4269</v>
      </c>
      <c r="H161" s="220">
        <v>4354</v>
      </c>
      <c r="J161" s="234">
        <f t="shared" si="2"/>
        <v>4241.083333333333</v>
      </c>
    </row>
    <row r="162" spans="1:11" x14ac:dyDescent="0.2">
      <c r="A162" s="242" t="s">
        <v>853</v>
      </c>
      <c r="B162" s="220">
        <v>3976</v>
      </c>
      <c r="C162" s="239">
        <v>4063</v>
      </c>
      <c r="D162" s="220">
        <v>4193</v>
      </c>
      <c r="E162" s="220">
        <v>4319</v>
      </c>
      <c r="F162" s="220">
        <v>4449</v>
      </c>
      <c r="G162" s="220">
        <v>4538</v>
      </c>
      <c r="H162" s="220">
        <v>4629</v>
      </c>
      <c r="J162" s="234">
        <f t="shared" si="2"/>
        <v>4508.5</v>
      </c>
    </row>
    <row r="163" spans="1:11" x14ac:dyDescent="0.2">
      <c r="A163" s="242" t="s">
        <v>856</v>
      </c>
      <c r="B163" s="220">
        <v>4211</v>
      </c>
      <c r="C163" s="239">
        <v>4304</v>
      </c>
      <c r="D163" s="220">
        <v>4442</v>
      </c>
      <c r="E163" s="220">
        <v>4575</v>
      </c>
      <c r="F163" s="220">
        <v>4712</v>
      </c>
      <c r="G163" s="220">
        <v>4806</v>
      </c>
      <c r="H163" s="220">
        <v>4902</v>
      </c>
      <c r="J163" s="234">
        <f t="shared" si="2"/>
        <v>4774.833333333333</v>
      </c>
    </row>
    <row r="164" spans="1:11" x14ac:dyDescent="0.2">
      <c r="A164" s="242" t="s">
        <v>858</v>
      </c>
      <c r="B164" s="220">
        <v>4368</v>
      </c>
      <c r="C164" s="239">
        <v>4464</v>
      </c>
      <c r="D164" s="220">
        <v>4607</v>
      </c>
      <c r="E164" s="220">
        <v>4745</v>
      </c>
      <c r="F164" s="220">
        <v>4887</v>
      </c>
      <c r="G164" s="220">
        <v>4985</v>
      </c>
      <c r="H164" s="220">
        <v>5085</v>
      </c>
      <c r="J164" s="234">
        <f t="shared" si="2"/>
        <v>4952.5</v>
      </c>
    </row>
    <row r="165" spans="1:11" x14ac:dyDescent="0.2">
      <c r="A165" s="242" t="s">
        <v>861</v>
      </c>
      <c r="B165" s="220">
        <v>4525</v>
      </c>
      <c r="C165" s="239">
        <v>4625</v>
      </c>
      <c r="D165" s="220">
        <v>4773</v>
      </c>
      <c r="E165" s="220">
        <v>4916</v>
      </c>
      <c r="F165" s="220">
        <v>5063</v>
      </c>
      <c r="G165" s="220">
        <v>5164</v>
      </c>
      <c r="H165" s="220">
        <v>5267</v>
      </c>
      <c r="J165" s="234">
        <f t="shared" si="2"/>
        <v>5130.5000000000009</v>
      </c>
    </row>
    <row r="166" spans="1:11" x14ac:dyDescent="0.2">
      <c r="A166" s="242" t="s">
        <v>864</v>
      </c>
      <c r="B166" s="220">
        <v>4660</v>
      </c>
      <c r="C166" s="239">
        <v>4763</v>
      </c>
      <c r="D166" s="220">
        <v>4915</v>
      </c>
      <c r="E166" s="220">
        <v>5062</v>
      </c>
      <c r="F166" s="220">
        <v>5214</v>
      </c>
      <c r="G166" s="220">
        <v>5318</v>
      </c>
      <c r="H166" s="220">
        <v>5424</v>
      </c>
      <c r="J166" s="234">
        <f t="shared" si="2"/>
        <v>5283.5</v>
      </c>
    </row>
    <row r="167" spans="1:11" x14ac:dyDescent="0.2">
      <c r="A167" s="242" t="s">
        <v>867</v>
      </c>
      <c r="B167" s="220">
        <v>4799</v>
      </c>
      <c r="C167" s="239">
        <v>4905</v>
      </c>
      <c r="D167" s="220">
        <v>5062</v>
      </c>
      <c r="E167" s="220">
        <v>5214</v>
      </c>
      <c r="F167" s="220">
        <v>5370</v>
      </c>
      <c r="G167" s="220">
        <v>5477</v>
      </c>
      <c r="H167" s="220">
        <v>5587</v>
      </c>
      <c r="J167" s="234">
        <f t="shared" si="2"/>
        <v>5441.583333333333</v>
      </c>
    </row>
    <row r="168" spans="1:11" x14ac:dyDescent="0.2">
      <c r="A168" s="242" t="s">
        <v>870</v>
      </c>
      <c r="B168" s="220">
        <v>4944</v>
      </c>
      <c r="C168" s="239">
        <v>5053</v>
      </c>
      <c r="D168" s="220">
        <v>5215</v>
      </c>
      <c r="E168" s="220">
        <v>5371</v>
      </c>
      <c r="F168" s="220">
        <v>5532</v>
      </c>
      <c r="G168" s="220">
        <v>5643</v>
      </c>
      <c r="H168" s="220">
        <v>5756</v>
      </c>
      <c r="J168" s="234">
        <f t="shared" si="2"/>
        <v>5606.166666666667</v>
      </c>
    </row>
    <row r="169" spans="1:11" x14ac:dyDescent="0.2">
      <c r="A169" s="242" t="s">
        <v>873</v>
      </c>
      <c r="B169" s="220">
        <v>5085</v>
      </c>
      <c r="C169" s="239">
        <v>5197</v>
      </c>
      <c r="D169" s="220">
        <v>5363</v>
      </c>
      <c r="E169" s="220">
        <v>5524</v>
      </c>
      <c r="F169" s="220">
        <v>5690</v>
      </c>
      <c r="G169" s="220">
        <v>5804</v>
      </c>
      <c r="H169" s="220">
        <v>5920</v>
      </c>
      <c r="J169" s="234">
        <f t="shared" si="2"/>
        <v>5766.166666666667</v>
      </c>
    </row>
    <row r="170" spans="1:11" x14ac:dyDescent="0.2">
      <c r="A170" s="242" t="s">
        <v>875</v>
      </c>
      <c r="B170" s="220">
        <v>5225</v>
      </c>
      <c r="C170" s="239">
        <v>5340</v>
      </c>
      <c r="D170" s="220">
        <v>5511</v>
      </c>
      <c r="E170" s="220">
        <v>5676</v>
      </c>
      <c r="F170" s="220">
        <v>5846</v>
      </c>
      <c r="G170" s="220">
        <v>5963</v>
      </c>
      <c r="H170" s="220">
        <v>6082</v>
      </c>
      <c r="J170" s="234">
        <f t="shared" si="2"/>
        <v>5924.166666666667</v>
      </c>
    </row>
    <row r="171" spans="1:11" x14ac:dyDescent="0.2">
      <c r="A171" s="242" t="s">
        <v>878</v>
      </c>
      <c r="B171" s="220">
        <v>5369</v>
      </c>
      <c r="C171" s="239">
        <v>5487</v>
      </c>
      <c r="D171" s="220">
        <v>5663</v>
      </c>
      <c r="E171" s="220">
        <v>5833</v>
      </c>
      <c r="F171" s="220">
        <v>6008</v>
      </c>
      <c r="G171" s="220">
        <v>6128</v>
      </c>
      <c r="H171" s="220">
        <v>6251</v>
      </c>
      <c r="J171" s="234">
        <f t="shared" si="2"/>
        <v>6088.2500000000009</v>
      </c>
    </row>
    <row r="172" spans="1:11" x14ac:dyDescent="0.2">
      <c r="A172" s="242" t="s">
        <v>880</v>
      </c>
      <c r="B172" s="220">
        <v>5436</v>
      </c>
      <c r="C172" s="239">
        <v>5556</v>
      </c>
      <c r="D172" s="220">
        <v>5734</v>
      </c>
      <c r="E172" s="220">
        <v>5906</v>
      </c>
      <c r="F172" s="220">
        <v>6083</v>
      </c>
      <c r="G172" s="220">
        <v>6205</v>
      </c>
      <c r="H172" s="220">
        <v>6329</v>
      </c>
      <c r="J172" s="234">
        <f t="shared" si="2"/>
        <v>6164.5000000000009</v>
      </c>
    </row>
    <row r="173" spans="1:11" x14ac:dyDescent="0.2">
      <c r="A173" s="242" t="s">
        <v>51</v>
      </c>
      <c r="B173" s="220">
        <v>5510</v>
      </c>
      <c r="C173" s="239">
        <v>5631</v>
      </c>
      <c r="D173" s="220">
        <v>5811</v>
      </c>
      <c r="E173" s="220">
        <v>5985</v>
      </c>
      <c r="F173" s="220">
        <v>6165</v>
      </c>
      <c r="G173" s="220">
        <v>6288</v>
      </c>
      <c r="H173" s="220">
        <v>6414</v>
      </c>
      <c r="J173" s="234">
        <f t="shared" si="2"/>
        <v>6247.25</v>
      </c>
    </row>
    <row r="174" spans="1:11" x14ac:dyDescent="0.2">
      <c r="A174" s="242" t="s">
        <v>917</v>
      </c>
      <c r="B174" s="220">
        <v>5579</v>
      </c>
      <c r="C174" s="239">
        <v>5702</v>
      </c>
      <c r="D174" s="220">
        <v>5884</v>
      </c>
      <c r="E174" s="220">
        <v>6061</v>
      </c>
      <c r="F174" s="220">
        <v>6243</v>
      </c>
      <c r="G174" s="220">
        <v>6368</v>
      </c>
      <c r="H174" s="220">
        <v>6495</v>
      </c>
      <c r="J174" s="234">
        <f t="shared" si="2"/>
        <v>6326.5</v>
      </c>
    </row>
    <row r="175" spans="1:11" x14ac:dyDescent="0.2">
      <c r="A175" s="242" t="s">
        <v>53</v>
      </c>
      <c r="B175" s="220">
        <v>5648</v>
      </c>
      <c r="C175" s="239">
        <v>5772</v>
      </c>
      <c r="D175" s="220">
        <v>5957</v>
      </c>
      <c r="E175" s="220">
        <v>6136</v>
      </c>
      <c r="F175" s="220">
        <v>6320</v>
      </c>
      <c r="G175" s="220">
        <v>6446</v>
      </c>
      <c r="H175" s="220">
        <v>6575</v>
      </c>
      <c r="J175" s="234">
        <f t="shared" si="2"/>
        <v>6404.2500000000009</v>
      </c>
      <c r="K175">
        <f>J175*0.93</f>
        <v>5955.9525000000012</v>
      </c>
    </row>
    <row r="176" spans="1:11" x14ac:dyDescent="0.2">
      <c r="A176" s="242"/>
      <c r="B176" s="220"/>
      <c r="C176" s="220"/>
      <c r="E176" s="226"/>
      <c r="F176" s="226"/>
      <c r="G176" s="226"/>
      <c r="H176" s="226"/>
      <c r="J176" s="234"/>
    </row>
    <row r="177" spans="1:11" x14ac:dyDescent="0.2">
      <c r="A177" s="242" t="s">
        <v>887</v>
      </c>
      <c r="B177" s="220">
        <v>4525</v>
      </c>
      <c r="C177" s="239">
        <v>4625</v>
      </c>
      <c r="D177" s="243">
        <v>4773</v>
      </c>
      <c r="E177" s="220">
        <v>4916</v>
      </c>
      <c r="F177" s="220">
        <v>5063</v>
      </c>
      <c r="G177" s="220">
        <v>5164</v>
      </c>
      <c r="H177" s="220">
        <v>4354</v>
      </c>
      <c r="J177" s="234">
        <f t="shared" si="2"/>
        <v>5054.416666666667</v>
      </c>
    </row>
    <row r="178" spans="1:11" x14ac:dyDescent="0.2">
      <c r="A178" s="242" t="s">
        <v>890</v>
      </c>
      <c r="B178" s="220">
        <v>4731</v>
      </c>
      <c r="C178" s="239">
        <v>4835</v>
      </c>
      <c r="D178" s="243">
        <v>4990</v>
      </c>
      <c r="E178" s="220">
        <v>5140</v>
      </c>
      <c r="F178" s="220">
        <v>5294</v>
      </c>
      <c r="G178" s="220">
        <v>5400</v>
      </c>
      <c r="H178" s="220">
        <v>4629</v>
      </c>
      <c r="J178" s="234">
        <f t="shared" si="2"/>
        <v>5291.5833333333339</v>
      </c>
    </row>
    <row r="179" spans="1:11" x14ac:dyDescent="0.2">
      <c r="A179" s="242" t="s">
        <v>893</v>
      </c>
      <c r="B179" s="220">
        <v>4944</v>
      </c>
      <c r="C179" s="239">
        <v>5053</v>
      </c>
      <c r="D179" s="243">
        <v>5215</v>
      </c>
      <c r="E179" s="220">
        <v>5371</v>
      </c>
      <c r="F179" s="220">
        <v>5532</v>
      </c>
      <c r="G179" s="220">
        <v>5643</v>
      </c>
      <c r="H179" s="220">
        <v>4902</v>
      </c>
      <c r="J179" s="234">
        <f t="shared" si="2"/>
        <v>5535</v>
      </c>
    </row>
    <row r="180" spans="1:11" x14ac:dyDescent="0.2">
      <c r="A180" s="242" t="s">
        <v>895</v>
      </c>
      <c r="B180" s="220">
        <v>5154</v>
      </c>
      <c r="C180" s="239">
        <v>5267</v>
      </c>
      <c r="D180" s="243">
        <v>5436</v>
      </c>
      <c r="E180" s="220">
        <v>5599</v>
      </c>
      <c r="F180" s="220">
        <v>5767</v>
      </c>
      <c r="G180" s="220">
        <v>5882</v>
      </c>
      <c r="H180" s="220">
        <v>5085</v>
      </c>
      <c r="J180" s="234">
        <f t="shared" si="2"/>
        <v>5767.6666666666661</v>
      </c>
    </row>
    <row r="181" spans="1:11" x14ac:dyDescent="0.2">
      <c r="A181" s="242" t="s">
        <v>898</v>
      </c>
      <c r="B181" s="220">
        <v>5369</v>
      </c>
      <c r="C181" s="239">
        <v>5487</v>
      </c>
      <c r="D181" s="243">
        <v>5663</v>
      </c>
      <c r="E181" s="220">
        <v>5833</v>
      </c>
      <c r="F181" s="220">
        <v>6008</v>
      </c>
      <c r="G181" s="220">
        <v>6128</v>
      </c>
      <c r="H181" s="220">
        <v>5267</v>
      </c>
      <c r="J181" s="234">
        <f t="shared" si="2"/>
        <v>6006.2500000000009</v>
      </c>
    </row>
    <row r="182" spans="1:11" x14ac:dyDescent="0.2">
      <c r="A182" s="242" t="s">
        <v>901</v>
      </c>
      <c r="B182" s="220">
        <v>5579</v>
      </c>
      <c r="C182" s="239">
        <v>5702</v>
      </c>
      <c r="D182" s="243">
        <v>5884</v>
      </c>
      <c r="E182" s="220">
        <v>6061</v>
      </c>
      <c r="F182" s="220">
        <v>6243</v>
      </c>
      <c r="G182" s="220">
        <v>6368</v>
      </c>
      <c r="H182" s="220">
        <v>5424</v>
      </c>
      <c r="J182" s="234">
        <f t="shared" si="2"/>
        <v>6237.25</v>
      </c>
    </row>
    <row r="183" spans="1:11" x14ac:dyDescent="0.2">
      <c r="A183" s="242" t="s">
        <v>904</v>
      </c>
      <c r="B183" s="220">
        <v>5792</v>
      </c>
      <c r="C183" s="239">
        <v>5919</v>
      </c>
      <c r="D183" s="243">
        <v>6108</v>
      </c>
      <c r="E183" s="220">
        <v>6291</v>
      </c>
      <c r="F183" s="220">
        <v>6480</v>
      </c>
      <c r="G183" s="220">
        <v>6610</v>
      </c>
      <c r="H183" s="220">
        <v>5587</v>
      </c>
      <c r="J183" s="234">
        <f t="shared" si="2"/>
        <v>6470.583333333333</v>
      </c>
    </row>
    <row r="184" spans="1:11" x14ac:dyDescent="0.2">
      <c r="A184" s="242" t="s">
        <v>907</v>
      </c>
      <c r="B184" s="220">
        <v>5934</v>
      </c>
      <c r="C184" s="239">
        <v>6065</v>
      </c>
      <c r="D184" s="243">
        <v>6259</v>
      </c>
      <c r="E184" s="220">
        <v>6447</v>
      </c>
      <c r="F184" s="220">
        <v>6640</v>
      </c>
      <c r="G184" s="220">
        <v>6773</v>
      </c>
      <c r="H184" s="220">
        <v>5756</v>
      </c>
      <c r="J184" s="234">
        <f t="shared" si="2"/>
        <v>6632.833333333333</v>
      </c>
    </row>
    <row r="185" spans="1:11" x14ac:dyDescent="0.2">
      <c r="A185" s="242" t="s">
        <v>910</v>
      </c>
      <c r="B185" s="220">
        <v>6113</v>
      </c>
      <c r="C185" s="239">
        <v>6247</v>
      </c>
      <c r="D185" s="243">
        <v>6447</v>
      </c>
      <c r="E185" s="220">
        <v>6640</v>
      </c>
      <c r="F185" s="220">
        <v>6839</v>
      </c>
      <c r="G185" s="220">
        <v>6976</v>
      </c>
      <c r="H185" s="220">
        <v>5920</v>
      </c>
      <c r="J185" s="234">
        <f t="shared" si="2"/>
        <v>6830.916666666667</v>
      </c>
    </row>
    <row r="186" spans="1:11" x14ac:dyDescent="0.2">
      <c r="A186" s="242" t="s">
        <v>912</v>
      </c>
      <c r="B186" s="220">
        <v>6287</v>
      </c>
      <c r="C186" s="239">
        <v>6425</v>
      </c>
      <c r="D186" s="243">
        <v>6631</v>
      </c>
      <c r="E186" s="220">
        <v>6830</v>
      </c>
      <c r="F186" s="220">
        <v>7035</v>
      </c>
      <c r="G186" s="220">
        <v>7176</v>
      </c>
      <c r="H186" s="220">
        <v>6082</v>
      </c>
      <c r="J186" s="234">
        <f t="shared" si="2"/>
        <v>7026.083333333333</v>
      </c>
    </row>
    <row r="187" spans="1:11" x14ac:dyDescent="0.2">
      <c r="A187" s="242" t="s">
        <v>914</v>
      </c>
      <c r="B187" s="220">
        <v>6464</v>
      </c>
      <c r="C187" s="239">
        <v>6606</v>
      </c>
      <c r="D187" s="243">
        <v>6817</v>
      </c>
      <c r="E187" s="220">
        <v>7022</v>
      </c>
      <c r="F187" s="220">
        <v>7233</v>
      </c>
      <c r="G187" s="220">
        <v>7378</v>
      </c>
      <c r="H187" s="220">
        <v>6251</v>
      </c>
      <c r="J187" s="234">
        <f t="shared" si="2"/>
        <v>7223.666666666667</v>
      </c>
    </row>
    <row r="188" spans="1:11" x14ac:dyDescent="0.2">
      <c r="A188" s="242" t="s">
        <v>916</v>
      </c>
      <c r="B188" s="220">
        <v>6556</v>
      </c>
      <c r="C188" s="239">
        <v>6700</v>
      </c>
      <c r="D188" s="243">
        <v>6914</v>
      </c>
      <c r="E188" s="220">
        <v>7121</v>
      </c>
      <c r="F188" s="220">
        <v>7335</v>
      </c>
      <c r="G188" s="220">
        <v>7482</v>
      </c>
      <c r="H188" s="220">
        <v>6329</v>
      </c>
      <c r="J188" s="234">
        <f t="shared" si="2"/>
        <v>7324.666666666667</v>
      </c>
    </row>
    <row r="189" spans="1:11" x14ac:dyDescent="0.2">
      <c r="A189" s="242" t="s">
        <v>56</v>
      </c>
      <c r="B189" s="220">
        <v>6644</v>
      </c>
      <c r="C189" s="239">
        <v>6790</v>
      </c>
      <c r="D189" s="243">
        <v>7007</v>
      </c>
      <c r="E189" s="220">
        <v>7217</v>
      </c>
      <c r="F189" s="220">
        <v>7434</v>
      </c>
      <c r="G189" s="220">
        <v>7583</v>
      </c>
      <c r="H189" s="220">
        <v>6414</v>
      </c>
      <c r="J189" s="234">
        <f t="shared" si="2"/>
        <v>7423.5</v>
      </c>
    </row>
    <row r="190" spans="1:11" x14ac:dyDescent="0.2">
      <c r="A190" s="242" t="s">
        <v>960</v>
      </c>
      <c r="B190" s="220">
        <v>6732</v>
      </c>
      <c r="C190" s="239">
        <v>6880</v>
      </c>
      <c r="D190" s="243">
        <v>7100</v>
      </c>
      <c r="E190" s="220">
        <v>7313</v>
      </c>
      <c r="F190" s="220">
        <v>7532</v>
      </c>
      <c r="G190" s="220">
        <v>7683</v>
      </c>
      <c r="H190" s="220">
        <v>6495</v>
      </c>
      <c r="J190" s="234">
        <f t="shared" si="2"/>
        <v>7521.0833333333339</v>
      </c>
    </row>
    <row r="191" spans="1:11" x14ac:dyDescent="0.2">
      <c r="A191" s="242" t="s">
        <v>57</v>
      </c>
      <c r="B191" s="220">
        <v>6821</v>
      </c>
      <c r="C191" s="239">
        <v>6971</v>
      </c>
      <c r="D191" s="243">
        <v>7194</v>
      </c>
      <c r="E191" s="220">
        <v>7410</v>
      </c>
      <c r="F191" s="220">
        <v>7632</v>
      </c>
      <c r="G191" s="220">
        <v>7785</v>
      </c>
      <c r="H191" s="220">
        <v>6575</v>
      </c>
      <c r="J191" s="234">
        <f t="shared" si="2"/>
        <v>7620.416666666667</v>
      </c>
      <c r="K191">
        <f>J191*0.93</f>
        <v>7086.9875000000011</v>
      </c>
    </row>
    <row r="192" spans="1:11" x14ac:dyDescent="0.2">
      <c r="A192" s="242"/>
      <c r="B192" s="220"/>
      <c r="C192" s="220"/>
      <c r="E192" s="226"/>
      <c r="F192" s="226"/>
      <c r="G192" s="226"/>
      <c r="H192" s="226"/>
      <c r="J192" s="234"/>
    </row>
    <row r="193" spans="1:10" x14ac:dyDescent="0.2">
      <c r="A193" s="242" t="s">
        <v>922</v>
      </c>
      <c r="B193" s="220">
        <v>5369</v>
      </c>
      <c r="C193" s="239">
        <v>5487</v>
      </c>
      <c r="D193" s="217">
        <v>5663</v>
      </c>
      <c r="E193" s="220">
        <v>5833</v>
      </c>
      <c r="F193" s="220">
        <v>6008</v>
      </c>
      <c r="G193" s="220">
        <v>6128</v>
      </c>
      <c r="H193" s="220">
        <v>6251</v>
      </c>
      <c r="J193" s="234">
        <f t="shared" si="2"/>
        <v>6088.2500000000009</v>
      </c>
    </row>
    <row r="194" spans="1:10" x14ac:dyDescent="0.2">
      <c r="A194" s="242" t="s">
        <v>925</v>
      </c>
      <c r="B194" s="220">
        <v>5579</v>
      </c>
      <c r="C194" s="239">
        <v>5702</v>
      </c>
      <c r="D194" s="217">
        <v>5884</v>
      </c>
      <c r="E194" s="220">
        <v>6061</v>
      </c>
      <c r="F194" s="220">
        <v>6243</v>
      </c>
      <c r="G194" s="220">
        <v>6368</v>
      </c>
      <c r="H194" s="220">
        <v>6495</v>
      </c>
      <c r="J194" s="234">
        <f>F194*5/12+G194*6/12+H194*1/12</f>
        <v>6326.5</v>
      </c>
    </row>
    <row r="195" spans="1:10" x14ac:dyDescent="0.2">
      <c r="A195" s="242" t="s">
        <v>928</v>
      </c>
      <c r="B195" s="220">
        <v>5792</v>
      </c>
      <c r="C195" s="239">
        <v>5919</v>
      </c>
      <c r="D195" s="217">
        <v>6108</v>
      </c>
      <c r="E195" s="220">
        <v>6291</v>
      </c>
      <c r="F195" s="220">
        <v>6480</v>
      </c>
      <c r="G195" s="220">
        <v>6610</v>
      </c>
      <c r="H195" s="220">
        <v>6742</v>
      </c>
      <c r="J195" s="234">
        <f t="shared" si="2"/>
        <v>6566.833333333333</v>
      </c>
    </row>
    <row r="196" spans="1:10" x14ac:dyDescent="0.2">
      <c r="A196" s="242" t="s">
        <v>931</v>
      </c>
      <c r="B196" s="220">
        <v>6023</v>
      </c>
      <c r="C196" s="239">
        <v>6156</v>
      </c>
      <c r="D196" s="217">
        <v>6353</v>
      </c>
      <c r="E196" s="220">
        <v>6544</v>
      </c>
      <c r="F196" s="220">
        <v>6740</v>
      </c>
      <c r="G196" s="220">
        <v>6875</v>
      </c>
      <c r="H196" s="220">
        <v>7013</v>
      </c>
      <c r="J196" s="234">
        <f t="shared" si="2"/>
        <v>6830.2500000000009</v>
      </c>
    </row>
    <row r="197" spans="1:10" x14ac:dyDescent="0.2">
      <c r="A197" s="242" t="s">
        <v>933</v>
      </c>
      <c r="B197" s="220">
        <v>6287</v>
      </c>
      <c r="C197" s="239">
        <v>6425</v>
      </c>
      <c r="D197" s="217">
        <v>6631</v>
      </c>
      <c r="E197" s="220">
        <v>6830</v>
      </c>
      <c r="F197" s="220">
        <v>7035</v>
      </c>
      <c r="G197" s="220">
        <v>7176</v>
      </c>
      <c r="H197" s="220">
        <v>7320</v>
      </c>
      <c r="J197" s="234">
        <f t="shared" ref="J197:J227" si="3">F197*5/12+G197*6/12+H197*1/12</f>
        <v>7129.25</v>
      </c>
    </row>
    <row r="198" spans="1:10" x14ac:dyDescent="0.2">
      <c r="A198" s="242" t="s">
        <v>936</v>
      </c>
      <c r="B198" s="220">
        <v>6556</v>
      </c>
      <c r="C198" s="239">
        <v>6700</v>
      </c>
      <c r="D198" s="217">
        <v>6914</v>
      </c>
      <c r="E198" s="220">
        <v>7121</v>
      </c>
      <c r="F198" s="220">
        <v>7335</v>
      </c>
      <c r="G198" s="220">
        <v>7482</v>
      </c>
      <c r="H198" s="220">
        <v>7632</v>
      </c>
      <c r="J198" s="234">
        <f t="shared" si="3"/>
        <v>7433.25</v>
      </c>
    </row>
    <row r="199" spans="1:10" x14ac:dyDescent="0.2">
      <c r="A199" s="242" t="s">
        <v>939</v>
      </c>
      <c r="B199" s="220">
        <v>6821</v>
      </c>
      <c r="C199" s="239">
        <v>6971</v>
      </c>
      <c r="D199" s="217">
        <v>7194</v>
      </c>
      <c r="E199" s="220">
        <v>7410</v>
      </c>
      <c r="F199" s="220">
        <v>7632</v>
      </c>
      <c r="G199" s="220">
        <v>7785</v>
      </c>
      <c r="H199" s="220">
        <v>7941</v>
      </c>
      <c r="J199" s="234">
        <f t="shared" si="3"/>
        <v>7734.25</v>
      </c>
    </row>
    <row r="200" spans="1:10" x14ac:dyDescent="0.2">
      <c r="A200" s="242" t="s">
        <v>942</v>
      </c>
      <c r="B200" s="220">
        <v>6997</v>
      </c>
      <c r="C200" s="239">
        <v>7151</v>
      </c>
      <c r="D200" s="217">
        <v>7380</v>
      </c>
      <c r="E200" s="220">
        <v>7601</v>
      </c>
      <c r="F200" s="220">
        <v>7829</v>
      </c>
      <c r="G200" s="220">
        <v>7986</v>
      </c>
      <c r="H200" s="220">
        <v>8146</v>
      </c>
      <c r="J200" s="234">
        <f t="shared" si="3"/>
        <v>7933.916666666667</v>
      </c>
    </row>
    <row r="201" spans="1:10" x14ac:dyDescent="0.2">
      <c r="A201" s="242" t="s">
        <v>61</v>
      </c>
      <c r="B201" s="220">
        <v>7184</v>
      </c>
      <c r="C201" s="239">
        <v>7342</v>
      </c>
      <c r="D201" s="217">
        <v>7577</v>
      </c>
      <c r="E201" s="220">
        <v>7804</v>
      </c>
      <c r="F201" s="220">
        <v>8038</v>
      </c>
      <c r="G201" s="220">
        <v>8199</v>
      </c>
      <c r="H201" s="220">
        <v>8363</v>
      </c>
      <c r="J201" s="234">
        <f t="shared" si="3"/>
        <v>8145.583333333333</v>
      </c>
    </row>
    <row r="202" spans="1:10" x14ac:dyDescent="0.2">
      <c r="A202" s="242" t="s">
        <v>947</v>
      </c>
      <c r="B202" s="220">
        <v>7381</v>
      </c>
      <c r="C202" s="239">
        <v>7543</v>
      </c>
      <c r="D202" s="217">
        <v>7784</v>
      </c>
      <c r="E202" s="220">
        <v>8018</v>
      </c>
      <c r="F202" s="220">
        <v>8259</v>
      </c>
      <c r="G202" s="220">
        <v>8424</v>
      </c>
      <c r="H202" s="220">
        <v>8592</v>
      </c>
      <c r="J202" s="234">
        <f t="shared" si="3"/>
        <v>8369.25</v>
      </c>
    </row>
    <row r="203" spans="1:10" x14ac:dyDescent="0.2">
      <c r="A203" s="242" t="s">
        <v>950</v>
      </c>
      <c r="B203" s="220">
        <v>7580</v>
      </c>
      <c r="C203" s="239">
        <v>7747</v>
      </c>
      <c r="D203" s="217">
        <v>7995</v>
      </c>
      <c r="E203" s="220">
        <v>8235</v>
      </c>
      <c r="F203" s="220">
        <v>8482</v>
      </c>
      <c r="G203" s="220">
        <v>8652</v>
      </c>
      <c r="H203" s="220">
        <v>8825</v>
      </c>
      <c r="J203" s="234">
        <f t="shared" si="3"/>
        <v>8595.5833333333321</v>
      </c>
    </row>
    <row r="204" spans="1:10" x14ac:dyDescent="0.2">
      <c r="A204" s="242" t="s">
        <v>953</v>
      </c>
      <c r="B204" s="220">
        <v>7680</v>
      </c>
      <c r="C204" s="239">
        <v>7849</v>
      </c>
      <c r="D204" s="217">
        <v>8100</v>
      </c>
      <c r="E204" s="220">
        <v>8343</v>
      </c>
      <c r="F204" s="220">
        <v>8593</v>
      </c>
      <c r="G204" s="220">
        <v>8765</v>
      </c>
      <c r="H204" s="220">
        <v>8940</v>
      </c>
      <c r="J204" s="234">
        <f t="shared" si="3"/>
        <v>8707.9166666666661</v>
      </c>
    </row>
    <row r="205" spans="1:10" x14ac:dyDescent="0.2">
      <c r="A205" s="242" t="s">
        <v>955</v>
      </c>
      <c r="B205" s="220">
        <v>7780</v>
      </c>
      <c r="C205" s="239">
        <v>7951</v>
      </c>
      <c r="D205" s="217">
        <v>8205</v>
      </c>
      <c r="E205" s="220">
        <v>8451</v>
      </c>
      <c r="F205" s="220">
        <v>8705</v>
      </c>
      <c r="G205" s="220">
        <v>8879</v>
      </c>
      <c r="H205" s="220">
        <v>9057</v>
      </c>
      <c r="J205" s="234">
        <f t="shared" si="3"/>
        <v>8821.3333333333339</v>
      </c>
    </row>
    <row r="206" spans="1:10" x14ac:dyDescent="0.2">
      <c r="A206" s="242" t="s">
        <v>957</v>
      </c>
      <c r="B206" s="220">
        <v>7895</v>
      </c>
      <c r="C206" s="239">
        <v>8069</v>
      </c>
      <c r="D206" s="217">
        <v>8327</v>
      </c>
      <c r="E206" s="220">
        <v>8577</v>
      </c>
      <c r="F206" s="220">
        <v>8834</v>
      </c>
      <c r="G206" s="220">
        <v>9011</v>
      </c>
      <c r="H206" s="220">
        <v>9191</v>
      </c>
      <c r="J206" s="234">
        <f t="shared" si="3"/>
        <v>8952.25</v>
      </c>
    </row>
    <row r="207" spans="1:10" x14ac:dyDescent="0.2">
      <c r="A207" s="242" t="s">
        <v>959</v>
      </c>
      <c r="B207" s="220">
        <v>8011</v>
      </c>
      <c r="C207" s="239">
        <v>8187</v>
      </c>
      <c r="D207" s="217">
        <v>8449</v>
      </c>
      <c r="E207" s="220">
        <v>8702</v>
      </c>
      <c r="F207" s="220">
        <v>8963</v>
      </c>
      <c r="G207" s="220">
        <v>9142</v>
      </c>
      <c r="H207" s="220">
        <v>9325</v>
      </c>
      <c r="J207" s="234">
        <f t="shared" si="3"/>
        <v>9082.6666666666679</v>
      </c>
    </row>
    <row r="208" spans="1:10" x14ac:dyDescent="0.2">
      <c r="A208" s="242" t="s">
        <v>1006</v>
      </c>
      <c r="B208" s="220">
        <v>8126</v>
      </c>
      <c r="C208" s="239">
        <v>8305</v>
      </c>
      <c r="D208" s="217">
        <v>8571</v>
      </c>
      <c r="E208" s="220">
        <v>8828</v>
      </c>
      <c r="F208" s="220">
        <v>9093</v>
      </c>
      <c r="G208" s="220">
        <v>9275</v>
      </c>
      <c r="H208" s="220">
        <v>9461</v>
      </c>
      <c r="J208" s="234">
        <f t="shared" si="3"/>
        <v>9214.6666666666661</v>
      </c>
    </row>
    <row r="209" spans="1:11" x14ac:dyDescent="0.2">
      <c r="A209" s="242" t="s">
        <v>1008</v>
      </c>
      <c r="B209" s="220">
        <v>8256</v>
      </c>
      <c r="C209" s="239">
        <v>8438</v>
      </c>
      <c r="D209" s="217">
        <v>8708</v>
      </c>
      <c r="E209" s="220">
        <v>8969</v>
      </c>
      <c r="F209" s="220">
        <v>9238</v>
      </c>
      <c r="G209" s="220">
        <v>9423</v>
      </c>
      <c r="H209" s="220">
        <v>9611</v>
      </c>
      <c r="J209" s="234">
        <f t="shared" si="3"/>
        <v>9361.5833333333321</v>
      </c>
      <c r="K209">
        <f>J209*0.93</f>
        <v>8706.2724999999991</v>
      </c>
    </row>
    <row r="210" spans="1:11" x14ac:dyDescent="0.2">
      <c r="A210" s="242"/>
      <c r="B210" s="220"/>
      <c r="C210" s="220"/>
      <c r="E210" s="226"/>
      <c r="F210" s="226"/>
      <c r="G210" s="226"/>
      <c r="H210" s="226"/>
      <c r="J210" s="234"/>
    </row>
    <row r="211" spans="1:11" x14ac:dyDescent="0.2">
      <c r="A211" s="242" t="s">
        <v>963</v>
      </c>
      <c r="B211" s="220">
        <v>6287</v>
      </c>
      <c r="C211" s="239">
        <v>6425</v>
      </c>
      <c r="D211" s="220">
        <v>6631</v>
      </c>
      <c r="E211" s="220">
        <v>6830</v>
      </c>
      <c r="F211" s="220">
        <v>7035</v>
      </c>
      <c r="G211" s="220">
        <v>7176</v>
      </c>
      <c r="H211" s="220">
        <v>7320</v>
      </c>
      <c r="J211" s="234">
        <f t="shared" si="3"/>
        <v>7129.25</v>
      </c>
    </row>
    <row r="212" spans="1:11" x14ac:dyDescent="0.2">
      <c r="A212" s="242" t="s">
        <v>966</v>
      </c>
      <c r="B212" s="220">
        <v>6556</v>
      </c>
      <c r="C212" s="239">
        <v>6700</v>
      </c>
      <c r="D212" s="220">
        <v>6914</v>
      </c>
      <c r="E212" s="220">
        <v>7121</v>
      </c>
      <c r="F212" s="220">
        <v>7335</v>
      </c>
      <c r="G212" s="220">
        <v>7482</v>
      </c>
      <c r="H212" s="220">
        <v>7632</v>
      </c>
      <c r="J212" s="234">
        <f t="shared" si="3"/>
        <v>7433.25</v>
      </c>
    </row>
    <row r="213" spans="1:11" x14ac:dyDescent="0.2">
      <c r="A213" s="242" t="s">
        <v>969</v>
      </c>
      <c r="B213" s="220">
        <v>6821</v>
      </c>
      <c r="C213" s="239">
        <v>6971</v>
      </c>
      <c r="D213" s="220">
        <v>7194</v>
      </c>
      <c r="E213" s="220">
        <v>7410</v>
      </c>
      <c r="F213" s="220">
        <v>7632</v>
      </c>
      <c r="G213" s="220">
        <v>7785</v>
      </c>
      <c r="H213" s="220">
        <v>7941</v>
      </c>
      <c r="J213" s="234">
        <f t="shared" si="3"/>
        <v>7734.25</v>
      </c>
    </row>
    <row r="214" spans="1:11" x14ac:dyDescent="0.2">
      <c r="A214" s="242" t="s">
        <v>972</v>
      </c>
      <c r="B214" s="220">
        <v>7083</v>
      </c>
      <c r="C214" s="239">
        <v>7239</v>
      </c>
      <c r="D214" s="220">
        <v>7471</v>
      </c>
      <c r="E214" s="220">
        <v>7695</v>
      </c>
      <c r="F214" s="220">
        <v>7926</v>
      </c>
      <c r="G214" s="220">
        <v>8085</v>
      </c>
      <c r="H214" s="220">
        <v>8247</v>
      </c>
      <c r="J214" s="234">
        <f t="shared" si="3"/>
        <v>8032.25</v>
      </c>
    </row>
    <row r="215" spans="1:11" x14ac:dyDescent="0.2">
      <c r="A215" s="242" t="s">
        <v>975</v>
      </c>
      <c r="B215" s="220">
        <v>7381</v>
      </c>
      <c r="C215" s="239">
        <v>7543</v>
      </c>
      <c r="D215" s="220">
        <v>7784</v>
      </c>
      <c r="E215" s="220">
        <v>8018</v>
      </c>
      <c r="F215" s="220">
        <v>8259</v>
      </c>
      <c r="G215" s="220">
        <v>8424</v>
      </c>
      <c r="H215" s="220">
        <v>8592</v>
      </c>
      <c r="J215" s="234">
        <f t="shared" si="3"/>
        <v>8369.25</v>
      </c>
    </row>
    <row r="216" spans="1:11" x14ac:dyDescent="0.2">
      <c r="A216" s="242" t="s">
        <v>978</v>
      </c>
      <c r="B216" s="220">
        <v>7680</v>
      </c>
      <c r="C216" s="239">
        <v>7849</v>
      </c>
      <c r="D216" s="220">
        <v>8100</v>
      </c>
      <c r="E216" s="220">
        <v>8343</v>
      </c>
      <c r="F216" s="220">
        <v>8593</v>
      </c>
      <c r="G216" s="220">
        <v>8765</v>
      </c>
      <c r="H216" s="220">
        <v>8940</v>
      </c>
      <c r="J216" s="234">
        <f t="shared" si="3"/>
        <v>8707.9166666666661</v>
      </c>
    </row>
    <row r="217" spans="1:11" x14ac:dyDescent="0.2">
      <c r="A217" s="242" t="s">
        <v>981</v>
      </c>
      <c r="B217" s="220">
        <v>8011</v>
      </c>
      <c r="C217" s="239">
        <v>8187</v>
      </c>
      <c r="D217" s="220">
        <v>8449</v>
      </c>
      <c r="E217" s="220">
        <v>8702</v>
      </c>
      <c r="F217" s="220">
        <v>8963</v>
      </c>
      <c r="G217" s="220">
        <v>9142</v>
      </c>
      <c r="H217" s="220">
        <v>9325</v>
      </c>
      <c r="J217" s="234">
        <f t="shared" si="3"/>
        <v>9082.6666666666679</v>
      </c>
    </row>
    <row r="218" spans="1:11" x14ac:dyDescent="0.2">
      <c r="A218" s="242" t="s">
        <v>984</v>
      </c>
      <c r="B218" s="220">
        <v>8256</v>
      </c>
      <c r="C218" s="239">
        <v>8438</v>
      </c>
      <c r="D218" s="220">
        <v>8708</v>
      </c>
      <c r="E218" s="220">
        <v>8969</v>
      </c>
      <c r="F218" s="220">
        <v>9238</v>
      </c>
      <c r="G218" s="220">
        <v>9423</v>
      </c>
      <c r="H218" s="220">
        <v>9611</v>
      </c>
      <c r="J218" s="234">
        <f t="shared" si="3"/>
        <v>9361.5833333333321</v>
      </c>
    </row>
    <row r="219" spans="1:11" x14ac:dyDescent="0.2">
      <c r="A219" s="242" t="s">
        <v>987</v>
      </c>
      <c r="B219" s="220">
        <v>8512</v>
      </c>
      <c r="C219" s="239">
        <v>8699</v>
      </c>
      <c r="D219" s="220">
        <v>8977</v>
      </c>
      <c r="E219" s="220">
        <v>9246</v>
      </c>
      <c r="F219" s="220">
        <v>9523</v>
      </c>
      <c r="G219" s="220">
        <v>9713</v>
      </c>
      <c r="H219" s="220">
        <v>9907</v>
      </c>
      <c r="J219" s="234">
        <f t="shared" si="3"/>
        <v>9650</v>
      </c>
    </row>
    <row r="220" spans="1:11" x14ac:dyDescent="0.2">
      <c r="A220" s="242" t="s">
        <v>990</v>
      </c>
      <c r="B220" s="220">
        <v>8771</v>
      </c>
      <c r="C220" s="239">
        <v>8964</v>
      </c>
      <c r="D220" s="220">
        <v>9251</v>
      </c>
      <c r="E220" s="220">
        <v>9529</v>
      </c>
      <c r="F220" s="220">
        <v>9815</v>
      </c>
      <c r="G220" s="220">
        <v>10011</v>
      </c>
      <c r="H220" s="220">
        <v>10211</v>
      </c>
      <c r="J220" s="234">
        <f t="shared" si="3"/>
        <v>9946</v>
      </c>
    </row>
    <row r="221" spans="1:11" x14ac:dyDescent="0.2">
      <c r="A221" s="242" t="s">
        <v>993</v>
      </c>
      <c r="B221" s="220">
        <v>9032</v>
      </c>
      <c r="C221" s="239">
        <v>9231</v>
      </c>
      <c r="D221" s="220">
        <v>9526</v>
      </c>
      <c r="E221" s="220">
        <v>9812</v>
      </c>
      <c r="F221" s="220">
        <v>10106</v>
      </c>
      <c r="G221" s="220">
        <v>10308</v>
      </c>
      <c r="H221" s="220">
        <v>10514</v>
      </c>
      <c r="J221" s="234">
        <f t="shared" si="3"/>
        <v>10240.999999999998</v>
      </c>
    </row>
    <row r="222" spans="1:11" x14ac:dyDescent="0.2">
      <c r="A222" s="242" t="s">
        <v>996</v>
      </c>
      <c r="B222" s="220">
        <v>9162</v>
      </c>
      <c r="C222" s="239">
        <v>9364</v>
      </c>
      <c r="D222" s="220">
        <v>9664</v>
      </c>
      <c r="E222" s="220">
        <v>9954</v>
      </c>
      <c r="F222" s="220">
        <v>10253</v>
      </c>
      <c r="G222" s="220">
        <v>10458</v>
      </c>
      <c r="H222" s="220">
        <v>10667</v>
      </c>
      <c r="J222" s="234">
        <f t="shared" si="3"/>
        <v>10389.999999999998</v>
      </c>
    </row>
    <row r="223" spans="1:11" x14ac:dyDescent="0.2">
      <c r="A223" s="242" t="s">
        <v>998</v>
      </c>
      <c r="B223" s="220">
        <v>9293</v>
      </c>
      <c r="C223" s="239">
        <v>9497</v>
      </c>
      <c r="D223" s="220">
        <v>9801</v>
      </c>
      <c r="E223" s="220">
        <v>10095</v>
      </c>
      <c r="F223" s="220">
        <v>10398</v>
      </c>
      <c r="G223" s="220">
        <v>10606</v>
      </c>
      <c r="H223" s="220">
        <v>10818</v>
      </c>
      <c r="J223" s="234">
        <f t="shared" si="3"/>
        <v>10537</v>
      </c>
    </row>
    <row r="224" spans="1:11" x14ac:dyDescent="0.2">
      <c r="A224" s="242" t="s">
        <v>1000</v>
      </c>
      <c r="B224" s="220">
        <v>9424</v>
      </c>
      <c r="C224" s="239">
        <v>9631</v>
      </c>
      <c r="D224" s="220">
        <v>9939</v>
      </c>
      <c r="E224" s="220">
        <v>10237</v>
      </c>
      <c r="F224" s="220">
        <v>10544</v>
      </c>
      <c r="G224" s="220">
        <v>10755</v>
      </c>
      <c r="H224" s="220">
        <v>10970</v>
      </c>
      <c r="J224" s="234">
        <f t="shared" si="3"/>
        <v>10684.999999999998</v>
      </c>
    </row>
    <row r="225" spans="1:11" x14ac:dyDescent="0.2">
      <c r="A225" s="242" t="s">
        <v>1002</v>
      </c>
      <c r="B225" s="220">
        <v>9554</v>
      </c>
      <c r="C225" s="239">
        <v>9764</v>
      </c>
      <c r="D225" s="220">
        <v>10076</v>
      </c>
      <c r="E225" s="220">
        <v>10378</v>
      </c>
      <c r="F225" s="220">
        <v>10689</v>
      </c>
      <c r="G225" s="220">
        <v>10903</v>
      </c>
      <c r="H225" s="220">
        <v>11121</v>
      </c>
      <c r="J225" s="234">
        <f t="shared" si="3"/>
        <v>10832</v>
      </c>
    </row>
    <row r="226" spans="1:11" x14ac:dyDescent="0.2">
      <c r="A226" s="242" t="s">
        <v>1024</v>
      </c>
      <c r="B226" s="220">
        <v>9686</v>
      </c>
      <c r="C226" s="239">
        <v>9899</v>
      </c>
      <c r="D226" s="220">
        <v>10216</v>
      </c>
      <c r="E226" s="220">
        <v>10522</v>
      </c>
      <c r="F226" s="220">
        <v>10838</v>
      </c>
      <c r="G226" s="220">
        <v>11055</v>
      </c>
      <c r="H226" s="220">
        <v>11276</v>
      </c>
      <c r="J226" s="234">
        <f t="shared" si="3"/>
        <v>10982.999999999998</v>
      </c>
    </row>
    <row r="227" spans="1:11" x14ac:dyDescent="0.2">
      <c r="A227" s="242" t="s">
        <v>1025</v>
      </c>
      <c r="B227" s="220">
        <v>9815</v>
      </c>
      <c r="C227" s="239">
        <v>10031</v>
      </c>
      <c r="D227" s="220">
        <v>10352</v>
      </c>
      <c r="E227" s="220">
        <v>10663</v>
      </c>
      <c r="F227" s="220">
        <v>10983</v>
      </c>
      <c r="G227" s="220">
        <v>11203</v>
      </c>
      <c r="H227" s="220">
        <v>11427</v>
      </c>
      <c r="J227" s="234">
        <f t="shared" si="3"/>
        <v>11130</v>
      </c>
      <c r="K227">
        <f>J227*0.93</f>
        <v>10350.9</v>
      </c>
    </row>
  </sheetData>
  <hyperlinks>
    <hyperlink ref="B1" r:id="rId1" display="https://www.vgn.nl/system/files/2022-04/Salaristabellen 2021-2024.pdf" xr:uid="{1FF2A21F-F3A6-4509-9614-F3994CB5FD03}"/>
    <hyperlink ref="D1" r:id="rId2" display="https://www.vgn.nl/system/files/2022-04/Salaristabellen 2021-2024.pdf" xr:uid="{AB988880-232F-4BDF-BD2D-7473311F2991}"/>
    <hyperlink ref="E1" r:id="rId3" display="https://www.vgn.nl/cao-nieuws/nieuwe-salaristabellen-cao-gehandicaptenzorg" xr:uid="{B83D066E-7D0C-417A-9945-96AFEC4B3BB8}"/>
    <hyperlink ref="F1" r:id="rId4" display="https://www.vgn.nl/cao-nieuws/nieuwe-salaristabellen-cao-gehandicaptenzorg" xr:uid="{631B45A6-C772-4675-8A29-BF8063531E6B}"/>
    <hyperlink ref="G1" r:id="rId5" display="https://www.vgn.nl/cao-nieuws/nieuwe-salaristabellen-cao-gehandicaptenzorg" xr:uid="{6FA8BCFD-2DF4-49BF-9100-0E6F044052C3}"/>
    <hyperlink ref="H1" r:id="rId6" display="https://www.vgn.nl/cao-nieuws/nieuwe-salaristabellen-cao-gehandicaptenzorg" xr:uid="{20D8C249-A0FA-4F41-B457-647BB2CE301D}"/>
    <hyperlink ref="C1" r:id="rId7" display="https://www.lad.nl/wp-content/uploads/2022/04/Salaristabellen-Cao-Gehandicaptenzorg-2021-2024-1.pdf" xr:uid="{82ACD2C7-6069-4F3F-9EDB-F80884EB12BB}"/>
  </hyperlinks>
  <pageMargins left="0.7" right="0.7" top="0.75" bottom="0.75" header="0.3" footer="0.3"/>
  <pageSetup paperSize="9" orientation="portrait" r:id="rId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810B6-05A8-467B-B073-88DC5C9819D3}">
  <sheetPr>
    <tabColor theme="8" tint="0.79998168889431442"/>
  </sheetPr>
  <dimension ref="A1:F13"/>
  <sheetViews>
    <sheetView workbookViewId="0">
      <selection activeCell="H45" sqref="H45"/>
    </sheetView>
  </sheetViews>
  <sheetFormatPr defaultColWidth="8.85546875" defaultRowHeight="11.25" x14ac:dyDescent="0.2"/>
  <cols>
    <col min="1" max="1" width="21.5703125" style="1" bestFit="1" customWidth="1"/>
    <col min="2" max="6" width="12.7109375" style="1" customWidth="1"/>
    <col min="7" max="16384" width="8.85546875" style="1"/>
  </cols>
  <sheetData>
    <row r="1" spans="1:6" ht="22.5" x14ac:dyDescent="0.2">
      <c r="A1" s="175" t="s">
        <v>1047</v>
      </c>
      <c r="B1" s="176" t="s">
        <v>1048</v>
      </c>
      <c r="C1" s="176" t="s">
        <v>1049</v>
      </c>
      <c r="D1" s="176" t="s">
        <v>1050</v>
      </c>
      <c r="E1" s="176" t="s">
        <v>115</v>
      </c>
      <c r="F1" s="176" t="s">
        <v>1051</v>
      </c>
    </row>
    <row r="2" spans="1:6" x14ac:dyDescent="0.2">
      <c r="A2" s="170" t="s">
        <v>88</v>
      </c>
      <c r="B2" s="171">
        <v>1878</v>
      </c>
      <c r="C2" s="171">
        <v>50.4</v>
      </c>
      <c r="D2" s="171">
        <v>201</v>
      </c>
      <c r="E2" s="173">
        <f>C2+D2</f>
        <v>251.4</v>
      </c>
      <c r="F2" s="174">
        <f>E2/B2</f>
        <v>0.13386581469648562</v>
      </c>
    </row>
    <row r="3" spans="1:6" x14ac:dyDescent="0.2">
      <c r="A3" s="170" t="s">
        <v>87</v>
      </c>
      <c r="B3" s="171">
        <v>1878</v>
      </c>
      <c r="C3" s="171">
        <v>50.4</v>
      </c>
      <c r="D3" s="171">
        <v>201</v>
      </c>
      <c r="E3" s="173">
        <f t="shared" ref="E3:E5" si="0">C3+D3</f>
        <v>251.4</v>
      </c>
      <c r="F3" s="174">
        <f t="shared" ref="F3:F5" si="1">E3/B3</f>
        <v>0.13386581469648562</v>
      </c>
    </row>
    <row r="4" spans="1:6" x14ac:dyDescent="0.2">
      <c r="A4" s="170" t="s">
        <v>89</v>
      </c>
      <c r="B4" s="171">
        <v>1878</v>
      </c>
      <c r="C4" s="171">
        <v>50.4</v>
      </c>
      <c r="D4" s="171">
        <v>201</v>
      </c>
      <c r="E4" s="173">
        <f t="shared" ref="E4" si="2">C4+D4</f>
        <v>251.4</v>
      </c>
      <c r="F4" s="174">
        <f t="shared" ref="F4" si="3">E4/B4</f>
        <v>0.13386581469648562</v>
      </c>
    </row>
    <row r="5" spans="1:6" x14ac:dyDescent="0.2">
      <c r="A5" s="170" t="s">
        <v>86</v>
      </c>
      <c r="B5" s="171">
        <v>1878</v>
      </c>
      <c r="C5" s="171">
        <v>50.4</v>
      </c>
      <c r="D5" s="171">
        <v>200</v>
      </c>
      <c r="E5" s="173">
        <f t="shared" si="0"/>
        <v>250.4</v>
      </c>
      <c r="F5" s="174">
        <f t="shared" si="1"/>
        <v>0.13333333333333333</v>
      </c>
    </row>
    <row r="8" spans="1:6" x14ac:dyDescent="0.2">
      <c r="A8" s="172" t="s">
        <v>1052</v>
      </c>
    </row>
    <row r="9" spans="1:6" x14ac:dyDescent="0.2">
      <c r="A9" s="1" t="s">
        <v>1053</v>
      </c>
    </row>
    <row r="10" spans="1:6" x14ac:dyDescent="0.2">
      <c r="A10" s="1" t="s">
        <v>1054</v>
      </c>
    </row>
    <row r="11" spans="1:6" x14ac:dyDescent="0.2">
      <c r="A11" s="1" t="s">
        <v>1055</v>
      </c>
    </row>
    <row r="12" spans="1:6" x14ac:dyDescent="0.2">
      <c r="A12" s="1" t="s">
        <v>1056</v>
      </c>
    </row>
    <row r="13" spans="1:6" x14ac:dyDescent="0.2">
      <c r="A13" s="1" t="s">
        <v>1057</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3FA9-B418-4972-94F5-A9B8E0AF469A}">
  <sheetPr>
    <tabColor theme="8" tint="0.79998168889431442"/>
  </sheetPr>
  <dimension ref="A1:D10"/>
  <sheetViews>
    <sheetView workbookViewId="0">
      <selection activeCell="H45" sqref="H45"/>
    </sheetView>
  </sheetViews>
  <sheetFormatPr defaultRowHeight="12" x14ac:dyDescent="0.2"/>
  <cols>
    <col min="1" max="2" width="22.42578125" customWidth="1"/>
    <col min="3" max="3" width="13.7109375" customWidth="1"/>
    <col min="4" max="4" width="26" customWidth="1"/>
  </cols>
  <sheetData>
    <row r="1" spans="1:4" ht="24" x14ac:dyDescent="0.2">
      <c r="A1" s="37" t="s">
        <v>1058</v>
      </c>
      <c r="B1" s="37" t="s">
        <v>1059</v>
      </c>
      <c r="C1" s="37" t="s">
        <v>1060</v>
      </c>
      <c r="D1" s="266" t="s">
        <v>1061</v>
      </c>
    </row>
    <row r="2" spans="1:4" x14ac:dyDescent="0.2">
      <c r="A2" t="s">
        <v>1062</v>
      </c>
      <c r="B2" t="s">
        <v>1063</v>
      </c>
      <c r="C2" s="57">
        <v>0</v>
      </c>
      <c r="D2" s="263">
        <v>0.55000000000000004</v>
      </c>
    </row>
    <row r="3" spans="1:4" x14ac:dyDescent="0.2">
      <c r="A3" t="s">
        <v>1064</v>
      </c>
      <c r="B3" t="s">
        <v>1065</v>
      </c>
      <c r="C3" s="57">
        <v>0.25</v>
      </c>
      <c r="D3" s="263">
        <v>0</v>
      </c>
    </row>
    <row r="4" spans="1:4" x14ac:dyDescent="0.2">
      <c r="A4" t="s">
        <v>1066</v>
      </c>
      <c r="B4" t="s">
        <v>1067</v>
      </c>
      <c r="C4" s="57">
        <v>0.25</v>
      </c>
      <c r="D4" s="263">
        <v>0.4</v>
      </c>
    </row>
    <row r="5" spans="1:4" x14ac:dyDescent="0.2">
      <c r="A5" s="262" t="s">
        <v>1068</v>
      </c>
      <c r="B5" s="262" t="s">
        <v>1069</v>
      </c>
      <c r="C5" s="57">
        <v>0.45</v>
      </c>
      <c r="D5" s="263">
        <v>0</v>
      </c>
    </row>
    <row r="6" spans="1:4" x14ac:dyDescent="0.2">
      <c r="A6" t="s">
        <v>1070</v>
      </c>
      <c r="B6" t="s">
        <v>1071</v>
      </c>
      <c r="C6" s="57">
        <v>0.3</v>
      </c>
      <c r="D6" s="263">
        <v>2.5000000000000001E-2</v>
      </c>
    </row>
    <row r="7" spans="1:4" x14ac:dyDescent="0.2">
      <c r="A7" t="s">
        <v>1072</v>
      </c>
      <c r="B7" t="s">
        <v>1071</v>
      </c>
      <c r="C7" s="57">
        <v>0.6</v>
      </c>
      <c r="D7" s="263">
        <v>2.5000000000000001E-2</v>
      </c>
    </row>
    <row r="8" spans="1:4" x14ac:dyDescent="0.2">
      <c r="D8" s="264">
        <f>SUM(D2:D7)</f>
        <v>1</v>
      </c>
    </row>
    <row r="10" spans="1:4" ht="24" x14ac:dyDescent="0.2">
      <c r="C10" s="266" t="s">
        <v>1073</v>
      </c>
      <c r="D10" s="265">
        <f>SUMPRODUCT(C2:C7,D2:D7)</f>
        <v>0.12250000000000001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E73A-B619-4E70-BB9C-0CE5960E01CD}">
  <sheetPr>
    <tabColor theme="6"/>
  </sheetPr>
  <dimension ref="A1:X22"/>
  <sheetViews>
    <sheetView topLeftCell="H1" zoomScaleNormal="100" workbookViewId="0">
      <pane ySplit="21" topLeftCell="A22" activePane="bottomLeft" state="frozen"/>
      <selection activeCell="H25" sqref="H25"/>
      <selection pane="bottomLeft" activeCell="T13" sqref="T13"/>
    </sheetView>
  </sheetViews>
  <sheetFormatPr defaultRowHeight="12" x14ac:dyDescent="0.2"/>
  <cols>
    <col min="1" max="1" width="23" customWidth="1"/>
    <col min="2" max="6" width="14" customWidth="1"/>
    <col min="7" max="7" width="2.5703125" customWidth="1"/>
    <col min="8" max="8" width="10" bestFit="1" customWidth="1"/>
    <col min="9" max="12" width="13.5703125" customWidth="1"/>
    <col min="13" max="13" width="2.5703125" customWidth="1"/>
    <col min="14" max="14" width="10" bestFit="1" customWidth="1"/>
    <col min="15" max="18" width="13.5703125" customWidth="1"/>
    <col min="19" max="19" width="2.5703125" customWidth="1"/>
    <col min="20" max="20" width="10" bestFit="1" customWidth="1"/>
    <col min="21" max="24" width="13.5703125" customWidth="1"/>
  </cols>
  <sheetData>
    <row r="1" spans="1:24" x14ac:dyDescent="0.2">
      <c r="B1" s="290" t="s">
        <v>15</v>
      </c>
      <c r="C1" s="290"/>
      <c r="D1" s="290"/>
      <c r="E1" s="290"/>
      <c r="F1" s="290"/>
      <c r="H1" s="290" t="s">
        <v>16</v>
      </c>
      <c r="I1" s="290"/>
      <c r="J1" s="290"/>
      <c r="K1" s="290"/>
      <c r="L1" s="290"/>
      <c r="N1" s="290" t="s">
        <v>17</v>
      </c>
      <c r="O1" s="290"/>
      <c r="P1" s="290"/>
      <c r="Q1" s="290"/>
      <c r="R1" s="290"/>
      <c r="T1" s="290" t="s">
        <v>18</v>
      </c>
      <c r="U1" s="290"/>
      <c r="V1" s="290"/>
      <c r="W1" s="290"/>
      <c r="X1" s="290"/>
    </row>
    <row r="2" spans="1:24" x14ac:dyDescent="0.2">
      <c r="B2" s="36" t="s">
        <v>19</v>
      </c>
      <c r="C2" s="36" t="s">
        <v>20</v>
      </c>
      <c r="D2" s="36" t="s">
        <v>21</v>
      </c>
      <c r="E2" s="36" t="s">
        <v>22</v>
      </c>
      <c r="F2" s="36" t="s">
        <v>23</v>
      </c>
      <c r="H2" s="36" t="s">
        <v>19</v>
      </c>
      <c r="I2" s="36" t="s">
        <v>20</v>
      </c>
      <c r="J2" s="36" t="s">
        <v>21</v>
      </c>
      <c r="K2" s="36" t="s">
        <v>22</v>
      </c>
      <c r="L2" s="36" t="s">
        <v>23</v>
      </c>
      <c r="N2" s="36" t="s">
        <v>19</v>
      </c>
      <c r="O2" s="36" t="s">
        <v>20</v>
      </c>
      <c r="P2" s="36" t="s">
        <v>21</v>
      </c>
      <c r="Q2" s="36" t="s">
        <v>22</v>
      </c>
      <c r="R2" s="36" t="s">
        <v>23</v>
      </c>
      <c r="T2" s="36" t="s">
        <v>19</v>
      </c>
      <c r="U2" s="36" t="s">
        <v>20</v>
      </c>
      <c r="V2" s="36" t="s">
        <v>21</v>
      </c>
      <c r="W2" s="36" t="s">
        <v>22</v>
      </c>
      <c r="X2" s="36" t="s">
        <v>23</v>
      </c>
    </row>
    <row r="3" spans="1:24" s="1" customFormat="1" ht="11.25" x14ac:dyDescent="0.2">
      <c r="A3" s="33" t="s">
        <v>24</v>
      </c>
      <c r="B3" s="22" t="s">
        <v>25</v>
      </c>
      <c r="C3" s="32">
        <v>1</v>
      </c>
      <c r="D3" s="22" t="s">
        <v>25</v>
      </c>
      <c r="E3" s="32">
        <v>0</v>
      </c>
      <c r="F3" s="2"/>
      <c r="H3" s="22" t="s">
        <v>26</v>
      </c>
      <c r="I3" s="32">
        <v>1</v>
      </c>
      <c r="J3" s="22" t="s">
        <v>26</v>
      </c>
      <c r="K3" s="32">
        <v>0</v>
      </c>
      <c r="L3" s="2"/>
      <c r="N3" s="22" t="s">
        <v>27</v>
      </c>
      <c r="O3" s="32">
        <v>1</v>
      </c>
      <c r="P3" s="22" t="s">
        <v>27</v>
      </c>
      <c r="Q3" s="32">
        <v>0</v>
      </c>
      <c r="R3" s="2"/>
      <c r="T3" s="22" t="s">
        <v>28</v>
      </c>
      <c r="U3" s="32">
        <v>1</v>
      </c>
      <c r="V3" s="22" t="s">
        <v>28</v>
      </c>
      <c r="W3" s="32">
        <v>0</v>
      </c>
      <c r="X3" s="2"/>
    </row>
    <row r="4" spans="1:24" s="1" customFormat="1" ht="11.25" x14ac:dyDescent="0.2">
      <c r="A4" s="33" t="s">
        <v>29</v>
      </c>
      <c r="B4" s="22" t="s">
        <v>30</v>
      </c>
      <c r="C4" s="32">
        <v>1</v>
      </c>
      <c r="D4" s="22" t="s">
        <v>30</v>
      </c>
      <c r="E4" s="32">
        <v>0</v>
      </c>
      <c r="F4" s="2"/>
      <c r="H4" s="22" t="s">
        <v>31</v>
      </c>
      <c r="I4" s="32">
        <v>0.5</v>
      </c>
      <c r="J4" s="22" t="s">
        <v>32</v>
      </c>
      <c r="K4" s="32">
        <v>0.5</v>
      </c>
      <c r="L4" s="2"/>
      <c r="N4" s="22" t="s">
        <v>33</v>
      </c>
      <c r="O4" s="32">
        <v>0.5</v>
      </c>
      <c r="P4" s="22" t="s">
        <v>34</v>
      </c>
      <c r="Q4" s="32">
        <v>0.5</v>
      </c>
      <c r="R4" s="2"/>
      <c r="T4" s="22" t="s">
        <v>28</v>
      </c>
      <c r="U4" s="32">
        <v>1</v>
      </c>
      <c r="V4" s="22" t="s">
        <v>28</v>
      </c>
      <c r="W4" s="32">
        <v>0</v>
      </c>
      <c r="X4" s="2"/>
    </row>
    <row r="5" spans="1:24" s="1" customFormat="1" ht="11.25" x14ac:dyDescent="0.2">
      <c r="A5" s="33" t="s">
        <v>35</v>
      </c>
      <c r="B5" s="22" t="s">
        <v>36</v>
      </c>
      <c r="C5" s="32">
        <v>1</v>
      </c>
      <c r="D5" s="22" t="s">
        <v>36</v>
      </c>
      <c r="E5" s="32">
        <v>0</v>
      </c>
      <c r="F5" s="2"/>
      <c r="H5" s="22" t="s">
        <v>37</v>
      </c>
      <c r="I5" s="32">
        <v>1</v>
      </c>
      <c r="J5" s="22" t="s">
        <v>32</v>
      </c>
      <c r="K5" s="32">
        <v>0</v>
      </c>
      <c r="L5" s="2"/>
      <c r="N5" s="22" t="s">
        <v>38</v>
      </c>
      <c r="O5" s="32">
        <v>0.5</v>
      </c>
      <c r="P5" s="22" t="s">
        <v>32</v>
      </c>
      <c r="Q5" s="32">
        <v>0.5</v>
      </c>
      <c r="R5" s="2"/>
      <c r="T5" s="22" t="s">
        <v>28</v>
      </c>
      <c r="U5" s="32">
        <v>1</v>
      </c>
      <c r="V5" s="22" t="s">
        <v>28</v>
      </c>
      <c r="W5" s="32">
        <v>0</v>
      </c>
      <c r="X5" s="2"/>
    </row>
    <row r="6" spans="1:24" s="1" customFormat="1" ht="11.25" x14ac:dyDescent="0.2">
      <c r="A6" s="33" t="s">
        <v>39</v>
      </c>
      <c r="B6" s="22" t="s">
        <v>40</v>
      </c>
      <c r="C6" s="32">
        <v>0.5</v>
      </c>
      <c r="D6" s="22" t="s">
        <v>41</v>
      </c>
      <c r="E6" s="32">
        <v>0.5</v>
      </c>
      <c r="F6" s="2"/>
      <c r="H6" s="22" t="s">
        <v>42</v>
      </c>
      <c r="I6" s="32">
        <v>0.5</v>
      </c>
      <c r="J6" s="22" t="s">
        <v>43</v>
      </c>
      <c r="K6" s="32">
        <v>0.5</v>
      </c>
      <c r="L6" s="2"/>
      <c r="N6" s="22" t="s">
        <v>32</v>
      </c>
      <c r="O6" s="32">
        <v>0.5</v>
      </c>
      <c r="P6" s="22" t="s">
        <v>44</v>
      </c>
      <c r="Q6" s="32">
        <v>0.5</v>
      </c>
      <c r="R6" s="2"/>
      <c r="T6" s="22" t="s">
        <v>28</v>
      </c>
      <c r="U6" s="32">
        <v>1</v>
      </c>
      <c r="V6" s="22" t="s">
        <v>28</v>
      </c>
      <c r="W6" s="32">
        <v>0</v>
      </c>
      <c r="X6" s="2"/>
    </row>
    <row r="7" spans="1:24" s="1" customFormat="1" ht="11.25" x14ac:dyDescent="0.2">
      <c r="A7" s="34" t="s">
        <v>45</v>
      </c>
      <c r="B7" s="22" t="s">
        <v>41</v>
      </c>
      <c r="C7" s="32">
        <v>0.5</v>
      </c>
      <c r="D7" s="22" t="s">
        <v>46</v>
      </c>
      <c r="E7" s="32">
        <v>0.5</v>
      </c>
      <c r="F7" s="2"/>
      <c r="H7" s="22" t="s">
        <v>43</v>
      </c>
      <c r="I7" s="32">
        <v>0.5</v>
      </c>
      <c r="J7" s="22" t="s">
        <v>47</v>
      </c>
      <c r="K7" s="32">
        <v>0.5</v>
      </c>
      <c r="L7" s="2"/>
      <c r="N7" s="22" t="s">
        <v>48</v>
      </c>
      <c r="O7" s="32">
        <v>1</v>
      </c>
      <c r="P7" s="22" t="s">
        <v>48</v>
      </c>
      <c r="Q7" s="32">
        <v>0</v>
      </c>
      <c r="R7" s="2"/>
      <c r="T7" s="22" t="s">
        <v>28</v>
      </c>
      <c r="U7" s="32">
        <v>1</v>
      </c>
      <c r="V7" s="22" t="s">
        <v>28</v>
      </c>
      <c r="W7" s="32">
        <v>0</v>
      </c>
      <c r="X7" s="2"/>
    </row>
    <row r="8" spans="1:24" s="1" customFormat="1" ht="11.25" x14ac:dyDescent="0.2">
      <c r="A8" s="34" t="s">
        <v>49</v>
      </c>
      <c r="B8" s="22" t="s">
        <v>50</v>
      </c>
      <c r="C8" s="32">
        <v>1</v>
      </c>
      <c r="D8" s="22" t="s">
        <v>50</v>
      </c>
      <c r="E8" s="32">
        <v>0</v>
      </c>
      <c r="F8" s="2"/>
      <c r="H8" s="22" t="s">
        <v>47</v>
      </c>
      <c r="I8" s="32">
        <v>0.5</v>
      </c>
      <c r="J8" s="22" t="s">
        <v>51</v>
      </c>
      <c r="K8" s="32">
        <v>0.5</v>
      </c>
      <c r="L8" s="2"/>
      <c r="N8" s="22" t="s">
        <v>52</v>
      </c>
      <c r="O8" s="32">
        <v>0.5</v>
      </c>
      <c r="P8" s="22" t="s">
        <v>53</v>
      </c>
      <c r="Q8" s="32">
        <v>0.5</v>
      </c>
      <c r="R8" s="2"/>
      <c r="T8" s="22" t="s">
        <v>28</v>
      </c>
      <c r="U8" s="32">
        <v>1</v>
      </c>
      <c r="V8" s="22" t="s">
        <v>28</v>
      </c>
      <c r="W8" s="32">
        <v>0</v>
      </c>
      <c r="X8" s="2"/>
    </row>
    <row r="9" spans="1:24" s="1" customFormat="1" ht="11.25" x14ac:dyDescent="0.2">
      <c r="A9" s="34" t="s">
        <v>54</v>
      </c>
      <c r="B9" s="22" t="s">
        <v>50</v>
      </c>
      <c r="C9" s="32">
        <v>0.5</v>
      </c>
      <c r="D9" s="22" t="s">
        <v>55</v>
      </c>
      <c r="E9" s="32">
        <v>0.5</v>
      </c>
      <c r="F9" s="2"/>
      <c r="H9" s="22" t="s">
        <v>51</v>
      </c>
      <c r="I9" s="32">
        <v>0.5</v>
      </c>
      <c r="J9" s="22" t="s">
        <v>56</v>
      </c>
      <c r="K9" s="32">
        <v>0.5</v>
      </c>
      <c r="L9" s="2"/>
      <c r="N9" s="22" t="s">
        <v>53</v>
      </c>
      <c r="O9" s="32">
        <v>0.5</v>
      </c>
      <c r="P9" s="22" t="s">
        <v>57</v>
      </c>
      <c r="Q9" s="32">
        <v>0.5</v>
      </c>
      <c r="R9" s="2"/>
      <c r="T9" s="22" t="s">
        <v>47</v>
      </c>
      <c r="U9" s="32">
        <v>1</v>
      </c>
      <c r="V9" s="22" t="s">
        <v>28</v>
      </c>
      <c r="W9" s="32">
        <v>0</v>
      </c>
      <c r="X9" s="2"/>
    </row>
    <row r="10" spans="1:24" s="1" customFormat="1" ht="11.25" x14ac:dyDescent="0.2">
      <c r="A10" s="34" t="s">
        <v>58</v>
      </c>
      <c r="B10" s="22"/>
      <c r="C10" s="32">
        <v>1</v>
      </c>
      <c r="D10" s="22"/>
      <c r="E10" s="32">
        <v>0</v>
      </c>
      <c r="F10" s="2"/>
      <c r="H10" s="22" t="s">
        <v>59</v>
      </c>
      <c r="I10" s="32">
        <v>1</v>
      </c>
      <c r="J10" s="22" t="s">
        <v>60</v>
      </c>
      <c r="K10" s="32">
        <v>0</v>
      </c>
      <c r="L10" s="2"/>
      <c r="N10" s="22" t="s">
        <v>61</v>
      </c>
      <c r="O10" s="32">
        <v>1</v>
      </c>
      <c r="P10" s="22"/>
      <c r="Q10" s="32">
        <v>0</v>
      </c>
      <c r="R10" s="2"/>
      <c r="T10" s="22" t="s">
        <v>62</v>
      </c>
      <c r="U10" s="32">
        <v>1</v>
      </c>
      <c r="V10" s="22" t="s">
        <v>28</v>
      </c>
      <c r="W10" s="32">
        <v>0</v>
      </c>
      <c r="X10" s="2"/>
    </row>
    <row r="11" spans="1:24" s="1" customFormat="1" ht="11.25" x14ac:dyDescent="0.2">
      <c r="A11" s="35"/>
      <c r="B11" s="20"/>
      <c r="C11" s="29"/>
      <c r="D11" s="29"/>
      <c r="E11" s="29"/>
      <c r="F11" s="29"/>
      <c r="H11" s="20"/>
      <c r="I11" s="29"/>
      <c r="J11" s="29"/>
      <c r="K11" s="29"/>
      <c r="L11" s="29"/>
      <c r="N11" s="20"/>
      <c r="O11" s="29"/>
      <c r="P11" s="29"/>
      <c r="Q11" s="29"/>
      <c r="R11" s="29"/>
      <c r="T11" s="20"/>
      <c r="U11" s="29"/>
      <c r="V11" s="29"/>
      <c r="W11" s="29"/>
      <c r="X11" s="29"/>
    </row>
    <row r="12" spans="1:24" s="1" customFormat="1" ht="22.5" x14ac:dyDescent="0.2">
      <c r="A12" s="25" t="s">
        <v>63</v>
      </c>
      <c r="B12" s="8">
        <v>0.93</v>
      </c>
      <c r="C12" s="29"/>
      <c r="D12" s="29"/>
      <c r="E12" s="29"/>
      <c r="F12" s="29"/>
      <c r="H12" s="8">
        <v>0.93</v>
      </c>
      <c r="I12" s="29"/>
      <c r="J12" s="29"/>
      <c r="K12" s="29"/>
      <c r="L12" s="29"/>
      <c r="N12" s="8">
        <v>0.93</v>
      </c>
      <c r="O12" s="29"/>
      <c r="P12" s="29"/>
      <c r="Q12" s="29"/>
      <c r="R12" s="29"/>
      <c r="T12" s="8">
        <v>0.93</v>
      </c>
      <c r="U12" s="29"/>
      <c r="V12" s="29"/>
      <c r="W12" s="29"/>
      <c r="X12" s="29"/>
    </row>
    <row r="13" spans="1:24" s="1" customFormat="1" ht="11.25" x14ac:dyDescent="0.2">
      <c r="A13" s="33" t="s">
        <v>24</v>
      </c>
      <c r="B13" s="21">
        <f>(VLOOKUP(B3,JZ!$A$1:$H$227,8,FALSE)*C3+VLOOKUP(D3,JZ!$A$1:$H$227,8,FALSE)*Inschaling!E3)*$B$12</f>
        <v>3080.6258742</v>
      </c>
      <c r="C13" s="29"/>
      <c r="D13" s="29"/>
      <c r="E13" s="29"/>
      <c r="F13" s="29"/>
      <c r="H13" s="21">
        <f>(VLOOKUP(H3,GGZ!$A$1:$J$205,10,FALSE)*I3+VLOOKUP(J3,GGZ!$A$1:$J$205,10,FALSE)*Inschaling!K3)*$H$12</f>
        <v>2311.5243000000005</v>
      </c>
      <c r="I13" s="29"/>
      <c r="J13" s="29"/>
      <c r="K13" s="29"/>
      <c r="L13" s="29"/>
      <c r="N13" s="21">
        <f>(VLOOKUP(N3,GHZ!$A$1:$J$227,10,FALSE)*O3+VLOOKUP(P3,GHZ!$A$1:$J$227,10,FALSE)*Inschaling!Q3)*$N$12</f>
        <v>2743.2675000000004</v>
      </c>
      <c r="O13" s="29"/>
      <c r="P13" s="29"/>
      <c r="Q13" s="29"/>
      <c r="R13" s="29"/>
      <c r="T13" s="21" t="e">
        <f>VLOOKUP(T3,#REF!,3,FALSE)*U3+VLOOKUP(V3,#REF!,3,FALSE)*Inschaling!W3</f>
        <v>#REF!</v>
      </c>
      <c r="U13" s="29"/>
      <c r="V13" s="29"/>
      <c r="W13" s="29"/>
      <c r="X13" s="29"/>
    </row>
    <row r="14" spans="1:24" s="1" customFormat="1" ht="11.25" x14ac:dyDescent="0.2">
      <c r="A14" s="33" t="s">
        <v>29</v>
      </c>
      <c r="B14" s="21">
        <f>(VLOOKUP(B4,JZ!$A$1:$H$227,8,FALSE)*C4+VLOOKUP(D4,JZ!$A$1:$H$227,8,FALSE)*Inschaling!E4)*$B$12</f>
        <v>3321.3389343750005</v>
      </c>
      <c r="C14" s="29"/>
      <c r="D14" s="29"/>
      <c r="E14" s="29"/>
      <c r="F14" s="29"/>
      <c r="H14" s="21">
        <f>(VLOOKUP(H4,GGZ!$A$1:$J$205,10,FALSE)*I4+VLOOKUP(J4,GGZ!$A$1:$J$205,10,FALSE)*Inschaling!K4)*$H$12</f>
        <v>3237.1129999999998</v>
      </c>
      <c r="I14" s="29"/>
      <c r="J14" s="29"/>
      <c r="K14" s="29"/>
      <c r="L14" s="29"/>
      <c r="N14" s="21">
        <f>(VLOOKUP(N4,GHZ!$A$1:$J$227,10,FALSE)*O4+VLOOKUP(P4,GHZ!$A$1:$J$227,10,FALSE)*Inschaling!Q4)*$N$12</f>
        <v>2997.3512500000002</v>
      </c>
      <c r="O14" s="29"/>
      <c r="P14" s="29"/>
      <c r="Q14" s="29"/>
      <c r="R14" s="29"/>
      <c r="T14" s="21" t="e">
        <f>VLOOKUP(T4,#REF!,3,FALSE)*U4+VLOOKUP(V4,#REF!,3,FALSE)*Inschaling!W4</f>
        <v>#REF!</v>
      </c>
      <c r="U14" s="29"/>
      <c r="V14" s="29"/>
      <c r="W14" s="29"/>
      <c r="X14" s="29"/>
    </row>
    <row r="15" spans="1:24" s="1" customFormat="1" ht="11.25" x14ac:dyDescent="0.2">
      <c r="A15" s="33" t="s">
        <v>35</v>
      </c>
      <c r="B15" s="21">
        <f>(VLOOKUP(B5,JZ!$A$1:$H$227,8,FALSE)*C5+VLOOKUP(D5,JZ!$A$1:$H$227,8,FALSE)*Inschaling!E5)*$B$12</f>
        <v>3593.2819293000007</v>
      </c>
      <c r="C15" s="29"/>
      <c r="D15" s="29"/>
      <c r="E15" s="29"/>
      <c r="F15" s="29"/>
      <c r="H15" s="21">
        <f>(VLOOKUP(H5,GGZ!$A$1:$J$205,10,FALSE)*I5+VLOOKUP(J5,GGZ!$A$1:$J$205,10,FALSE)*Inschaling!K5)*$H$12</f>
        <v>3336.9888000000001</v>
      </c>
      <c r="I15" s="29"/>
      <c r="J15" s="29"/>
      <c r="K15" s="29"/>
      <c r="L15" s="29"/>
      <c r="N15" s="21">
        <f>(VLOOKUP(N5,GHZ!$A$1:$J$227,10,FALSE)*O5+VLOOKUP(P5,GHZ!$A$1:$J$227,10,FALSE)*Inschaling!Q5)*$N$12</f>
        <v>3485.1362500000005</v>
      </c>
      <c r="O15" s="29"/>
      <c r="P15" s="29"/>
      <c r="Q15" s="29"/>
      <c r="R15" s="29"/>
      <c r="T15" s="21" t="e">
        <f>VLOOKUP(T5,#REF!,3,FALSE)*U5+VLOOKUP(V5,#REF!,3,FALSE)*Inschaling!W5</f>
        <v>#REF!</v>
      </c>
      <c r="U15" s="29"/>
      <c r="V15" s="29"/>
      <c r="W15" s="29"/>
      <c r="X15" s="29"/>
    </row>
    <row r="16" spans="1:24" s="1" customFormat="1" ht="11.25" x14ac:dyDescent="0.2">
      <c r="A16" s="33" t="s">
        <v>39</v>
      </c>
      <c r="B16" s="21">
        <f>(VLOOKUP(B6,JZ!$A$1:$H$227,8,FALSE)*C6+VLOOKUP(D6,JZ!$A$1:$H$227,8,FALSE)*Inschaling!E6)*$B$12</f>
        <v>4078.0533921749998</v>
      </c>
      <c r="C16" s="29"/>
      <c r="D16" s="29"/>
      <c r="E16" s="29"/>
      <c r="F16" s="29"/>
      <c r="H16" s="21">
        <f>(VLOOKUP(H6,GGZ!$A$1:$J$205,10,FALSE)*I6+VLOOKUP(J6,GGZ!$A$1:$J$205,10,FALSE)*Inschaling!K6)*$H$12</f>
        <v>4263.4594500000003</v>
      </c>
      <c r="I16" s="29"/>
      <c r="J16" s="29"/>
      <c r="K16" s="29"/>
      <c r="L16" s="29"/>
      <c r="N16" s="21">
        <f>(VLOOKUP(N6,GHZ!$A$1:$J$227,10,FALSE)*O6+VLOOKUP(P6,GHZ!$A$1:$J$227,10,FALSE)*Inschaling!Q6)*$N$12</f>
        <v>3828.5000000000005</v>
      </c>
      <c r="O16" s="29"/>
      <c r="P16" s="29"/>
      <c r="Q16" s="29"/>
      <c r="R16" s="29"/>
      <c r="T16" s="21" t="e">
        <f>VLOOKUP(T6,#REF!,3,FALSE)*U6+VLOOKUP(V6,#REF!,3,FALSE)*Inschaling!W6</f>
        <v>#REF!</v>
      </c>
      <c r="U16" s="29"/>
      <c r="V16" s="29"/>
      <c r="W16" s="29"/>
      <c r="X16" s="29"/>
    </row>
    <row r="17" spans="1:24" s="1" customFormat="1" ht="11.25" x14ac:dyDescent="0.2">
      <c r="A17" s="34" t="s">
        <v>45</v>
      </c>
      <c r="B17" s="21">
        <f>(VLOOKUP(B7,JZ!$A$1:$H$227,8,FALSE)*C7+VLOOKUP(D7,JZ!$A$1:$H$227,8,FALSE)*Inschaling!E7)*$B$12</f>
        <v>4453.7171655375005</v>
      </c>
      <c r="C17" s="29"/>
      <c r="D17" s="29"/>
      <c r="E17" s="29"/>
      <c r="F17" s="29"/>
      <c r="H17" s="21">
        <f>(VLOOKUP(H7,GGZ!$A$1:$J$205,10,FALSE)*I7+VLOOKUP(J7,GGZ!$A$1:$J$205,10,FALSE)*Inschaling!K7)*$H$12</f>
        <v>4768.5517500000005</v>
      </c>
      <c r="I17" s="29"/>
      <c r="J17" s="29"/>
      <c r="K17" s="29"/>
      <c r="L17" s="29"/>
      <c r="N17" s="21">
        <f>(VLOOKUP(N7,GHZ!$A$1:$J$227,10,FALSE)*O7+VLOOKUP(P7,GHZ!$A$1:$J$227,10,FALSE)*Inschaling!Q7)*$N$12</f>
        <v>4440.5950000000003</v>
      </c>
      <c r="O17" s="29"/>
      <c r="P17" s="29"/>
      <c r="Q17" s="29"/>
      <c r="R17" s="29"/>
      <c r="T17" s="21" t="e">
        <f>VLOOKUP(T7,#REF!,3,FALSE)*U7+VLOOKUP(V7,#REF!,3,FALSE)*Inschaling!W7</f>
        <v>#REF!</v>
      </c>
      <c r="U17" s="29"/>
      <c r="V17" s="29"/>
      <c r="W17" s="29"/>
      <c r="X17" s="29"/>
    </row>
    <row r="18" spans="1:24" s="1" customFormat="1" ht="11.25" x14ac:dyDescent="0.2">
      <c r="A18" s="34" t="s">
        <v>49</v>
      </c>
      <c r="B18" s="21">
        <f>(VLOOKUP(B8,JZ!$A$1:$H$227,8,FALSE)*C8+VLOOKUP(D8,JZ!$A$1:$H$227,8,FALSE)*Inschaling!E8)*$B$12</f>
        <v>5354.9029185750005</v>
      </c>
      <c r="C18" s="29"/>
      <c r="D18" s="29"/>
      <c r="E18" s="29"/>
      <c r="F18" s="29"/>
      <c r="H18" s="21">
        <f>(VLOOKUP(H8,GGZ!$A$1:$J$205,10,FALSE)*I8+VLOOKUP(J8,GGZ!$A$1:$J$205,10,FALSE)*Inschaling!K8)*$H$12</f>
        <v>5465.0241000000005</v>
      </c>
      <c r="I18" s="29"/>
      <c r="J18" s="29"/>
      <c r="K18" s="29"/>
      <c r="L18" s="29"/>
      <c r="N18" s="21">
        <f>(VLOOKUP(N8,GHZ!$A$1:$J$227,10,FALSE)*O8+VLOOKUP(P8,GHZ!$A$1:$J$227,10,FALSE)*Inschaling!Q8)*$N$12</f>
        <v>5508.3125000000009</v>
      </c>
      <c r="O18" s="29"/>
      <c r="P18" s="29"/>
      <c r="Q18" s="29"/>
      <c r="R18" s="29"/>
      <c r="T18" s="21" t="e">
        <f>VLOOKUP(T8,#REF!,3,FALSE)*U8+VLOOKUP(V8,#REF!,3,FALSE)*Inschaling!W8</f>
        <v>#REF!</v>
      </c>
      <c r="U18" s="29"/>
      <c r="V18" s="29"/>
      <c r="W18" s="29"/>
      <c r="X18" s="29"/>
    </row>
    <row r="19" spans="1:24" s="1" customFormat="1" ht="11.25" x14ac:dyDescent="0.2">
      <c r="A19" s="34" t="s">
        <v>54</v>
      </c>
      <c r="B19" s="21">
        <f>(VLOOKUP(B9,JZ!$A$1:$H$227,8,FALSE)*C9+VLOOKUP(D9,JZ!$A$1:$H$227,8,FALSE)*Inschaling!E9)*$B$12</f>
        <v>5748.9104885625002</v>
      </c>
      <c r="C19" s="29"/>
      <c r="D19" s="29"/>
      <c r="E19" s="29"/>
      <c r="F19" s="29"/>
      <c r="H19" s="21">
        <f>(VLOOKUP(H9,GGZ!$A$1:$J$205,10,FALSE)*I9+VLOOKUP(J9,GGZ!$A$1:$J$205,10,FALSE)*Inschaling!K9)*$H$12</f>
        <v>6444.8209500000003</v>
      </c>
      <c r="I19" s="29"/>
      <c r="J19" s="29"/>
      <c r="K19" s="29"/>
      <c r="L19" s="29"/>
      <c r="N19" s="21">
        <f>(VLOOKUP(N9,GHZ!$A$1:$J$227,10,FALSE)*O9+VLOOKUP(P9,GHZ!$A$1:$J$227,10,FALSE)*Inschaling!Q9)*$N$12</f>
        <v>6521.4700000000012</v>
      </c>
      <c r="O19" s="29"/>
      <c r="P19" s="29"/>
      <c r="Q19" s="29"/>
      <c r="R19" s="29"/>
      <c r="T19" s="21" t="e">
        <f>VLOOKUP(T9,#REF!,3,FALSE)*U9+VLOOKUP(V9,#REF!,3,FALSE)*Inschaling!W9</f>
        <v>#REF!</v>
      </c>
      <c r="U19" s="29"/>
      <c r="V19" s="29"/>
      <c r="W19" s="29"/>
      <c r="X19" s="29"/>
    </row>
    <row r="20" spans="1:24" s="1" customFormat="1" ht="11.25" x14ac:dyDescent="0.2">
      <c r="A20" s="34" t="s">
        <v>64</v>
      </c>
      <c r="B20" s="21">
        <f>H20</f>
        <v>9764.7767999999996</v>
      </c>
      <c r="C20" s="29"/>
      <c r="D20" s="29"/>
      <c r="E20" s="29"/>
      <c r="F20" s="29"/>
      <c r="H20" s="21">
        <f>(VLOOKUP(H10,GGZ!$A$1:$J$205,10,FALSE)*I10+VLOOKUP(J10,GGZ!$A$1:$J$205,10,FALSE)*Inschaling!K10)*$H$12</f>
        <v>9764.7767999999996</v>
      </c>
      <c r="I20" s="29"/>
      <c r="J20" s="29"/>
      <c r="K20" s="29"/>
      <c r="L20" s="29"/>
      <c r="N20" s="21">
        <f>H20</f>
        <v>9764.7767999999996</v>
      </c>
      <c r="O20" s="29"/>
      <c r="P20" s="29"/>
      <c r="Q20" s="29"/>
      <c r="R20" s="29"/>
      <c r="T20" s="21" t="e">
        <f>VLOOKUP(T10,#REF!,3,FALSE)*U10+VLOOKUP(V10,#REF!,3,FALSE)*Inschaling!W10</f>
        <v>#REF!</v>
      </c>
      <c r="U20" s="29"/>
      <c r="V20" s="29"/>
      <c r="W20" s="29"/>
      <c r="X20" s="29"/>
    </row>
    <row r="22" spans="1:24" ht="14.25" x14ac:dyDescent="0.2">
      <c r="A22" s="34" t="s">
        <v>65</v>
      </c>
      <c r="B22" s="17" t="s">
        <v>66</v>
      </c>
    </row>
  </sheetData>
  <mergeCells count="4">
    <mergeCell ref="B1:F1"/>
    <mergeCell ref="H1:L1"/>
    <mergeCell ref="N1:R1"/>
    <mergeCell ref="T1:X1"/>
  </mergeCells>
  <hyperlinks>
    <hyperlink ref="B22" r:id="rId1" display="https://www.jeugdzorg-werkt.nl/sites/fcb_jeugdzorg/files/2022-06/Bijlage-11-Functieboek-Cao-Jeugdzorg-2021-2023-compleet.pdf" xr:uid="{51E92710-0664-41E9-BE15-0289241952F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E635B964-1D01-445C-9157-FBEB7F9C9504}">
          <x14:formula1>
            <xm:f>'Schalen en tredes'!$B$2:$B$211</xm:f>
          </x14:formula1>
          <xm:sqref>B3:B10 D3:D10</xm:sqref>
        </x14:dataValidation>
        <x14:dataValidation type="list" allowBlank="1" showInputMessage="1" showErrorMessage="1" xr:uid="{A4F11379-9E27-4FF3-804C-1B639DA7CBFD}">
          <x14:formula1>
            <xm:f>'Schalen en tredes'!$D$2:$D$214</xm:f>
          </x14:formula1>
          <xm:sqref>N3:N10 P3:P10</xm:sqref>
        </x14:dataValidation>
        <x14:dataValidation type="list" allowBlank="1" showInputMessage="1" showErrorMessage="1" xr:uid="{1CC5DB04-EA49-4EF0-8984-59A77766229E}">
          <x14:formula1>
            <xm:f>'Schalen en tredes'!$C$2:$C$236</xm:f>
          </x14:formula1>
          <xm:sqref>H3:H10 J3:J10</xm:sqref>
        </x14:dataValidation>
        <x14:dataValidation type="list" allowBlank="1" showInputMessage="1" showErrorMessage="1" xr:uid="{19085CBD-035E-4DD2-AC9B-1868C2F389B5}">
          <x14:formula1>
            <xm:f>'Schalen en tredes'!$E$2:$E$223</xm:f>
          </x14:formula1>
          <xm:sqref>T3:T10 V3:V10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434A3-B958-4D73-B5C7-541AE17DCEAF}">
  <dimension ref="A1"/>
  <sheetViews>
    <sheetView workbookViewId="0"/>
  </sheetViews>
  <sheetFormatPr defaultRowHeight="12"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2F92-7D19-4241-BEA6-164E5B086B87}">
  <dimension ref="A1"/>
  <sheetViews>
    <sheetView workbookViewId="0">
      <selection activeCell="H45" sqref="H45"/>
    </sheetView>
  </sheetViews>
  <sheetFormatPr defaultRowHeight="12"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FF80-8226-438B-91B2-0B02520FEBC8}">
  <sheetPr>
    <tabColor theme="5"/>
  </sheetPr>
  <dimension ref="A1:U113"/>
  <sheetViews>
    <sheetView zoomScaleNormal="100" workbookViewId="0">
      <pane xSplit="1" ySplit="1" topLeftCell="B28" activePane="bottomRight" state="frozen"/>
      <selection pane="topRight" activeCell="B1" sqref="B1"/>
      <selection pane="bottomLeft" activeCell="A2" sqref="A2"/>
      <selection pane="bottomRight" activeCell="H61" sqref="H61"/>
    </sheetView>
  </sheetViews>
  <sheetFormatPr defaultRowHeight="12" x14ac:dyDescent="0.2"/>
  <cols>
    <col min="1" max="1" width="10.7109375" bestFit="1" customWidth="1"/>
    <col min="2" max="2" width="67" customWidth="1"/>
    <col min="3" max="15" width="20.5703125" customWidth="1"/>
    <col min="16" max="16" width="12.7109375" customWidth="1"/>
  </cols>
  <sheetData>
    <row r="1" spans="1:19" ht="34.35" customHeight="1" thickBot="1" x14ac:dyDescent="0.25">
      <c r="C1" s="55" t="s">
        <v>150</v>
      </c>
      <c r="D1" s="55" t="s">
        <v>151</v>
      </c>
      <c r="E1" s="55" t="s">
        <v>152</v>
      </c>
      <c r="F1" s="55" t="s">
        <v>153</v>
      </c>
      <c r="G1" s="55" t="s">
        <v>154</v>
      </c>
      <c r="H1" s="55" t="s">
        <v>155</v>
      </c>
      <c r="I1" s="55" t="s">
        <v>156</v>
      </c>
      <c r="J1" s="55" t="s">
        <v>157</v>
      </c>
      <c r="K1" s="55" t="s">
        <v>158</v>
      </c>
      <c r="L1" s="55" t="s">
        <v>159</v>
      </c>
      <c r="M1" s="56" t="s">
        <v>160</v>
      </c>
      <c r="N1" s="59" t="s">
        <v>161</v>
      </c>
      <c r="O1" s="59" t="s">
        <v>162</v>
      </c>
    </row>
    <row r="2" spans="1:19" ht="11.45" customHeight="1" x14ac:dyDescent="0.2">
      <c r="A2" s="291" t="s">
        <v>163</v>
      </c>
      <c r="B2" s="113" t="s">
        <v>164</v>
      </c>
      <c r="C2" s="114">
        <f>IFERROR(SUMIFS('Omzet per aanbieder per perceel'!$B:$B,'Omzet per aanbieder per perceel'!$A:$A,Uitvraag!C1),"")</f>
        <v>0</v>
      </c>
      <c r="D2" s="114">
        <f>IFERROR(SUMIFS('Omzet per aanbieder per perceel'!$B:$B,'Omzet per aanbieder per perceel'!$A:$A,Uitvraag!D1),"")</f>
        <v>2694818</v>
      </c>
      <c r="E2" s="114">
        <f>IFERROR(SUMIFS('Omzet per aanbieder per perceel'!$B:$B,'Omzet per aanbieder per perceel'!$A:$A,Uitvraag!E1),"")</f>
        <v>1119905</v>
      </c>
      <c r="F2" s="114">
        <f>IFERROR(SUMIFS('Omzet per aanbieder per perceel'!$B:$B,'Omzet per aanbieder per perceel'!$A:$A,Uitvraag!F1),"")</f>
        <v>1498373</v>
      </c>
      <c r="G2" s="114">
        <f>IFERROR(SUMIFS('Omzet per aanbieder per perceel'!$B:$B,'Omzet per aanbieder per perceel'!$A:$A,Uitvraag!G1),"")</f>
        <v>645237</v>
      </c>
      <c r="H2" s="114">
        <f>IFERROR(SUMIFS('Omzet per aanbieder per perceel'!$B:$B,'Omzet per aanbieder per perceel'!$A:$A,Uitvraag!H1),"")</f>
        <v>77122</v>
      </c>
      <c r="I2" s="114">
        <f>IFERROR(SUMIFS('Omzet per aanbieder per perceel'!$B:$B,'Omzet per aanbieder per perceel'!$A:$A,Uitvraag!I1),"")</f>
        <v>1228413</v>
      </c>
      <c r="J2" s="114">
        <f>IFERROR(SUMIFS('Omzet per aanbieder per perceel'!$B:$B,'Omzet per aanbieder per perceel'!$A:$A,Uitvraag!J1),"")</f>
        <v>354740</v>
      </c>
      <c r="K2" s="114">
        <f>IFERROR(SUMIFS('Omzet per aanbieder per perceel'!$B:$B,'Omzet per aanbieder per perceel'!$A:$A,Uitvraag!K1),"")</f>
        <v>9290208</v>
      </c>
      <c r="L2" s="114">
        <f>IFERROR(SUMIFS('Omzet per aanbieder per perceel'!$B:$B,'Omzet per aanbieder per perceel'!$A:$A,Uitvraag!L1),"")</f>
        <v>674431</v>
      </c>
      <c r="M2" s="114">
        <f>IFERROR(SUMIFS('Omzet per aanbieder per perceel'!$B:$B,'Omzet per aanbieder per perceel'!$A:$A,Uitvraag!M1),"")</f>
        <v>2863529</v>
      </c>
      <c r="N2" s="115"/>
      <c r="O2" s="115"/>
      <c r="P2" s="60">
        <f>+SUM(C2:M2)/'Omzet per aanbieder per perceel'!B91</f>
        <v>0.68580474284103166</v>
      </c>
      <c r="Q2" s="40" t="s">
        <v>165</v>
      </c>
      <c r="R2" s="40"/>
      <c r="S2" s="40"/>
    </row>
    <row r="3" spans="1:19" x14ac:dyDescent="0.2">
      <c r="A3" s="292"/>
      <c r="B3" s="116" t="s">
        <v>166</v>
      </c>
      <c r="C3" s="117">
        <f t="shared" ref="C3:M3" si="0">IFERROR(C$2/SUM($C2:$M2),"")</f>
        <v>0</v>
      </c>
      <c r="D3" s="117">
        <f t="shared" si="0"/>
        <v>0.13179671944369126</v>
      </c>
      <c r="E3" s="117">
        <f t="shared" si="0"/>
        <v>5.4771715599564452E-2</v>
      </c>
      <c r="F3" s="117">
        <f t="shared" si="0"/>
        <v>7.3281626404084435E-2</v>
      </c>
      <c r="G3" s="117">
        <f t="shared" si="0"/>
        <v>3.1556906575393597E-2</v>
      </c>
      <c r="H3" s="117">
        <f t="shared" si="0"/>
        <v>3.7718415851966101E-3</v>
      </c>
      <c r="I3" s="117">
        <f t="shared" si="0"/>
        <v>6.0078566909521576E-2</v>
      </c>
      <c r="J3" s="117">
        <f t="shared" si="0"/>
        <v>1.734943445362731E-2</v>
      </c>
      <c r="K3" s="117">
        <f t="shared" si="0"/>
        <v>0.45436053097075058</v>
      </c>
      <c r="L3" s="117">
        <f t="shared" si="0"/>
        <v>3.2984711134899702E-2</v>
      </c>
      <c r="M3" s="117">
        <f t="shared" si="0"/>
        <v>0.14004794692327044</v>
      </c>
      <c r="N3" s="115"/>
      <c r="O3" s="115"/>
    </row>
    <row r="4" spans="1:19" ht="12.75" thickBot="1" x14ac:dyDescent="0.25">
      <c r="A4" s="292"/>
      <c r="B4" s="116"/>
      <c r="C4" s="117"/>
      <c r="D4" s="117"/>
      <c r="E4" s="117"/>
      <c r="F4" s="117"/>
      <c r="G4" s="117"/>
      <c r="H4" s="117"/>
      <c r="I4" s="117"/>
      <c r="J4" s="117"/>
      <c r="K4" s="117"/>
      <c r="L4" s="117"/>
      <c r="M4" s="117"/>
      <c r="N4" s="115"/>
      <c r="O4" s="115"/>
    </row>
    <row r="5" spans="1:19" x14ac:dyDescent="0.2">
      <c r="A5" s="292"/>
      <c r="B5" s="118" t="s">
        <v>117</v>
      </c>
      <c r="C5" s="119">
        <v>0.09</v>
      </c>
      <c r="D5" s="120">
        <v>7.7200000000000005E-2</v>
      </c>
      <c r="E5" s="120">
        <v>6.7000000000000004E-2</v>
      </c>
      <c r="F5" s="120">
        <v>5.9400000000000001E-2</v>
      </c>
      <c r="G5" s="119" t="s">
        <v>167</v>
      </c>
      <c r="H5" s="119">
        <v>0.05</v>
      </c>
      <c r="I5" s="119">
        <v>8.5000000000000006E-2</v>
      </c>
      <c r="J5" s="120">
        <v>2.7799999999999998E-2</v>
      </c>
      <c r="K5" s="120">
        <v>6.0900000000000003E-2</v>
      </c>
      <c r="L5" s="120">
        <v>6.9099999999999995E-2</v>
      </c>
      <c r="M5" s="120">
        <v>8.8800000000000004E-2</v>
      </c>
      <c r="N5" s="121">
        <f>IFERROR(AVERAGE(C5:M5),"")</f>
        <v>6.7519999999999997E-2</v>
      </c>
      <c r="O5" s="121">
        <f>SUMPRODUCT($C5:$M5,$C$3:$M$3)</f>
        <v>6.6360982401333105E-2</v>
      </c>
    </row>
    <row r="6" spans="1:19" x14ac:dyDescent="0.2">
      <c r="A6" s="292"/>
      <c r="B6" s="122" t="s">
        <v>168</v>
      </c>
      <c r="C6" s="123"/>
      <c r="D6" s="124"/>
      <c r="E6" s="124"/>
      <c r="F6" s="125" t="s">
        <v>169</v>
      </c>
      <c r="G6" s="123" t="s">
        <v>167</v>
      </c>
      <c r="H6" s="123"/>
      <c r="I6" s="123"/>
      <c r="J6" s="123" t="s">
        <v>170</v>
      </c>
      <c r="K6" s="124"/>
      <c r="L6" s="124"/>
      <c r="M6" s="124" t="s">
        <v>171</v>
      </c>
      <c r="N6" s="126" t="str">
        <f>IFERROR(AVERAGE(C6:L6),"")</f>
        <v/>
      </c>
      <c r="O6" s="126"/>
    </row>
    <row r="7" spans="1:19" x14ac:dyDescent="0.2">
      <c r="A7" s="292"/>
      <c r="B7" s="127" t="s">
        <v>172</v>
      </c>
      <c r="C7" s="128">
        <v>0.53</v>
      </c>
      <c r="D7" s="128">
        <v>0.45</v>
      </c>
      <c r="E7" s="128">
        <v>0.56999999999999995</v>
      </c>
      <c r="F7" s="129">
        <v>0.26300000000000001</v>
      </c>
      <c r="G7" s="128"/>
      <c r="H7" s="130" t="s">
        <v>173</v>
      </c>
      <c r="I7" s="128">
        <v>0.54</v>
      </c>
      <c r="J7" s="128"/>
      <c r="K7" s="129">
        <v>0.41949999999999998</v>
      </c>
      <c r="L7" s="129">
        <v>0.2099</v>
      </c>
      <c r="M7" s="129">
        <v>0.54669999999999996</v>
      </c>
      <c r="N7" s="121">
        <f>IFERROR(AVERAGE(C7:M7),"")</f>
        <v>0.44113750000000002</v>
      </c>
      <c r="O7" s="121">
        <f>SUMPRODUCT($C7:$M7,$C$3:$M$3)</f>
        <v>0.41633584170922588</v>
      </c>
    </row>
    <row r="8" spans="1:19" ht="12.75" thickBot="1" x14ac:dyDescent="0.25">
      <c r="A8" s="292"/>
      <c r="B8" s="122" t="s">
        <v>174</v>
      </c>
      <c r="C8" s="131"/>
      <c r="D8" s="131"/>
      <c r="E8" s="131"/>
      <c r="F8" s="132"/>
      <c r="G8" s="131"/>
      <c r="H8" s="131"/>
      <c r="I8" s="131"/>
      <c r="J8" s="131"/>
      <c r="K8" s="132"/>
      <c r="L8" s="132"/>
      <c r="M8" s="132" t="s">
        <v>175</v>
      </c>
      <c r="N8" s="121" t="s">
        <v>167</v>
      </c>
      <c r="O8" s="121"/>
    </row>
    <row r="9" spans="1:19" x14ac:dyDescent="0.2">
      <c r="A9" s="53"/>
      <c r="B9" s="133"/>
      <c r="C9" s="133"/>
      <c r="D9" s="133"/>
      <c r="E9" s="133"/>
      <c r="F9" s="133"/>
      <c r="G9" s="133"/>
      <c r="H9" s="133"/>
      <c r="I9" s="133"/>
      <c r="J9" s="133"/>
      <c r="K9" s="133"/>
      <c r="L9" s="133"/>
      <c r="M9" s="133"/>
      <c r="N9" s="133"/>
      <c r="O9" s="133"/>
    </row>
    <row r="10" spans="1:19" ht="12.75" thickBot="1" x14ac:dyDescent="0.25">
      <c r="A10" s="53"/>
      <c r="B10" s="133"/>
      <c r="C10" s="133"/>
      <c r="D10" s="133"/>
      <c r="E10" s="133"/>
      <c r="F10" s="133"/>
      <c r="G10" s="133"/>
      <c r="H10" s="133"/>
      <c r="I10" s="133"/>
      <c r="J10" s="133"/>
      <c r="K10" s="133"/>
      <c r="L10" s="133"/>
      <c r="M10" s="133"/>
      <c r="N10" s="133"/>
      <c r="O10" s="133"/>
    </row>
    <row r="11" spans="1:19" x14ac:dyDescent="0.2">
      <c r="A11" s="305" t="s">
        <v>176</v>
      </c>
      <c r="B11" s="113" t="s">
        <v>177</v>
      </c>
      <c r="C11" s="114" t="str">
        <f>IFERROR(VLOOKUP(C$1,'Omzet per aanbieder per perceel'!$A$3:$B$28,2,FALSE),"")</f>
        <v/>
      </c>
      <c r="D11" s="114">
        <f>IFERROR(VLOOKUP(D$1,'Omzet per aanbieder per perceel'!$A$3:$B$28,2,FALSE),"")</f>
        <v>114603</v>
      </c>
      <c r="E11" s="114">
        <f>IFERROR(VLOOKUP(E$1,'Omzet per aanbieder per perceel'!$A$3:$B$28,2,FALSE),"")</f>
        <v>788873</v>
      </c>
      <c r="F11" s="114">
        <f>IFERROR(VLOOKUP(F$1,'Omzet per aanbieder per perceel'!$A$3:$B$28,2,FALSE),"")</f>
        <v>1498373</v>
      </c>
      <c r="G11" s="114" t="str">
        <f>IFERROR(VLOOKUP(G$1,'Omzet per aanbieder per perceel'!$A$3:$B$28,2,FALSE),"")</f>
        <v/>
      </c>
      <c r="H11" s="114" t="str">
        <f>IFERROR(VLOOKUP(H$1,'Omzet per aanbieder per perceel'!$A$3:$B$28,2,FALSE),"")</f>
        <v/>
      </c>
      <c r="I11" s="114">
        <f>IFERROR(VLOOKUP(I$1,'Omzet per aanbieder per perceel'!$A$3:$B$28,2,FALSE),"")</f>
        <v>76743</v>
      </c>
      <c r="J11" s="114">
        <f>IFERROR(VLOOKUP(J$1,'Omzet per aanbieder per perceel'!$A$3:$B$28,2,FALSE),"")</f>
        <v>5677</v>
      </c>
      <c r="K11" s="114">
        <f>IFERROR(VLOOKUP(K$1,'Omzet per aanbieder per perceel'!$A$3:$B$28,2,FALSE),"")</f>
        <v>8530433</v>
      </c>
      <c r="L11" s="114" t="str">
        <f>IFERROR(VLOOKUP(L$1,'Omzet per aanbieder per perceel'!$A$3:$B$28,2,FALSE),"")</f>
        <v/>
      </c>
      <c r="M11" s="114">
        <f>IFERROR(VLOOKUP(M$1,'Omzet per aanbieder per perceel'!$A$3:$B$28,2,FALSE),"")</f>
        <v>1108591</v>
      </c>
      <c r="N11" s="115"/>
      <c r="O11" s="115"/>
    </row>
    <row r="12" spans="1:19" x14ac:dyDescent="0.2">
      <c r="A12" s="306"/>
      <c r="B12" s="116" t="s">
        <v>178</v>
      </c>
      <c r="C12" s="117" t="str">
        <f>IFERROR(C$11/SUM($C11:$L11),"")</f>
        <v/>
      </c>
      <c r="D12" s="117">
        <f t="shared" ref="D12:M12" si="1">IFERROR(D$11/SUM($C11:$M11),"")</f>
        <v>9.4531246584570704E-3</v>
      </c>
      <c r="E12" s="117">
        <f t="shared" si="1"/>
        <v>6.5070851624224546E-2</v>
      </c>
      <c r="F12" s="117">
        <f t="shared" si="1"/>
        <v>0.1235945547138059</v>
      </c>
      <c r="G12" s="117" t="str">
        <f t="shared" si="1"/>
        <v/>
      </c>
      <c r="H12" s="117" t="str">
        <f t="shared" si="1"/>
        <v/>
      </c>
      <c r="I12" s="117">
        <f t="shared" si="1"/>
        <v>6.3302107768904046E-3</v>
      </c>
      <c r="J12" s="117">
        <f t="shared" si="1"/>
        <v>4.6827211055610056E-4</v>
      </c>
      <c r="K12" s="117">
        <f t="shared" si="1"/>
        <v>0.7036399268746536</v>
      </c>
      <c r="L12" s="117" t="str">
        <f t="shared" si="1"/>
        <v/>
      </c>
      <c r="M12" s="117">
        <f t="shared" si="1"/>
        <v>9.1443059241412383E-2</v>
      </c>
      <c r="N12" s="115"/>
      <c r="O12" s="115"/>
    </row>
    <row r="13" spans="1:19" x14ac:dyDescent="0.2">
      <c r="A13" s="306"/>
      <c r="B13" s="116" t="s">
        <v>179</v>
      </c>
      <c r="C13" s="117" t="str">
        <f>IFERROR(C$11/SUM($C11:$L11),"")</f>
        <v/>
      </c>
      <c r="D13" s="117">
        <f>IFERROR(D$11/SUM($C11:$M11),"")</f>
        <v>9.4531246584570704E-3</v>
      </c>
      <c r="E13" s="117">
        <f t="shared" ref="E13:M13" si="2">IFERROR(E$11/SUM($C11:$M11),"")</f>
        <v>6.5070851624224546E-2</v>
      </c>
      <c r="F13" s="117">
        <f t="shared" si="2"/>
        <v>0.1235945547138059</v>
      </c>
      <c r="G13" s="117" t="str">
        <f t="shared" si="2"/>
        <v/>
      </c>
      <c r="H13" s="117" t="str">
        <f t="shared" si="2"/>
        <v/>
      </c>
      <c r="I13" s="117">
        <f t="shared" si="2"/>
        <v>6.3302107768904046E-3</v>
      </c>
      <c r="J13" s="117">
        <f t="shared" si="2"/>
        <v>4.6827211055610056E-4</v>
      </c>
      <c r="K13" s="117">
        <f t="shared" si="2"/>
        <v>0.7036399268746536</v>
      </c>
      <c r="L13" s="117" t="str">
        <f t="shared" si="2"/>
        <v/>
      </c>
      <c r="M13" s="117">
        <f t="shared" si="2"/>
        <v>9.1443059241412383E-2</v>
      </c>
      <c r="N13" s="115"/>
      <c r="O13" s="115"/>
    </row>
    <row r="14" spans="1:19" x14ac:dyDescent="0.2">
      <c r="A14" s="306"/>
      <c r="B14" s="116" t="s">
        <v>180</v>
      </c>
      <c r="C14" s="117" t="str">
        <f>IFERROR(C$11/SUM($C$11:$H$11,$K$11:$M$11),"")</f>
        <v/>
      </c>
      <c r="D14" s="117">
        <f t="shared" ref="D14:M14" si="3">IFERROR(D$11/SUM($C$11:$H$11,$K$11:$M$11),"")</f>
        <v>9.5178314728508479E-3</v>
      </c>
      <c r="E14" s="117">
        <f t="shared" si="3"/>
        <v>6.5516262815827397E-2</v>
      </c>
      <c r="F14" s="117">
        <f t="shared" si="3"/>
        <v>0.1244405617433221</v>
      </c>
      <c r="G14" s="117" t="str">
        <f t="shared" si="3"/>
        <v/>
      </c>
      <c r="H14" s="117" t="str">
        <f t="shared" si="3"/>
        <v/>
      </c>
      <c r="I14" s="117">
        <f t="shared" si="3"/>
        <v>6.3735411875866475E-3</v>
      </c>
      <c r="J14" s="117">
        <f t="shared" si="3"/>
        <v>4.7147744187651507E-4</v>
      </c>
      <c r="K14" s="117">
        <f t="shared" si="3"/>
        <v>0.70845635528254469</v>
      </c>
      <c r="L14" s="117" t="str">
        <f t="shared" si="3"/>
        <v/>
      </c>
      <c r="M14" s="117">
        <f t="shared" si="3"/>
        <v>9.2068988685454947E-2</v>
      </c>
      <c r="N14" s="115"/>
      <c r="O14" s="115"/>
    </row>
    <row r="15" spans="1:19" ht="12.75" thickBot="1" x14ac:dyDescent="0.25">
      <c r="A15" s="306"/>
      <c r="B15" s="134"/>
      <c r="C15" s="135"/>
      <c r="D15" s="135"/>
      <c r="E15" s="135"/>
      <c r="F15" s="135"/>
      <c r="G15" s="135"/>
      <c r="H15" s="135"/>
      <c r="I15" s="135"/>
      <c r="J15" s="135"/>
      <c r="K15" s="135"/>
      <c r="L15" s="135"/>
      <c r="M15" s="135"/>
      <c r="N15" s="115"/>
      <c r="O15" s="115"/>
    </row>
    <row r="16" spans="1:19" x14ac:dyDescent="0.2">
      <c r="A16" s="306"/>
      <c r="B16" s="127" t="s">
        <v>117</v>
      </c>
      <c r="C16" s="136">
        <v>0.09</v>
      </c>
      <c r="D16" s="136">
        <v>7.7200000000000005E-2</v>
      </c>
      <c r="E16" s="136">
        <v>6.7000000000000004E-2</v>
      </c>
      <c r="F16" s="136">
        <v>5.9400000000000001E-2</v>
      </c>
      <c r="G16" s="136"/>
      <c r="H16" s="136"/>
      <c r="I16" s="136"/>
      <c r="J16" s="136"/>
      <c r="K16" s="136">
        <v>6.0900000000000003E-2</v>
      </c>
      <c r="L16" s="136"/>
      <c r="M16" s="136">
        <f>$M$5</f>
        <v>8.8800000000000004E-2</v>
      </c>
      <c r="N16" s="121">
        <f>IFERROR(AVERAGE(C16:M16),"")</f>
        <v>7.3883333333333343E-2</v>
      </c>
      <c r="O16" s="121">
        <f>SUMPRODUCT($C16:$M16,$C$12:$M$12)</f>
        <v>6.3402860039759826E-2</v>
      </c>
    </row>
    <row r="17" spans="1:15" ht="12.75" thickBot="1" x14ac:dyDescent="0.25">
      <c r="A17" s="306"/>
      <c r="B17" s="127" t="s">
        <v>172</v>
      </c>
      <c r="C17" s="136">
        <v>0.53</v>
      </c>
      <c r="D17" s="136">
        <v>0.45</v>
      </c>
      <c r="E17" s="136">
        <v>0.56999999999999995</v>
      </c>
      <c r="F17" s="136">
        <v>0.26300000000000001</v>
      </c>
      <c r="G17" s="136"/>
      <c r="H17" s="136"/>
      <c r="I17" s="136"/>
      <c r="J17" s="136"/>
      <c r="K17" s="136">
        <v>0.41949999999999998</v>
      </c>
      <c r="L17" s="136"/>
      <c r="M17" s="136">
        <f>$M$7</f>
        <v>0.54669999999999996</v>
      </c>
      <c r="N17" s="121">
        <f>IFERROR(AVERAGE(C17:M17),"")</f>
        <v>0.4632</v>
      </c>
      <c r="O17" s="121">
        <f>SUMPRODUCT($C17:$M17,$C$13:$M$13)</f>
        <v>0.41901852922304195</v>
      </c>
    </row>
    <row r="18" spans="1:15" x14ac:dyDescent="0.2">
      <c r="A18" s="306"/>
      <c r="B18" s="137" t="s">
        <v>181</v>
      </c>
      <c r="C18" s="138">
        <v>0.15</v>
      </c>
      <c r="D18" s="139"/>
      <c r="E18" s="139"/>
      <c r="F18" s="140">
        <v>9.4799999999999995E-2</v>
      </c>
      <c r="G18" s="139"/>
      <c r="H18" s="139"/>
      <c r="I18" s="139"/>
      <c r="J18" s="139"/>
      <c r="K18" s="140">
        <v>0.106</v>
      </c>
      <c r="L18" s="140"/>
      <c r="M18" s="140">
        <v>0.1</v>
      </c>
      <c r="N18" s="141">
        <f>IFERROR(AVERAGE(C18:M18),"")</f>
        <v>0.11269999999999999</v>
      </c>
      <c r="O18" s="141">
        <f>SUMPRODUCT($C18:$M18,$C$12:$M$12)</f>
        <v>9.5446901959723315E-2</v>
      </c>
    </row>
    <row r="19" spans="1:15" x14ac:dyDescent="0.2">
      <c r="A19" s="306"/>
      <c r="B19" s="122" t="s">
        <v>182</v>
      </c>
      <c r="C19" s="125" t="s">
        <v>183</v>
      </c>
      <c r="D19" s="125"/>
      <c r="E19" s="125"/>
      <c r="F19" s="125" t="s">
        <v>183</v>
      </c>
      <c r="G19" s="125"/>
      <c r="H19" s="125"/>
      <c r="I19" s="125"/>
      <c r="J19" s="125"/>
      <c r="K19" s="125" t="s">
        <v>183</v>
      </c>
      <c r="L19" s="125"/>
      <c r="M19" s="125" t="s">
        <v>183</v>
      </c>
      <c r="N19" s="141" t="str">
        <f t="shared" ref="N19:N32" si="4">IFERROR(AVERAGE(C19:L19),"")</f>
        <v/>
      </c>
      <c r="O19" s="142"/>
    </row>
    <row r="20" spans="1:15" ht="12.75" thickBot="1" x14ac:dyDescent="0.25">
      <c r="A20" s="306"/>
      <c r="B20" s="143" t="s">
        <v>184</v>
      </c>
      <c r="C20" s="144"/>
      <c r="D20" s="144"/>
      <c r="E20" s="144"/>
      <c r="F20" s="144"/>
      <c r="G20" s="144"/>
      <c r="H20" s="144"/>
      <c r="I20" s="144"/>
      <c r="J20" s="144"/>
      <c r="K20" s="144"/>
      <c r="L20" s="144"/>
      <c r="M20" s="144" t="s">
        <v>185</v>
      </c>
      <c r="N20" s="141" t="str">
        <f t="shared" si="4"/>
        <v/>
      </c>
      <c r="O20" s="142"/>
    </row>
    <row r="21" spans="1:15" x14ac:dyDescent="0.2">
      <c r="A21" s="306"/>
      <c r="B21" s="137" t="s">
        <v>186</v>
      </c>
      <c r="C21" s="138">
        <v>0.2</v>
      </c>
      <c r="D21" s="139"/>
      <c r="E21" s="138">
        <v>0.17</v>
      </c>
      <c r="F21" s="140">
        <v>9.4799999999999995E-2</v>
      </c>
      <c r="G21" s="139"/>
      <c r="H21" s="139"/>
      <c r="I21" s="145"/>
      <c r="J21" s="138"/>
      <c r="K21" s="140">
        <v>0.106</v>
      </c>
      <c r="L21" s="140"/>
      <c r="M21" s="140">
        <v>0.25</v>
      </c>
      <c r="N21" s="141">
        <f>IFERROR(AVERAGE(C21:M21),"")</f>
        <v>0.16416</v>
      </c>
      <c r="O21" s="141">
        <f>SUMPRODUCT($C21:$M21,$C$12:$M$12)</f>
        <v>0.12022540562205335</v>
      </c>
    </row>
    <row r="22" spans="1:15" x14ac:dyDescent="0.2">
      <c r="A22" s="306"/>
      <c r="B22" s="122" t="s">
        <v>187</v>
      </c>
      <c r="C22" s="125" t="s">
        <v>183</v>
      </c>
      <c r="D22" s="125"/>
      <c r="E22" s="125" t="s">
        <v>188</v>
      </c>
      <c r="F22" s="125" t="s">
        <v>183</v>
      </c>
      <c r="G22" s="125"/>
      <c r="H22" s="125"/>
      <c r="I22" s="125" t="s">
        <v>188</v>
      </c>
      <c r="J22" s="125"/>
      <c r="K22" s="125" t="s">
        <v>183</v>
      </c>
      <c r="L22" s="125"/>
      <c r="M22" s="125" t="s">
        <v>183</v>
      </c>
      <c r="N22" s="141" t="str">
        <f t="shared" si="4"/>
        <v/>
      </c>
      <c r="O22" s="142"/>
    </row>
    <row r="23" spans="1:15" ht="12.75" thickBot="1" x14ac:dyDescent="0.25">
      <c r="A23" s="306"/>
      <c r="B23" s="143" t="s">
        <v>189</v>
      </c>
      <c r="C23" s="144"/>
      <c r="D23" s="144"/>
      <c r="E23" s="144" t="s">
        <v>190</v>
      </c>
      <c r="F23" s="144" t="s">
        <v>167</v>
      </c>
      <c r="G23" s="144"/>
      <c r="H23" s="144"/>
      <c r="I23" s="144" t="s">
        <v>191</v>
      </c>
      <c r="J23" s="144" t="s">
        <v>167</v>
      </c>
      <c r="K23" s="144" t="s">
        <v>167</v>
      </c>
      <c r="L23" s="144"/>
      <c r="M23" s="144" t="s">
        <v>185</v>
      </c>
      <c r="N23" s="141" t="str">
        <f t="shared" si="4"/>
        <v/>
      </c>
      <c r="O23" s="142"/>
    </row>
    <row r="24" spans="1:15" x14ac:dyDescent="0.2">
      <c r="A24" s="306"/>
      <c r="B24" s="137" t="s">
        <v>192</v>
      </c>
      <c r="C24" s="138">
        <v>0.15</v>
      </c>
      <c r="D24" s="139"/>
      <c r="E24" s="139"/>
      <c r="F24" s="140">
        <v>9.4799999999999995E-2</v>
      </c>
      <c r="G24" s="139"/>
      <c r="H24" s="139"/>
      <c r="I24" s="139"/>
      <c r="J24" s="139"/>
      <c r="K24" s="140">
        <v>0.106</v>
      </c>
      <c r="L24" s="140"/>
      <c r="M24" s="140">
        <v>0.25</v>
      </c>
      <c r="N24" s="141">
        <f>IFERROR(AVERAGE(C24:M24),"")</f>
        <v>0.1502</v>
      </c>
      <c r="O24" s="141">
        <f>SUMPRODUCT($C24:$M24,$C$12:$M$12)</f>
        <v>0.10916336084593517</v>
      </c>
    </row>
    <row r="25" spans="1:15" x14ac:dyDescent="0.2">
      <c r="A25" s="306"/>
      <c r="B25" s="122" t="s">
        <v>193</v>
      </c>
      <c r="C25" s="125" t="s">
        <v>188</v>
      </c>
      <c r="D25" s="125"/>
      <c r="E25" s="125"/>
      <c r="F25" s="125" t="s">
        <v>188</v>
      </c>
      <c r="G25" s="125"/>
      <c r="H25" s="125"/>
      <c r="I25" s="125"/>
      <c r="J25" s="125"/>
      <c r="K25" s="125" t="s">
        <v>183</v>
      </c>
      <c r="L25" s="125"/>
      <c r="M25" s="125" t="s">
        <v>183</v>
      </c>
      <c r="N25" s="141" t="str">
        <f t="shared" si="4"/>
        <v/>
      </c>
      <c r="O25" s="142"/>
    </row>
    <row r="26" spans="1:15" ht="12.75" thickBot="1" x14ac:dyDescent="0.25">
      <c r="A26" s="306"/>
      <c r="B26" s="143" t="s">
        <v>194</v>
      </c>
      <c r="C26" s="144" t="s">
        <v>195</v>
      </c>
      <c r="D26" s="144" t="s">
        <v>167</v>
      </c>
      <c r="E26" s="144"/>
      <c r="F26" s="144" t="s">
        <v>196</v>
      </c>
      <c r="G26" s="144" t="s">
        <v>167</v>
      </c>
      <c r="H26" s="144"/>
      <c r="I26" s="144"/>
      <c r="J26" s="144"/>
      <c r="K26" s="144"/>
      <c r="L26" s="144"/>
      <c r="M26" s="144"/>
      <c r="N26" s="141" t="str">
        <f t="shared" si="4"/>
        <v/>
      </c>
      <c r="O26" s="142"/>
    </row>
    <row r="27" spans="1:15" x14ac:dyDescent="0.2">
      <c r="A27" s="306"/>
      <c r="B27" s="137" t="s">
        <v>197</v>
      </c>
      <c r="C27" s="138">
        <v>0.2</v>
      </c>
      <c r="D27" s="139"/>
      <c r="E27" s="138">
        <v>0.17</v>
      </c>
      <c r="F27" s="140">
        <v>9.4799999999999995E-2</v>
      </c>
      <c r="G27" s="139"/>
      <c r="H27" s="139"/>
      <c r="I27" s="139"/>
      <c r="J27" s="139"/>
      <c r="K27" s="140">
        <v>0.106</v>
      </c>
      <c r="L27" s="140"/>
      <c r="M27" s="140">
        <v>0.25</v>
      </c>
      <c r="N27" s="141">
        <f>IFERROR(AVERAGE(C27:M27),"")</f>
        <v>0.16416</v>
      </c>
      <c r="O27" s="141">
        <f>SUMPRODUCT($C27:$M27,$C$12:$M$12)</f>
        <v>0.12022540562205335</v>
      </c>
    </row>
    <row r="28" spans="1:15" x14ac:dyDescent="0.2">
      <c r="A28" s="306"/>
      <c r="B28" s="122" t="s">
        <v>198</v>
      </c>
      <c r="C28" s="125" t="s">
        <v>188</v>
      </c>
      <c r="D28" s="125"/>
      <c r="E28" s="125" t="s">
        <v>183</v>
      </c>
      <c r="F28" s="125" t="s">
        <v>188</v>
      </c>
      <c r="G28" s="125"/>
      <c r="H28" s="125"/>
      <c r="I28" s="125"/>
      <c r="J28" s="125"/>
      <c r="K28" s="125" t="s">
        <v>183</v>
      </c>
      <c r="L28" s="125"/>
      <c r="M28" s="125" t="s">
        <v>183</v>
      </c>
      <c r="N28" s="141" t="str">
        <f t="shared" si="4"/>
        <v/>
      </c>
      <c r="O28" s="142"/>
    </row>
    <row r="29" spans="1:15" ht="12.75" thickBot="1" x14ac:dyDescent="0.25">
      <c r="A29" s="306"/>
      <c r="B29" s="143" t="s">
        <v>199</v>
      </c>
      <c r="C29" s="144" t="s">
        <v>200</v>
      </c>
      <c r="D29" s="144" t="s">
        <v>167</v>
      </c>
      <c r="E29" s="144" t="s">
        <v>201</v>
      </c>
      <c r="F29" s="144" t="s">
        <v>196</v>
      </c>
      <c r="G29" s="144" t="s">
        <v>167</v>
      </c>
      <c r="H29" s="144"/>
      <c r="I29" s="144"/>
      <c r="J29" s="144"/>
      <c r="K29" s="144"/>
      <c r="L29" s="144"/>
      <c r="M29" s="144"/>
      <c r="N29" s="141" t="str">
        <f t="shared" si="4"/>
        <v/>
      </c>
      <c r="O29" s="142"/>
    </row>
    <row r="30" spans="1:15" x14ac:dyDescent="0.2">
      <c r="A30" s="306"/>
      <c r="B30" s="137" t="s">
        <v>202</v>
      </c>
      <c r="C30" s="139"/>
      <c r="D30" s="139"/>
      <c r="E30" s="139"/>
      <c r="F30" s="139"/>
      <c r="G30" s="139"/>
      <c r="H30" s="139"/>
      <c r="I30" s="139"/>
      <c r="J30" s="139"/>
      <c r="K30" s="140">
        <v>0.106</v>
      </c>
      <c r="L30" s="140"/>
      <c r="M30" s="140"/>
      <c r="N30" s="141">
        <f>IFERROR(AVERAGE(C30:M30),"")</f>
        <v>0.106</v>
      </c>
      <c r="O30" s="141">
        <f>SUMPRODUCT($C30:$M30,$C$12:$M$12)</f>
        <v>7.4585832248713277E-2</v>
      </c>
    </row>
    <row r="31" spans="1:15" x14ac:dyDescent="0.2">
      <c r="A31" s="306"/>
      <c r="B31" s="122" t="s">
        <v>203</v>
      </c>
      <c r="C31" s="125"/>
      <c r="D31" s="125"/>
      <c r="E31" s="125"/>
      <c r="F31" s="125"/>
      <c r="G31" s="125"/>
      <c r="H31" s="125"/>
      <c r="I31" s="125"/>
      <c r="J31" s="125"/>
      <c r="K31" s="125" t="s">
        <v>183</v>
      </c>
      <c r="L31" s="125"/>
      <c r="M31" s="125"/>
      <c r="N31" s="146" t="str">
        <f t="shared" si="4"/>
        <v/>
      </c>
      <c r="O31" s="126"/>
    </row>
    <row r="32" spans="1:15" ht="12.75" thickBot="1" x14ac:dyDescent="0.25">
      <c r="A32" s="306"/>
      <c r="B32" s="143" t="s">
        <v>204</v>
      </c>
      <c r="C32" s="144"/>
      <c r="D32" s="144"/>
      <c r="E32" s="144"/>
      <c r="F32" s="144"/>
      <c r="G32" s="144"/>
      <c r="H32" s="144"/>
      <c r="I32" s="144"/>
      <c r="J32" s="144"/>
      <c r="K32" s="144"/>
      <c r="L32" s="144"/>
      <c r="M32" s="144"/>
      <c r="N32" s="146" t="str">
        <f t="shared" si="4"/>
        <v/>
      </c>
      <c r="O32" s="126"/>
    </row>
    <row r="33" spans="1:20" ht="12.75" thickBot="1" x14ac:dyDescent="0.25">
      <c r="A33" s="306"/>
      <c r="B33" s="147" t="s">
        <v>205</v>
      </c>
      <c r="C33" s="148">
        <f>IFERROR(AVERAGE(C18,C21,C24,C27),"")</f>
        <v>0.17499999999999999</v>
      </c>
      <c r="D33" s="148" t="str">
        <f t="shared" ref="D33:L33" si="5">IFERROR(AVERAGE(D18,D21,D24,D27),"")</f>
        <v/>
      </c>
      <c r="E33" s="148">
        <f t="shared" si="5"/>
        <v>0.17</v>
      </c>
      <c r="F33" s="148">
        <f t="shared" si="5"/>
        <v>9.4799999999999995E-2</v>
      </c>
      <c r="G33" s="148" t="str">
        <f t="shared" si="5"/>
        <v/>
      </c>
      <c r="H33" s="148" t="str">
        <f t="shared" si="5"/>
        <v/>
      </c>
      <c r="I33" s="148" t="str">
        <f t="shared" si="5"/>
        <v/>
      </c>
      <c r="J33" s="148" t="str">
        <f t="shared" si="5"/>
        <v/>
      </c>
      <c r="K33" s="148">
        <f t="shared" si="5"/>
        <v>0.106</v>
      </c>
      <c r="L33" s="148" t="str">
        <f t="shared" si="5"/>
        <v/>
      </c>
      <c r="M33" s="148">
        <f>IFERROR(AVERAGE(M18,M21,M24,M27),"")</f>
        <v>0.21249999999999999</v>
      </c>
      <c r="N33" s="121">
        <f>IFERROR(AVERAGE(N18,N21,N24,N27),"")</f>
        <v>0.14780499999999999</v>
      </c>
      <c r="O33" s="149">
        <f>SUMPRODUCT($C33:$M33,$C$14:$M$14)</f>
        <v>0.11759576368756651</v>
      </c>
    </row>
    <row r="34" spans="1:20" x14ac:dyDescent="0.2">
      <c r="A34" s="54"/>
      <c r="B34" s="133"/>
      <c r="C34" s="133"/>
      <c r="D34" s="133"/>
      <c r="E34" s="133"/>
      <c r="F34" s="133"/>
      <c r="G34" s="133"/>
      <c r="H34" s="133"/>
      <c r="I34" s="133"/>
      <c r="J34" s="133"/>
      <c r="K34" s="133"/>
      <c r="L34" s="133"/>
      <c r="M34" s="133"/>
      <c r="N34" s="133"/>
      <c r="O34" s="133"/>
    </row>
    <row r="35" spans="1:20" ht="12.75" thickBot="1" x14ac:dyDescent="0.25">
      <c r="A35" s="54"/>
      <c r="B35" s="133"/>
      <c r="C35" s="133"/>
      <c r="D35" s="133"/>
      <c r="E35" s="133"/>
      <c r="F35" s="133"/>
      <c r="G35" s="133"/>
      <c r="H35" s="133"/>
      <c r="I35" s="133"/>
      <c r="J35" s="133"/>
      <c r="K35" s="133"/>
      <c r="L35" s="133"/>
      <c r="M35" s="133"/>
      <c r="N35" s="133"/>
      <c r="O35" s="133"/>
    </row>
    <row r="36" spans="1:20" x14ac:dyDescent="0.2">
      <c r="A36" s="307" t="s">
        <v>206</v>
      </c>
      <c r="B36" s="113" t="s">
        <v>207</v>
      </c>
      <c r="C36" s="114" t="str">
        <f>IFERROR(VLOOKUP(C$1,'Omzet per aanbieder per perceel'!$A$33:$B$45,2,FALSE),"")</f>
        <v/>
      </c>
      <c r="D36" s="114">
        <f>IFERROR(VLOOKUP(D$1,'Omzet per aanbieder per perceel'!$A$33:$B$45,2,FALSE),"")</f>
        <v>75464</v>
      </c>
      <c r="E36" s="114" t="str">
        <f>IFERROR(VLOOKUP(E$1,'Omzet per aanbieder per perceel'!$A$33:$B$45,2,FALSE),"")</f>
        <v/>
      </c>
      <c r="F36" s="114" t="str">
        <f>IFERROR(VLOOKUP(F$1,'Omzet per aanbieder per perceel'!$A$33:$B$45,2,FALSE),"")</f>
        <v/>
      </c>
      <c r="G36" s="114">
        <f>IFERROR(VLOOKUP(G$1,'Omzet per aanbieder per perceel'!$A$33:$B$45,2,FALSE),"")</f>
        <v>513</v>
      </c>
      <c r="H36" s="114">
        <f>IFERROR(VLOOKUP(H$1,'Omzet per aanbieder per perceel'!$A$33:$B$45,2,FALSE),"")</f>
        <v>22496</v>
      </c>
      <c r="I36" s="114" t="str">
        <f>IFERROR(VLOOKUP(I$1,'Omzet per aanbieder per perceel'!$A$33:$B$45,2,FALSE),"")</f>
        <v/>
      </c>
      <c r="J36" s="114">
        <f>IFERROR(VLOOKUP(J$1,'Omzet per aanbieder per perceel'!$A$33:$B$45,2,FALSE),"")</f>
        <v>138396</v>
      </c>
      <c r="K36" s="114" t="str">
        <f>IFERROR(VLOOKUP(K$1,'Omzet per aanbieder per perceel'!$A$33:$B$45,2,FALSE),"")</f>
        <v/>
      </c>
      <c r="L36" s="114">
        <f>IFERROR(VLOOKUP(L$1,'Omzet per aanbieder per perceel'!$A$33:$B$45,2,FALSE),"")</f>
        <v>674431</v>
      </c>
      <c r="M36" s="114">
        <f>IFERROR(VLOOKUP(M$1,'Omzet per aanbieder per perceel'!$A$33:$B$45,2,FALSE),"")</f>
        <v>31301</v>
      </c>
      <c r="N36" s="150"/>
      <c r="O36" s="150"/>
    </row>
    <row r="37" spans="1:20" x14ac:dyDescent="0.2">
      <c r="A37" s="308"/>
      <c r="B37" s="116" t="s">
        <v>178</v>
      </c>
      <c r="C37" s="117" t="str">
        <f>IFERROR(C$36/SUM($C36:$L36),"")</f>
        <v/>
      </c>
      <c r="D37" s="117">
        <f>IFERROR(D$36/SUM($D$36,$H$36,$J$36,$L$36,$M$36),"")</f>
        <v>8.0102920321668464E-2</v>
      </c>
      <c r="E37" s="117" t="str">
        <f>IFERROR(E$36/SUM($C36:$M36),"")</f>
        <v/>
      </c>
      <c r="F37" s="117" t="str">
        <f>IFERROR(F$36/SUM($C36:$M36),"")</f>
        <v/>
      </c>
      <c r="G37" s="117"/>
      <c r="H37" s="117">
        <f t="shared" ref="H37:M37" si="6">IFERROR(H$36/SUM($C36:$M36),"")</f>
        <v>2.3865877502782195E-2</v>
      </c>
      <c r="I37" s="117" t="str">
        <f t="shared" si="6"/>
        <v/>
      </c>
      <c r="J37" s="117">
        <f t="shared" si="6"/>
        <v>0.14682352342083235</v>
      </c>
      <c r="K37" s="117" t="str">
        <f t="shared" si="6"/>
        <v/>
      </c>
      <c r="L37" s="117">
        <f t="shared" si="6"/>
        <v>0.71549998355613886</v>
      </c>
      <c r="M37" s="117">
        <f t="shared" si="6"/>
        <v>3.3207051552035273E-2</v>
      </c>
      <c r="N37" s="117"/>
      <c r="O37" s="117"/>
    </row>
    <row r="38" spans="1:20" x14ac:dyDescent="0.2">
      <c r="A38" s="308"/>
      <c r="B38" s="116" t="s">
        <v>179</v>
      </c>
      <c r="C38" s="117"/>
      <c r="D38" s="117">
        <f>IFERROR(D$36/SUM($D$36,$L$36:$M$36),"")</f>
        <v>9.6600597033266941E-2</v>
      </c>
      <c r="E38" s="117"/>
      <c r="F38" s="117"/>
      <c r="G38" s="117"/>
      <c r="H38" s="117"/>
      <c r="I38" s="117"/>
      <c r="J38" s="117"/>
      <c r="K38" s="117"/>
      <c r="L38" s="117">
        <f>IFERROR(L$36/SUM($D$36,$L$36:$M$36),"")</f>
        <v>0.86333135346315137</v>
      </c>
      <c r="M38" s="117">
        <f>IFERROR(M$36/SUM($D$36,$L$36:$M$36),"")</f>
        <v>4.0068049503581685E-2</v>
      </c>
      <c r="N38" s="117"/>
      <c r="O38" s="117"/>
    </row>
    <row r="39" spans="1:20" x14ac:dyDescent="0.2">
      <c r="A39" s="308"/>
      <c r="B39" s="116" t="s">
        <v>180</v>
      </c>
      <c r="C39" s="117"/>
      <c r="D39" s="117"/>
      <c r="E39" s="117"/>
      <c r="F39" s="117"/>
      <c r="G39" s="117"/>
      <c r="H39" s="117"/>
      <c r="I39" s="117"/>
      <c r="J39" s="117"/>
      <c r="K39" s="117"/>
      <c r="L39" s="117"/>
      <c r="M39" s="117"/>
      <c r="N39" s="117"/>
      <c r="O39" s="117"/>
    </row>
    <row r="40" spans="1:20" ht="12.75" thickBot="1" x14ac:dyDescent="0.25">
      <c r="A40" s="308"/>
      <c r="B40" s="134"/>
      <c r="C40" s="135"/>
      <c r="D40" s="135"/>
      <c r="E40" s="135"/>
      <c r="F40" s="135"/>
      <c r="G40" s="135"/>
      <c r="H40" s="135"/>
      <c r="I40" s="135"/>
      <c r="J40" s="135"/>
      <c r="K40" s="135"/>
      <c r="L40" s="135"/>
      <c r="M40" s="135"/>
      <c r="N40" s="115"/>
      <c r="O40" s="115"/>
    </row>
    <row r="41" spans="1:20" x14ac:dyDescent="0.2">
      <c r="A41" s="308"/>
      <c r="B41" s="127" t="s">
        <v>117</v>
      </c>
      <c r="C41" s="136"/>
      <c r="D41" s="136">
        <v>7.7200000000000005E-2</v>
      </c>
      <c r="E41" s="136"/>
      <c r="F41" s="136"/>
      <c r="G41" s="136"/>
      <c r="H41" s="136">
        <v>0.05</v>
      </c>
      <c r="I41" s="136"/>
      <c r="J41" s="136">
        <v>2.7799999999999998E-2</v>
      </c>
      <c r="K41" s="136"/>
      <c r="L41" s="136">
        <v>6.9099999999999995E-2</v>
      </c>
      <c r="M41" s="136">
        <f>$M$5</f>
        <v>8.8800000000000004E-2</v>
      </c>
      <c r="N41" s="121">
        <f>IFERROR(AVERAGE(C41:M41),"")</f>
        <v>6.2579999999999997E-2</v>
      </c>
      <c r="O41" s="121">
        <f>SUMPRODUCT($C41:$M41,$C$37:$M$37)</f>
        <v>6.384876831662098E-2</v>
      </c>
      <c r="R41" s="57"/>
      <c r="S41" s="57"/>
      <c r="T41" s="57"/>
    </row>
    <row r="42" spans="1:20" ht="12.75" thickBot="1" x14ac:dyDescent="0.25">
      <c r="A42" s="308"/>
      <c r="B42" s="127" t="s">
        <v>172</v>
      </c>
      <c r="C42" s="136"/>
      <c r="D42" s="136">
        <v>0.45</v>
      </c>
      <c r="E42" s="136"/>
      <c r="F42" s="136"/>
      <c r="G42" s="136"/>
      <c r="H42" s="151"/>
      <c r="I42" s="136"/>
      <c r="J42" s="136"/>
      <c r="K42" s="136"/>
      <c r="L42" s="136">
        <v>0.2099</v>
      </c>
      <c r="M42" s="136">
        <f>$M$7</f>
        <v>0.54669999999999996</v>
      </c>
      <c r="N42" s="121">
        <f>IFERROR(AVERAGE(C42:M42),"")</f>
        <v>0.40219999999999995</v>
      </c>
      <c r="O42" s="121">
        <f>SUMPRODUCT($C42:$M42,$C$38:$M$38)</f>
        <v>0.24658872242049371</v>
      </c>
      <c r="R42" s="57"/>
      <c r="S42" s="57"/>
      <c r="T42" s="57"/>
    </row>
    <row r="43" spans="1:20" x14ac:dyDescent="0.2">
      <c r="A43" s="308"/>
      <c r="B43" s="137" t="s">
        <v>208</v>
      </c>
      <c r="C43" s="139"/>
      <c r="D43" s="138">
        <v>0.39</v>
      </c>
      <c r="E43" s="138">
        <v>0.17</v>
      </c>
      <c r="F43" s="139"/>
      <c r="G43" s="138"/>
      <c r="H43" s="138">
        <v>0.11</v>
      </c>
      <c r="I43" s="139"/>
      <c r="J43" s="139"/>
      <c r="K43" s="139"/>
      <c r="L43" s="140">
        <v>0.29330000000000001</v>
      </c>
      <c r="M43" s="140">
        <v>0.1</v>
      </c>
      <c r="N43" s="141">
        <f t="shared" ref="N43:N48" si="7">IFERROR(AVERAGE(C43:L43),"")</f>
        <v>0.24082500000000001</v>
      </c>
      <c r="O43" s="141">
        <f>SUMPRODUCT($C43:$M43,$C$37:$M$37)</f>
        <v>0.24704223578297579</v>
      </c>
    </row>
    <row r="44" spans="1:20" x14ac:dyDescent="0.2">
      <c r="A44" s="308"/>
      <c r="B44" s="122" t="s">
        <v>209</v>
      </c>
      <c r="C44" s="125"/>
      <c r="D44" s="125" t="s">
        <v>183</v>
      </c>
      <c r="E44" s="125" t="s">
        <v>183</v>
      </c>
      <c r="F44" s="125"/>
      <c r="G44" s="125"/>
      <c r="H44" s="125" t="s">
        <v>183</v>
      </c>
      <c r="I44" s="125"/>
      <c r="J44" s="125" t="s">
        <v>183</v>
      </c>
      <c r="K44" s="125"/>
      <c r="L44" s="125" t="s">
        <v>183</v>
      </c>
      <c r="M44" s="125" t="s">
        <v>183</v>
      </c>
      <c r="N44" s="146" t="str">
        <f t="shared" si="7"/>
        <v/>
      </c>
      <c r="O44" s="126"/>
    </row>
    <row r="45" spans="1:20" ht="12.75" thickBot="1" x14ac:dyDescent="0.25">
      <c r="A45" s="308"/>
      <c r="B45" s="143" t="s">
        <v>210</v>
      </c>
      <c r="C45" s="144"/>
      <c r="D45" s="144"/>
      <c r="E45" s="144" t="s">
        <v>211</v>
      </c>
      <c r="F45" s="144" t="s">
        <v>167</v>
      </c>
      <c r="G45" s="144"/>
      <c r="H45" s="144"/>
      <c r="I45" s="144"/>
      <c r="J45" s="144" t="s">
        <v>212</v>
      </c>
      <c r="K45" s="144" t="s">
        <v>167</v>
      </c>
      <c r="L45" s="144"/>
      <c r="M45" s="144" t="s">
        <v>213</v>
      </c>
      <c r="N45" s="146" t="str">
        <f t="shared" si="7"/>
        <v/>
      </c>
      <c r="O45" s="126"/>
    </row>
    <row r="46" spans="1:20" x14ac:dyDescent="0.2">
      <c r="A46" s="308"/>
      <c r="B46" s="137" t="s">
        <v>214</v>
      </c>
      <c r="C46" s="139"/>
      <c r="D46" s="139"/>
      <c r="E46" s="139"/>
      <c r="F46" s="139"/>
      <c r="G46" s="139"/>
      <c r="H46" s="139"/>
      <c r="I46" s="139"/>
      <c r="J46" s="139"/>
      <c r="K46" s="139"/>
      <c r="L46" s="139"/>
      <c r="M46" s="139"/>
      <c r="N46" s="146" t="str">
        <f t="shared" si="7"/>
        <v/>
      </c>
      <c r="O46" s="126"/>
    </row>
    <row r="47" spans="1:20" x14ac:dyDescent="0.2">
      <c r="A47" s="308"/>
      <c r="B47" s="122" t="s">
        <v>215</v>
      </c>
      <c r="C47" s="125"/>
      <c r="D47" s="125"/>
      <c r="E47" s="125"/>
      <c r="F47" s="125"/>
      <c r="G47" s="125"/>
      <c r="H47" s="125"/>
      <c r="I47" s="125"/>
      <c r="J47" s="125"/>
      <c r="K47" s="125"/>
      <c r="L47" s="125"/>
      <c r="M47" s="125"/>
      <c r="N47" s="146" t="str">
        <f t="shared" si="7"/>
        <v/>
      </c>
      <c r="O47" s="126"/>
    </row>
    <row r="48" spans="1:20" ht="12.75" thickBot="1" x14ac:dyDescent="0.25">
      <c r="A48" s="308"/>
      <c r="B48" s="143" t="s">
        <v>216</v>
      </c>
      <c r="C48" s="144"/>
      <c r="D48" s="144"/>
      <c r="E48" s="144"/>
      <c r="F48" s="144"/>
      <c r="G48" s="144"/>
      <c r="H48" s="144"/>
      <c r="I48" s="144"/>
      <c r="J48" s="144"/>
      <c r="K48" s="144"/>
      <c r="L48" s="144"/>
      <c r="M48" s="144"/>
      <c r="N48" s="146" t="str">
        <f t="shared" si="7"/>
        <v/>
      </c>
      <c r="O48" s="126"/>
    </row>
    <row r="49" spans="1:20" ht="12.75" thickBot="1" x14ac:dyDescent="0.25">
      <c r="A49" s="308"/>
      <c r="B49" s="147" t="s">
        <v>205</v>
      </c>
      <c r="C49" s="148" t="str">
        <f>IFERROR(AVERAGE(C43,C46),"")</f>
        <v/>
      </c>
      <c r="D49" s="148">
        <f t="shared" ref="D49:L49" si="8">IFERROR(AVERAGE(D43,D46),"")</f>
        <v>0.39</v>
      </c>
      <c r="E49" s="148">
        <f t="shared" si="8"/>
        <v>0.17</v>
      </c>
      <c r="F49" s="148" t="str">
        <f t="shared" si="8"/>
        <v/>
      </c>
      <c r="G49" s="148" t="str">
        <f t="shared" si="8"/>
        <v/>
      </c>
      <c r="H49" s="148">
        <f t="shared" si="8"/>
        <v>0.11</v>
      </c>
      <c r="I49" s="148" t="str">
        <f t="shared" si="8"/>
        <v/>
      </c>
      <c r="J49" s="148" t="str">
        <f t="shared" si="8"/>
        <v/>
      </c>
      <c r="K49" s="148" t="str">
        <f t="shared" si="8"/>
        <v/>
      </c>
      <c r="L49" s="148">
        <f t="shared" si="8"/>
        <v>0.29330000000000001</v>
      </c>
      <c r="M49" s="148"/>
      <c r="N49" s="121">
        <f>IFERROR(AVERAGE(N43,N46),"")</f>
        <v>0.24082500000000001</v>
      </c>
      <c r="O49" s="149">
        <f>SUMPRODUCT($C49:$M49,$C$37:$M$37)</f>
        <v>0.24372153062777227</v>
      </c>
    </row>
    <row r="50" spans="1:20" x14ac:dyDescent="0.2">
      <c r="A50" s="54"/>
      <c r="B50" s="133"/>
      <c r="C50" s="133"/>
      <c r="D50" s="133"/>
      <c r="E50" s="133"/>
      <c r="F50" s="133"/>
      <c r="G50" s="133"/>
      <c r="H50" s="133"/>
      <c r="I50" s="133"/>
      <c r="J50" s="133"/>
      <c r="K50" s="133"/>
      <c r="L50" s="133"/>
      <c r="M50" s="133"/>
      <c r="N50" s="133"/>
      <c r="O50" s="133"/>
    </row>
    <row r="51" spans="1:20" ht="12.75" thickBot="1" x14ac:dyDescent="0.25">
      <c r="A51" s="54"/>
      <c r="B51" s="133"/>
      <c r="C51" s="133"/>
      <c r="D51" s="133"/>
      <c r="E51" s="133"/>
      <c r="F51" s="133"/>
      <c r="G51" s="133"/>
      <c r="H51" s="133"/>
      <c r="I51" s="133"/>
      <c r="J51" s="133"/>
      <c r="K51" s="133"/>
      <c r="L51" s="133"/>
      <c r="M51" s="133"/>
      <c r="N51" s="133"/>
      <c r="O51" s="133"/>
    </row>
    <row r="52" spans="1:20" x14ac:dyDescent="0.2">
      <c r="A52" s="307" t="s">
        <v>217</v>
      </c>
      <c r="B52" s="113" t="s">
        <v>218</v>
      </c>
      <c r="C52" s="114" t="str">
        <f>IFERROR(VLOOKUP(C$1,'Omzet per aanbieder per perceel'!$A$49:$C$64,2,FALSE),"")</f>
        <v/>
      </c>
      <c r="D52" s="152">
        <f>'Omzet per aanbieder per perceel'!B54</f>
        <v>2352793</v>
      </c>
      <c r="E52" s="114">
        <f>IFERROR(VLOOKUP(E$1,'Omzet per aanbieder per perceel'!$A$49:$C$64,2,FALSE),"")</f>
        <v>331032</v>
      </c>
      <c r="F52" s="114" t="str">
        <f>IFERROR(VLOOKUP(F$1,'Omzet per aanbieder per perceel'!$A$49:$C$64,2,FALSE),"")</f>
        <v/>
      </c>
      <c r="G52" s="114"/>
      <c r="H52" s="114">
        <f>IFERROR(VLOOKUP(H$1,'Omzet per aanbieder per perceel'!$A$49:$C$64,2,FALSE),"")</f>
        <v>40607</v>
      </c>
      <c r="I52" s="114">
        <f>IFERROR(VLOOKUP(I$1,'Omzet per aanbieder per perceel'!$A$49:$C$64,2,FALSE),"")</f>
        <v>1151670</v>
      </c>
      <c r="J52" s="114">
        <f>IFERROR(VLOOKUP(J$1,'Omzet per aanbieder per perceel'!$A$49:$C$64,2,FALSE),"")</f>
        <v>210667</v>
      </c>
      <c r="K52" s="114" t="str">
        <f>IFERROR(VLOOKUP(K$1,'Omzet per aanbieder per perceel'!$A$49:$C$64,2,FALSE),"")</f>
        <v/>
      </c>
      <c r="L52" s="114" t="str">
        <f>IFERROR(VLOOKUP(L$1,'Omzet per aanbieder per perceel'!$A$49:$C$64,2,FALSE),"")</f>
        <v/>
      </c>
      <c r="M52" s="114">
        <f>IFERROR(VLOOKUP(M$1,'Omzet per aanbieder per perceel'!$A$49:$C$64,2,FALSE),"")</f>
        <v>716325</v>
      </c>
      <c r="N52" s="150"/>
      <c r="O52" s="150"/>
    </row>
    <row r="53" spans="1:20" x14ac:dyDescent="0.2">
      <c r="A53" s="308"/>
      <c r="B53" s="116" t="s">
        <v>178</v>
      </c>
      <c r="C53" s="117" t="str">
        <f>IFERROR(C$52/SUM($C52:$M52),"")</f>
        <v/>
      </c>
      <c r="D53" s="117">
        <f>IFERROR(D$52/SUM($C52:$M52),"")</f>
        <v>0.48984945953587417</v>
      </c>
      <c r="E53" s="117">
        <f>IFERROR(E$52/SUM($C52:$M52),"")</f>
        <v>6.8920574946066016E-2</v>
      </c>
      <c r="F53" s="117" t="str">
        <f>IFERROR(F$52/SUM($C52:$M52),"")</f>
        <v/>
      </c>
      <c r="G53" s="117"/>
      <c r="H53" s="117">
        <f t="shared" ref="H53:M53" si="9">IFERROR(H$52/SUM($C52:$M52),"")</f>
        <v>8.4543421386298074E-3</v>
      </c>
      <c r="I53" s="117">
        <f t="shared" si="9"/>
        <v>0.2397766939393649</v>
      </c>
      <c r="J53" s="117">
        <f t="shared" si="9"/>
        <v>4.386068646584889E-2</v>
      </c>
      <c r="K53" s="117" t="str">
        <f t="shared" si="9"/>
        <v/>
      </c>
      <c r="L53" s="117" t="str">
        <f t="shared" si="9"/>
        <v/>
      </c>
      <c r="M53" s="117">
        <f t="shared" si="9"/>
        <v>0.14913824297421621</v>
      </c>
      <c r="N53" s="117"/>
      <c r="O53" s="115"/>
    </row>
    <row r="54" spans="1:20" x14ac:dyDescent="0.2">
      <c r="A54" s="308"/>
      <c r="B54" s="116" t="s">
        <v>179</v>
      </c>
      <c r="C54" s="117"/>
      <c r="D54" s="117">
        <f>IFERROR(D$52/SUM($D$52,$E$52,$I$52,$M$52),"")</f>
        <v>0.51689060639480466</v>
      </c>
      <c r="E54" s="117">
        <f>IFERROR(E$52/SUM($D$52,$E$52,$I$52,$M$52),"")</f>
        <v>7.2725195636031303E-2</v>
      </c>
      <c r="F54" s="117"/>
      <c r="G54" s="117"/>
      <c r="H54" s="117"/>
      <c r="I54" s="117">
        <f>IFERROR(I$52/SUM($D$52,$E$52,$I$52,$M$52),"")</f>
        <v>0.25301308048209287</v>
      </c>
      <c r="J54" s="117"/>
      <c r="K54" s="117"/>
      <c r="L54" s="117"/>
      <c r="M54" s="117">
        <f>IFERROR(M$52/SUM($D$52,$E$52,$I$52,$M$52),"")</f>
        <v>0.15737111748707111</v>
      </c>
      <c r="N54" s="117"/>
      <c r="O54" s="115"/>
    </row>
    <row r="55" spans="1:20" x14ac:dyDescent="0.2">
      <c r="A55" s="308"/>
      <c r="B55" s="116" t="s">
        <v>180</v>
      </c>
      <c r="C55" s="117"/>
      <c r="D55" s="117">
        <f>IFERROR(D$52/SUM($D$52,$H$52,$M$52),"")</f>
        <v>0.75659198160609054</v>
      </c>
      <c r="E55" s="117"/>
      <c r="F55" s="117"/>
      <c r="G55" s="117"/>
      <c r="H55" s="117">
        <f>IFERROR(H$52/SUM($D$52,$H$52,$M$52),"")</f>
        <v>1.3058067835580316E-2</v>
      </c>
      <c r="I55" s="117"/>
      <c r="J55" s="117"/>
      <c r="K55" s="117"/>
      <c r="L55" s="117"/>
      <c r="M55" s="117">
        <f>IFERROR(M$52/SUM($D$52,$H$52,$M$52),"")</f>
        <v>0.2303499505583291</v>
      </c>
      <c r="N55" s="117"/>
      <c r="O55" s="115"/>
    </row>
    <row r="56" spans="1:20" ht="12.75" thickBot="1" x14ac:dyDescent="0.25">
      <c r="A56" s="308"/>
      <c r="B56" s="134"/>
      <c r="C56" s="135"/>
      <c r="D56" s="135"/>
      <c r="E56" s="135"/>
      <c r="F56" s="135"/>
      <c r="G56" s="135"/>
      <c r="H56" s="135"/>
      <c r="I56" s="135"/>
      <c r="J56" s="135"/>
      <c r="K56" s="135"/>
      <c r="L56" s="135"/>
      <c r="M56" s="135"/>
      <c r="N56" s="115"/>
      <c r="O56" s="115"/>
    </row>
    <row r="57" spans="1:20" x14ac:dyDescent="0.2">
      <c r="A57" s="308"/>
      <c r="B57" s="127" t="s">
        <v>117</v>
      </c>
      <c r="C57" s="136"/>
      <c r="D57" s="153">
        <f>D16</f>
        <v>7.7200000000000005E-2</v>
      </c>
      <c r="E57" s="136">
        <v>6.7000000000000004E-2</v>
      </c>
      <c r="F57" s="136"/>
      <c r="G57" s="136"/>
      <c r="H57" s="136">
        <v>0.05</v>
      </c>
      <c r="I57" s="136">
        <v>0.09</v>
      </c>
      <c r="J57" s="136">
        <v>2.7799999999999998E-2</v>
      </c>
      <c r="K57" s="136"/>
      <c r="L57" s="136"/>
      <c r="M57" s="136">
        <f>$M$5</f>
        <v>8.8800000000000004E-2</v>
      </c>
      <c r="N57" s="121">
        <f>IFERROR(AVERAGE(C57:M57),"")</f>
        <v>6.6799999999999998E-2</v>
      </c>
      <c r="O57" s="121">
        <f>SUMPRODUCT($C57:$M57,$C$53:$M$53)</f>
        <v>7.8899479418891236E-2</v>
      </c>
    </row>
    <row r="58" spans="1:20" ht="12.75" thickBot="1" x14ac:dyDescent="0.25">
      <c r="A58" s="308"/>
      <c r="B58" s="127" t="s">
        <v>172</v>
      </c>
      <c r="C58" s="136"/>
      <c r="D58" s="153">
        <f>D17</f>
        <v>0.45</v>
      </c>
      <c r="E58" s="136">
        <v>0.56999999999999995</v>
      </c>
      <c r="F58" s="136"/>
      <c r="G58" s="136"/>
      <c r="H58" s="154"/>
      <c r="I58" s="136">
        <v>0.54</v>
      </c>
      <c r="J58" s="136"/>
      <c r="K58" s="136"/>
      <c r="L58" s="136"/>
      <c r="M58" s="136">
        <f>$M$7</f>
        <v>0.54669999999999996</v>
      </c>
      <c r="N58" s="121">
        <f>IFERROR(AVERAGE(C58:M58),"")</f>
        <v>0.526675</v>
      </c>
      <c r="O58" s="121">
        <f>SUMPRODUCT($C58:$M58,$C$53:$M$53)</f>
        <v>0.47073027667166201</v>
      </c>
    </row>
    <row r="59" spans="1:20" x14ac:dyDescent="0.2">
      <c r="A59" s="308"/>
      <c r="B59" s="137" t="s">
        <v>219</v>
      </c>
      <c r="C59" s="139"/>
      <c r="D59" s="138">
        <v>0.39</v>
      </c>
      <c r="E59" s="139"/>
      <c r="F59" s="139"/>
      <c r="G59" s="139"/>
      <c r="H59" s="138">
        <v>0.11</v>
      </c>
      <c r="I59" s="168"/>
      <c r="J59" s="155"/>
      <c r="K59" s="139"/>
      <c r="L59" s="139"/>
      <c r="M59" s="140">
        <v>0.1</v>
      </c>
      <c r="N59" s="141">
        <f>IFERROR(AVERAGE(C59:M59),"")</f>
        <v>0.19999999999999998</v>
      </c>
      <c r="O59" s="141">
        <f>SUMPRODUCT($C59:$M59,$C$53:$M$53)</f>
        <v>0.20688509115166182</v>
      </c>
    </row>
    <row r="60" spans="1:20" x14ac:dyDescent="0.2">
      <c r="A60" s="308"/>
      <c r="B60" s="122" t="s">
        <v>220</v>
      </c>
      <c r="C60" s="125"/>
      <c r="D60" s="125" t="s">
        <v>188</v>
      </c>
      <c r="E60" s="125"/>
      <c r="F60" s="125"/>
      <c r="G60" s="125"/>
      <c r="H60" s="125" t="s">
        <v>183</v>
      </c>
      <c r="I60" s="125" t="s">
        <v>188</v>
      </c>
      <c r="J60" s="125"/>
      <c r="K60" s="125"/>
      <c r="L60" s="125"/>
      <c r="M60" s="125" t="s">
        <v>183</v>
      </c>
      <c r="N60" s="146" t="str">
        <f t="shared" ref="N60:N61" si="10">IFERROR(AVERAGE(C60:L60),"")</f>
        <v/>
      </c>
      <c r="O60" s="126"/>
    </row>
    <row r="61" spans="1:20" ht="12.75" thickBot="1" x14ac:dyDescent="0.25">
      <c r="A61" s="308"/>
      <c r="B61" s="143" t="s">
        <v>221</v>
      </c>
      <c r="C61" s="144"/>
      <c r="D61" s="144"/>
      <c r="E61" s="144"/>
      <c r="F61" s="144"/>
      <c r="G61" s="144"/>
      <c r="H61" s="144"/>
      <c r="I61" s="144" t="s">
        <v>222</v>
      </c>
      <c r="J61" s="144" t="s">
        <v>167</v>
      </c>
      <c r="K61" s="144" t="s">
        <v>167</v>
      </c>
      <c r="L61" s="144"/>
      <c r="M61" s="144" t="s">
        <v>213</v>
      </c>
      <c r="N61" s="146" t="str">
        <f t="shared" si="10"/>
        <v/>
      </c>
      <c r="O61" s="126"/>
    </row>
    <row r="62" spans="1:20" ht="12.75" thickBot="1" x14ac:dyDescent="0.25">
      <c r="A62" s="308"/>
      <c r="B62" s="147" t="s">
        <v>205</v>
      </c>
      <c r="C62" s="148" t="str">
        <f>IFERROR(AVERAGE(C59),"")</f>
        <v/>
      </c>
      <c r="D62" s="148">
        <f t="shared" ref="D62:M62" si="11">IFERROR(AVERAGE(D59),"")</f>
        <v>0.39</v>
      </c>
      <c r="E62" s="148" t="str">
        <f t="shared" si="11"/>
        <v/>
      </c>
      <c r="F62" s="148" t="str">
        <f t="shared" si="11"/>
        <v/>
      </c>
      <c r="G62" s="148" t="str">
        <f t="shared" si="11"/>
        <v/>
      </c>
      <c r="H62" s="148">
        <f t="shared" si="11"/>
        <v>0.11</v>
      </c>
      <c r="I62" s="148" t="str">
        <f t="shared" si="11"/>
        <v/>
      </c>
      <c r="J62" s="148" t="str">
        <f t="shared" si="11"/>
        <v/>
      </c>
      <c r="K62" s="148" t="str">
        <f t="shared" si="11"/>
        <v/>
      </c>
      <c r="L62" s="148" t="str">
        <f t="shared" si="11"/>
        <v/>
      </c>
      <c r="M62" s="148">
        <f t="shared" si="11"/>
        <v>0.1</v>
      </c>
      <c r="N62" s="149">
        <f>IFERROR(AVERAGE(C62:M62),"")</f>
        <v>0.19999999999999998</v>
      </c>
      <c r="O62" s="149">
        <f>SUMPRODUCT($C62:$M62,$C$55:$M$55)</f>
        <v>0.31954225534412206</v>
      </c>
    </row>
    <row r="63" spans="1:20" x14ac:dyDescent="0.2">
      <c r="A63" s="54"/>
      <c r="B63" s="133"/>
      <c r="C63" s="133"/>
      <c r="D63" s="133"/>
      <c r="E63" s="133"/>
      <c r="F63" s="133"/>
      <c r="G63" s="133"/>
      <c r="H63" s="133"/>
      <c r="I63" s="133"/>
      <c r="J63" s="133"/>
      <c r="K63" s="133"/>
      <c r="L63" s="133"/>
      <c r="M63" s="133"/>
      <c r="N63" s="133"/>
      <c r="O63" s="133"/>
    </row>
    <row r="64" spans="1:20" ht="12.75" thickBot="1" x14ac:dyDescent="0.25">
      <c r="A64" s="54"/>
      <c r="B64" s="133"/>
      <c r="C64" s="133"/>
      <c r="D64" s="133"/>
      <c r="E64" s="133"/>
      <c r="F64" s="133"/>
      <c r="G64" s="133"/>
      <c r="H64" s="133"/>
      <c r="I64" s="133"/>
      <c r="J64" s="133"/>
      <c r="K64" s="133"/>
      <c r="L64" s="133"/>
      <c r="M64" s="133"/>
      <c r="N64" s="133"/>
      <c r="O64" s="133"/>
      <c r="S64" t="s">
        <v>223</v>
      </c>
      <c r="T64" t="s">
        <v>224</v>
      </c>
    </row>
    <row r="65" spans="1:21" x14ac:dyDescent="0.2">
      <c r="A65" s="307" t="s">
        <v>225</v>
      </c>
      <c r="B65" s="113" t="s">
        <v>226</v>
      </c>
      <c r="C65" s="114" t="str">
        <f>IFERROR(VLOOKUP(C$1,'Omzet per aanbieder per perceel'!$A$76:$B$80,2,FALSE),"")</f>
        <v/>
      </c>
      <c r="D65" s="114" t="str">
        <f>IFERROR(VLOOKUP(D$1,'Omzet per aanbieder per perceel'!$A$76:$B$80,2,FALSE),"")</f>
        <v/>
      </c>
      <c r="E65" s="114" t="str">
        <f>IFERROR(VLOOKUP(E$1,'Omzet per aanbieder per perceel'!$A$76:$B$80,2,FALSE),"")</f>
        <v/>
      </c>
      <c r="F65" s="114" t="str">
        <f>IFERROR(VLOOKUP(F$1,'Omzet per aanbieder per perceel'!$A$76:$B$80,2,FALSE),"")</f>
        <v/>
      </c>
      <c r="G65" s="114" t="str">
        <f>IFERROR(VLOOKUP(G$1,'Omzet per aanbieder per perceel'!$A$76:$B$80,2,FALSE),"")</f>
        <v/>
      </c>
      <c r="H65" s="114">
        <f>IFERROR(VLOOKUP(H$1,'Omzet per aanbieder per perceel'!$A$76:$B$80,2,FALSE),"")</f>
        <v>14019</v>
      </c>
      <c r="I65" s="114" t="str">
        <f>IFERROR(VLOOKUP(I$1,'Omzet per aanbieder per perceel'!$A$76:$B$80,2,FALSE),"")</f>
        <v/>
      </c>
      <c r="J65" s="114" t="str">
        <f>IFERROR(VLOOKUP(J$1,'Omzet per aanbieder per perceel'!$A$76:$B$80,2,FALSE),"")</f>
        <v/>
      </c>
      <c r="K65" s="114" t="str">
        <f>IFERROR(VLOOKUP(K$1,'Omzet per aanbieder per perceel'!$A$76:$B$80,2,FALSE),"")</f>
        <v/>
      </c>
      <c r="L65" s="114" t="str">
        <f>IFERROR(VLOOKUP(L$1,'Omzet per aanbieder per perceel'!$A$76:$B$80,2,FALSE),"")</f>
        <v/>
      </c>
      <c r="M65" s="114" t="str">
        <f>IFERROR(VLOOKUP(M$1,'Omzet per aanbieder per perceel'!$A$76:$B$80,2,FALSE),"")</f>
        <v/>
      </c>
      <c r="N65" s="156"/>
      <c r="O65" s="156"/>
      <c r="S65">
        <v>14019</v>
      </c>
      <c r="T65">
        <v>645840</v>
      </c>
    </row>
    <row r="66" spans="1:21" x14ac:dyDescent="0.2">
      <c r="A66" s="308"/>
      <c r="B66" s="116" t="s">
        <v>166</v>
      </c>
      <c r="C66" s="117" t="str">
        <f t="shared" ref="C66:M66" si="12">IFERROR(C$65/SUM($C65:$M65),"")</f>
        <v/>
      </c>
      <c r="D66" s="117" t="str">
        <f t="shared" si="12"/>
        <v/>
      </c>
      <c r="E66" s="117" t="str">
        <f t="shared" si="12"/>
        <v/>
      </c>
      <c r="F66" s="117" t="str">
        <f t="shared" si="12"/>
        <v/>
      </c>
      <c r="G66" s="117" t="str">
        <f t="shared" si="12"/>
        <v/>
      </c>
      <c r="H66" s="117">
        <f t="shared" si="12"/>
        <v>1</v>
      </c>
      <c r="I66" s="117" t="str">
        <f t="shared" si="12"/>
        <v/>
      </c>
      <c r="J66" s="117" t="str">
        <f t="shared" si="12"/>
        <v/>
      </c>
      <c r="K66" s="117" t="str">
        <f t="shared" si="12"/>
        <v/>
      </c>
      <c r="L66" s="117" t="str">
        <f t="shared" si="12"/>
        <v/>
      </c>
      <c r="M66" s="117" t="str">
        <f t="shared" si="12"/>
        <v/>
      </c>
      <c r="N66" s="141">
        <f>IFERROR(AVERAGE(C66:M66),"")</f>
        <v>1</v>
      </c>
      <c r="O66" s="146"/>
      <c r="S66" s="63">
        <f>S65/SUM(S65:T65)</f>
        <v>2.1245447891140381E-2</v>
      </c>
      <c r="T66" s="63">
        <f>T65/SUM(S65:T65)</f>
        <v>0.97875455210885964</v>
      </c>
    </row>
    <row r="67" spans="1:21" ht="12.75" thickBot="1" x14ac:dyDescent="0.25">
      <c r="A67" s="308"/>
      <c r="B67" s="134"/>
      <c r="C67" s="135"/>
      <c r="D67" s="135"/>
      <c r="E67" s="135"/>
      <c r="F67" s="135"/>
      <c r="G67" s="135"/>
      <c r="H67" s="135"/>
      <c r="I67" s="135"/>
      <c r="J67" s="135"/>
      <c r="K67" s="135"/>
      <c r="L67" s="135"/>
      <c r="M67" s="135"/>
      <c r="N67" s="126"/>
      <c r="O67" s="126"/>
    </row>
    <row r="68" spans="1:21" x14ac:dyDescent="0.2">
      <c r="A68" s="308"/>
      <c r="B68" s="127" t="s">
        <v>117</v>
      </c>
      <c r="C68" s="136"/>
      <c r="D68" s="136"/>
      <c r="E68" s="136"/>
      <c r="F68" s="136"/>
      <c r="G68" s="136"/>
      <c r="H68" s="157">
        <v>0.05</v>
      </c>
      <c r="I68" s="136"/>
      <c r="J68" s="136"/>
      <c r="K68" s="136"/>
      <c r="L68" s="136"/>
      <c r="M68" s="136"/>
      <c r="N68" s="121">
        <f>IFERROR(AVERAGE(C68:M68),"")</f>
        <v>0.05</v>
      </c>
      <c r="O68" s="121">
        <f>SUMPRODUCT($C68:$M68,$C$66:$M$66)</f>
        <v>0.05</v>
      </c>
      <c r="P68" t="s">
        <v>227</v>
      </c>
      <c r="S68" s="63">
        <v>0.05</v>
      </c>
      <c r="T68" s="58">
        <v>5.8999999999999997E-2</v>
      </c>
      <c r="U68" s="64">
        <f>SUMPRODUCT(S68:T68,S66:T66)</f>
        <v>5.8808790968979736E-2</v>
      </c>
    </row>
    <row r="69" spans="1:21" ht="12.75" thickBot="1" x14ac:dyDescent="0.25">
      <c r="A69" s="308"/>
      <c r="B69" s="127" t="s">
        <v>172</v>
      </c>
      <c r="C69" s="136"/>
      <c r="D69" s="136"/>
      <c r="E69" s="136"/>
      <c r="F69" s="136"/>
      <c r="G69" s="136"/>
      <c r="H69" s="151"/>
      <c r="I69" s="136"/>
      <c r="J69" s="136"/>
      <c r="K69" s="136"/>
      <c r="L69" s="136"/>
      <c r="M69" s="136"/>
      <c r="N69" s="121" t="str">
        <f>IFERROR(AVERAGE(C69:M69),"")</f>
        <v/>
      </c>
      <c r="O69" s="121">
        <f>SUMPRODUCT($C69:$M69,$C$66:$M$66)</f>
        <v>0</v>
      </c>
    </row>
    <row r="70" spans="1:21" x14ac:dyDescent="0.2">
      <c r="A70" s="308"/>
      <c r="B70" s="137" t="s">
        <v>228</v>
      </c>
      <c r="C70" s="139"/>
      <c r="D70" s="139"/>
      <c r="E70" s="139"/>
      <c r="F70" s="139"/>
      <c r="G70" s="139"/>
      <c r="H70" s="138">
        <v>0.11</v>
      </c>
      <c r="I70" s="139"/>
      <c r="J70" s="139"/>
      <c r="K70" s="139"/>
      <c r="L70" s="139"/>
      <c r="M70" s="139"/>
      <c r="N70" s="141">
        <f>IFERROR(AVERAGE(C70:M70),"")</f>
        <v>0.11</v>
      </c>
      <c r="O70" s="141">
        <f>SUMPRODUCT($C70:$M70,$C$66:$M$66)</f>
        <v>0.11</v>
      </c>
    </row>
    <row r="71" spans="1:21" x14ac:dyDescent="0.2">
      <c r="A71" s="308"/>
      <c r="B71" s="122" t="s">
        <v>229</v>
      </c>
      <c r="C71" s="125"/>
      <c r="D71" s="125"/>
      <c r="E71" s="125"/>
      <c r="F71" s="125"/>
      <c r="G71" s="125"/>
      <c r="H71" s="125" t="s">
        <v>183</v>
      </c>
      <c r="I71" s="125"/>
      <c r="J71" s="125"/>
      <c r="K71" s="125"/>
      <c r="L71" s="125"/>
      <c r="M71" s="125"/>
      <c r="N71" s="146" t="str">
        <f t="shared" ref="N71:N72" si="13">IFERROR(AVERAGE(C71:L71),"")</f>
        <v/>
      </c>
      <c r="O71" s="126"/>
    </row>
    <row r="72" spans="1:21" ht="12.75" thickBot="1" x14ac:dyDescent="0.25">
      <c r="A72" s="308"/>
      <c r="B72" s="143" t="s">
        <v>230</v>
      </c>
      <c r="C72" s="144"/>
      <c r="D72" s="144"/>
      <c r="E72" s="144"/>
      <c r="F72" s="144"/>
      <c r="G72" s="144"/>
      <c r="H72" s="144"/>
      <c r="I72" s="144"/>
      <c r="J72" s="144"/>
      <c r="K72" s="144"/>
      <c r="L72" s="144"/>
      <c r="M72" s="144"/>
      <c r="N72" s="146" t="str">
        <f t="shared" si="13"/>
        <v/>
      </c>
      <c r="O72" s="126"/>
    </row>
    <row r="73" spans="1:21" ht="12.75" thickBot="1" x14ac:dyDescent="0.25">
      <c r="A73" s="308"/>
      <c r="B73" s="147" t="s">
        <v>205</v>
      </c>
      <c r="C73" s="148" t="str">
        <f>IFERROR(AVERAGE(C70),"")</f>
        <v/>
      </c>
      <c r="D73" s="148" t="str">
        <f t="shared" ref="D73:L73" si="14">IFERROR(AVERAGE(D70),"")</f>
        <v/>
      </c>
      <c r="E73" s="148" t="str">
        <f t="shared" si="14"/>
        <v/>
      </c>
      <c r="F73" s="148" t="str">
        <f t="shared" si="14"/>
        <v/>
      </c>
      <c r="G73" s="148" t="str">
        <f t="shared" si="14"/>
        <v/>
      </c>
      <c r="H73" s="148">
        <f t="shared" si="14"/>
        <v>0.11</v>
      </c>
      <c r="I73" s="148" t="str">
        <f t="shared" si="14"/>
        <v/>
      </c>
      <c r="J73" s="148" t="str">
        <f t="shared" si="14"/>
        <v/>
      </c>
      <c r="K73" s="148" t="str">
        <f t="shared" si="14"/>
        <v/>
      </c>
      <c r="L73" s="148" t="str">
        <f t="shared" si="14"/>
        <v/>
      </c>
      <c r="M73" s="119"/>
      <c r="N73" s="149">
        <f>IFERROR(AVERAGE(C73:M73),"")</f>
        <v>0.11</v>
      </c>
      <c r="O73" s="149">
        <f>SUMPRODUCT($C73:$M73,$C$66:$M$66)</f>
        <v>0.11</v>
      </c>
    </row>
    <row r="74" spans="1:21" x14ac:dyDescent="0.2">
      <c r="A74" s="54"/>
      <c r="B74" s="133"/>
      <c r="C74" s="133"/>
      <c r="D74" s="133"/>
      <c r="E74" s="133"/>
      <c r="F74" s="133"/>
      <c r="G74" s="133"/>
      <c r="H74" s="133"/>
      <c r="I74" s="133"/>
      <c r="J74" s="133"/>
      <c r="K74" s="133"/>
      <c r="L74" s="133"/>
      <c r="M74" s="133"/>
      <c r="N74" s="133"/>
      <c r="O74" s="133"/>
    </row>
    <row r="75" spans="1:21" ht="12.75" thickBot="1" x14ac:dyDescent="0.25">
      <c r="A75" s="54"/>
      <c r="B75" s="133"/>
      <c r="C75" s="133"/>
      <c r="D75" s="133"/>
      <c r="E75" s="133"/>
      <c r="F75" s="133"/>
      <c r="G75" s="133"/>
      <c r="H75" s="133"/>
      <c r="I75" s="133"/>
      <c r="J75" s="133"/>
      <c r="K75" s="133"/>
      <c r="L75" s="133"/>
      <c r="M75" s="133"/>
      <c r="N75" s="133"/>
      <c r="O75" s="133"/>
    </row>
    <row r="76" spans="1:21" x14ac:dyDescent="0.2">
      <c r="A76" s="299" t="s">
        <v>231</v>
      </c>
      <c r="B76" s="113" t="s">
        <v>232</v>
      </c>
      <c r="C76" s="114" t="str">
        <f>IFERROR(VLOOKUP(C$1,'Omzet per aanbieder per perceel'!$A$69:$B$71,2,FALSE),"")</f>
        <v/>
      </c>
      <c r="D76" s="114" t="str">
        <f>IFERROR(VLOOKUP(D$1,'Omzet per aanbieder per perceel'!$A$69:$B$71,2,FALSE),"")</f>
        <v/>
      </c>
      <c r="E76" s="114" t="str">
        <f>IFERROR(VLOOKUP(E$1,'Omzet per aanbieder per perceel'!$A$69:$B$71,2,FALSE),"")</f>
        <v/>
      </c>
      <c r="F76" s="114" t="str">
        <f>IFERROR(VLOOKUP(F$1,'Omzet per aanbieder per perceel'!$A$69:$B$71,2,FALSE),"")</f>
        <v/>
      </c>
      <c r="G76" s="114" t="str">
        <f>IFERROR(VLOOKUP(G$1,'Omzet per aanbieder per perceel'!$A$69:$B$71,2,FALSE),"")</f>
        <v/>
      </c>
      <c r="H76" s="114" t="str">
        <f>IFERROR(VLOOKUP(H$1,'Omzet per aanbieder per perceel'!$A$69:$B$71,2,FALSE),"")</f>
        <v/>
      </c>
      <c r="I76" s="114" t="str">
        <f>IFERROR(VLOOKUP(I$1,'Omzet per aanbieder per perceel'!$A$69:$B$71,2,FALSE),"")</f>
        <v/>
      </c>
      <c r="J76" s="114" t="str">
        <f>IFERROR(VLOOKUP(J$1,'Omzet per aanbieder per perceel'!$A$69:$B$71,2,FALSE),"")</f>
        <v/>
      </c>
      <c r="K76" s="114">
        <f>IFERROR(VLOOKUP(K$1,'Omzet per aanbieder per perceel'!$A$69:$B$71,2,FALSE),"")</f>
        <v>759775</v>
      </c>
      <c r="L76" s="114" t="str">
        <f>IFERROR(VLOOKUP(L$1,'Omzet per aanbieder per perceel'!$A$69:$B$71,2,FALSE),"")</f>
        <v/>
      </c>
      <c r="M76" s="114">
        <f>IFERROR(VLOOKUP(M$1,'Omzet per aanbieder per perceel'!$A$69:$B$71,2,FALSE),"")</f>
        <v>1007312</v>
      </c>
      <c r="N76" s="150"/>
      <c r="O76" s="150"/>
    </row>
    <row r="77" spans="1:21" x14ac:dyDescent="0.2">
      <c r="A77" s="300"/>
      <c r="B77" s="116" t="s">
        <v>166</v>
      </c>
      <c r="C77" s="117" t="str">
        <f t="shared" ref="C77:M77" si="15">IFERROR(C$76/SUM($C76:$M76),"")</f>
        <v/>
      </c>
      <c r="D77" s="117" t="str">
        <f t="shared" si="15"/>
        <v/>
      </c>
      <c r="E77" s="117" t="str">
        <f t="shared" si="15"/>
        <v/>
      </c>
      <c r="F77" s="117" t="str">
        <f t="shared" si="15"/>
        <v/>
      </c>
      <c r="G77" s="117" t="str">
        <f t="shared" si="15"/>
        <v/>
      </c>
      <c r="H77" s="117" t="str">
        <f t="shared" si="15"/>
        <v/>
      </c>
      <c r="I77" s="117" t="str">
        <f t="shared" si="15"/>
        <v/>
      </c>
      <c r="J77" s="117" t="str">
        <f t="shared" si="15"/>
        <v/>
      </c>
      <c r="K77" s="117">
        <f t="shared" si="15"/>
        <v>0.42995902295699079</v>
      </c>
      <c r="L77" s="117" t="str">
        <f t="shared" si="15"/>
        <v/>
      </c>
      <c r="M77" s="117">
        <f t="shared" si="15"/>
        <v>0.57004097704300916</v>
      </c>
      <c r="N77" s="117"/>
      <c r="O77" s="117"/>
    </row>
    <row r="78" spans="1:21" ht="12.75" thickBot="1" x14ac:dyDescent="0.25">
      <c r="A78" s="300"/>
      <c r="B78" s="134"/>
      <c r="C78" s="135"/>
      <c r="D78" s="135"/>
      <c r="E78" s="135"/>
      <c r="F78" s="135"/>
      <c r="G78" s="135"/>
      <c r="H78" s="135"/>
      <c r="I78" s="135"/>
      <c r="J78" s="135"/>
      <c r="K78" s="135"/>
      <c r="L78" s="135"/>
      <c r="M78" s="135"/>
      <c r="N78" s="115"/>
      <c r="O78" s="115"/>
    </row>
    <row r="79" spans="1:21" x14ac:dyDescent="0.2">
      <c r="A79" s="300"/>
      <c r="B79" s="127" t="s">
        <v>117</v>
      </c>
      <c r="C79" s="158"/>
      <c r="D79" s="158"/>
      <c r="E79" s="158"/>
      <c r="F79" s="158"/>
      <c r="G79" s="158"/>
      <c r="H79" s="158"/>
      <c r="I79" s="158"/>
      <c r="J79" s="158"/>
      <c r="K79" s="129">
        <v>6.0900000000000003E-2</v>
      </c>
      <c r="L79" s="158"/>
      <c r="M79" s="157">
        <f>$M$5</f>
        <v>8.8800000000000004E-2</v>
      </c>
      <c r="N79" s="121">
        <f>IFERROR(AVERAGE(C79:M79),"")</f>
        <v>7.485E-2</v>
      </c>
      <c r="O79" s="121">
        <f>SUMPRODUCT($C79:$M79,$C$77:$M$77)</f>
        <v>7.6804143259499955E-2</v>
      </c>
    </row>
    <row r="80" spans="1:21" ht="12.75" thickBot="1" x14ac:dyDescent="0.25">
      <c r="A80" s="300"/>
      <c r="B80" s="127" t="s">
        <v>172</v>
      </c>
      <c r="C80" s="158"/>
      <c r="D80" s="158"/>
      <c r="E80" s="158"/>
      <c r="F80" s="158"/>
      <c r="G80" s="158"/>
      <c r="H80" s="158"/>
      <c r="I80" s="158"/>
      <c r="J80" s="158"/>
      <c r="K80" s="129">
        <v>0.41949999999999998</v>
      </c>
      <c r="L80" s="158"/>
      <c r="M80" s="136">
        <f>$M$7</f>
        <v>0.54669999999999996</v>
      </c>
      <c r="N80" s="121">
        <f>IFERROR(AVERAGE(C80:L80),"")</f>
        <v>0.41949999999999998</v>
      </c>
      <c r="O80" s="121">
        <f>SUMPRODUCT($C80:$M80,$C$77:$M$77)</f>
        <v>0.49200921227987071</v>
      </c>
    </row>
    <row r="81" spans="1:15" x14ac:dyDescent="0.2">
      <c r="A81" s="300"/>
      <c r="B81" s="137" t="s">
        <v>233</v>
      </c>
      <c r="C81" s="139"/>
      <c r="D81" s="139"/>
      <c r="E81" s="139"/>
      <c r="F81" s="139"/>
      <c r="G81" s="139"/>
      <c r="H81" s="139"/>
      <c r="I81" s="139"/>
      <c r="J81" s="139"/>
      <c r="K81" s="140">
        <v>0.106</v>
      </c>
      <c r="L81" s="140"/>
      <c r="M81" s="140">
        <v>0.1</v>
      </c>
      <c r="N81" s="141">
        <f>IFERROR(AVERAGE(C81:M81),"")</f>
        <v>0.10300000000000001</v>
      </c>
      <c r="O81" s="141">
        <f>SUMPRODUCT($C81:$M81,$C$77:$M$77)</f>
        <v>0.10257975413774195</v>
      </c>
    </row>
    <row r="82" spans="1:15" x14ac:dyDescent="0.2">
      <c r="A82" s="300"/>
      <c r="B82" s="122" t="s">
        <v>234</v>
      </c>
      <c r="C82" s="125"/>
      <c r="D82" s="125"/>
      <c r="E82" s="125"/>
      <c r="F82" s="125"/>
      <c r="G82" s="125"/>
      <c r="H82" s="125"/>
      <c r="I82" s="125"/>
      <c r="J82" s="125"/>
      <c r="K82" s="125" t="s">
        <v>183</v>
      </c>
      <c r="L82" s="125"/>
      <c r="M82" s="125" t="s">
        <v>183</v>
      </c>
      <c r="N82" s="141" t="str">
        <f t="shared" ref="N82:N92" si="16">IFERROR(AVERAGE(C82:L82),"")</f>
        <v/>
      </c>
      <c r="O82" s="142"/>
    </row>
    <row r="83" spans="1:15" ht="12.75" thickBot="1" x14ac:dyDescent="0.25">
      <c r="A83" s="300"/>
      <c r="B83" s="143" t="s">
        <v>235</v>
      </c>
      <c r="C83" s="144"/>
      <c r="D83" s="144"/>
      <c r="E83" s="144"/>
      <c r="F83" s="144"/>
      <c r="G83" s="144"/>
      <c r="H83" s="144"/>
      <c r="I83" s="144"/>
      <c r="J83" s="144"/>
      <c r="K83" s="144"/>
      <c r="L83" s="144"/>
      <c r="M83" s="144" t="s">
        <v>236</v>
      </c>
      <c r="N83" s="146" t="str">
        <f t="shared" si="16"/>
        <v/>
      </c>
      <c r="O83" s="126"/>
    </row>
    <row r="84" spans="1:15" x14ac:dyDescent="0.2">
      <c r="A84" s="300"/>
      <c r="B84" s="137" t="s">
        <v>237</v>
      </c>
      <c r="C84" s="139"/>
      <c r="D84" s="139"/>
      <c r="E84" s="139"/>
      <c r="F84" s="139"/>
      <c r="G84" s="139"/>
      <c r="H84" s="139"/>
      <c r="I84" s="139"/>
      <c r="J84" s="139"/>
      <c r="K84" s="140">
        <v>0.106</v>
      </c>
      <c r="L84" s="140"/>
      <c r="M84" s="140"/>
      <c r="N84" s="141">
        <f>IFERROR(AVERAGE(C84:M84),"")</f>
        <v>0.106</v>
      </c>
      <c r="O84" s="141">
        <f>SUMPRODUCT($C84:$M84,$C$77:$M$77)</f>
        <v>4.5575656433441025E-2</v>
      </c>
    </row>
    <row r="85" spans="1:15" x14ac:dyDescent="0.2">
      <c r="A85" s="300"/>
      <c r="B85" s="122" t="s">
        <v>238</v>
      </c>
      <c r="C85" s="125"/>
      <c r="D85" s="125"/>
      <c r="E85" s="125"/>
      <c r="F85" s="125"/>
      <c r="G85" s="125"/>
      <c r="H85" s="125"/>
      <c r="I85" s="125"/>
      <c r="J85" s="125"/>
      <c r="K85" s="125" t="s">
        <v>183</v>
      </c>
      <c r="L85" s="125"/>
      <c r="M85" s="125"/>
      <c r="N85" s="146" t="str">
        <f t="shared" si="16"/>
        <v/>
      </c>
      <c r="O85" s="126"/>
    </row>
    <row r="86" spans="1:15" ht="12.75" thickBot="1" x14ac:dyDescent="0.25">
      <c r="A86" s="300"/>
      <c r="B86" s="143" t="s">
        <v>239</v>
      </c>
      <c r="C86" s="144"/>
      <c r="D86" s="144"/>
      <c r="E86" s="144"/>
      <c r="F86" s="144"/>
      <c r="G86" s="144"/>
      <c r="H86" s="144"/>
      <c r="I86" s="144"/>
      <c r="J86" s="144"/>
      <c r="K86" s="144"/>
      <c r="L86" s="144"/>
      <c r="M86" s="144"/>
      <c r="N86" s="146" t="str">
        <f t="shared" si="16"/>
        <v/>
      </c>
      <c r="O86" s="126"/>
    </row>
    <row r="87" spans="1:15" x14ac:dyDescent="0.2">
      <c r="A87" s="300"/>
      <c r="B87" s="137" t="s">
        <v>240</v>
      </c>
      <c r="C87" s="139"/>
      <c r="D87" s="139"/>
      <c r="E87" s="139"/>
      <c r="F87" s="139"/>
      <c r="G87" s="139"/>
      <c r="H87" s="139"/>
      <c r="I87" s="139"/>
      <c r="J87" s="139"/>
      <c r="K87" s="140">
        <v>0.106</v>
      </c>
      <c r="L87" s="140"/>
      <c r="M87" s="140">
        <v>0.25</v>
      </c>
      <c r="N87" s="141">
        <f>IFERROR(AVERAGE(C87:M87),"")</f>
        <v>0.17799999999999999</v>
      </c>
      <c r="O87" s="141">
        <f>SUMPRODUCT($C87:$M87,$C$77:$M$77)</f>
        <v>0.18808590069419331</v>
      </c>
    </row>
    <row r="88" spans="1:15" x14ac:dyDescent="0.2">
      <c r="A88" s="300"/>
      <c r="B88" s="122" t="s">
        <v>241</v>
      </c>
      <c r="C88" s="125"/>
      <c r="D88" s="125"/>
      <c r="E88" s="125"/>
      <c r="F88" s="125"/>
      <c r="G88" s="125"/>
      <c r="H88" s="125"/>
      <c r="I88" s="125"/>
      <c r="J88" s="125"/>
      <c r="K88" s="125" t="s">
        <v>183</v>
      </c>
      <c r="L88" s="125"/>
      <c r="M88" s="125" t="s">
        <v>183</v>
      </c>
      <c r="N88" s="146" t="str">
        <f t="shared" si="16"/>
        <v/>
      </c>
      <c r="O88" s="126"/>
    </row>
    <row r="89" spans="1:15" ht="12.75" thickBot="1" x14ac:dyDescent="0.25">
      <c r="A89" s="300"/>
      <c r="B89" s="143" t="s">
        <v>242</v>
      </c>
      <c r="C89" s="144"/>
      <c r="D89" s="144"/>
      <c r="E89" s="144"/>
      <c r="F89" s="144"/>
      <c r="G89" s="144"/>
      <c r="H89" s="144"/>
      <c r="I89" s="144"/>
      <c r="J89" s="144"/>
      <c r="K89" s="144"/>
      <c r="L89" s="144"/>
      <c r="M89" s="144"/>
      <c r="N89" s="146" t="str">
        <f t="shared" si="16"/>
        <v/>
      </c>
      <c r="O89" s="126"/>
    </row>
    <row r="90" spans="1:15" x14ac:dyDescent="0.2">
      <c r="A90" s="300"/>
      <c r="B90" s="137" t="s">
        <v>243</v>
      </c>
      <c r="C90" s="139"/>
      <c r="D90" s="139"/>
      <c r="E90" s="139"/>
      <c r="F90" s="139"/>
      <c r="G90" s="139"/>
      <c r="H90" s="139"/>
      <c r="I90" s="139"/>
      <c r="J90" s="139"/>
      <c r="K90" s="140">
        <v>0.106</v>
      </c>
      <c r="L90" s="140"/>
      <c r="M90" s="140"/>
      <c r="N90" s="141">
        <f>IFERROR(AVERAGE(C90:M90),"")</f>
        <v>0.106</v>
      </c>
      <c r="O90" s="141">
        <f>SUMPRODUCT($C90:$M90,$C$77:$M$77)</f>
        <v>4.5575656433441025E-2</v>
      </c>
    </row>
    <row r="91" spans="1:15" x14ac:dyDescent="0.2">
      <c r="A91" s="300"/>
      <c r="B91" s="122" t="s">
        <v>244</v>
      </c>
      <c r="C91" s="125"/>
      <c r="D91" s="125"/>
      <c r="E91" s="125"/>
      <c r="F91" s="125"/>
      <c r="G91" s="125"/>
      <c r="H91" s="125"/>
      <c r="I91" s="125"/>
      <c r="J91" s="125"/>
      <c r="K91" s="125" t="s">
        <v>183</v>
      </c>
      <c r="L91" s="125"/>
      <c r="M91" s="125"/>
      <c r="N91" s="146" t="str">
        <f t="shared" si="16"/>
        <v/>
      </c>
      <c r="O91" s="126"/>
    </row>
    <row r="92" spans="1:15" ht="12.75" thickBot="1" x14ac:dyDescent="0.25">
      <c r="A92" s="300"/>
      <c r="B92" s="143" t="s">
        <v>245</v>
      </c>
      <c r="C92" s="144"/>
      <c r="D92" s="144"/>
      <c r="E92" s="144"/>
      <c r="F92" s="144"/>
      <c r="G92" s="144"/>
      <c r="H92" s="144"/>
      <c r="I92" s="144"/>
      <c r="J92" s="144"/>
      <c r="K92" s="144"/>
      <c r="L92" s="144"/>
      <c r="M92" s="144"/>
      <c r="N92" s="146" t="str">
        <f t="shared" si="16"/>
        <v/>
      </c>
      <c r="O92" s="126"/>
    </row>
    <row r="93" spans="1:15" ht="12.75" thickBot="1" x14ac:dyDescent="0.25">
      <c r="A93" s="301"/>
      <c r="B93" s="147" t="s">
        <v>205</v>
      </c>
      <c r="C93" s="148" t="str">
        <f>IFERROR(AVERAGE(C90),"")</f>
        <v/>
      </c>
      <c r="D93" s="148" t="str">
        <f t="shared" ref="D93:L93" si="17">IFERROR(AVERAGE(D90),"")</f>
        <v/>
      </c>
      <c r="E93" s="148" t="str">
        <f t="shared" si="17"/>
        <v/>
      </c>
      <c r="F93" s="148" t="str">
        <f t="shared" si="17"/>
        <v/>
      </c>
      <c r="G93" s="148" t="str">
        <f t="shared" si="17"/>
        <v/>
      </c>
      <c r="H93" s="148" t="str">
        <f t="shared" si="17"/>
        <v/>
      </c>
      <c r="I93" s="148" t="str">
        <f t="shared" si="17"/>
        <v/>
      </c>
      <c r="J93" s="148" t="str">
        <f t="shared" si="17"/>
        <v/>
      </c>
      <c r="K93" s="148">
        <f>IFERROR(AVERAGE(K90),"")</f>
        <v>0.106</v>
      </c>
      <c r="L93" s="148" t="str">
        <f t="shared" si="17"/>
        <v/>
      </c>
      <c r="M93" s="148">
        <f>IFERROR(AVERAGE(M87,M81),"")</f>
        <v>0.17499999999999999</v>
      </c>
      <c r="N93" s="149">
        <f>IFERROR(AVERAGE(C93:M93),"")</f>
        <v>0.14049999999999999</v>
      </c>
      <c r="O93" s="149">
        <f>SUMPRODUCT($C93:$M93,$C$77:$M$77)</f>
        <v>0.14533282741596762</v>
      </c>
    </row>
    <row r="94" spans="1:15" x14ac:dyDescent="0.2">
      <c r="A94" s="54"/>
      <c r="B94" s="133"/>
      <c r="C94" s="133"/>
      <c r="D94" s="133"/>
      <c r="E94" s="133"/>
      <c r="F94" s="133"/>
      <c r="G94" s="133"/>
      <c r="H94" s="133"/>
      <c r="I94" s="133"/>
      <c r="J94" s="133"/>
      <c r="K94" s="133"/>
      <c r="L94" s="133"/>
      <c r="M94" s="133"/>
      <c r="N94" s="133"/>
      <c r="O94" s="133"/>
    </row>
    <row r="95" spans="1:15" ht="12.75" thickBot="1" x14ac:dyDescent="0.25">
      <c r="A95" s="54"/>
      <c r="B95" s="133"/>
      <c r="C95" s="133"/>
      <c r="D95" s="133"/>
      <c r="E95" s="133"/>
      <c r="F95" s="133"/>
      <c r="G95" s="133"/>
      <c r="H95" s="133"/>
      <c r="I95" s="133"/>
      <c r="J95" s="133"/>
      <c r="K95" s="133"/>
      <c r="L95" s="133"/>
      <c r="M95" s="133"/>
      <c r="N95" s="133"/>
      <c r="O95" s="133"/>
    </row>
    <row r="96" spans="1:15" x14ac:dyDescent="0.2">
      <c r="A96" s="299" t="s">
        <v>246</v>
      </c>
      <c r="B96" s="113" t="s">
        <v>247</v>
      </c>
      <c r="C96" s="114" t="str">
        <f>IFERROR(VLOOKUP(C$1,'Omzet per aanbieder per perceel'!$A$85:$C$85,2,FALSE),"")</f>
        <v/>
      </c>
      <c r="D96" s="114">
        <f>IFERROR(VLOOKUP(D$1,'Omzet per aanbieder per perceel'!$A$85:$C$85,2,FALSE),"")</f>
        <v>151958</v>
      </c>
      <c r="E96" s="114" t="str">
        <f>IFERROR(VLOOKUP(E$1,'Omzet per aanbieder per perceel'!$A$85:$C$85,2,FALSE),"")</f>
        <v/>
      </c>
      <c r="F96" s="114" t="str">
        <f>IFERROR(VLOOKUP(F$1,'Omzet per aanbieder per perceel'!$A$85:$C$85,2,FALSE),"")</f>
        <v/>
      </c>
      <c r="G96" s="114" t="str">
        <f>IFERROR(VLOOKUP(G$1,'Omzet per aanbieder per perceel'!$A$85:$C$85,2,FALSE),"")</f>
        <v/>
      </c>
      <c r="H96" s="114" t="str">
        <f>IFERROR(VLOOKUP(H$1,'Omzet per aanbieder per perceel'!$A$85:$C$85,2,FALSE),"")</f>
        <v/>
      </c>
      <c r="I96" s="114" t="str">
        <f>IFERROR(VLOOKUP(I$1,'Omzet per aanbieder per perceel'!$A$85:$C$85,2,FALSE),"")</f>
        <v/>
      </c>
      <c r="J96" s="114" t="str">
        <f>IFERROR(VLOOKUP(J$1,'Omzet per aanbieder per perceel'!$A$85:$C$85,2,FALSE),"")</f>
        <v/>
      </c>
      <c r="K96" s="114" t="str">
        <f>IFERROR(VLOOKUP(K$1,'Omzet per aanbieder per perceel'!$A$85:$C$85,2,FALSE),"")</f>
        <v/>
      </c>
      <c r="L96" s="114" t="str">
        <f>IFERROR(VLOOKUP(L$1,'Omzet per aanbieder per perceel'!$A$85:$C$85,2,FALSE),"")</f>
        <v/>
      </c>
      <c r="M96" s="114"/>
      <c r="N96" s="150"/>
      <c r="O96" s="150"/>
    </row>
    <row r="97" spans="1:15" x14ac:dyDescent="0.2">
      <c r="A97" s="300"/>
      <c r="B97" s="116" t="s">
        <v>166</v>
      </c>
      <c r="C97" s="117" t="str">
        <f t="shared" ref="C97:L97" si="18">IFERROR(C$96/SUM($C96:$L96),"")</f>
        <v/>
      </c>
      <c r="D97" s="117">
        <f t="shared" si="18"/>
        <v>1</v>
      </c>
      <c r="E97" s="117" t="str">
        <f t="shared" si="18"/>
        <v/>
      </c>
      <c r="F97" s="117" t="str">
        <f t="shared" si="18"/>
        <v/>
      </c>
      <c r="G97" s="117" t="str">
        <f t="shared" si="18"/>
        <v/>
      </c>
      <c r="H97" s="117" t="str">
        <f t="shared" si="18"/>
        <v/>
      </c>
      <c r="I97" s="117" t="str">
        <f t="shared" si="18"/>
        <v/>
      </c>
      <c r="J97" s="117" t="str">
        <f t="shared" si="18"/>
        <v/>
      </c>
      <c r="K97" s="117" t="str">
        <f t="shared" si="18"/>
        <v/>
      </c>
      <c r="L97" s="117" t="str">
        <f t="shared" si="18"/>
        <v/>
      </c>
      <c r="M97" s="117"/>
      <c r="N97" s="117"/>
      <c r="O97" s="117"/>
    </row>
    <row r="98" spans="1:15" ht="12.75" thickBot="1" x14ac:dyDescent="0.25">
      <c r="A98" s="300"/>
      <c r="B98" s="134"/>
      <c r="C98" s="159"/>
      <c r="D98" s="159"/>
      <c r="E98" s="159"/>
      <c r="F98" s="159"/>
      <c r="G98" s="159"/>
      <c r="H98" s="159"/>
      <c r="I98" s="159"/>
      <c r="J98" s="159"/>
      <c r="K98" s="159"/>
      <c r="L98" s="159"/>
      <c r="M98" s="159"/>
      <c r="N98" s="117"/>
      <c r="O98" s="117"/>
    </row>
    <row r="99" spans="1:15" x14ac:dyDescent="0.2">
      <c r="A99" s="300"/>
      <c r="B99" s="137" t="s">
        <v>248</v>
      </c>
      <c r="C99" s="296" t="s">
        <v>249</v>
      </c>
      <c r="D99" s="296"/>
      <c r="E99" s="296"/>
      <c r="F99" s="296"/>
      <c r="G99" s="296"/>
      <c r="H99" s="296"/>
      <c r="I99" s="296"/>
      <c r="J99" s="296"/>
      <c r="K99" s="296"/>
      <c r="L99" s="296"/>
      <c r="M99" s="296"/>
      <c r="N99" s="117" t="str">
        <f>IFERROR(AVERAGE(C99:L99),"")</f>
        <v/>
      </c>
      <c r="O99" s="160">
        <f>SUMPRODUCT($C99:$L99,$C$77:$L$77)</f>
        <v>0</v>
      </c>
    </row>
    <row r="100" spans="1:15" x14ac:dyDescent="0.2">
      <c r="A100" s="300"/>
      <c r="B100" s="122" t="s">
        <v>250</v>
      </c>
      <c r="C100" s="297"/>
      <c r="D100" s="297"/>
      <c r="E100" s="297"/>
      <c r="F100" s="297"/>
      <c r="G100" s="297"/>
      <c r="H100" s="297"/>
      <c r="I100" s="297"/>
      <c r="J100" s="297"/>
      <c r="K100" s="297"/>
      <c r="L100" s="297"/>
      <c r="M100" s="297"/>
      <c r="N100" s="117" t="str">
        <f>IFERROR(AVERAGE(C100:L100),"")</f>
        <v/>
      </c>
      <c r="O100" s="115"/>
    </row>
    <row r="101" spans="1:15" ht="12.75" thickBot="1" x14ac:dyDescent="0.25">
      <c r="A101" s="300"/>
      <c r="B101" s="143" t="s">
        <v>251</v>
      </c>
      <c r="C101" s="298"/>
      <c r="D101" s="298"/>
      <c r="E101" s="298"/>
      <c r="F101" s="298"/>
      <c r="G101" s="298"/>
      <c r="H101" s="298"/>
      <c r="I101" s="298"/>
      <c r="J101" s="298"/>
      <c r="K101" s="298"/>
      <c r="L101" s="298"/>
      <c r="M101" s="298"/>
      <c r="N101" s="117" t="str">
        <f>IFERROR(AVERAGE(C101:L101),"")</f>
        <v/>
      </c>
      <c r="O101" s="115"/>
    </row>
    <row r="102" spans="1:15" ht="12.75" thickBot="1" x14ac:dyDescent="0.25">
      <c r="A102" s="301"/>
      <c r="B102" s="161" t="s">
        <v>205</v>
      </c>
      <c r="C102" s="162" t="str">
        <f>IFERROR(AVERAGE(C99),"")</f>
        <v/>
      </c>
      <c r="D102" s="162" t="str">
        <f t="shared" ref="D102:L102" si="19">IFERROR(AVERAGE(D99),"")</f>
        <v/>
      </c>
      <c r="E102" s="162" t="str">
        <f t="shared" si="19"/>
        <v/>
      </c>
      <c r="F102" s="162" t="str">
        <f t="shared" si="19"/>
        <v/>
      </c>
      <c r="G102" s="162" t="str">
        <f t="shared" si="19"/>
        <v/>
      </c>
      <c r="H102" s="162" t="str">
        <f t="shared" si="19"/>
        <v/>
      </c>
      <c r="I102" s="162" t="str">
        <f t="shared" si="19"/>
        <v/>
      </c>
      <c r="J102" s="162" t="str">
        <f t="shared" si="19"/>
        <v/>
      </c>
      <c r="K102" s="162" t="str">
        <f t="shared" si="19"/>
        <v/>
      </c>
      <c r="L102" s="162" t="str">
        <f t="shared" si="19"/>
        <v/>
      </c>
      <c r="M102" s="163"/>
      <c r="N102" s="117"/>
      <c r="O102" s="115"/>
    </row>
    <row r="103" spans="1:15" x14ac:dyDescent="0.2">
      <c r="A103" s="53"/>
      <c r="B103" s="133"/>
      <c r="C103" s="133"/>
      <c r="D103" s="133"/>
      <c r="E103" s="133"/>
      <c r="F103" s="133"/>
      <c r="G103" s="133"/>
      <c r="H103" s="133"/>
      <c r="I103" s="133"/>
      <c r="J103" s="133"/>
      <c r="K103" s="133"/>
      <c r="L103" s="133"/>
      <c r="M103" s="133"/>
      <c r="N103" s="133"/>
      <c r="O103" s="133"/>
    </row>
    <row r="104" spans="1:15" ht="12.75" thickBot="1" x14ac:dyDescent="0.25">
      <c r="A104" s="53"/>
      <c r="B104" s="133"/>
      <c r="C104" s="133"/>
      <c r="D104" s="133"/>
      <c r="E104" s="133"/>
      <c r="F104" s="133"/>
      <c r="G104" s="133"/>
      <c r="H104" s="133"/>
      <c r="I104" s="133"/>
      <c r="J104" s="133"/>
      <c r="K104" s="133"/>
      <c r="L104" s="133"/>
      <c r="M104" s="133"/>
      <c r="N104" s="133"/>
      <c r="O104" s="133"/>
    </row>
    <row r="105" spans="1:15" x14ac:dyDescent="0.2">
      <c r="A105" s="302" t="s">
        <v>252</v>
      </c>
      <c r="B105" s="113" t="s">
        <v>177</v>
      </c>
      <c r="C105" s="293" t="s">
        <v>253</v>
      </c>
      <c r="D105" s="293"/>
      <c r="E105" s="293"/>
      <c r="F105" s="293"/>
      <c r="G105" s="293"/>
      <c r="H105" s="293"/>
      <c r="I105" s="293"/>
      <c r="J105" s="293"/>
      <c r="K105" s="293"/>
      <c r="L105" s="293"/>
      <c r="M105" s="293"/>
      <c r="N105" s="115"/>
      <c r="O105" s="115"/>
    </row>
    <row r="106" spans="1:15" x14ac:dyDescent="0.2">
      <c r="A106" s="303"/>
      <c r="B106" s="116" t="s">
        <v>166</v>
      </c>
      <c r="C106" s="294"/>
      <c r="D106" s="294"/>
      <c r="E106" s="294"/>
      <c r="F106" s="294"/>
      <c r="G106" s="294"/>
      <c r="H106" s="294"/>
      <c r="I106" s="294"/>
      <c r="J106" s="294"/>
      <c r="K106" s="294"/>
      <c r="L106" s="294"/>
      <c r="M106" s="294"/>
      <c r="N106" s="115"/>
      <c r="O106" s="115"/>
    </row>
    <row r="107" spans="1:15" ht="12.75" thickBot="1" x14ac:dyDescent="0.25">
      <c r="A107" s="303"/>
      <c r="B107" s="134"/>
      <c r="C107" s="295"/>
      <c r="D107" s="295"/>
      <c r="E107" s="295"/>
      <c r="F107" s="295"/>
      <c r="G107" s="295"/>
      <c r="H107" s="295"/>
      <c r="I107" s="295"/>
      <c r="J107" s="295"/>
      <c r="K107" s="295"/>
      <c r="L107" s="295"/>
      <c r="M107" s="295"/>
      <c r="N107" s="115"/>
      <c r="O107" s="115"/>
    </row>
    <row r="108" spans="1:15" x14ac:dyDescent="0.2">
      <c r="A108" s="303"/>
      <c r="B108" s="127" t="s">
        <v>117</v>
      </c>
      <c r="C108" s="158"/>
      <c r="D108" s="158"/>
      <c r="E108" s="158"/>
      <c r="F108" s="158"/>
      <c r="G108" s="158"/>
      <c r="H108" s="158"/>
      <c r="I108" s="158"/>
      <c r="J108" s="158"/>
      <c r="K108" s="129">
        <v>6.0900000000000003E-2</v>
      </c>
      <c r="L108" s="158"/>
      <c r="M108" s="158"/>
      <c r="N108" s="121">
        <f>IFERROR(AVERAGE(C108:L108),"")</f>
        <v>6.0900000000000003E-2</v>
      </c>
      <c r="O108" s="164"/>
    </row>
    <row r="109" spans="1:15" ht="12.75" thickBot="1" x14ac:dyDescent="0.25">
      <c r="A109" s="303"/>
      <c r="B109" s="127" t="s">
        <v>172</v>
      </c>
      <c r="C109" s="158"/>
      <c r="D109" s="158"/>
      <c r="E109" s="158"/>
      <c r="F109" s="158"/>
      <c r="G109" s="158"/>
      <c r="H109" s="158"/>
      <c r="I109" s="158"/>
      <c r="J109" s="158"/>
      <c r="K109" s="129">
        <v>0.41949999999999998</v>
      </c>
      <c r="L109" s="158"/>
      <c r="M109" s="158"/>
      <c r="N109" s="121">
        <f>IFERROR(AVERAGE(C109:L109),"")</f>
        <v>0.41949999999999998</v>
      </c>
      <c r="O109" s="164"/>
    </row>
    <row r="110" spans="1:15" x14ac:dyDescent="0.2">
      <c r="A110" s="303"/>
      <c r="B110" s="137" t="s">
        <v>254</v>
      </c>
      <c r="C110" s="139"/>
      <c r="D110" s="139"/>
      <c r="E110" s="139"/>
      <c r="F110" s="139"/>
      <c r="G110" s="139"/>
      <c r="H110" s="139"/>
      <c r="I110" s="139"/>
      <c r="J110" s="139"/>
      <c r="K110" s="140">
        <v>0.106</v>
      </c>
      <c r="L110" s="140"/>
      <c r="M110" s="140"/>
      <c r="N110" s="165">
        <f t="shared" ref="N110:N112" si="20">IFERROR(AVERAGE(C110:L110),"")</f>
        <v>0.106</v>
      </c>
      <c r="O110" s="166"/>
    </row>
    <row r="111" spans="1:15" x14ac:dyDescent="0.2">
      <c r="A111" s="303"/>
      <c r="B111" s="122" t="s">
        <v>255</v>
      </c>
      <c r="C111" s="125"/>
      <c r="D111" s="125"/>
      <c r="E111" s="125"/>
      <c r="F111" s="125"/>
      <c r="G111" s="125"/>
      <c r="H111" s="125"/>
      <c r="I111" s="125"/>
      <c r="J111" s="125"/>
      <c r="K111" s="125" t="s">
        <v>183</v>
      </c>
      <c r="L111" s="125"/>
      <c r="M111" s="125"/>
      <c r="N111" s="146" t="str">
        <f t="shared" si="20"/>
        <v/>
      </c>
      <c r="O111" s="126"/>
    </row>
    <row r="112" spans="1:15" ht="12.75" thickBot="1" x14ac:dyDescent="0.25">
      <c r="A112" s="303"/>
      <c r="B112" s="143" t="s">
        <v>256</v>
      </c>
      <c r="C112" s="144"/>
      <c r="D112" s="144"/>
      <c r="E112" s="144"/>
      <c r="F112" s="144"/>
      <c r="G112" s="144"/>
      <c r="H112" s="144"/>
      <c r="I112" s="144"/>
      <c r="J112" s="144"/>
      <c r="K112" s="144"/>
      <c r="L112" s="144"/>
      <c r="M112" s="144"/>
      <c r="N112" s="146" t="str">
        <f t="shared" si="20"/>
        <v/>
      </c>
      <c r="O112" s="126"/>
    </row>
    <row r="113" spans="1:15" ht="12.75" thickBot="1" x14ac:dyDescent="0.25">
      <c r="A113" s="304"/>
      <c r="B113" s="161" t="s">
        <v>205</v>
      </c>
      <c r="C113" s="167" t="str">
        <f>IFERROR(AVERAGE(C110),"")</f>
        <v/>
      </c>
      <c r="D113" s="167" t="str">
        <f t="shared" ref="D113:L113" si="21">IFERROR(AVERAGE(D110),"")</f>
        <v/>
      </c>
      <c r="E113" s="167" t="str">
        <f t="shared" si="21"/>
        <v/>
      </c>
      <c r="F113" s="167" t="str">
        <f t="shared" si="21"/>
        <v/>
      </c>
      <c r="G113" s="167" t="str">
        <f t="shared" si="21"/>
        <v/>
      </c>
      <c r="H113" s="167" t="str">
        <f t="shared" si="21"/>
        <v/>
      </c>
      <c r="I113" s="167" t="str">
        <f t="shared" si="21"/>
        <v/>
      </c>
      <c r="J113" s="167" t="str">
        <f t="shared" si="21"/>
        <v/>
      </c>
      <c r="K113" s="167">
        <f>IFERROR(AVERAGE(K110),"")</f>
        <v>0.106</v>
      </c>
      <c r="L113" s="167" t="str">
        <f t="shared" si="21"/>
        <v/>
      </c>
      <c r="M113" s="167"/>
      <c r="N113" s="149">
        <f>IFERROR(AVERAGE(C113:L113),"")</f>
        <v>0.106</v>
      </c>
      <c r="O113" s="153"/>
    </row>
  </sheetData>
  <mergeCells count="10">
    <mergeCell ref="A2:A8"/>
    <mergeCell ref="C105:M107"/>
    <mergeCell ref="C99:M101"/>
    <mergeCell ref="A96:A102"/>
    <mergeCell ref="A105:A113"/>
    <mergeCell ref="A11:A33"/>
    <mergeCell ref="A36:A49"/>
    <mergeCell ref="A52:A62"/>
    <mergeCell ref="A65:A73"/>
    <mergeCell ref="A76:A9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B1488-E54A-4654-A994-A41931F4DF44}">
  <sheetPr>
    <tabColor theme="5"/>
  </sheetPr>
  <dimension ref="A2:Y140"/>
  <sheetViews>
    <sheetView zoomScale="85" zoomScaleNormal="85" workbookViewId="0">
      <selection activeCell="F27" sqref="F27"/>
    </sheetView>
  </sheetViews>
  <sheetFormatPr defaultRowHeight="12" x14ac:dyDescent="0.2"/>
  <cols>
    <col min="2" max="2" width="14" bestFit="1" customWidth="1"/>
    <col min="3" max="19" width="30.5703125" style="43" customWidth="1"/>
  </cols>
  <sheetData>
    <row r="2" spans="1:18" ht="11.45" customHeight="1" x14ac:dyDescent="0.2">
      <c r="A2" s="309" t="s">
        <v>5</v>
      </c>
      <c r="B2" s="41" t="s">
        <v>257</v>
      </c>
      <c r="C2" s="42" t="s">
        <v>258</v>
      </c>
      <c r="D2" s="42" t="s">
        <v>259</v>
      </c>
      <c r="E2" s="42" t="s">
        <v>161</v>
      </c>
      <c r="F2" s="42" t="s">
        <v>260</v>
      </c>
      <c r="G2" s="42" t="s">
        <v>260</v>
      </c>
      <c r="H2" s="42" t="s">
        <v>261</v>
      </c>
      <c r="I2" s="42" t="s">
        <v>261</v>
      </c>
      <c r="J2" s="42" t="s">
        <v>262</v>
      </c>
      <c r="K2" s="42" t="s">
        <v>263</v>
      </c>
      <c r="L2" s="42" t="s">
        <v>264</v>
      </c>
      <c r="M2" s="42" t="s">
        <v>265</v>
      </c>
      <c r="N2" s="42" t="s">
        <v>266</v>
      </c>
      <c r="O2" s="42" t="s">
        <v>258</v>
      </c>
      <c r="P2" s="42" t="s">
        <v>267</v>
      </c>
      <c r="Q2" s="42" t="s">
        <v>268</v>
      </c>
      <c r="R2" s="42" t="s">
        <v>268</v>
      </c>
    </row>
    <row r="3" spans="1:18" ht="24" x14ac:dyDescent="0.2">
      <c r="A3" s="309"/>
      <c r="B3" s="41" t="s">
        <v>269</v>
      </c>
      <c r="C3" s="42" t="s">
        <v>270</v>
      </c>
      <c r="D3" s="42" t="s">
        <v>270</v>
      </c>
      <c r="E3" s="42"/>
      <c r="F3" s="42" t="s">
        <v>271</v>
      </c>
      <c r="G3" s="42" t="s">
        <v>271</v>
      </c>
      <c r="H3" s="42" t="s">
        <v>272</v>
      </c>
      <c r="I3" s="42" t="s">
        <v>272</v>
      </c>
      <c r="J3" s="42" t="s">
        <v>273</v>
      </c>
      <c r="K3" s="42" t="s">
        <v>274</v>
      </c>
      <c r="L3" s="42" t="s">
        <v>275</v>
      </c>
      <c r="M3" s="42" t="s">
        <v>276</v>
      </c>
      <c r="N3" s="42" t="s">
        <v>277</v>
      </c>
      <c r="O3" s="42" t="s">
        <v>270</v>
      </c>
      <c r="P3" s="42" t="s">
        <v>278</v>
      </c>
      <c r="Q3" s="42" t="s">
        <v>279</v>
      </c>
      <c r="R3" s="42" t="s">
        <v>279</v>
      </c>
    </row>
    <row r="4" spans="1:18" ht="24" x14ac:dyDescent="0.2">
      <c r="A4" s="309"/>
      <c r="B4" s="41" t="s">
        <v>280</v>
      </c>
      <c r="C4" s="42" t="s">
        <v>5</v>
      </c>
      <c r="D4" s="42" t="s">
        <v>5</v>
      </c>
      <c r="E4" s="42"/>
      <c r="F4" s="42" t="s">
        <v>281</v>
      </c>
      <c r="G4" s="42" t="s">
        <v>282</v>
      </c>
      <c r="H4" s="42" t="s">
        <v>283</v>
      </c>
      <c r="I4" s="42" t="s">
        <v>284</v>
      </c>
      <c r="J4" s="42" t="s">
        <v>285</v>
      </c>
      <c r="K4" s="42" t="s">
        <v>286</v>
      </c>
      <c r="L4" s="42" t="s">
        <v>287</v>
      </c>
      <c r="M4" s="42" t="s">
        <v>288</v>
      </c>
      <c r="N4" s="42" t="s">
        <v>289</v>
      </c>
      <c r="O4" s="42" t="s">
        <v>5</v>
      </c>
      <c r="P4" s="42" t="s">
        <v>290</v>
      </c>
      <c r="Q4" s="42" t="s">
        <v>291</v>
      </c>
      <c r="R4" s="42" t="s">
        <v>292</v>
      </c>
    </row>
    <row r="5" spans="1:18" x14ac:dyDescent="0.2">
      <c r="A5" s="309"/>
      <c r="B5" s="41" t="s">
        <v>293</v>
      </c>
      <c r="C5" s="42">
        <v>2022</v>
      </c>
      <c r="D5" s="42">
        <v>2022</v>
      </c>
      <c r="E5" s="42"/>
      <c r="F5" s="42">
        <v>2022</v>
      </c>
      <c r="G5" s="42">
        <v>2022</v>
      </c>
      <c r="H5" s="42">
        <v>2022</v>
      </c>
      <c r="I5" s="42">
        <v>2022</v>
      </c>
      <c r="J5" s="42">
        <v>2021</v>
      </c>
      <c r="K5" s="42">
        <v>2021</v>
      </c>
      <c r="L5" s="42">
        <v>2022</v>
      </c>
      <c r="M5" s="42">
        <v>2022</v>
      </c>
      <c r="N5" s="42">
        <v>2022</v>
      </c>
      <c r="O5" s="42">
        <v>2022</v>
      </c>
      <c r="P5" s="42">
        <v>2021</v>
      </c>
      <c r="Q5" s="42">
        <v>2021</v>
      </c>
      <c r="R5" s="42">
        <v>2021</v>
      </c>
    </row>
    <row r="6" spans="1:18" x14ac:dyDescent="0.2">
      <c r="A6" s="309"/>
      <c r="B6" s="41" t="s">
        <v>0</v>
      </c>
      <c r="C6" s="42" t="s">
        <v>294</v>
      </c>
      <c r="D6" s="42" t="s">
        <v>294</v>
      </c>
      <c r="E6" s="42"/>
      <c r="F6" s="42" t="s">
        <v>2</v>
      </c>
      <c r="G6" s="42" t="s">
        <v>2</v>
      </c>
      <c r="H6" s="42" t="s">
        <v>294</v>
      </c>
      <c r="I6" s="42" t="s">
        <v>294</v>
      </c>
      <c r="J6" s="42" t="s">
        <v>294</v>
      </c>
      <c r="K6" s="42" t="s">
        <v>295</v>
      </c>
      <c r="L6" s="42" t="s">
        <v>294</v>
      </c>
      <c r="M6" s="42" t="s">
        <v>294</v>
      </c>
      <c r="N6" s="42" t="s">
        <v>295</v>
      </c>
      <c r="O6" s="42" t="s">
        <v>295</v>
      </c>
      <c r="P6" s="42" t="s">
        <v>294</v>
      </c>
      <c r="Q6" s="42" t="s">
        <v>294</v>
      </c>
      <c r="R6" s="42" t="s">
        <v>294</v>
      </c>
    </row>
    <row r="7" spans="1:18" x14ac:dyDescent="0.2">
      <c r="A7" s="309"/>
      <c r="B7" s="41" t="s">
        <v>296</v>
      </c>
      <c r="C7" s="44">
        <f>0.9*60</f>
        <v>54</v>
      </c>
      <c r="D7" s="44" t="e">
        <f>#REF!*60</f>
        <v>#REF!</v>
      </c>
      <c r="E7" s="44">
        <f>AVERAGE(F7:H7,J7:P7,R7)</f>
        <v>57.852363636363656</v>
      </c>
      <c r="F7" s="44">
        <v>55.32</v>
      </c>
      <c r="G7" s="44">
        <v>60.24</v>
      </c>
      <c r="H7" s="44">
        <v>71.17</v>
      </c>
      <c r="I7" s="44">
        <v>76.13</v>
      </c>
      <c r="J7" s="44">
        <v>55.8</v>
      </c>
      <c r="K7" s="44">
        <f>61.2*1.029</f>
        <v>62.974799999999995</v>
      </c>
      <c r="L7" s="44">
        <v>52.8</v>
      </c>
      <c r="M7" s="44">
        <v>51</v>
      </c>
      <c r="N7" s="44">
        <v>57</v>
      </c>
      <c r="O7" s="44">
        <v>54</v>
      </c>
      <c r="P7" s="44">
        <f>56.4*1.029</f>
        <v>58.035599999999995</v>
      </c>
      <c r="Q7" s="44">
        <f>44.4*1.029</f>
        <v>45.687599999999996</v>
      </c>
      <c r="R7" s="44">
        <f>56.4*1.029</f>
        <v>58.035599999999995</v>
      </c>
    </row>
    <row r="8" spans="1:18" x14ac:dyDescent="0.2">
      <c r="A8" s="309"/>
      <c r="B8" s="41" t="s">
        <v>297</v>
      </c>
      <c r="C8" s="42"/>
      <c r="D8" s="42"/>
      <c r="E8" s="42"/>
      <c r="F8" s="42"/>
      <c r="G8" s="42"/>
      <c r="H8" s="42">
        <v>59.07</v>
      </c>
      <c r="I8" s="42">
        <v>63.19</v>
      </c>
      <c r="J8" s="42"/>
      <c r="K8" s="42"/>
      <c r="L8" s="42"/>
      <c r="M8" s="42"/>
      <c r="N8" s="42"/>
      <c r="O8" s="42"/>
      <c r="P8" s="42"/>
      <c r="Q8" s="42"/>
      <c r="R8" s="42"/>
    </row>
    <row r="9" spans="1:18" x14ac:dyDescent="0.2">
      <c r="A9" s="309"/>
      <c r="B9" s="41" t="s">
        <v>80</v>
      </c>
      <c r="C9" s="42"/>
      <c r="D9" s="42"/>
      <c r="E9" s="42"/>
      <c r="F9" s="42"/>
      <c r="G9" s="42"/>
      <c r="H9" s="42" t="s">
        <v>298</v>
      </c>
      <c r="I9" s="42" t="s">
        <v>299</v>
      </c>
      <c r="J9" s="42"/>
      <c r="K9" s="42"/>
      <c r="L9" s="42"/>
      <c r="M9" s="42"/>
      <c r="N9" s="42"/>
      <c r="O9" s="42"/>
      <c r="P9" s="42"/>
      <c r="Q9" s="42"/>
      <c r="R9" s="42"/>
    </row>
    <row r="10" spans="1:18" x14ac:dyDescent="0.2">
      <c r="A10" s="309"/>
      <c r="B10" s="41" t="s">
        <v>300</v>
      </c>
      <c r="C10" s="42"/>
      <c r="D10" s="42"/>
      <c r="E10" s="42"/>
      <c r="F10" s="42"/>
      <c r="G10" s="42"/>
      <c r="H10" s="42">
        <v>0.56000000000000005</v>
      </c>
      <c r="I10" s="42">
        <v>0.56000000000000005</v>
      </c>
      <c r="J10" s="42"/>
      <c r="K10" s="42"/>
      <c r="L10" s="42"/>
      <c r="M10" s="42"/>
      <c r="N10" s="42"/>
      <c r="O10" s="42"/>
      <c r="P10" s="42"/>
      <c r="Q10" s="42"/>
      <c r="R10" s="42"/>
    </row>
    <row r="12" spans="1:18" ht="11.45" customHeight="1" x14ac:dyDescent="0.2">
      <c r="A12" s="309" t="s">
        <v>6</v>
      </c>
      <c r="B12" s="41" t="s">
        <v>257</v>
      </c>
      <c r="C12" s="42" t="s">
        <v>258</v>
      </c>
      <c r="D12" s="42" t="s">
        <v>259</v>
      </c>
      <c r="E12" s="42" t="s">
        <v>161</v>
      </c>
      <c r="F12" s="42" t="s">
        <v>260</v>
      </c>
      <c r="G12" s="42" t="s">
        <v>261</v>
      </c>
      <c r="H12" s="42" t="s">
        <v>263</v>
      </c>
      <c r="I12" s="42" t="s">
        <v>264</v>
      </c>
      <c r="J12" s="42" t="s">
        <v>267</v>
      </c>
      <c r="K12" s="42" t="s">
        <v>268</v>
      </c>
      <c r="L12" s="42" t="s">
        <v>265</v>
      </c>
      <c r="M12" s="42" t="s">
        <v>266</v>
      </c>
      <c r="N12" s="42" t="s">
        <v>258</v>
      </c>
      <c r="O12" s="42" t="s">
        <v>262</v>
      </c>
      <c r="P12" s="42" t="s">
        <v>301</v>
      </c>
    </row>
    <row r="13" spans="1:18" ht="24" x14ac:dyDescent="0.2">
      <c r="A13" s="309"/>
      <c r="B13" s="41" t="s">
        <v>269</v>
      </c>
      <c r="C13" s="42" t="s">
        <v>270</v>
      </c>
      <c r="D13" s="42" t="s">
        <v>270</v>
      </c>
      <c r="E13" s="42"/>
      <c r="F13" s="42" t="s">
        <v>271</v>
      </c>
      <c r="G13" s="42" t="s">
        <v>272</v>
      </c>
      <c r="H13" s="42" t="s">
        <v>274</v>
      </c>
      <c r="I13" s="42" t="s">
        <v>275</v>
      </c>
      <c r="J13" s="42" t="s">
        <v>278</v>
      </c>
      <c r="K13" s="42" t="s">
        <v>279</v>
      </c>
      <c r="L13" s="42" t="s">
        <v>276</v>
      </c>
      <c r="M13" s="42" t="s">
        <v>277</v>
      </c>
      <c r="N13" s="42" t="s">
        <v>270</v>
      </c>
      <c r="O13" s="42" t="s">
        <v>273</v>
      </c>
      <c r="P13" s="42" t="s">
        <v>274</v>
      </c>
    </row>
    <row r="14" spans="1:18" ht="24" x14ac:dyDescent="0.2">
      <c r="A14" s="309"/>
      <c r="B14" s="41" t="s">
        <v>280</v>
      </c>
      <c r="C14" s="42" t="s">
        <v>6</v>
      </c>
      <c r="D14" s="42" t="s">
        <v>6</v>
      </c>
      <c r="E14" s="42"/>
      <c r="F14" s="42" t="s">
        <v>302</v>
      </c>
      <c r="G14" s="42" t="s">
        <v>303</v>
      </c>
      <c r="H14" s="42" t="s">
        <v>304</v>
      </c>
      <c r="I14" s="42" t="s">
        <v>305</v>
      </c>
      <c r="J14" s="42" t="s">
        <v>306</v>
      </c>
      <c r="K14" s="42" t="s">
        <v>307</v>
      </c>
      <c r="L14" s="42" t="s">
        <v>308</v>
      </c>
      <c r="M14" s="42" t="s">
        <v>309</v>
      </c>
      <c r="N14" s="42" t="s">
        <v>6</v>
      </c>
      <c r="O14" s="42" t="s">
        <v>310</v>
      </c>
      <c r="P14" s="42" t="s">
        <v>304</v>
      </c>
    </row>
    <row r="15" spans="1:18" x14ac:dyDescent="0.2">
      <c r="A15" s="309"/>
      <c r="B15" s="41" t="s">
        <v>293</v>
      </c>
      <c r="C15" s="42">
        <v>2022</v>
      </c>
      <c r="D15" s="42">
        <v>2022</v>
      </c>
      <c r="E15" s="42"/>
      <c r="F15" s="42">
        <v>2022</v>
      </c>
      <c r="G15" s="42">
        <v>2022</v>
      </c>
      <c r="H15" s="42">
        <v>2021</v>
      </c>
      <c r="I15" s="42">
        <v>2022</v>
      </c>
      <c r="J15" s="42">
        <v>2021</v>
      </c>
      <c r="K15" s="42">
        <v>2021</v>
      </c>
      <c r="L15" s="42">
        <v>2022</v>
      </c>
      <c r="M15" s="42">
        <v>2022</v>
      </c>
      <c r="N15" s="42">
        <v>2022</v>
      </c>
      <c r="O15" s="42">
        <v>2021</v>
      </c>
      <c r="P15" s="42">
        <v>2021</v>
      </c>
    </row>
    <row r="16" spans="1:18" x14ac:dyDescent="0.2">
      <c r="A16" s="309"/>
      <c r="B16" s="41" t="s">
        <v>0</v>
      </c>
      <c r="C16" s="42" t="s">
        <v>311</v>
      </c>
      <c r="D16" s="42" t="s">
        <v>311</v>
      </c>
      <c r="E16" s="42"/>
      <c r="F16" s="42" t="s">
        <v>2</v>
      </c>
      <c r="G16" s="42" t="s">
        <v>294</v>
      </c>
      <c r="H16" s="42" t="s">
        <v>295</v>
      </c>
      <c r="I16" s="42" t="s">
        <v>294</v>
      </c>
      <c r="J16" s="42" t="s">
        <v>294</v>
      </c>
      <c r="K16" s="42" t="s">
        <v>294</v>
      </c>
      <c r="L16" s="42" t="s">
        <v>294</v>
      </c>
      <c r="M16" s="42" t="s">
        <v>295</v>
      </c>
      <c r="N16" s="42" t="s">
        <v>295</v>
      </c>
      <c r="O16" s="42" t="s">
        <v>294</v>
      </c>
      <c r="P16" s="42" t="s">
        <v>311</v>
      </c>
    </row>
    <row r="17" spans="1:16" x14ac:dyDescent="0.2">
      <c r="A17" s="309"/>
      <c r="B17" s="41" t="s">
        <v>296</v>
      </c>
      <c r="C17" s="44">
        <f>1.34*60</f>
        <v>80.400000000000006</v>
      </c>
      <c r="D17" s="44" t="e">
        <f>#REF!*60</f>
        <v>#REF!</v>
      </c>
      <c r="E17" s="44">
        <f>AVERAGE(F17,H17:J17,L17:P17)</f>
        <v>79.515066666666655</v>
      </c>
      <c r="F17" s="44">
        <v>85.44</v>
      </c>
      <c r="G17" s="44">
        <v>87.29</v>
      </c>
      <c r="H17" s="44">
        <f>71.4*1.029</f>
        <v>73.470600000000005</v>
      </c>
      <c r="I17" s="44">
        <v>91.2</v>
      </c>
      <c r="J17" s="44">
        <f>81.6*1.029</f>
        <v>83.966399999999993</v>
      </c>
      <c r="K17" s="44">
        <f>71.4*1.029</f>
        <v>73.470600000000005</v>
      </c>
      <c r="L17" s="44">
        <v>79.8</v>
      </c>
      <c r="M17" s="44">
        <v>73.8</v>
      </c>
      <c r="N17" s="44">
        <v>80.400000000000006</v>
      </c>
      <c r="O17" s="44">
        <f>72*1.029</f>
        <v>74.087999999999994</v>
      </c>
      <c r="P17" s="44">
        <f>1.19*60*1.029</f>
        <v>73.47059999999999</v>
      </c>
    </row>
    <row r="18" spans="1:16" x14ac:dyDescent="0.2">
      <c r="A18" s="309"/>
      <c r="B18" s="41" t="s">
        <v>297</v>
      </c>
      <c r="C18" s="42"/>
      <c r="D18" s="42"/>
      <c r="E18" s="42"/>
      <c r="F18" s="42"/>
      <c r="G18" s="42">
        <v>72.45</v>
      </c>
      <c r="H18" s="42"/>
      <c r="I18" s="42"/>
      <c r="J18" s="42"/>
      <c r="K18" s="42"/>
      <c r="L18" s="42"/>
      <c r="M18" s="42"/>
      <c r="N18" s="42"/>
      <c r="O18" s="42"/>
      <c r="P18" s="42"/>
    </row>
    <row r="19" spans="1:16" x14ac:dyDescent="0.2">
      <c r="A19" s="309"/>
      <c r="B19" s="41" t="s">
        <v>80</v>
      </c>
      <c r="C19" s="42"/>
      <c r="D19" s="42"/>
      <c r="E19" s="42"/>
      <c r="F19" s="42"/>
      <c r="G19" s="42" t="s">
        <v>312</v>
      </c>
      <c r="H19" s="42"/>
      <c r="I19" s="42"/>
      <c r="J19" s="42"/>
      <c r="K19" s="42"/>
      <c r="L19" s="42"/>
      <c r="M19" s="42"/>
      <c r="N19" s="42"/>
      <c r="O19" s="42"/>
      <c r="P19" s="42"/>
    </row>
    <row r="20" spans="1:16" x14ac:dyDescent="0.2">
      <c r="A20" s="309"/>
      <c r="B20" s="41" t="s">
        <v>300</v>
      </c>
      <c r="C20" s="42"/>
      <c r="D20" s="42"/>
      <c r="E20" s="42"/>
      <c r="F20" s="42"/>
      <c r="G20" s="42">
        <v>0.54</v>
      </c>
      <c r="H20" s="42"/>
      <c r="I20" s="42"/>
      <c r="J20" s="42"/>
      <c r="K20" s="42"/>
      <c r="L20" s="42"/>
      <c r="M20" s="42"/>
      <c r="N20" s="42"/>
      <c r="O20" s="42"/>
      <c r="P20" s="42"/>
    </row>
    <row r="22" spans="1:16" ht="11.45" customHeight="1" x14ac:dyDescent="0.2">
      <c r="A22" s="309" t="s">
        <v>7</v>
      </c>
      <c r="B22" s="41" t="s">
        <v>257</v>
      </c>
      <c r="C22" s="42" t="s">
        <v>258</v>
      </c>
      <c r="D22" s="42" t="s">
        <v>259</v>
      </c>
      <c r="E22" s="42" t="s">
        <v>161</v>
      </c>
      <c r="F22" s="42" t="s">
        <v>260</v>
      </c>
      <c r="G22" s="42" t="s">
        <v>260</v>
      </c>
      <c r="H22" s="42" t="s">
        <v>264</v>
      </c>
      <c r="I22" s="42" t="s">
        <v>267</v>
      </c>
      <c r="J22" s="42" t="s">
        <v>268</v>
      </c>
      <c r="K22" s="42" t="s">
        <v>268</v>
      </c>
    </row>
    <row r="23" spans="1:16" ht="24" x14ac:dyDescent="0.2">
      <c r="A23" s="309"/>
      <c r="B23" s="41" t="s">
        <v>269</v>
      </c>
      <c r="C23" s="42" t="s">
        <v>270</v>
      </c>
      <c r="D23" s="42" t="s">
        <v>270</v>
      </c>
      <c r="E23" s="42"/>
      <c r="F23" s="42" t="s">
        <v>271</v>
      </c>
      <c r="G23" s="42" t="s">
        <v>271</v>
      </c>
      <c r="H23" s="42" t="s">
        <v>313</v>
      </c>
      <c r="I23" s="42" t="s">
        <v>278</v>
      </c>
      <c r="J23" s="42" t="s">
        <v>279</v>
      </c>
      <c r="K23" s="42" t="s">
        <v>279</v>
      </c>
    </row>
    <row r="24" spans="1:16" ht="24" x14ac:dyDescent="0.2">
      <c r="A24" s="309"/>
      <c r="B24" s="41" t="s">
        <v>280</v>
      </c>
      <c r="C24" s="42" t="s">
        <v>7</v>
      </c>
      <c r="D24" s="42" t="s">
        <v>7</v>
      </c>
      <c r="E24" s="42"/>
      <c r="F24" s="42" t="s">
        <v>314</v>
      </c>
      <c r="G24" s="42" t="s">
        <v>315</v>
      </c>
      <c r="H24" s="42" t="s">
        <v>316</v>
      </c>
      <c r="I24" s="42" t="s">
        <v>317</v>
      </c>
      <c r="J24" s="42" t="s">
        <v>318</v>
      </c>
      <c r="K24" s="42" t="s">
        <v>319</v>
      </c>
    </row>
    <row r="25" spans="1:16" x14ac:dyDescent="0.2">
      <c r="A25" s="309"/>
      <c r="B25" s="41" t="s">
        <v>293</v>
      </c>
      <c r="C25" s="42">
        <v>2022</v>
      </c>
      <c r="D25" s="42">
        <v>2022</v>
      </c>
      <c r="E25" s="42"/>
      <c r="F25" s="42">
        <v>2022</v>
      </c>
      <c r="G25" s="42">
        <v>2022</v>
      </c>
      <c r="H25" s="42">
        <v>2022</v>
      </c>
      <c r="I25" s="42">
        <v>2021</v>
      </c>
      <c r="J25" s="42">
        <v>2021</v>
      </c>
      <c r="K25" s="42">
        <v>2021</v>
      </c>
    </row>
    <row r="26" spans="1:16" x14ac:dyDescent="0.2">
      <c r="A26" s="309"/>
      <c r="B26" s="41" t="s">
        <v>0</v>
      </c>
      <c r="C26" s="42" t="s">
        <v>320</v>
      </c>
      <c r="D26" s="42" t="s">
        <v>320</v>
      </c>
      <c r="E26" s="42"/>
      <c r="F26" s="45" t="s">
        <v>321</v>
      </c>
      <c r="G26" s="45" t="s">
        <v>321</v>
      </c>
      <c r="H26" s="42" t="s">
        <v>320</v>
      </c>
      <c r="I26" s="42" t="s">
        <v>320</v>
      </c>
      <c r="J26" s="42" t="s">
        <v>320</v>
      </c>
      <c r="K26" s="42" t="s">
        <v>320</v>
      </c>
    </row>
    <row r="27" spans="1:16" x14ac:dyDescent="0.2">
      <c r="A27" s="309"/>
      <c r="B27" s="41" t="s">
        <v>296</v>
      </c>
      <c r="C27" s="44">
        <v>59.92</v>
      </c>
      <c r="D27" s="44" t="e">
        <f>#REF!</f>
        <v>#REF!</v>
      </c>
      <c r="E27" s="44">
        <f>AVERAGE(F27,H27:I27,K27)</f>
        <v>54.1368425</v>
      </c>
      <c r="F27" s="44">
        <f>12.29*4</f>
        <v>49.16</v>
      </c>
      <c r="G27" s="44">
        <f>18.44*4</f>
        <v>73.760000000000005</v>
      </c>
      <c r="H27" s="44">
        <v>55.71</v>
      </c>
      <c r="I27" s="44">
        <f>53.52*1.029</f>
        <v>55.07208</v>
      </c>
      <c r="J27" s="44">
        <f>46.46*1.029</f>
        <v>47.807339999999996</v>
      </c>
      <c r="K27" s="44">
        <f>55.01*1.029</f>
        <v>56.605289999999997</v>
      </c>
    </row>
    <row r="28" spans="1:16" x14ac:dyDescent="0.2">
      <c r="A28" s="309"/>
      <c r="B28" s="41" t="s">
        <v>297</v>
      </c>
      <c r="C28" s="42"/>
      <c r="D28" s="42"/>
      <c r="E28" s="42"/>
      <c r="F28" s="42"/>
      <c r="G28" s="42"/>
      <c r="H28" s="42"/>
      <c r="I28" s="42"/>
      <c r="J28" s="42"/>
      <c r="K28" s="42"/>
    </row>
    <row r="29" spans="1:16" x14ac:dyDescent="0.2">
      <c r="A29" s="309"/>
      <c r="B29" s="41" t="s">
        <v>80</v>
      </c>
      <c r="C29" s="42"/>
      <c r="D29" s="42"/>
      <c r="E29" s="42"/>
      <c r="F29" s="42"/>
      <c r="G29" s="42"/>
      <c r="H29" s="42"/>
      <c r="I29" s="42"/>
      <c r="J29" s="42"/>
      <c r="K29" s="42"/>
    </row>
    <row r="30" spans="1:16" x14ac:dyDescent="0.2">
      <c r="A30" s="309"/>
      <c r="B30" s="41" t="s">
        <v>300</v>
      </c>
      <c r="C30" s="42"/>
      <c r="D30" s="42"/>
      <c r="E30" s="42"/>
      <c r="F30" s="42"/>
      <c r="G30" s="42"/>
      <c r="H30" s="42"/>
      <c r="I30" s="42"/>
      <c r="J30" s="42"/>
      <c r="K30" s="42"/>
    </row>
    <row r="32" spans="1:16" ht="11.45" customHeight="1" x14ac:dyDescent="0.2">
      <c r="A32" s="309" t="s">
        <v>8</v>
      </c>
      <c r="B32" s="41" t="s">
        <v>257</v>
      </c>
      <c r="C32" s="42" t="s">
        <v>258</v>
      </c>
      <c r="D32" s="42" t="s">
        <v>259</v>
      </c>
      <c r="E32" s="42" t="s">
        <v>161</v>
      </c>
      <c r="F32" s="42" t="s">
        <v>260</v>
      </c>
      <c r="G32" s="42" t="s">
        <v>264</v>
      </c>
      <c r="H32" s="42" t="s">
        <v>267</v>
      </c>
      <c r="I32" s="42" t="s">
        <v>268</v>
      </c>
    </row>
    <row r="33" spans="1:19" ht="24" x14ac:dyDescent="0.2">
      <c r="A33" s="309"/>
      <c r="B33" s="41" t="s">
        <v>269</v>
      </c>
      <c r="C33" s="42" t="s">
        <v>270</v>
      </c>
      <c r="D33" s="42" t="s">
        <v>270</v>
      </c>
      <c r="E33" s="42"/>
      <c r="F33" s="42" t="s">
        <v>271</v>
      </c>
      <c r="G33" s="42" t="s">
        <v>322</v>
      </c>
      <c r="H33" s="42" t="s">
        <v>278</v>
      </c>
      <c r="I33" s="42" t="s">
        <v>279</v>
      </c>
    </row>
    <row r="34" spans="1:19" ht="24" x14ac:dyDescent="0.2">
      <c r="A34" s="309"/>
      <c r="B34" s="41" t="s">
        <v>280</v>
      </c>
      <c r="C34" s="42" t="s">
        <v>8</v>
      </c>
      <c r="D34" s="42" t="s">
        <v>8</v>
      </c>
      <c r="E34" s="42"/>
      <c r="F34" s="42" t="s">
        <v>323</v>
      </c>
      <c r="G34" s="42" t="s">
        <v>324</v>
      </c>
      <c r="H34" s="42" t="s">
        <v>325</v>
      </c>
      <c r="I34" s="42" t="s">
        <v>326</v>
      </c>
    </row>
    <row r="35" spans="1:19" x14ac:dyDescent="0.2">
      <c r="A35" s="309"/>
      <c r="B35" s="41" t="s">
        <v>293</v>
      </c>
      <c r="C35" s="42">
        <v>2022</v>
      </c>
      <c r="D35" s="42">
        <v>2022</v>
      </c>
      <c r="E35" s="42"/>
      <c r="F35" s="42">
        <v>2022</v>
      </c>
      <c r="G35" s="42">
        <v>2022</v>
      </c>
      <c r="H35" s="42">
        <v>2021</v>
      </c>
      <c r="I35" s="42">
        <v>2021</v>
      </c>
    </row>
    <row r="36" spans="1:19" x14ac:dyDescent="0.2">
      <c r="A36" s="309"/>
      <c r="B36" s="41" t="s">
        <v>0</v>
      </c>
      <c r="C36" s="42" t="s">
        <v>320</v>
      </c>
      <c r="D36" s="42" t="s">
        <v>320</v>
      </c>
      <c r="E36" s="42"/>
      <c r="F36" s="45" t="s">
        <v>321</v>
      </c>
      <c r="G36" s="42" t="s">
        <v>320</v>
      </c>
      <c r="H36" s="42" t="s">
        <v>320</v>
      </c>
      <c r="I36" s="42" t="s">
        <v>320</v>
      </c>
    </row>
    <row r="37" spans="1:19" x14ac:dyDescent="0.2">
      <c r="A37" s="309"/>
      <c r="B37" s="41" t="s">
        <v>296</v>
      </c>
      <c r="C37" s="44">
        <v>88.18</v>
      </c>
      <c r="D37" s="44" t="e">
        <f>#REF!</f>
        <v>#REF!</v>
      </c>
      <c r="E37" s="44">
        <f>AVERAGE(G37,I37)</f>
        <v>98.021739999999994</v>
      </c>
      <c r="F37" s="44">
        <f>26.43*4</f>
        <v>105.72</v>
      </c>
      <c r="G37" s="44">
        <v>103.31</v>
      </c>
      <c r="H37" s="44">
        <f>85.91*1.029</f>
        <v>88.401389999999992</v>
      </c>
      <c r="I37" s="44">
        <f>90.12*1.029</f>
        <v>92.73348</v>
      </c>
    </row>
    <row r="38" spans="1:19" x14ac:dyDescent="0.2">
      <c r="A38" s="309"/>
      <c r="B38" s="41" t="s">
        <v>297</v>
      </c>
      <c r="C38" s="42"/>
      <c r="D38" s="42"/>
      <c r="E38" s="42"/>
      <c r="F38" s="42"/>
      <c r="G38" s="42"/>
      <c r="H38" s="42"/>
      <c r="I38" s="42"/>
    </row>
    <row r="39" spans="1:19" x14ac:dyDescent="0.2">
      <c r="A39" s="309"/>
      <c r="B39" s="41" t="s">
        <v>80</v>
      </c>
      <c r="C39" s="42"/>
      <c r="D39" s="42"/>
      <c r="E39" s="42"/>
      <c r="F39" s="42"/>
      <c r="G39" s="42"/>
      <c r="H39" s="42"/>
      <c r="I39" s="42"/>
    </row>
    <row r="40" spans="1:19" x14ac:dyDescent="0.2">
      <c r="A40" s="309"/>
      <c r="B40" s="41" t="s">
        <v>300</v>
      </c>
      <c r="C40" s="42"/>
      <c r="D40" s="42"/>
      <c r="E40" s="42"/>
      <c r="F40" s="42"/>
      <c r="G40" s="42"/>
      <c r="H40" s="42"/>
      <c r="I40" s="42"/>
    </row>
    <row r="42" spans="1:19" ht="11.45" customHeight="1" x14ac:dyDescent="0.2">
      <c r="A42" s="309" t="s">
        <v>327</v>
      </c>
      <c r="B42" s="41" t="s">
        <v>257</v>
      </c>
      <c r="C42" s="42" t="s">
        <v>258</v>
      </c>
      <c r="D42" s="42" t="s">
        <v>259</v>
      </c>
      <c r="E42" s="42" t="s">
        <v>161</v>
      </c>
      <c r="F42" s="42" t="s">
        <v>268</v>
      </c>
      <c r="G42" s="42" t="s">
        <v>268</v>
      </c>
      <c r="H42" s="42" t="s">
        <v>267</v>
      </c>
      <c r="I42" s="42" t="s">
        <v>262</v>
      </c>
      <c r="J42" s="42" t="s">
        <v>268</v>
      </c>
      <c r="O42"/>
      <c r="P42"/>
      <c r="Q42"/>
      <c r="R42"/>
      <c r="S42"/>
    </row>
    <row r="43" spans="1:19" ht="24" x14ac:dyDescent="0.2">
      <c r="A43" s="309"/>
      <c r="B43" s="41" t="s">
        <v>269</v>
      </c>
      <c r="C43" s="42" t="s">
        <v>270</v>
      </c>
      <c r="D43" s="42" t="s">
        <v>270</v>
      </c>
      <c r="E43" s="42"/>
      <c r="F43" s="42" t="s">
        <v>328</v>
      </c>
      <c r="G43" s="42" t="s">
        <v>328</v>
      </c>
      <c r="H43" s="42" t="s">
        <v>329</v>
      </c>
      <c r="I43" s="42" t="s">
        <v>330</v>
      </c>
      <c r="J43" s="42" t="s">
        <v>331</v>
      </c>
      <c r="O43"/>
      <c r="P43"/>
      <c r="Q43"/>
      <c r="R43"/>
      <c r="S43"/>
    </row>
    <row r="44" spans="1:19" ht="35.450000000000003" customHeight="1" x14ac:dyDescent="0.2">
      <c r="A44" s="309"/>
      <c r="B44" s="41" t="s">
        <v>280</v>
      </c>
      <c r="C44" s="42" t="s">
        <v>327</v>
      </c>
      <c r="D44" s="42" t="s">
        <v>327</v>
      </c>
      <c r="E44" s="42"/>
      <c r="F44" s="42" t="s">
        <v>332</v>
      </c>
      <c r="G44" s="42" t="s">
        <v>333</v>
      </c>
      <c r="H44" s="42" t="s">
        <v>334</v>
      </c>
      <c r="I44" s="42" t="s">
        <v>335</v>
      </c>
      <c r="J44" s="42" t="s">
        <v>336</v>
      </c>
      <c r="O44"/>
      <c r="P44"/>
      <c r="Q44"/>
      <c r="R44"/>
      <c r="S44"/>
    </row>
    <row r="45" spans="1:19" x14ac:dyDescent="0.2">
      <c r="A45" s="309"/>
      <c r="B45" s="41" t="s">
        <v>293</v>
      </c>
      <c r="C45" s="42">
        <v>2022</v>
      </c>
      <c r="D45" s="42">
        <v>2022</v>
      </c>
      <c r="E45" s="42"/>
      <c r="F45" s="42">
        <v>2021</v>
      </c>
      <c r="G45" s="42">
        <v>2021</v>
      </c>
      <c r="H45" s="42">
        <v>2021</v>
      </c>
      <c r="I45" s="42">
        <v>2021</v>
      </c>
      <c r="J45" s="42">
        <v>2021</v>
      </c>
      <c r="O45"/>
      <c r="P45"/>
      <c r="Q45"/>
      <c r="R45"/>
      <c r="S45"/>
    </row>
    <row r="46" spans="1:19" x14ac:dyDescent="0.2">
      <c r="A46" s="309"/>
      <c r="B46" s="41" t="s">
        <v>0</v>
      </c>
      <c r="C46" s="42" t="s">
        <v>337</v>
      </c>
      <c r="D46" s="42" t="s">
        <v>337</v>
      </c>
      <c r="E46" s="42"/>
      <c r="F46" s="42" t="s">
        <v>337</v>
      </c>
      <c r="G46" s="42" t="s">
        <v>337</v>
      </c>
      <c r="H46" s="42" t="s">
        <v>337</v>
      </c>
      <c r="I46" s="42" t="s">
        <v>337</v>
      </c>
      <c r="J46" s="42" t="s">
        <v>337</v>
      </c>
      <c r="O46"/>
      <c r="P46"/>
      <c r="Q46"/>
      <c r="R46"/>
      <c r="S46"/>
    </row>
    <row r="47" spans="1:19" x14ac:dyDescent="0.2">
      <c r="A47" s="309"/>
      <c r="B47" s="41" t="s">
        <v>296</v>
      </c>
      <c r="C47" s="44">
        <v>168.48</v>
      </c>
      <c r="D47" s="44" t="e">
        <f>#REF!</f>
        <v>#REF!</v>
      </c>
      <c r="E47" s="44">
        <f>AVERAGE(G47,H47,J47)</f>
        <v>165.73759999999996</v>
      </c>
      <c r="F47" s="44">
        <f>92.71*1.029</f>
        <v>95.398589999999984</v>
      </c>
      <c r="G47" s="44">
        <f>134.49*1.029</f>
        <v>138.39021</v>
      </c>
      <c r="H47" s="44">
        <f>190.51*1.029</f>
        <v>196.03478999999999</v>
      </c>
      <c r="I47" s="44">
        <f>201.21*1.029</f>
        <v>207.04508999999999</v>
      </c>
      <c r="J47" s="44">
        <f>158.2*1.029</f>
        <v>162.78779999999998</v>
      </c>
      <c r="O47"/>
      <c r="P47"/>
      <c r="Q47"/>
      <c r="R47"/>
      <c r="S47"/>
    </row>
    <row r="48" spans="1:19" x14ac:dyDescent="0.2">
      <c r="A48" s="309"/>
      <c r="B48" s="41" t="s">
        <v>297</v>
      </c>
      <c r="C48" s="42"/>
      <c r="D48" s="42"/>
      <c r="E48" s="42"/>
      <c r="F48" s="42"/>
      <c r="G48" s="42"/>
      <c r="H48" s="42"/>
      <c r="I48" s="42"/>
      <c r="J48" s="42"/>
      <c r="O48"/>
      <c r="P48"/>
      <c r="Q48"/>
      <c r="R48"/>
      <c r="S48"/>
    </row>
    <row r="49" spans="1:19" x14ac:dyDescent="0.2">
      <c r="A49" s="309"/>
      <c r="B49" s="41" t="s">
        <v>80</v>
      </c>
      <c r="C49" s="42"/>
      <c r="D49" s="42"/>
      <c r="E49" s="42"/>
      <c r="F49" s="42"/>
      <c r="G49" s="42"/>
      <c r="H49" s="42"/>
      <c r="I49" s="42"/>
      <c r="J49" s="42"/>
      <c r="O49"/>
      <c r="P49"/>
      <c r="Q49"/>
      <c r="R49"/>
      <c r="S49"/>
    </row>
    <row r="50" spans="1:19" x14ac:dyDescent="0.2">
      <c r="A50" s="309"/>
      <c r="B50" s="41" t="s">
        <v>300</v>
      </c>
      <c r="C50" s="42"/>
      <c r="D50" s="42"/>
      <c r="E50" s="42"/>
      <c r="F50" s="42"/>
      <c r="G50" s="42"/>
      <c r="H50" s="42"/>
      <c r="I50" s="42"/>
      <c r="J50" s="42"/>
      <c r="O50"/>
      <c r="P50"/>
      <c r="Q50"/>
      <c r="R50"/>
      <c r="S50"/>
    </row>
    <row r="52" spans="1:19" ht="11.45" customHeight="1" x14ac:dyDescent="0.2">
      <c r="A52" s="309" t="s">
        <v>338</v>
      </c>
      <c r="B52" s="41" t="s">
        <v>257</v>
      </c>
      <c r="C52" s="42" t="s">
        <v>258</v>
      </c>
      <c r="D52" s="42" t="s">
        <v>259</v>
      </c>
      <c r="E52" s="42" t="s">
        <v>161</v>
      </c>
      <c r="F52" s="42" t="s">
        <v>339</v>
      </c>
      <c r="G52" s="42" t="s">
        <v>265</v>
      </c>
      <c r="H52" s="42" t="s">
        <v>267</v>
      </c>
      <c r="I52" s="42" t="s">
        <v>268</v>
      </c>
      <c r="J52" s="42" t="s">
        <v>340</v>
      </c>
      <c r="K52" s="42" t="s">
        <v>264</v>
      </c>
    </row>
    <row r="53" spans="1:19" ht="24" x14ac:dyDescent="0.2">
      <c r="A53" s="309"/>
      <c r="B53" s="41" t="s">
        <v>269</v>
      </c>
      <c r="C53" s="42" t="s">
        <v>270</v>
      </c>
      <c r="D53" s="42" t="s">
        <v>270</v>
      </c>
      <c r="E53" s="42"/>
      <c r="F53" s="42" t="s">
        <v>341</v>
      </c>
      <c r="G53" s="42" t="s">
        <v>342</v>
      </c>
      <c r="H53" s="42" t="s">
        <v>278</v>
      </c>
      <c r="I53" s="42" t="s">
        <v>343</v>
      </c>
      <c r="J53" s="42" t="s">
        <v>277</v>
      </c>
      <c r="K53" s="42" t="s">
        <v>313</v>
      </c>
    </row>
    <row r="54" spans="1:19" x14ac:dyDescent="0.2">
      <c r="A54" s="309"/>
      <c r="B54" s="41" t="s">
        <v>280</v>
      </c>
      <c r="C54" s="42" t="s">
        <v>344</v>
      </c>
      <c r="D54" s="42" t="s">
        <v>344</v>
      </c>
      <c r="E54" s="42"/>
      <c r="F54" s="42" t="s">
        <v>345</v>
      </c>
      <c r="G54" s="42" t="s">
        <v>346</v>
      </c>
      <c r="H54" s="42" t="s">
        <v>347</v>
      </c>
      <c r="I54" s="42" t="s">
        <v>341</v>
      </c>
      <c r="J54" s="42" t="s">
        <v>341</v>
      </c>
      <c r="K54" s="42" t="s">
        <v>348</v>
      </c>
    </row>
    <row r="55" spans="1:19" x14ac:dyDescent="0.2">
      <c r="A55" s="309"/>
      <c r="B55" s="41" t="s">
        <v>293</v>
      </c>
      <c r="C55" s="42">
        <v>2022</v>
      </c>
      <c r="D55" s="42">
        <v>2022</v>
      </c>
      <c r="E55" s="42"/>
      <c r="F55" s="42">
        <v>2021</v>
      </c>
      <c r="G55" s="42">
        <v>2022</v>
      </c>
      <c r="H55" s="42">
        <v>2021</v>
      </c>
      <c r="I55" s="42">
        <v>2021</v>
      </c>
      <c r="J55" s="42">
        <v>2022</v>
      </c>
      <c r="K55" s="42">
        <v>2022</v>
      </c>
    </row>
    <row r="56" spans="1:19" x14ac:dyDescent="0.2">
      <c r="A56" s="309"/>
      <c r="B56" s="41" t="s">
        <v>0</v>
      </c>
      <c r="C56" s="42" t="s">
        <v>337</v>
      </c>
      <c r="D56" s="42" t="s">
        <v>337</v>
      </c>
      <c r="E56" s="42"/>
      <c r="F56" s="42" t="s">
        <v>337</v>
      </c>
      <c r="G56" s="42" t="s">
        <v>337</v>
      </c>
      <c r="H56" s="42" t="s">
        <v>337</v>
      </c>
      <c r="I56" s="42" t="s">
        <v>337</v>
      </c>
      <c r="J56" s="42" t="s">
        <v>337</v>
      </c>
      <c r="K56" s="42" t="s">
        <v>337</v>
      </c>
    </row>
    <row r="57" spans="1:19" x14ac:dyDescent="0.2">
      <c r="A57" s="309"/>
      <c r="B57" s="41" t="s">
        <v>296</v>
      </c>
      <c r="C57" s="44">
        <v>8.9700000000000006</v>
      </c>
      <c r="D57" s="44"/>
      <c r="E57" s="44">
        <f>AVERAGE(F57:H57,J57)</f>
        <v>11.335190000000001</v>
      </c>
      <c r="F57" s="44">
        <f>9.21*1.029</f>
        <v>9.4770900000000005</v>
      </c>
      <c r="G57" s="44">
        <v>10.62</v>
      </c>
      <c r="H57" s="44">
        <f>13.23*1.029</f>
        <v>13.613669999999999</v>
      </c>
      <c r="I57" s="44">
        <f>7.87*1.029</f>
        <v>8.0982299999999992</v>
      </c>
      <c r="J57" s="44">
        <v>11.63</v>
      </c>
      <c r="K57" s="44">
        <v>18.37</v>
      </c>
    </row>
    <row r="58" spans="1:19" x14ac:dyDescent="0.2">
      <c r="A58" s="309"/>
      <c r="B58" s="41" t="s">
        <v>297</v>
      </c>
      <c r="C58" s="42"/>
      <c r="D58" s="42"/>
      <c r="E58" s="42"/>
      <c r="F58" s="42"/>
      <c r="G58" s="42"/>
      <c r="H58" s="42"/>
      <c r="I58" s="42"/>
      <c r="J58" s="42"/>
      <c r="K58" s="42"/>
    </row>
    <row r="59" spans="1:19" x14ac:dyDescent="0.2">
      <c r="A59" s="309"/>
      <c r="B59" s="41" t="s">
        <v>80</v>
      </c>
      <c r="C59" s="42"/>
      <c r="D59" s="42"/>
      <c r="E59" s="42"/>
      <c r="F59" s="42"/>
      <c r="G59" s="42"/>
      <c r="H59" s="42"/>
      <c r="I59" s="42"/>
      <c r="J59" s="42"/>
      <c r="K59" s="42"/>
    </row>
    <row r="60" spans="1:19" x14ac:dyDescent="0.2">
      <c r="A60" s="309"/>
      <c r="B60" s="41" t="s">
        <v>300</v>
      </c>
      <c r="C60" s="42"/>
      <c r="D60" s="42"/>
      <c r="E60" s="42"/>
      <c r="F60" s="42"/>
      <c r="G60" s="42"/>
      <c r="H60" s="42"/>
      <c r="I60" s="42"/>
      <c r="J60" s="42"/>
      <c r="K60" s="42"/>
    </row>
    <row r="62" spans="1:19" ht="11.45" customHeight="1" x14ac:dyDescent="0.2">
      <c r="A62" s="309" t="s">
        <v>338</v>
      </c>
      <c r="B62" s="41" t="s">
        <v>257</v>
      </c>
      <c r="C62" s="42" t="s">
        <v>258</v>
      </c>
      <c r="D62" s="42" t="s">
        <v>259</v>
      </c>
      <c r="E62" s="42" t="s">
        <v>161</v>
      </c>
      <c r="F62" s="42" t="s">
        <v>339</v>
      </c>
      <c r="G62" s="42" t="s">
        <v>265</v>
      </c>
      <c r="H62" s="42" t="s">
        <v>265</v>
      </c>
      <c r="I62" s="42" t="s">
        <v>267</v>
      </c>
    </row>
    <row r="63" spans="1:19" x14ac:dyDescent="0.2">
      <c r="A63" s="309"/>
      <c r="B63" s="41" t="s">
        <v>269</v>
      </c>
      <c r="C63" s="42" t="s">
        <v>270</v>
      </c>
      <c r="D63" s="42" t="s">
        <v>270</v>
      </c>
      <c r="E63" s="42"/>
      <c r="F63" s="42" t="s">
        <v>341</v>
      </c>
      <c r="G63" s="42" t="s">
        <v>342</v>
      </c>
      <c r="H63" s="42" t="s">
        <v>342</v>
      </c>
      <c r="I63" s="42" t="s">
        <v>278</v>
      </c>
    </row>
    <row r="64" spans="1:19" x14ac:dyDescent="0.2">
      <c r="A64" s="309"/>
      <c r="B64" s="41" t="s">
        <v>280</v>
      </c>
      <c r="C64" s="42" t="s">
        <v>349</v>
      </c>
      <c r="D64" s="42" t="s">
        <v>349</v>
      </c>
      <c r="E64" s="42"/>
      <c r="F64" s="42" t="s">
        <v>350</v>
      </c>
      <c r="G64" s="42" t="s">
        <v>351</v>
      </c>
      <c r="H64" s="42" t="s">
        <v>352</v>
      </c>
      <c r="I64" s="42" t="s">
        <v>353</v>
      </c>
    </row>
    <row r="65" spans="1:13" x14ac:dyDescent="0.2">
      <c r="A65" s="309"/>
      <c r="B65" s="41" t="s">
        <v>293</v>
      </c>
      <c r="C65" s="42">
        <v>2022</v>
      </c>
      <c r="D65" s="42">
        <v>2022</v>
      </c>
      <c r="E65" s="42"/>
      <c r="F65" s="42">
        <v>2021</v>
      </c>
      <c r="G65" s="42">
        <v>2022</v>
      </c>
      <c r="H65" s="42">
        <v>2022</v>
      </c>
      <c r="I65" s="42">
        <v>2021</v>
      </c>
    </row>
    <row r="66" spans="1:13" x14ac:dyDescent="0.2">
      <c r="A66" s="309"/>
      <c r="B66" s="41" t="s">
        <v>0</v>
      </c>
      <c r="C66" s="42" t="s">
        <v>337</v>
      </c>
      <c r="D66" s="42" t="s">
        <v>337</v>
      </c>
      <c r="E66" s="42"/>
      <c r="F66" s="42" t="s">
        <v>337</v>
      </c>
      <c r="G66" s="42" t="s">
        <v>337</v>
      </c>
      <c r="H66" s="42" t="s">
        <v>337</v>
      </c>
      <c r="I66" s="42" t="s">
        <v>337</v>
      </c>
    </row>
    <row r="67" spans="1:13" x14ac:dyDescent="0.2">
      <c r="A67" s="309"/>
      <c r="B67" s="41" t="s">
        <v>296</v>
      </c>
      <c r="C67" s="44">
        <v>22.33</v>
      </c>
      <c r="D67" s="44"/>
      <c r="E67" s="44">
        <f>AVERAGE(F67,H67)</f>
        <v>22.067479999999996</v>
      </c>
      <c r="F67" s="44">
        <f>22.24*1.029</f>
        <v>22.884959999999996</v>
      </c>
      <c r="G67" s="44">
        <v>26.56</v>
      </c>
      <c r="H67" s="44">
        <v>21.25</v>
      </c>
      <c r="I67" s="44">
        <v>21.17</v>
      </c>
    </row>
    <row r="68" spans="1:13" x14ac:dyDescent="0.2">
      <c r="A68" s="309"/>
      <c r="B68" s="41" t="s">
        <v>297</v>
      </c>
      <c r="C68" s="42"/>
      <c r="D68" s="42"/>
      <c r="E68" s="42"/>
      <c r="F68" s="42"/>
      <c r="G68" s="42"/>
      <c r="H68" s="42"/>
      <c r="I68" s="42"/>
    </row>
    <row r="69" spans="1:13" x14ac:dyDescent="0.2">
      <c r="A69" s="309"/>
      <c r="B69" s="41" t="s">
        <v>80</v>
      </c>
      <c r="C69" s="42"/>
      <c r="D69" s="42"/>
      <c r="E69" s="42"/>
      <c r="F69" s="42"/>
      <c r="G69" s="42"/>
      <c r="H69" s="42"/>
      <c r="I69" s="42"/>
    </row>
    <row r="70" spans="1:13" x14ac:dyDescent="0.2">
      <c r="A70" s="309"/>
      <c r="B70" s="41" t="s">
        <v>300</v>
      </c>
      <c r="C70" s="42"/>
      <c r="D70" s="42"/>
      <c r="E70" s="42"/>
      <c r="F70" s="42"/>
      <c r="G70" s="42"/>
      <c r="H70" s="42"/>
      <c r="I70" s="42"/>
    </row>
    <row r="72" spans="1:13" ht="11.45" customHeight="1" x14ac:dyDescent="0.2">
      <c r="A72" s="311" t="s">
        <v>354</v>
      </c>
      <c r="B72" s="41" t="s">
        <v>257</v>
      </c>
      <c r="C72" s="42" t="s">
        <v>258</v>
      </c>
      <c r="D72" s="42" t="s">
        <v>259</v>
      </c>
      <c r="E72" s="42" t="s">
        <v>161</v>
      </c>
      <c r="F72" s="42" t="s">
        <v>261</v>
      </c>
      <c r="G72" s="42" t="s">
        <v>262</v>
      </c>
      <c r="H72" s="42" t="s">
        <v>263</v>
      </c>
      <c r="I72" s="42" t="s">
        <v>264</v>
      </c>
      <c r="J72" s="42" t="s">
        <v>266</v>
      </c>
      <c r="K72" s="42" t="s">
        <v>258</v>
      </c>
      <c r="L72" s="42" t="s">
        <v>267</v>
      </c>
      <c r="M72" s="42" t="s">
        <v>268</v>
      </c>
    </row>
    <row r="73" spans="1:13" ht="24" x14ac:dyDescent="0.2">
      <c r="A73" s="311"/>
      <c r="B73" s="41" t="s">
        <v>269</v>
      </c>
      <c r="C73" s="42" t="s">
        <v>355</v>
      </c>
      <c r="D73" s="42" t="s">
        <v>355</v>
      </c>
      <c r="E73" s="42"/>
      <c r="F73" s="42" t="s">
        <v>356</v>
      </c>
      <c r="G73" s="42" t="s">
        <v>357</v>
      </c>
      <c r="H73" s="42" t="s">
        <v>274</v>
      </c>
      <c r="I73" s="42" t="s">
        <v>356</v>
      </c>
      <c r="J73" s="42" t="s">
        <v>357</v>
      </c>
      <c r="K73" s="42" t="s">
        <v>355</v>
      </c>
      <c r="L73" s="42" t="s">
        <v>356</v>
      </c>
      <c r="M73" s="42" t="s">
        <v>358</v>
      </c>
    </row>
    <row r="74" spans="1:13" ht="36" x14ac:dyDescent="0.2">
      <c r="A74" s="311"/>
      <c r="B74" s="41" t="s">
        <v>280</v>
      </c>
      <c r="C74" s="42" t="s">
        <v>359</v>
      </c>
      <c r="D74" s="42" t="s">
        <v>359</v>
      </c>
      <c r="E74" s="42"/>
      <c r="F74" s="42" t="s">
        <v>360</v>
      </c>
      <c r="G74" s="42" t="s">
        <v>361</v>
      </c>
      <c r="H74" s="42" t="s">
        <v>362</v>
      </c>
      <c r="I74" s="42" t="s">
        <v>363</v>
      </c>
      <c r="J74" s="42" t="s">
        <v>364</v>
      </c>
      <c r="K74" s="42" t="s">
        <v>359</v>
      </c>
      <c r="L74" s="42" t="s">
        <v>365</v>
      </c>
      <c r="M74" s="42" t="s">
        <v>366</v>
      </c>
    </row>
    <row r="75" spans="1:13" x14ac:dyDescent="0.2">
      <c r="A75" s="311"/>
      <c r="B75" s="41" t="s">
        <v>293</v>
      </c>
      <c r="C75" s="42">
        <v>2022</v>
      </c>
      <c r="D75" s="42">
        <v>2022</v>
      </c>
      <c r="E75" s="42"/>
      <c r="F75" s="42">
        <v>2022</v>
      </c>
      <c r="G75" s="42">
        <v>2021</v>
      </c>
      <c r="H75" s="42">
        <v>2021</v>
      </c>
      <c r="I75" s="42">
        <v>2022</v>
      </c>
      <c r="J75" s="42">
        <v>2022</v>
      </c>
      <c r="K75" s="42">
        <v>2022</v>
      </c>
      <c r="L75" s="42">
        <v>2021</v>
      </c>
      <c r="M75" s="42">
        <v>2021</v>
      </c>
    </row>
    <row r="76" spans="1:13" x14ac:dyDescent="0.2">
      <c r="A76" s="311"/>
      <c r="B76" s="41" t="s">
        <v>0</v>
      </c>
      <c r="C76" s="42" t="s">
        <v>311</v>
      </c>
      <c r="D76" s="42" t="s">
        <v>311</v>
      </c>
      <c r="E76" s="42"/>
      <c r="F76" s="42" t="s">
        <v>294</v>
      </c>
      <c r="G76" s="42" t="s">
        <v>294</v>
      </c>
      <c r="H76" s="42" t="s">
        <v>311</v>
      </c>
      <c r="I76" s="42" t="s">
        <v>294</v>
      </c>
      <c r="J76" s="42" t="s">
        <v>294</v>
      </c>
      <c r="K76" s="42" t="s">
        <v>311</v>
      </c>
      <c r="L76" s="42" t="s">
        <v>294</v>
      </c>
      <c r="M76" s="42" t="s">
        <v>294</v>
      </c>
    </row>
    <row r="77" spans="1:13" x14ac:dyDescent="0.2">
      <c r="A77" s="311"/>
      <c r="B77" s="41" t="s">
        <v>296</v>
      </c>
      <c r="C77" s="44">
        <f>1.79*60</f>
        <v>107.4</v>
      </c>
      <c r="D77" s="44" t="e">
        <f>#REF!*60</f>
        <v>#REF!</v>
      </c>
      <c r="E77" s="42">
        <f>AVERAGE(F77:M77)</f>
        <v>107.56124999999999</v>
      </c>
      <c r="F77" s="42">
        <v>170.49</v>
      </c>
      <c r="G77" s="42">
        <v>96</v>
      </c>
      <c r="H77" s="42">
        <v>101.39999999999999</v>
      </c>
      <c r="I77" s="42">
        <v>100.2</v>
      </c>
      <c r="J77" s="42">
        <v>96</v>
      </c>
      <c r="K77" s="42">
        <v>107.4</v>
      </c>
      <c r="L77" s="42">
        <v>95.4</v>
      </c>
      <c r="M77" s="42">
        <v>93.6</v>
      </c>
    </row>
    <row r="78" spans="1:13" x14ac:dyDescent="0.2">
      <c r="A78" s="311"/>
      <c r="B78" s="41" t="s">
        <v>297</v>
      </c>
      <c r="C78" s="42"/>
      <c r="D78" s="42"/>
      <c r="E78" s="42"/>
      <c r="F78" s="42">
        <v>153.44999999999999</v>
      </c>
      <c r="G78" s="42"/>
      <c r="H78" s="42"/>
      <c r="I78" s="42"/>
      <c r="J78" s="42"/>
      <c r="K78" s="42"/>
      <c r="L78" s="42"/>
      <c r="M78" s="42"/>
    </row>
    <row r="79" spans="1:13" x14ac:dyDescent="0.2">
      <c r="A79" s="311"/>
      <c r="B79" s="41" t="s">
        <v>80</v>
      </c>
      <c r="C79" s="42"/>
      <c r="D79" s="42"/>
      <c r="E79" s="42"/>
      <c r="F79" s="42" t="s">
        <v>367</v>
      </c>
      <c r="G79" s="42"/>
      <c r="H79" s="42"/>
      <c r="I79" s="42"/>
      <c r="J79" s="42"/>
      <c r="K79" s="42"/>
      <c r="L79" s="42"/>
      <c r="M79" s="42"/>
    </row>
    <row r="80" spans="1:13" x14ac:dyDescent="0.2">
      <c r="A80" s="311"/>
      <c r="B80" s="41" t="s">
        <v>300</v>
      </c>
      <c r="C80" s="42"/>
      <c r="D80" s="42"/>
      <c r="E80" s="42"/>
      <c r="F80" s="42">
        <v>0.41</v>
      </c>
      <c r="G80" s="42"/>
      <c r="H80" s="42"/>
      <c r="I80" s="42"/>
      <c r="J80" s="42"/>
      <c r="K80" s="42"/>
      <c r="L80" s="42"/>
      <c r="M80" s="42"/>
    </row>
    <row r="81" spans="1:19" x14ac:dyDescent="0.2">
      <c r="S81"/>
    </row>
    <row r="82" spans="1:19" ht="11.45" customHeight="1" x14ac:dyDescent="0.2">
      <c r="A82" s="311" t="s">
        <v>368</v>
      </c>
      <c r="B82" s="41" t="s">
        <v>257</v>
      </c>
      <c r="C82" s="42" t="s">
        <v>258</v>
      </c>
      <c r="D82" s="42" t="s">
        <v>259</v>
      </c>
      <c r="E82" s="42" t="s">
        <v>161</v>
      </c>
      <c r="F82" s="42" t="s">
        <v>260</v>
      </c>
      <c r="G82" s="42" t="s">
        <v>261</v>
      </c>
      <c r="H82" s="42" t="s">
        <v>262</v>
      </c>
      <c r="I82" s="42" t="s">
        <v>263</v>
      </c>
      <c r="J82" s="42" t="s">
        <v>263</v>
      </c>
      <c r="K82" s="42" t="s">
        <v>263</v>
      </c>
      <c r="L82" s="42" t="s">
        <v>263</v>
      </c>
      <c r="M82" s="42" t="s">
        <v>264</v>
      </c>
      <c r="N82" s="42" t="s">
        <v>266</v>
      </c>
      <c r="O82" s="42" t="s">
        <v>258</v>
      </c>
      <c r="P82" s="42" t="s">
        <v>267</v>
      </c>
      <c r="Q82" s="42" t="s">
        <v>268</v>
      </c>
      <c r="S82"/>
    </row>
    <row r="83" spans="1:19" ht="24" x14ac:dyDescent="0.2">
      <c r="A83" s="311"/>
      <c r="B83" s="41" t="s">
        <v>269</v>
      </c>
      <c r="C83" s="42" t="s">
        <v>355</v>
      </c>
      <c r="D83" s="42" t="s">
        <v>355</v>
      </c>
      <c r="E83" s="42"/>
      <c r="F83" s="42" t="s">
        <v>88</v>
      </c>
      <c r="G83" s="42" t="s">
        <v>356</v>
      </c>
      <c r="H83" s="42" t="s">
        <v>357</v>
      </c>
      <c r="I83" s="42" t="s">
        <v>274</v>
      </c>
      <c r="J83" s="42" t="s">
        <v>274</v>
      </c>
      <c r="K83" s="42" t="s">
        <v>274</v>
      </c>
      <c r="L83" s="42" t="s">
        <v>274</v>
      </c>
      <c r="M83" s="42" t="s">
        <v>356</v>
      </c>
      <c r="N83" s="42" t="s">
        <v>357</v>
      </c>
      <c r="O83" s="42" t="s">
        <v>355</v>
      </c>
      <c r="P83" s="42" t="s">
        <v>356</v>
      </c>
      <c r="Q83" s="42" t="s">
        <v>358</v>
      </c>
      <c r="S83"/>
    </row>
    <row r="84" spans="1:19" ht="24" x14ac:dyDescent="0.2">
      <c r="A84" s="311"/>
      <c r="B84" s="41" t="s">
        <v>280</v>
      </c>
      <c r="C84" s="42" t="s">
        <v>369</v>
      </c>
      <c r="D84" s="42" t="s">
        <v>369</v>
      </c>
      <c r="E84" s="42"/>
      <c r="F84" s="42" t="s">
        <v>370</v>
      </c>
      <c r="G84" s="42" t="s">
        <v>371</v>
      </c>
      <c r="H84" s="42" t="s">
        <v>372</v>
      </c>
      <c r="I84" s="42" t="s">
        <v>373</v>
      </c>
      <c r="J84" s="42" t="s">
        <v>373</v>
      </c>
      <c r="K84" s="42" t="s">
        <v>374</v>
      </c>
      <c r="L84" s="42" t="s">
        <v>375</v>
      </c>
      <c r="M84" s="42" t="s">
        <v>376</v>
      </c>
      <c r="N84" s="42" t="s">
        <v>377</v>
      </c>
      <c r="O84" s="42" t="s">
        <v>369</v>
      </c>
      <c r="P84" s="42" t="s">
        <v>378</v>
      </c>
      <c r="Q84" s="42" t="s">
        <v>379</v>
      </c>
      <c r="S84"/>
    </row>
    <row r="85" spans="1:19" x14ac:dyDescent="0.2">
      <c r="A85" s="311"/>
      <c r="B85" s="41" t="s">
        <v>293</v>
      </c>
      <c r="C85" s="42">
        <v>2022</v>
      </c>
      <c r="D85" s="42">
        <v>2022</v>
      </c>
      <c r="E85" s="42"/>
      <c r="F85" s="42">
        <v>2022</v>
      </c>
      <c r="G85" s="42">
        <v>2022</v>
      </c>
      <c r="H85" s="42">
        <v>2021</v>
      </c>
      <c r="I85" s="42">
        <v>2021</v>
      </c>
      <c r="J85" s="42">
        <v>2021</v>
      </c>
      <c r="K85" s="42">
        <v>2021</v>
      </c>
      <c r="L85" s="42">
        <v>2021</v>
      </c>
      <c r="M85" s="42">
        <v>2022</v>
      </c>
      <c r="N85" s="42">
        <v>2022</v>
      </c>
      <c r="O85" s="42">
        <v>2022</v>
      </c>
      <c r="P85" s="42">
        <v>2021</v>
      </c>
      <c r="Q85" s="42">
        <v>2021</v>
      </c>
      <c r="S85"/>
    </row>
    <row r="86" spans="1:19" x14ac:dyDescent="0.2">
      <c r="A86" s="311"/>
      <c r="B86" s="41" t="s">
        <v>0</v>
      </c>
      <c r="C86" s="42" t="s">
        <v>311</v>
      </c>
      <c r="D86" s="42" t="s">
        <v>311</v>
      </c>
      <c r="E86" s="42"/>
      <c r="F86" s="42" t="s">
        <v>380</v>
      </c>
      <c r="G86" s="42" t="s">
        <v>294</v>
      </c>
      <c r="H86" s="42" t="s">
        <v>294</v>
      </c>
      <c r="I86" s="42" t="s">
        <v>311</v>
      </c>
      <c r="J86" s="42" t="s">
        <v>311</v>
      </c>
      <c r="K86" s="42" t="s">
        <v>311</v>
      </c>
      <c r="L86" s="42" t="s">
        <v>311</v>
      </c>
      <c r="M86" s="42" t="s">
        <v>294</v>
      </c>
      <c r="N86" s="42" t="s">
        <v>294</v>
      </c>
      <c r="O86" s="42" t="s">
        <v>311</v>
      </c>
      <c r="P86" s="42" t="s">
        <v>294</v>
      </c>
      <c r="Q86" s="42" t="s">
        <v>294</v>
      </c>
      <c r="S86"/>
    </row>
    <row r="87" spans="1:19" x14ac:dyDescent="0.2">
      <c r="A87" s="311"/>
      <c r="B87" s="41" t="s">
        <v>296</v>
      </c>
      <c r="C87" s="44">
        <f>1.94*60</f>
        <v>116.39999999999999</v>
      </c>
      <c r="D87" s="44" t="e">
        <f>#REF!*60</f>
        <v>#REF!</v>
      </c>
      <c r="E87" s="46">
        <f>AVERAGE(F87,H87:P87)</f>
        <v>115.42446</v>
      </c>
      <c r="F87" s="44">
        <v>115.2</v>
      </c>
      <c r="G87" s="44">
        <v>184.16</v>
      </c>
      <c r="H87" s="44">
        <f>111.6*1.029</f>
        <v>114.83639999999998</v>
      </c>
      <c r="I87" s="44">
        <f>108.6*1.029</f>
        <v>111.74939999999998</v>
      </c>
      <c r="J87" s="44">
        <f>108.6*1.029</f>
        <v>111.74939999999998</v>
      </c>
      <c r="K87" s="44">
        <f>117*1.029</f>
        <v>120.39299999999999</v>
      </c>
      <c r="L87" s="44">
        <f>120.6*1.029</f>
        <v>124.09739999999998</v>
      </c>
      <c r="M87" s="44">
        <v>115.8</v>
      </c>
      <c r="N87" s="44">
        <v>109.8</v>
      </c>
      <c r="O87" s="44">
        <v>116.39999999999999</v>
      </c>
      <c r="P87" s="44">
        <f>111*1.029</f>
        <v>114.21899999999999</v>
      </c>
      <c r="Q87" s="44">
        <f>101.4*1.029</f>
        <v>104.34059999999999</v>
      </c>
      <c r="S87"/>
    </row>
    <row r="88" spans="1:19" x14ac:dyDescent="0.2">
      <c r="A88" s="311"/>
      <c r="B88" s="41" t="s">
        <v>297</v>
      </c>
      <c r="C88" s="42"/>
      <c r="D88" s="42"/>
      <c r="E88" s="42"/>
      <c r="F88" s="42">
        <v>110.4</v>
      </c>
      <c r="G88" s="42">
        <v>165.75</v>
      </c>
      <c r="H88" s="42"/>
      <c r="I88" s="42"/>
      <c r="J88" s="42"/>
      <c r="K88" s="42"/>
      <c r="L88" s="42"/>
      <c r="M88" s="42"/>
      <c r="N88" s="42"/>
      <c r="O88" s="42"/>
      <c r="P88" s="42"/>
      <c r="Q88" s="42"/>
      <c r="S88"/>
    </row>
    <row r="89" spans="1:19" x14ac:dyDescent="0.2">
      <c r="A89" s="311"/>
      <c r="B89" s="41" t="s">
        <v>80</v>
      </c>
      <c r="C89" s="42"/>
      <c r="D89" s="42"/>
      <c r="E89" s="42"/>
      <c r="F89" s="42"/>
      <c r="G89" s="42" t="s">
        <v>381</v>
      </c>
      <c r="H89" s="42"/>
      <c r="I89" s="42"/>
      <c r="J89" s="42"/>
      <c r="K89" s="42"/>
      <c r="L89" s="42"/>
      <c r="M89" s="42"/>
      <c r="N89" s="42"/>
      <c r="O89" s="42"/>
      <c r="P89" s="42"/>
      <c r="Q89" s="42"/>
      <c r="S89"/>
    </row>
    <row r="90" spans="1:19" x14ac:dyDescent="0.2">
      <c r="A90" s="311"/>
      <c r="B90" s="41" t="s">
        <v>300</v>
      </c>
      <c r="C90" s="42"/>
      <c r="D90" s="42"/>
      <c r="E90" s="42"/>
      <c r="F90" s="42"/>
      <c r="G90" s="42">
        <v>0.41</v>
      </c>
      <c r="H90" s="42"/>
      <c r="I90" s="42"/>
      <c r="J90" s="42"/>
      <c r="K90" s="42"/>
      <c r="L90" s="42"/>
      <c r="M90" s="42"/>
      <c r="N90" s="42"/>
      <c r="O90" s="42"/>
      <c r="P90" s="42"/>
      <c r="Q90" s="42"/>
      <c r="S90"/>
    </row>
    <row r="91" spans="1:19" x14ac:dyDescent="0.2">
      <c r="S91"/>
    </row>
    <row r="92" spans="1:19" ht="11.45" customHeight="1" x14ac:dyDescent="0.2">
      <c r="A92" s="311" t="s">
        <v>382</v>
      </c>
      <c r="B92" s="41" t="s">
        <v>257</v>
      </c>
      <c r="C92" s="42" t="s">
        <v>258</v>
      </c>
      <c r="D92" s="42" t="s">
        <v>259</v>
      </c>
      <c r="E92" s="42" t="s">
        <v>161</v>
      </c>
      <c r="F92" s="42" t="s">
        <v>260</v>
      </c>
      <c r="G92" s="42" t="s">
        <v>261</v>
      </c>
      <c r="H92" s="42" t="s">
        <v>339</v>
      </c>
      <c r="I92" s="42" t="s">
        <v>262</v>
      </c>
      <c r="J92" s="42" t="s">
        <v>383</v>
      </c>
      <c r="K92" s="42" t="s">
        <v>264</v>
      </c>
      <c r="L92" s="42" t="s">
        <v>265</v>
      </c>
      <c r="M92" s="42" t="s">
        <v>267</v>
      </c>
      <c r="S92"/>
    </row>
    <row r="93" spans="1:19" ht="24" x14ac:dyDescent="0.2">
      <c r="A93" s="311"/>
      <c r="B93" s="41" t="s">
        <v>269</v>
      </c>
      <c r="C93" s="42" t="s">
        <v>355</v>
      </c>
      <c r="D93" s="42" t="s">
        <v>355</v>
      </c>
      <c r="E93" s="42"/>
      <c r="F93" s="42" t="s">
        <v>88</v>
      </c>
      <c r="G93" s="42" t="s">
        <v>384</v>
      </c>
      <c r="H93" s="42" t="s">
        <v>385</v>
      </c>
      <c r="I93" s="42" t="s">
        <v>273</v>
      </c>
      <c r="J93" s="42" t="s">
        <v>386</v>
      </c>
      <c r="K93" s="42" t="s">
        <v>387</v>
      </c>
      <c r="L93" s="42" t="s">
        <v>388</v>
      </c>
      <c r="M93" s="42" t="s">
        <v>356</v>
      </c>
      <c r="S93"/>
    </row>
    <row r="94" spans="1:19" ht="24" x14ac:dyDescent="0.2">
      <c r="A94" s="311"/>
      <c r="B94" s="41" t="s">
        <v>280</v>
      </c>
      <c r="C94" s="42" t="s">
        <v>389</v>
      </c>
      <c r="D94" s="42" t="s">
        <v>389</v>
      </c>
      <c r="E94" s="42"/>
      <c r="F94" s="42" t="s">
        <v>390</v>
      </c>
      <c r="G94" s="42" t="s">
        <v>391</v>
      </c>
      <c r="H94" s="42" t="s">
        <v>392</v>
      </c>
      <c r="I94" s="42" t="s">
        <v>386</v>
      </c>
      <c r="J94" s="42" t="s">
        <v>393</v>
      </c>
      <c r="K94" s="42" t="s">
        <v>394</v>
      </c>
      <c r="L94" s="42" t="s">
        <v>395</v>
      </c>
      <c r="M94" s="42" t="s">
        <v>396</v>
      </c>
      <c r="S94"/>
    </row>
    <row r="95" spans="1:19" x14ac:dyDescent="0.2">
      <c r="A95" s="311"/>
      <c r="B95" s="41" t="s">
        <v>293</v>
      </c>
      <c r="C95" s="42">
        <v>2022</v>
      </c>
      <c r="D95" s="42">
        <v>2022</v>
      </c>
      <c r="E95" s="42"/>
      <c r="F95" s="42">
        <v>2022</v>
      </c>
      <c r="G95" s="42">
        <v>2022</v>
      </c>
      <c r="H95" s="42">
        <v>2021</v>
      </c>
      <c r="I95" s="42">
        <v>2021</v>
      </c>
      <c r="J95" s="42">
        <v>2021</v>
      </c>
      <c r="K95" s="42">
        <v>2022</v>
      </c>
      <c r="L95" s="42">
        <v>2022</v>
      </c>
      <c r="M95" s="42">
        <v>2021</v>
      </c>
      <c r="S95"/>
    </row>
    <row r="96" spans="1:19" x14ac:dyDescent="0.2">
      <c r="A96" s="311"/>
      <c r="B96" s="41" t="s">
        <v>0</v>
      </c>
      <c r="C96" s="42" t="s">
        <v>311</v>
      </c>
      <c r="D96" s="42" t="s">
        <v>311</v>
      </c>
      <c r="E96" s="42"/>
      <c r="F96" s="42" t="s">
        <v>380</v>
      </c>
      <c r="G96" s="42" t="s">
        <v>294</v>
      </c>
      <c r="H96" s="42" t="s">
        <v>294</v>
      </c>
      <c r="I96" s="42" t="s">
        <v>294</v>
      </c>
      <c r="J96" s="42" t="s">
        <v>311</v>
      </c>
      <c r="K96" s="42" t="s">
        <v>294</v>
      </c>
      <c r="L96" s="42" t="s">
        <v>294</v>
      </c>
      <c r="M96" s="42" t="s">
        <v>294</v>
      </c>
      <c r="S96"/>
    </row>
    <row r="97" spans="1:19" x14ac:dyDescent="0.2">
      <c r="A97" s="311"/>
      <c r="B97" s="41" t="s">
        <v>296</v>
      </c>
      <c r="C97" s="44">
        <f>1.54*60</f>
        <v>92.4</v>
      </c>
      <c r="D97" s="44" t="e">
        <f>#REF!*60</f>
        <v>#REF!</v>
      </c>
      <c r="E97" s="46">
        <f>AVERAGE(F97,H97,J97:M97)</f>
        <v>96.471699999999998</v>
      </c>
      <c r="F97" s="44">
        <v>93.6</v>
      </c>
      <c r="G97" s="44">
        <v>151.88</v>
      </c>
      <c r="H97" s="44">
        <f>92.4*1.029</f>
        <v>95.079599999999999</v>
      </c>
      <c r="I97" s="44">
        <f>90*1.029</f>
        <v>92.609999999999985</v>
      </c>
      <c r="J97" s="44">
        <f>1.6*60*1.029</f>
        <v>98.783999999999992</v>
      </c>
      <c r="K97" s="44">
        <v>99.6</v>
      </c>
      <c r="L97" s="44">
        <v>93.6</v>
      </c>
      <c r="M97" s="44">
        <f>95.4*1.029</f>
        <v>98.166600000000003</v>
      </c>
      <c r="S97"/>
    </row>
    <row r="98" spans="1:19" x14ac:dyDescent="0.2">
      <c r="A98" s="311"/>
      <c r="B98" s="41" t="s">
        <v>297</v>
      </c>
      <c r="C98" s="42"/>
      <c r="D98" s="42"/>
      <c r="E98" s="42"/>
      <c r="F98" s="42"/>
      <c r="G98" s="42">
        <v>136.69</v>
      </c>
      <c r="H98" s="42"/>
      <c r="I98" s="42"/>
      <c r="J98" s="42">
        <f>1.32*60*1.029</f>
        <v>81.496799999999993</v>
      </c>
      <c r="K98" s="42"/>
      <c r="L98" s="42"/>
      <c r="M98" s="42"/>
      <c r="S98"/>
    </row>
    <row r="99" spans="1:19" x14ac:dyDescent="0.2">
      <c r="A99" s="311"/>
      <c r="B99" s="41" t="s">
        <v>80</v>
      </c>
      <c r="C99" s="42"/>
      <c r="D99" s="42"/>
      <c r="E99" s="42"/>
      <c r="F99" s="42"/>
      <c r="G99" s="42" t="s">
        <v>397</v>
      </c>
      <c r="H99" s="42"/>
      <c r="I99" s="42"/>
      <c r="J99" s="42"/>
      <c r="K99" s="42"/>
      <c r="L99" s="42"/>
      <c r="M99" s="42"/>
      <c r="S99"/>
    </row>
    <row r="100" spans="1:19" x14ac:dyDescent="0.2">
      <c r="A100" s="311"/>
      <c r="B100" s="41" t="s">
        <v>300</v>
      </c>
      <c r="C100" s="42"/>
      <c r="D100" s="42"/>
      <c r="E100" s="42"/>
      <c r="F100" s="42"/>
      <c r="G100" s="42">
        <v>0.5</v>
      </c>
      <c r="H100" s="42"/>
      <c r="I100" s="42"/>
      <c r="J100" s="42"/>
      <c r="K100" s="42"/>
      <c r="L100" s="42"/>
      <c r="M100" s="42"/>
      <c r="S100"/>
    </row>
    <row r="101" spans="1:19" x14ac:dyDescent="0.2">
      <c r="S101"/>
    </row>
    <row r="102" spans="1:19" ht="11.45" customHeight="1" x14ac:dyDescent="0.2">
      <c r="A102" s="310" t="s">
        <v>398</v>
      </c>
      <c r="B102" s="41" t="s">
        <v>257</v>
      </c>
      <c r="C102" s="42" t="s">
        <v>258</v>
      </c>
      <c r="D102" s="42" t="s">
        <v>259</v>
      </c>
      <c r="E102" s="42" t="s">
        <v>161</v>
      </c>
      <c r="F102" s="42" t="s">
        <v>261</v>
      </c>
      <c r="G102" s="42" t="s">
        <v>268</v>
      </c>
      <c r="H102" s="42" t="s">
        <v>268</v>
      </c>
      <c r="I102" s="42"/>
      <c r="J102" s="42" t="s">
        <v>266</v>
      </c>
      <c r="K102" s="42" t="s">
        <v>301</v>
      </c>
      <c r="R102"/>
      <c r="S102"/>
    </row>
    <row r="103" spans="1:19" ht="24" x14ac:dyDescent="0.2">
      <c r="A103" s="310"/>
      <c r="B103" s="41" t="s">
        <v>269</v>
      </c>
      <c r="C103" s="42" t="s">
        <v>399</v>
      </c>
      <c r="D103" s="42" t="s">
        <v>399</v>
      </c>
      <c r="E103" s="42"/>
      <c r="F103" s="42" t="s">
        <v>400</v>
      </c>
      <c r="G103" s="42" t="s">
        <v>401</v>
      </c>
      <c r="H103" s="42" t="s">
        <v>401</v>
      </c>
      <c r="I103" s="42" t="s">
        <v>402</v>
      </c>
      <c r="J103" s="42" t="s">
        <v>277</v>
      </c>
      <c r="K103" s="42" t="s">
        <v>274</v>
      </c>
      <c r="R103"/>
      <c r="S103"/>
    </row>
    <row r="104" spans="1:19" ht="24" x14ac:dyDescent="0.2">
      <c r="A104" s="310"/>
      <c r="B104" s="41" t="s">
        <v>280</v>
      </c>
      <c r="C104" s="42" t="s">
        <v>398</v>
      </c>
      <c r="D104" s="42" t="s">
        <v>398</v>
      </c>
      <c r="E104" s="42"/>
      <c r="F104" s="42" t="s">
        <v>403</v>
      </c>
      <c r="G104" s="42" t="s">
        <v>404</v>
      </c>
      <c r="H104" s="42" t="s">
        <v>405</v>
      </c>
      <c r="I104" s="42" t="s">
        <v>406</v>
      </c>
      <c r="J104" s="42" t="s">
        <v>407</v>
      </c>
      <c r="K104" s="42" t="s">
        <v>408</v>
      </c>
      <c r="R104"/>
      <c r="S104"/>
    </row>
    <row r="105" spans="1:19" x14ac:dyDescent="0.2">
      <c r="A105" s="310"/>
      <c r="B105" s="41" t="s">
        <v>293</v>
      </c>
      <c r="C105" s="42">
        <v>2022</v>
      </c>
      <c r="D105" s="42">
        <v>2022</v>
      </c>
      <c r="E105" s="42"/>
      <c r="F105" s="42">
        <v>2022</v>
      </c>
      <c r="G105" s="42">
        <v>2021</v>
      </c>
      <c r="H105" s="42">
        <v>2021</v>
      </c>
      <c r="I105" s="42">
        <v>2021</v>
      </c>
      <c r="J105" s="42">
        <v>2022</v>
      </c>
      <c r="K105" s="42">
        <v>2021</v>
      </c>
      <c r="R105"/>
      <c r="S105"/>
    </row>
    <row r="106" spans="1:19" x14ac:dyDescent="0.2">
      <c r="A106" s="310"/>
      <c r="B106" s="41" t="s">
        <v>0</v>
      </c>
      <c r="C106" s="42" t="s">
        <v>311</v>
      </c>
      <c r="D106" s="42" t="s">
        <v>311</v>
      </c>
      <c r="E106" s="42"/>
      <c r="F106" s="42" t="s">
        <v>294</v>
      </c>
      <c r="G106" s="42" t="s">
        <v>294</v>
      </c>
      <c r="H106" s="42" t="s">
        <v>294</v>
      </c>
      <c r="I106" s="42" t="s">
        <v>294</v>
      </c>
      <c r="J106" s="42" t="s">
        <v>311</v>
      </c>
      <c r="K106" s="42" t="s">
        <v>294</v>
      </c>
      <c r="R106"/>
      <c r="S106"/>
    </row>
    <row r="107" spans="1:19" x14ac:dyDescent="0.2">
      <c r="A107" s="310"/>
      <c r="B107" s="41" t="s">
        <v>296</v>
      </c>
      <c r="C107" s="44">
        <f>1.73*60</f>
        <v>103.8</v>
      </c>
      <c r="D107" s="44" t="e">
        <f>#REF!*60</f>
        <v>#REF!</v>
      </c>
      <c r="E107" s="42">
        <f>AVERAGE(F107,G107,H107,J107)</f>
        <v>97.267499999999984</v>
      </c>
      <c r="F107" s="42">
        <v>102.45</v>
      </c>
      <c r="G107" s="42">
        <f>80.4*1.029</f>
        <v>82.7316</v>
      </c>
      <c r="H107" s="42">
        <f>99.6*1.029</f>
        <v>102.48839999999998</v>
      </c>
      <c r="I107" s="42">
        <f>99.6*1.029</f>
        <v>102.48839999999998</v>
      </c>
      <c r="J107" s="42">
        <f>1.69*60</f>
        <v>101.39999999999999</v>
      </c>
      <c r="K107" s="44">
        <f>78.6*1.029</f>
        <v>80.87939999999999</v>
      </c>
      <c r="R107"/>
      <c r="S107"/>
    </row>
    <row r="108" spans="1:19" x14ac:dyDescent="0.2">
      <c r="A108" s="310"/>
      <c r="B108" s="41" t="s">
        <v>297</v>
      </c>
      <c r="C108" s="42"/>
      <c r="D108" s="42"/>
      <c r="E108" s="42"/>
      <c r="F108" s="42">
        <v>85.03</v>
      </c>
      <c r="G108" s="42"/>
      <c r="H108" s="42"/>
      <c r="I108" s="42"/>
      <c r="J108" s="42"/>
      <c r="K108" s="42"/>
      <c r="R108"/>
      <c r="S108"/>
    </row>
    <row r="109" spans="1:19" x14ac:dyDescent="0.2">
      <c r="A109" s="310"/>
      <c r="B109" s="41" t="s">
        <v>80</v>
      </c>
      <c r="C109" s="42"/>
      <c r="D109" s="42"/>
      <c r="E109" s="42"/>
      <c r="F109" s="42" t="s">
        <v>409</v>
      </c>
      <c r="G109" s="42"/>
      <c r="H109" s="42"/>
      <c r="I109" s="42"/>
      <c r="J109" s="42"/>
      <c r="K109" s="42"/>
      <c r="R109"/>
      <c r="S109"/>
    </row>
    <row r="110" spans="1:19" x14ac:dyDescent="0.2">
      <c r="A110" s="310"/>
      <c r="B110" s="41" t="s">
        <v>300</v>
      </c>
      <c r="C110" s="42"/>
      <c r="D110" s="42"/>
      <c r="E110" s="42"/>
      <c r="F110" s="42">
        <v>0.5</v>
      </c>
      <c r="G110" s="42"/>
      <c r="H110" s="42"/>
      <c r="I110" s="42"/>
      <c r="J110" s="42"/>
      <c r="K110" s="42"/>
      <c r="R110"/>
      <c r="S110"/>
    </row>
    <row r="112" spans="1:19" ht="11.45" customHeight="1" x14ac:dyDescent="0.2">
      <c r="A112" s="310" t="s">
        <v>410</v>
      </c>
      <c r="B112" s="41" t="s">
        <v>257</v>
      </c>
      <c r="C112" s="42" t="s">
        <v>258</v>
      </c>
      <c r="D112" s="42" t="s">
        <v>259</v>
      </c>
      <c r="E112" s="42" t="s">
        <v>161</v>
      </c>
      <c r="F112" s="42" t="s">
        <v>260</v>
      </c>
      <c r="G112" s="42" t="s">
        <v>262</v>
      </c>
      <c r="H112" s="42" t="s">
        <v>268</v>
      </c>
      <c r="I112" s="42" t="s">
        <v>268</v>
      </c>
      <c r="J112" s="42" t="s">
        <v>411</v>
      </c>
      <c r="K112" s="42" t="s">
        <v>266</v>
      </c>
    </row>
    <row r="113" spans="1:11" ht="24" x14ac:dyDescent="0.2">
      <c r="A113" s="310"/>
      <c r="B113" s="41" t="s">
        <v>269</v>
      </c>
      <c r="C113" s="42" t="s">
        <v>399</v>
      </c>
      <c r="D113" s="42" t="s">
        <v>399</v>
      </c>
      <c r="E113" s="42"/>
      <c r="F113" s="42" t="s">
        <v>412</v>
      </c>
      <c r="G113" s="42" t="s">
        <v>273</v>
      </c>
      <c r="H113" s="42" t="s">
        <v>401</v>
      </c>
      <c r="I113" s="42" t="s">
        <v>401</v>
      </c>
      <c r="J113" s="42" t="s">
        <v>413</v>
      </c>
      <c r="K113" s="42" t="s">
        <v>277</v>
      </c>
    </row>
    <row r="114" spans="1:11" ht="24" x14ac:dyDescent="0.2">
      <c r="A114" s="310"/>
      <c r="B114" s="41" t="s">
        <v>280</v>
      </c>
      <c r="C114" s="42" t="s">
        <v>410</v>
      </c>
      <c r="D114" s="42" t="s">
        <v>410</v>
      </c>
      <c r="E114" s="42"/>
      <c r="F114" s="42" t="s">
        <v>414</v>
      </c>
      <c r="G114" s="42" t="s">
        <v>413</v>
      </c>
      <c r="H114" s="42" t="s">
        <v>415</v>
      </c>
      <c r="I114" s="42" t="s">
        <v>416</v>
      </c>
      <c r="J114" s="42" t="s">
        <v>417</v>
      </c>
      <c r="K114" s="42" t="s">
        <v>418</v>
      </c>
    </row>
    <row r="115" spans="1:11" x14ac:dyDescent="0.2">
      <c r="A115" s="310"/>
      <c r="B115" s="41" t="s">
        <v>293</v>
      </c>
      <c r="C115" s="42">
        <v>2022</v>
      </c>
      <c r="D115" s="42">
        <v>2022</v>
      </c>
      <c r="E115" s="42"/>
      <c r="F115" s="42">
        <v>2022</v>
      </c>
      <c r="G115" s="42">
        <v>2021</v>
      </c>
      <c r="H115" s="42">
        <v>2021</v>
      </c>
      <c r="I115" s="42">
        <v>2021</v>
      </c>
      <c r="J115" s="42">
        <v>2021</v>
      </c>
      <c r="K115" s="42">
        <v>2022</v>
      </c>
    </row>
    <row r="116" spans="1:11" x14ac:dyDescent="0.2">
      <c r="A116" s="310"/>
      <c r="B116" s="41" t="s">
        <v>0</v>
      </c>
      <c r="C116" s="42" t="s">
        <v>320</v>
      </c>
      <c r="D116" s="42" t="s">
        <v>320</v>
      </c>
      <c r="E116" s="42"/>
      <c r="F116" s="42" t="s">
        <v>320</v>
      </c>
      <c r="G116" s="42" t="s">
        <v>320</v>
      </c>
      <c r="H116" s="42" t="s">
        <v>320</v>
      </c>
      <c r="I116" s="42" t="s">
        <v>320</v>
      </c>
      <c r="J116" s="45" t="s">
        <v>294</v>
      </c>
      <c r="K116" s="42" t="s">
        <v>320</v>
      </c>
    </row>
    <row r="117" spans="1:11" x14ac:dyDescent="0.2">
      <c r="A117" s="310"/>
      <c r="B117" s="41" t="s">
        <v>296</v>
      </c>
      <c r="C117" s="44">
        <v>78.13</v>
      </c>
      <c r="D117" s="44" t="e">
        <f>#REF!</f>
        <v>#REF!</v>
      </c>
      <c r="E117" s="44">
        <f>AVERAGE(H117:I117,K117)</f>
        <v>98.429929999999999</v>
      </c>
      <c r="F117" s="44">
        <v>71.25</v>
      </c>
      <c r="G117" s="44">
        <f>111.78*1.029</f>
        <v>115.02162</v>
      </c>
      <c r="H117" s="44">
        <f>79.86*1.029</f>
        <v>82.175939999999997</v>
      </c>
      <c r="I117" s="44">
        <f>95.65*1.029</f>
        <v>98.423850000000002</v>
      </c>
      <c r="J117" s="44">
        <f>106.2*1.029</f>
        <v>109.27979999999999</v>
      </c>
      <c r="K117" s="44">
        <v>114.69</v>
      </c>
    </row>
    <row r="118" spans="1:11" x14ac:dyDescent="0.2">
      <c r="A118" s="310"/>
      <c r="B118" s="41" t="s">
        <v>297</v>
      </c>
      <c r="C118" s="42"/>
      <c r="D118" s="42"/>
      <c r="E118" s="42"/>
      <c r="F118" s="42"/>
      <c r="G118" s="42"/>
      <c r="H118" s="42"/>
      <c r="I118" s="42"/>
      <c r="J118" s="42"/>
      <c r="K118" s="42"/>
    </row>
    <row r="119" spans="1:11" x14ac:dyDescent="0.2">
      <c r="A119" s="310"/>
      <c r="B119" s="41" t="s">
        <v>80</v>
      </c>
      <c r="C119" s="42"/>
      <c r="D119" s="42"/>
      <c r="E119" s="42"/>
      <c r="F119" s="42"/>
      <c r="G119" s="42"/>
      <c r="H119" s="42"/>
      <c r="I119" s="42"/>
      <c r="J119" s="42"/>
      <c r="K119" s="42"/>
    </row>
    <row r="120" spans="1:11" x14ac:dyDescent="0.2">
      <c r="A120" s="310"/>
      <c r="B120" s="41" t="s">
        <v>300</v>
      </c>
      <c r="C120" s="42"/>
      <c r="D120" s="42"/>
      <c r="E120" s="42"/>
      <c r="F120" s="42"/>
      <c r="G120" s="42"/>
      <c r="H120" s="42"/>
      <c r="I120" s="42"/>
      <c r="J120" s="42"/>
      <c r="K120" s="42"/>
    </row>
    <row r="122" spans="1:11" ht="11.45" customHeight="1" x14ac:dyDescent="0.2">
      <c r="A122" s="310" t="s">
        <v>419</v>
      </c>
      <c r="B122" s="41" t="s">
        <v>257</v>
      </c>
      <c r="C122" s="42" t="s">
        <v>258</v>
      </c>
      <c r="D122" s="42" t="s">
        <v>259</v>
      </c>
      <c r="E122" s="42" t="s">
        <v>161</v>
      </c>
      <c r="F122" s="42" t="s">
        <v>260</v>
      </c>
      <c r="G122" s="42" t="s">
        <v>268</v>
      </c>
      <c r="H122" s="42" t="s">
        <v>266</v>
      </c>
      <c r="I122" s="42" t="s">
        <v>411</v>
      </c>
    </row>
    <row r="123" spans="1:11" ht="24" x14ac:dyDescent="0.2">
      <c r="A123" s="310"/>
      <c r="B123" s="41" t="s">
        <v>269</v>
      </c>
      <c r="C123" s="42" t="s">
        <v>399</v>
      </c>
      <c r="D123" s="42" t="s">
        <v>399</v>
      </c>
      <c r="E123" s="42"/>
      <c r="F123" s="42" t="s">
        <v>412</v>
      </c>
      <c r="G123" s="42" t="s">
        <v>401</v>
      </c>
      <c r="H123" s="42" t="s">
        <v>277</v>
      </c>
      <c r="I123" s="42" t="s">
        <v>413</v>
      </c>
    </row>
    <row r="124" spans="1:11" ht="24" x14ac:dyDescent="0.2">
      <c r="A124" s="310"/>
      <c r="B124" s="41" t="s">
        <v>280</v>
      </c>
      <c r="C124" s="42" t="s">
        <v>419</v>
      </c>
      <c r="D124" s="42" t="s">
        <v>419</v>
      </c>
      <c r="E124" s="42"/>
      <c r="F124" s="42" t="s">
        <v>420</v>
      </c>
      <c r="G124" s="42" t="s">
        <v>421</v>
      </c>
      <c r="H124" s="42" t="s">
        <v>418</v>
      </c>
      <c r="I124" s="42" t="s">
        <v>422</v>
      </c>
    </row>
    <row r="125" spans="1:11" x14ac:dyDescent="0.2">
      <c r="A125" s="310"/>
      <c r="B125" s="41" t="s">
        <v>293</v>
      </c>
      <c r="C125" s="42">
        <v>2022</v>
      </c>
      <c r="D125" s="42">
        <v>2022</v>
      </c>
      <c r="E125" s="42"/>
      <c r="F125" s="42">
        <v>2022</v>
      </c>
      <c r="G125" s="42">
        <v>2021</v>
      </c>
      <c r="H125" s="42">
        <v>2022</v>
      </c>
      <c r="I125" s="42">
        <v>2021</v>
      </c>
    </row>
    <row r="126" spans="1:11" x14ac:dyDescent="0.2">
      <c r="A126" s="310"/>
      <c r="B126" s="41" t="s">
        <v>0</v>
      </c>
      <c r="C126" s="42" t="s">
        <v>320</v>
      </c>
      <c r="D126" s="42" t="s">
        <v>320</v>
      </c>
      <c r="E126" s="42"/>
      <c r="F126" s="42" t="s">
        <v>320</v>
      </c>
      <c r="G126" s="42" t="s">
        <v>320</v>
      </c>
      <c r="H126" s="42" t="s">
        <v>320</v>
      </c>
      <c r="I126" s="45" t="s">
        <v>294</v>
      </c>
    </row>
    <row r="127" spans="1:11" x14ac:dyDescent="0.2">
      <c r="A127" s="310"/>
      <c r="B127" s="41" t="s">
        <v>296</v>
      </c>
      <c r="C127" s="44">
        <v>122.78</v>
      </c>
      <c r="D127" s="44" t="e">
        <f>#REF!</f>
        <v>#REF!</v>
      </c>
      <c r="E127" s="44">
        <f>AVERAGE(G127:H127)</f>
        <v>110.15842499999999</v>
      </c>
      <c r="F127" s="44">
        <v>104.15</v>
      </c>
      <c r="G127" s="44">
        <f>102.65*1.029</f>
        <v>105.62684999999999</v>
      </c>
      <c r="H127" s="44">
        <v>114.69</v>
      </c>
      <c r="I127" s="44">
        <f>118.8*1.029</f>
        <v>122.24519999999998</v>
      </c>
    </row>
    <row r="128" spans="1:11" x14ac:dyDescent="0.2">
      <c r="A128" s="310"/>
      <c r="B128" s="41" t="s">
        <v>297</v>
      </c>
      <c r="C128" s="42"/>
      <c r="D128" s="42"/>
      <c r="E128" s="42"/>
      <c r="F128" s="42"/>
      <c r="G128" s="42"/>
      <c r="H128" s="42"/>
      <c r="I128" s="42"/>
    </row>
    <row r="129" spans="1:25" x14ac:dyDescent="0.2">
      <c r="A129" s="310"/>
      <c r="B129" s="41" t="s">
        <v>80</v>
      </c>
      <c r="C129" s="42"/>
      <c r="D129" s="42"/>
      <c r="E129" s="42"/>
      <c r="F129" s="42"/>
      <c r="G129" s="42"/>
      <c r="H129" s="42"/>
      <c r="I129" s="42"/>
    </row>
    <row r="130" spans="1:25" x14ac:dyDescent="0.2">
      <c r="A130" s="310"/>
      <c r="B130" s="41" t="s">
        <v>300</v>
      </c>
      <c r="C130" s="42"/>
      <c r="D130" s="42"/>
      <c r="E130" s="42"/>
      <c r="F130" s="42"/>
      <c r="G130" s="42"/>
      <c r="H130" s="42"/>
      <c r="I130" s="42"/>
    </row>
    <row r="132" spans="1:25" ht="11.45" customHeight="1" x14ac:dyDescent="0.2">
      <c r="A132" s="310" t="s">
        <v>423</v>
      </c>
      <c r="B132" s="41" t="s">
        <v>257</v>
      </c>
      <c r="C132" s="42" t="s">
        <v>258</v>
      </c>
      <c r="D132" s="42" t="s">
        <v>259</v>
      </c>
      <c r="E132" s="42" t="s">
        <v>161</v>
      </c>
      <c r="F132" s="42" t="s">
        <v>261</v>
      </c>
      <c r="G132" s="42" t="s">
        <v>261</v>
      </c>
      <c r="H132" s="42" t="s">
        <v>268</v>
      </c>
      <c r="I132" s="42" t="s">
        <v>267</v>
      </c>
      <c r="J132" s="42" t="s">
        <v>268</v>
      </c>
      <c r="K132" s="42" t="s">
        <v>268</v>
      </c>
      <c r="L132" s="42" t="s">
        <v>260</v>
      </c>
      <c r="M132" s="42" t="s">
        <v>260</v>
      </c>
      <c r="N132" s="42" t="s">
        <v>260</v>
      </c>
      <c r="O132" s="42" t="s">
        <v>260</v>
      </c>
      <c r="P132" s="42"/>
      <c r="Q132" s="42"/>
      <c r="R132" s="42"/>
      <c r="S132" s="42"/>
      <c r="T132" s="43"/>
      <c r="U132" s="43"/>
      <c r="V132" s="43"/>
      <c r="W132" s="43"/>
      <c r="X132" s="43"/>
      <c r="Y132" s="43"/>
    </row>
    <row r="133" spans="1:25" ht="24" x14ac:dyDescent="0.2">
      <c r="A133" s="310"/>
      <c r="B133" s="41" t="s">
        <v>269</v>
      </c>
      <c r="C133" s="42" t="s">
        <v>399</v>
      </c>
      <c r="D133" s="42" t="s">
        <v>399</v>
      </c>
      <c r="E133" s="42"/>
      <c r="F133" s="42" t="s">
        <v>424</v>
      </c>
      <c r="G133" s="42" t="s">
        <v>424</v>
      </c>
      <c r="H133" s="42" t="s">
        <v>328</v>
      </c>
      <c r="I133" s="42" t="s">
        <v>329</v>
      </c>
      <c r="J133" s="42" t="s">
        <v>331</v>
      </c>
      <c r="K133" s="42" t="s">
        <v>328</v>
      </c>
      <c r="L133" s="42" t="s">
        <v>271</v>
      </c>
      <c r="M133" s="42" t="s">
        <v>271</v>
      </c>
      <c r="N133" s="42" t="s">
        <v>271</v>
      </c>
      <c r="O133" s="42" t="s">
        <v>271</v>
      </c>
      <c r="P133" s="42" t="s">
        <v>425</v>
      </c>
      <c r="Q133" s="42" t="s">
        <v>425</v>
      </c>
      <c r="R133" s="42" t="s">
        <v>425</v>
      </c>
      <c r="S133" s="42" t="s">
        <v>425</v>
      </c>
      <c r="T133" s="43"/>
      <c r="U133" s="43"/>
      <c r="V133" s="43"/>
      <c r="W133" s="43"/>
      <c r="X133" s="43"/>
      <c r="Y133" s="43"/>
    </row>
    <row r="134" spans="1:25" ht="24" x14ac:dyDescent="0.2">
      <c r="A134" s="310"/>
      <c r="B134" s="41" t="s">
        <v>280</v>
      </c>
      <c r="C134" s="42" t="s">
        <v>423</v>
      </c>
      <c r="D134" s="42" t="s">
        <v>423</v>
      </c>
      <c r="E134" s="42"/>
      <c r="F134" s="42" t="s">
        <v>426</v>
      </c>
      <c r="G134" s="42" t="s">
        <v>427</v>
      </c>
      <c r="H134" s="42" t="s">
        <v>428</v>
      </c>
      <c r="I134" s="42" t="s">
        <v>429</v>
      </c>
      <c r="J134" s="42" t="s">
        <v>430</v>
      </c>
      <c r="K134" s="42" t="s">
        <v>431</v>
      </c>
      <c r="L134" s="42" t="s">
        <v>432</v>
      </c>
      <c r="M134" s="42" t="s">
        <v>433</v>
      </c>
      <c r="N134" s="42" t="s">
        <v>434</v>
      </c>
      <c r="O134" s="42" t="s">
        <v>435</v>
      </c>
      <c r="P134" s="42" t="s">
        <v>436</v>
      </c>
      <c r="Q134" s="42" t="s">
        <v>437</v>
      </c>
      <c r="R134" s="42" t="s">
        <v>438</v>
      </c>
      <c r="S134" s="42" t="s">
        <v>439</v>
      </c>
      <c r="T134" s="43"/>
      <c r="U134" s="43"/>
      <c r="V134" s="43"/>
      <c r="W134" s="43"/>
      <c r="X134" s="43"/>
      <c r="Y134" s="43"/>
    </row>
    <row r="135" spans="1:25" x14ac:dyDescent="0.2">
      <c r="A135" s="310"/>
      <c r="B135" s="41" t="s">
        <v>293</v>
      </c>
      <c r="C135" s="42">
        <v>2022</v>
      </c>
      <c r="D135" s="42">
        <v>2022</v>
      </c>
      <c r="E135" s="42"/>
      <c r="F135" s="42">
        <v>2022</v>
      </c>
      <c r="G135" s="42">
        <v>2022</v>
      </c>
      <c r="H135" s="42">
        <v>2021</v>
      </c>
      <c r="I135" s="42">
        <v>2021</v>
      </c>
      <c r="J135" s="42">
        <v>2021</v>
      </c>
      <c r="K135" s="42">
        <v>2021</v>
      </c>
      <c r="L135" s="42">
        <v>2022</v>
      </c>
      <c r="M135" s="42">
        <v>2022</v>
      </c>
      <c r="N135" s="42">
        <v>2022</v>
      </c>
      <c r="O135" s="42">
        <v>2022</v>
      </c>
      <c r="P135" s="42">
        <v>2021</v>
      </c>
      <c r="Q135" s="42">
        <v>2021</v>
      </c>
      <c r="R135" s="42">
        <v>2021</v>
      </c>
      <c r="S135" s="42">
        <v>2021</v>
      </c>
      <c r="T135" s="43"/>
      <c r="U135" s="43"/>
      <c r="V135" s="43"/>
      <c r="W135" s="43"/>
      <c r="X135" s="43"/>
      <c r="Y135" s="43"/>
    </row>
    <row r="136" spans="1:25" x14ac:dyDescent="0.2">
      <c r="A136" s="310"/>
      <c r="B136" s="41" t="s">
        <v>0</v>
      </c>
      <c r="C136" s="42" t="s">
        <v>337</v>
      </c>
      <c r="D136" s="42" t="s">
        <v>337</v>
      </c>
      <c r="E136" s="42"/>
      <c r="F136" s="42" t="s">
        <v>337</v>
      </c>
      <c r="G136" s="42" t="s">
        <v>337</v>
      </c>
      <c r="H136" s="42" t="s">
        <v>337</v>
      </c>
      <c r="I136" s="42" t="s">
        <v>337</v>
      </c>
      <c r="J136" s="42" t="s">
        <v>337</v>
      </c>
      <c r="K136" s="42" t="s">
        <v>337</v>
      </c>
      <c r="L136" s="42" t="s">
        <v>337</v>
      </c>
      <c r="M136" s="42" t="s">
        <v>337</v>
      </c>
      <c r="N136" s="42" t="s">
        <v>337</v>
      </c>
      <c r="O136" s="42" t="s">
        <v>337</v>
      </c>
      <c r="P136" s="42" t="s">
        <v>337</v>
      </c>
      <c r="Q136" s="42" t="s">
        <v>337</v>
      </c>
      <c r="R136" s="42" t="s">
        <v>337</v>
      </c>
      <c r="S136" s="42" t="s">
        <v>337</v>
      </c>
      <c r="T136" s="43"/>
      <c r="U136" s="43"/>
      <c r="V136" s="43"/>
      <c r="W136" s="43"/>
      <c r="X136" s="43"/>
      <c r="Y136" s="43"/>
    </row>
    <row r="137" spans="1:25" x14ac:dyDescent="0.2">
      <c r="A137" s="310"/>
      <c r="B137" s="41" t="s">
        <v>296</v>
      </c>
      <c r="C137" s="44">
        <v>257.58</v>
      </c>
      <c r="D137" s="44" t="e">
        <f>#REF!</f>
        <v>#REF!</v>
      </c>
      <c r="E137" s="44">
        <f>AVERAGE(F137,H137:O137,Q137:S137)</f>
        <v>196.64928583333332</v>
      </c>
      <c r="F137" s="44">
        <v>397.25</v>
      </c>
      <c r="G137" s="44">
        <v>407.76</v>
      </c>
      <c r="H137" s="44">
        <f>200.49*1.029</f>
        <v>206.30420999999998</v>
      </c>
      <c r="I137" s="44">
        <f>264.6*1.029</f>
        <v>272.27339999999998</v>
      </c>
      <c r="J137" s="44">
        <f>232.03*1.029</f>
        <v>238.75886999999997</v>
      </c>
      <c r="K137" s="44">
        <f>151.75*1.029</f>
        <v>156.15074999999999</v>
      </c>
      <c r="L137" s="44">
        <v>140.69999999999999</v>
      </c>
      <c r="M137" s="44">
        <v>264.52999999999997</v>
      </c>
      <c r="N137" s="44">
        <v>131.69999999999999</v>
      </c>
      <c r="O137" s="44">
        <v>181.89</v>
      </c>
      <c r="P137" s="44">
        <f>63.14*1.029</f>
        <v>64.971059999999994</v>
      </c>
      <c r="Q137" s="44">
        <f>79.41*1.029</f>
        <v>81.712889999999987</v>
      </c>
      <c r="R137" s="44">
        <f>136.08*1.029</f>
        <v>140.02632</v>
      </c>
      <c r="S137" s="44">
        <f>144.31*1.029</f>
        <v>148.49499</v>
      </c>
      <c r="T137" s="43"/>
      <c r="U137" s="43"/>
      <c r="V137" s="43"/>
      <c r="W137" s="43"/>
      <c r="X137" s="43"/>
      <c r="Y137" s="43"/>
    </row>
    <row r="138" spans="1:25" x14ac:dyDescent="0.2">
      <c r="A138" s="310"/>
      <c r="B138" s="41" t="s">
        <v>297</v>
      </c>
      <c r="C138" s="42"/>
      <c r="D138" s="42"/>
      <c r="E138" s="42"/>
      <c r="F138" s="42"/>
      <c r="G138" s="42"/>
      <c r="H138" s="42"/>
      <c r="I138" s="42"/>
      <c r="J138" s="42"/>
      <c r="K138" s="42"/>
      <c r="L138" s="42"/>
      <c r="M138" s="42"/>
      <c r="N138" s="42"/>
      <c r="O138" s="42"/>
      <c r="P138" s="42"/>
      <c r="Q138" s="42"/>
      <c r="R138" s="42"/>
      <c r="S138" s="42"/>
      <c r="T138" s="43"/>
      <c r="U138" s="43"/>
      <c r="V138" s="43"/>
      <c r="W138" s="43"/>
      <c r="X138" s="43"/>
      <c r="Y138" s="43"/>
    </row>
    <row r="139" spans="1:25" x14ac:dyDescent="0.2">
      <c r="A139" s="310"/>
      <c r="B139" s="41" t="s">
        <v>80</v>
      </c>
      <c r="C139" s="42"/>
      <c r="D139" s="42"/>
      <c r="E139" s="42"/>
      <c r="F139" s="42" t="s">
        <v>440</v>
      </c>
      <c r="G139" s="42" t="s">
        <v>440</v>
      </c>
      <c r="H139" s="42"/>
      <c r="I139" s="42"/>
      <c r="J139" s="42"/>
      <c r="K139" s="42"/>
      <c r="L139" s="42"/>
      <c r="M139" s="42"/>
      <c r="N139" s="42"/>
      <c r="O139" s="42"/>
      <c r="P139" s="42"/>
      <c r="Q139" s="42"/>
      <c r="R139" s="42"/>
      <c r="S139" s="42"/>
      <c r="T139" s="43"/>
      <c r="U139" s="43"/>
      <c r="V139" s="43"/>
      <c r="W139" s="43"/>
      <c r="X139" s="43"/>
      <c r="Y139" s="43"/>
    </row>
    <row r="140" spans="1:25" x14ac:dyDescent="0.2">
      <c r="A140" s="310"/>
      <c r="B140" s="41" t="s">
        <v>300</v>
      </c>
      <c r="C140" s="42"/>
      <c r="D140" s="42"/>
      <c r="E140" s="42"/>
      <c r="F140" s="42">
        <v>0.7</v>
      </c>
      <c r="G140" s="42">
        <v>0.7</v>
      </c>
      <c r="H140" s="42"/>
      <c r="I140" s="42"/>
      <c r="J140" s="42"/>
      <c r="K140" s="42"/>
      <c r="L140" s="42"/>
      <c r="M140" s="42"/>
      <c r="N140" s="42"/>
      <c r="O140" s="42"/>
      <c r="P140" s="42"/>
      <c r="Q140" s="42"/>
      <c r="R140" s="42"/>
      <c r="S140" s="42"/>
      <c r="T140" s="43"/>
      <c r="U140" s="43"/>
      <c r="V140" s="43"/>
      <c r="W140" s="43"/>
      <c r="X140" s="43"/>
      <c r="Y140" s="43"/>
    </row>
  </sheetData>
  <mergeCells count="14">
    <mergeCell ref="A122:A130"/>
    <mergeCell ref="A132:A140"/>
    <mergeCell ref="A62:A70"/>
    <mergeCell ref="A72:A80"/>
    <mergeCell ref="A82:A90"/>
    <mergeCell ref="A92:A100"/>
    <mergeCell ref="A102:A110"/>
    <mergeCell ref="A112:A120"/>
    <mergeCell ref="A52:A60"/>
    <mergeCell ref="A2:A10"/>
    <mergeCell ref="A12:A20"/>
    <mergeCell ref="A22:A30"/>
    <mergeCell ref="A32:A40"/>
    <mergeCell ref="A42:A5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0944-48DB-4C40-BA62-CF39FBBD6E5F}">
  <sheetPr>
    <tabColor theme="5"/>
  </sheetPr>
  <dimension ref="A1:B6"/>
  <sheetViews>
    <sheetView zoomScale="160" zoomScaleNormal="160" workbookViewId="0">
      <selection activeCell="B15" sqref="B15"/>
    </sheetView>
  </sheetViews>
  <sheetFormatPr defaultRowHeight="12" x14ac:dyDescent="0.2"/>
  <cols>
    <col min="2" max="2" width="32.140625" bestFit="1" customWidth="1"/>
  </cols>
  <sheetData>
    <row r="1" spans="1:2" x14ac:dyDescent="0.2">
      <c r="A1" s="38" t="s">
        <v>441</v>
      </c>
      <c r="B1" s="38" t="s">
        <v>442</v>
      </c>
    </row>
    <row r="2" spans="1:2" x14ac:dyDescent="0.2">
      <c r="A2" s="38" t="s">
        <v>443</v>
      </c>
      <c r="B2" s="38" t="s">
        <v>444</v>
      </c>
    </row>
    <row r="3" spans="1:2" x14ac:dyDescent="0.2">
      <c r="A3" s="38" t="s">
        <v>445</v>
      </c>
      <c r="B3" s="38" t="s">
        <v>446</v>
      </c>
    </row>
    <row r="4" spans="1:2" x14ac:dyDescent="0.2">
      <c r="A4" s="38" t="s">
        <v>54</v>
      </c>
      <c r="B4" s="38" t="s">
        <v>447</v>
      </c>
    </row>
    <row r="5" spans="1:2" x14ac:dyDescent="0.2">
      <c r="A5" s="38" t="s">
        <v>448</v>
      </c>
      <c r="B5" s="38" t="s">
        <v>449</v>
      </c>
    </row>
    <row r="6" spans="1:2" x14ac:dyDescent="0.2">
      <c r="A6" s="38" t="s">
        <v>450</v>
      </c>
      <c r="B6" s="38" t="s">
        <v>451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03A34-6468-4A4B-AB23-BA67092C821C}">
  <sheetPr>
    <tabColor theme="5"/>
  </sheetPr>
  <dimension ref="A1:I31"/>
  <sheetViews>
    <sheetView zoomScale="160" zoomScaleNormal="160" workbookViewId="0">
      <selection activeCell="K15" sqref="K15"/>
    </sheetView>
  </sheetViews>
  <sheetFormatPr defaultRowHeight="12" x14ac:dyDescent="0.2"/>
  <sheetData>
    <row r="1" spans="1:8" ht="20.25" thickBot="1" x14ac:dyDescent="0.35">
      <c r="A1" s="39" t="s">
        <v>452</v>
      </c>
      <c r="B1" s="39"/>
      <c r="C1" s="39"/>
      <c r="D1" s="39"/>
      <c r="E1" s="39"/>
      <c r="F1" s="39"/>
    </row>
    <row r="2" spans="1:8" ht="12.75" thickTop="1" x14ac:dyDescent="0.2"/>
    <row r="3" spans="1:8" ht="11.85" customHeight="1" x14ac:dyDescent="0.2">
      <c r="A3" s="37" t="s">
        <v>453</v>
      </c>
    </row>
    <row r="4" spans="1:8" ht="15.6" customHeight="1" x14ac:dyDescent="0.2">
      <c r="A4" s="312" t="s">
        <v>454</v>
      </c>
      <c r="B4" s="312"/>
      <c r="C4" s="312"/>
      <c r="D4" s="312"/>
      <c r="E4" s="312"/>
      <c r="F4" s="312"/>
      <c r="G4" s="312"/>
      <c r="H4" s="312"/>
    </row>
    <row r="5" spans="1:8" x14ac:dyDescent="0.2">
      <c r="A5" s="312"/>
      <c r="B5" s="312"/>
      <c r="C5" s="312"/>
      <c r="D5" s="312"/>
      <c r="E5" s="312"/>
      <c r="F5" s="312"/>
      <c r="G5" s="312"/>
      <c r="H5" s="312"/>
    </row>
    <row r="6" spans="1:8" x14ac:dyDescent="0.2">
      <c r="A6" s="312"/>
      <c r="B6" s="312"/>
      <c r="C6" s="312"/>
      <c r="D6" s="312"/>
      <c r="E6" s="312"/>
      <c r="F6" s="312"/>
      <c r="G6" s="312"/>
      <c r="H6" s="312"/>
    </row>
    <row r="7" spans="1:8" x14ac:dyDescent="0.2">
      <c r="A7" s="312"/>
      <c r="B7" s="312"/>
      <c r="C7" s="312"/>
      <c r="D7" s="312"/>
      <c r="E7" s="312"/>
      <c r="F7" s="312"/>
      <c r="G7" s="312"/>
      <c r="H7" s="312"/>
    </row>
    <row r="8" spans="1:8" x14ac:dyDescent="0.2">
      <c r="A8" s="312"/>
      <c r="B8" s="312"/>
      <c r="C8" s="312"/>
      <c r="D8" s="312"/>
      <c r="E8" s="312"/>
      <c r="F8" s="312"/>
      <c r="G8" s="312"/>
      <c r="H8" s="312"/>
    </row>
    <row r="9" spans="1:8" x14ac:dyDescent="0.2">
      <c r="A9" s="312"/>
      <c r="B9" s="312"/>
      <c r="C9" s="312"/>
      <c r="D9" s="312"/>
      <c r="E9" s="312"/>
      <c r="F9" s="312"/>
      <c r="G9" s="312"/>
      <c r="H9" s="312"/>
    </row>
    <row r="10" spans="1:8" x14ac:dyDescent="0.2">
      <c r="A10" s="312"/>
      <c r="B10" s="312"/>
      <c r="C10" s="312"/>
      <c r="D10" s="312"/>
      <c r="E10" s="312"/>
      <c r="F10" s="312"/>
      <c r="G10" s="312"/>
      <c r="H10" s="312"/>
    </row>
    <row r="11" spans="1:8" x14ac:dyDescent="0.2">
      <c r="A11" s="312"/>
      <c r="B11" s="312"/>
      <c r="C11" s="312"/>
      <c r="D11" s="312"/>
      <c r="E11" s="312"/>
      <c r="F11" s="312"/>
      <c r="G11" s="312"/>
      <c r="H11" s="312"/>
    </row>
    <row r="13" spans="1:8" x14ac:dyDescent="0.2">
      <c r="A13" s="37" t="s">
        <v>87</v>
      </c>
    </row>
    <row r="14" spans="1:8" x14ac:dyDescent="0.2">
      <c r="A14" s="312" t="s">
        <v>455</v>
      </c>
      <c r="B14" s="312"/>
      <c r="C14" s="312"/>
      <c r="D14" s="312"/>
      <c r="E14" s="312"/>
      <c r="F14" s="312"/>
      <c r="G14" s="312"/>
      <c r="H14" s="312"/>
    </row>
    <row r="15" spans="1:8" x14ac:dyDescent="0.2">
      <c r="A15" s="312"/>
      <c r="B15" s="312"/>
      <c r="C15" s="312"/>
      <c r="D15" s="312"/>
      <c r="E15" s="312"/>
      <c r="F15" s="312"/>
      <c r="G15" s="312"/>
      <c r="H15" s="312"/>
    </row>
    <row r="16" spans="1:8" x14ac:dyDescent="0.2">
      <c r="A16" s="312"/>
      <c r="B16" s="312"/>
      <c r="C16" s="312"/>
      <c r="D16" s="312"/>
      <c r="E16" s="312"/>
      <c r="F16" s="312"/>
      <c r="G16" s="312"/>
      <c r="H16" s="312"/>
    </row>
    <row r="17" spans="1:9" x14ac:dyDescent="0.2">
      <c r="A17" s="312"/>
      <c r="B17" s="312"/>
      <c r="C17" s="312"/>
      <c r="D17" s="312"/>
      <c r="E17" s="312"/>
      <c r="F17" s="312"/>
      <c r="G17" s="312"/>
      <c r="H17" s="312"/>
    </row>
    <row r="18" spans="1:9" x14ac:dyDescent="0.2">
      <c r="A18" s="312"/>
      <c r="B18" s="312"/>
      <c r="C18" s="312"/>
      <c r="D18" s="312"/>
      <c r="E18" s="312"/>
      <c r="F18" s="312"/>
      <c r="G18" s="312"/>
      <c r="H18" s="312"/>
      <c r="I18" t="s">
        <v>456</v>
      </c>
    </row>
    <row r="19" spans="1:9" x14ac:dyDescent="0.2">
      <c r="A19" s="312"/>
      <c r="B19" s="312"/>
      <c r="C19" s="312"/>
      <c r="D19" s="312"/>
      <c r="E19" s="312"/>
      <c r="F19" s="312"/>
      <c r="G19" s="312"/>
      <c r="H19" s="312"/>
    </row>
    <row r="20" spans="1:9" x14ac:dyDescent="0.2">
      <c r="A20" s="312"/>
      <c r="B20" s="312"/>
      <c r="C20" s="312"/>
      <c r="D20" s="312"/>
      <c r="E20" s="312"/>
      <c r="F20" s="312"/>
      <c r="G20" s="312"/>
      <c r="H20" s="312"/>
    </row>
    <row r="21" spans="1:9" x14ac:dyDescent="0.2">
      <c r="A21" s="312"/>
      <c r="B21" s="312"/>
      <c r="C21" s="312"/>
      <c r="D21" s="312"/>
      <c r="E21" s="312"/>
      <c r="F21" s="312"/>
      <c r="G21" s="312"/>
      <c r="H21" s="312"/>
    </row>
    <row r="23" spans="1:9" x14ac:dyDescent="0.2">
      <c r="A23" s="37" t="s">
        <v>457</v>
      </c>
    </row>
    <row r="24" spans="1:9" x14ac:dyDescent="0.2">
      <c r="A24" s="312" t="s">
        <v>458</v>
      </c>
      <c r="B24" s="312"/>
      <c r="C24" s="312"/>
      <c r="D24" s="312"/>
      <c r="E24" s="312"/>
      <c r="F24" s="312"/>
      <c r="G24" s="312"/>
      <c r="H24" s="312"/>
    </row>
    <row r="25" spans="1:9" x14ac:dyDescent="0.2">
      <c r="A25" s="312"/>
      <c r="B25" s="312"/>
      <c r="C25" s="312"/>
      <c r="D25" s="312"/>
      <c r="E25" s="312"/>
      <c r="F25" s="312"/>
      <c r="G25" s="312"/>
      <c r="H25" s="312"/>
    </row>
    <row r="26" spans="1:9" x14ac:dyDescent="0.2">
      <c r="A26" s="312"/>
      <c r="B26" s="312"/>
      <c r="C26" s="312"/>
      <c r="D26" s="312"/>
      <c r="E26" s="312"/>
      <c r="F26" s="312"/>
      <c r="G26" s="312"/>
      <c r="H26" s="312"/>
    </row>
    <row r="27" spans="1:9" x14ac:dyDescent="0.2">
      <c r="A27" s="312"/>
      <c r="B27" s="312"/>
      <c r="C27" s="312"/>
      <c r="D27" s="312"/>
      <c r="E27" s="312"/>
      <c r="F27" s="312"/>
      <c r="G27" s="312"/>
      <c r="H27" s="312"/>
    </row>
    <row r="28" spans="1:9" x14ac:dyDescent="0.2">
      <c r="A28" s="312"/>
      <c r="B28" s="312"/>
      <c r="C28" s="312"/>
      <c r="D28" s="312"/>
      <c r="E28" s="312"/>
      <c r="F28" s="312"/>
      <c r="G28" s="312"/>
      <c r="H28" s="312"/>
    </row>
    <row r="29" spans="1:9" x14ac:dyDescent="0.2">
      <c r="A29" s="312"/>
      <c r="B29" s="312"/>
      <c r="C29" s="312"/>
      <c r="D29" s="312"/>
      <c r="E29" s="312"/>
      <c r="F29" s="312"/>
      <c r="G29" s="312"/>
      <c r="H29" s="312"/>
    </row>
    <row r="30" spans="1:9" x14ac:dyDescent="0.2">
      <c r="A30" s="312"/>
      <c r="B30" s="312"/>
      <c r="C30" s="312"/>
      <c r="D30" s="312"/>
      <c r="E30" s="312"/>
      <c r="F30" s="312"/>
      <c r="G30" s="312"/>
      <c r="H30" s="312"/>
    </row>
    <row r="31" spans="1:9" x14ac:dyDescent="0.2">
      <c r="A31" s="312"/>
      <c r="B31" s="312"/>
      <c r="C31" s="312"/>
      <c r="D31" s="312"/>
      <c r="E31" s="312"/>
      <c r="F31" s="312"/>
      <c r="G31" s="312"/>
      <c r="H31" s="312"/>
    </row>
  </sheetData>
  <mergeCells count="3">
    <mergeCell ref="A4:H11"/>
    <mergeCell ref="A14:H21"/>
    <mergeCell ref="A24:H3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5C1A2-FBF1-44B8-BBC6-87D377098481}">
  <dimension ref="A1:D91"/>
  <sheetViews>
    <sheetView workbookViewId="0">
      <selection activeCell="F38" sqref="F38"/>
    </sheetView>
  </sheetViews>
  <sheetFormatPr defaultColWidth="9" defaultRowHeight="14.25" x14ac:dyDescent="0.2"/>
  <cols>
    <col min="1" max="1" width="46.140625" style="48" customWidth="1"/>
    <col min="2" max="2" width="22.42578125" style="48" customWidth="1"/>
    <col min="3" max="3" width="17.42578125" style="48" customWidth="1"/>
    <col min="4" max="4" width="18.42578125" style="48" customWidth="1"/>
    <col min="5" max="16384" width="9" style="48"/>
  </cols>
  <sheetData>
    <row r="1" spans="1:4" ht="15" x14ac:dyDescent="0.25">
      <c r="A1" s="47" t="s">
        <v>288</v>
      </c>
    </row>
    <row r="2" spans="1:4" s="47" customFormat="1" ht="15" x14ac:dyDescent="0.25">
      <c r="A2" s="47" t="s">
        <v>459</v>
      </c>
      <c r="B2" s="47" t="s">
        <v>460</v>
      </c>
      <c r="C2" s="47" t="s">
        <v>461</v>
      </c>
    </row>
    <row r="3" spans="1:4" x14ac:dyDescent="0.2">
      <c r="A3" s="48" t="s">
        <v>462</v>
      </c>
      <c r="B3" s="49">
        <v>83342</v>
      </c>
      <c r="C3" s="50">
        <f>B3/D3</f>
        <v>5.5410649612776348E-3</v>
      </c>
      <c r="D3" s="48">
        <v>15040791</v>
      </c>
    </row>
    <row r="4" spans="1:4" x14ac:dyDescent="0.2">
      <c r="A4" s="48" t="s">
        <v>463</v>
      </c>
      <c r="B4" s="49">
        <v>77233</v>
      </c>
      <c r="C4" s="50">
        <f t="shared" ref="C4:C29" si="0">B4/D4</f>
        <v>5.1349028119598234E-3</v>
      </c>
      <c r="D4" s="48">
        <v>15040791</v>
      </c>
    </row>
    <row r="5" spans="1:4" x14ac:dyDescent="0.2">
      <c r="A5" s="48" t="s">
        <v>464</v>
      </c>
      <c r="B5" s="49">
        <v>423193</v>
      </c>
      <c r="C5" s="50">
        <f t="shared" si="0"/>
        <v>2.8136352669217997E-2</v>
      </c>
      <c r="D5" s="48">
        <v>15040791</v>
      </c>
    </row>
    <row r="6" spans="1:4" x14ac:dyDescent="0.2">
      <c r="A6" s="48" t="s">
        <v>465</v>
      </c>
      <c r="B6" s="49">
        <v>84212</v>
      </c>
      <c r="C6" s="50">
        <f t="shared" si="0"/>
        <v>5.5989076638323079E-3</v>
      </c>
      <c r="D6" s="48">
        <v>15040791</v>
      </c>
    </row>
    <row r="7" spans="1:4" x14ac:dyDescent="0.2">
      <c r="A7" s="48" t="s">
        <v>151</v>
      </c>
      <c r="B7" s="49">
        <v>114603</v>
      </c>
      <c r="C7" s="50">
        <f t="shared" si="0"/>
        <v>7.6194795872105399E-3</v>
      </c>
      <c r="D7" s="48">
        <v>15040791</v>
      </c>
    </row>
    <row r="8" spans="1:4" x14ac:dyDescent="0.2">
      <c r="A8" s="48" t="s">
        <v>466</v>
      </c>
      <c r="B8" s="49">
        <v>27379</v>
      </c>
      <c r="C8" s="50">
        <f t="shared" si="0"/>
        <v>1.8203164979820542E-3</v>
      </c>
      <c r="D8" s="48">
        <v>15040791</v>
      </c>
    </row>
    <row r="9" spans="1:4" x14ac:dyDescent="0.2">
      <c r="A9" s="48" t="s">
        <v>467</v>
      </c>
      <c r="B9" s="49">
        <v>18181</v>
      </c>
      <c r="C9" s="50">
        <f t="shared" si="0"/>
        <v>1.2087795116626512E-3</v>
      </c>
      <c r="D9" s="48">
        <v>15040791</v>
      </c>
    </row>
    <row r="10" spans="1:4" x14ac:dyDescent="0.2">
      <c r="A10" s="48" t="s">
        <v>152</v>
      </c>
      <c r="B10" s="49">
        <v>788873</v>
      </c>
      <c r="C10" s="50">
        <f t="shared" si="0"/>
        <v>5.2448903784382085E-2</v>
      </c>
      <c r="D10" s="48">
        <v>15040791</v>
      </c>
    </row>
    <row r="11" spans="1:4" x14ac:dyDescent="0.2">
      <c r="A11" s="48" t="s">
        <v>153</v>
      </c>
      <c r="B11" s="49">
        <v>1498373</v>
      </c>
      <c r="C11" s="50">
        <f t="shared" si="0"/>
        <v>9.9620625005692853E-2</v>
      </c>
      <c r="D11" s="48">
        <v>15040791</v>
      </c>
    </row>
    <row r="12" spans="1:4" x14ac:dyDescent="0.2">
      <c r="A12" s="48" t="s">
        <v>468</v>
      </c>
      <c r="B12" s="49">
        <v>35202</v>
      </c>
      <c r="C12" s="50">
        <f t="shared" si="0"/>
        <v>2.3404354199190723E-3</v>
      </c>
      <c r="D12" s="48">
        <v>15040791</v>
      </c>
    </row>
    <row r="13" spans="1:4" x14ac:dyDescent="0.2">
      <c r="A13" s="48" t="s">
        <v>469</v>
      </c>
      <c r="B13" s="49">
        <v>195071</v>
      </c>
      <c r="C13" s="50">
        <f t="shared" si="0"/>
        <v>1.2969464172462739E-2</v>
      </c>
      <c r="D13" s="48">
        <v>15040791</v>
      </c>
    </row>
    <row r="14" spans="1:4" x14ac:dyDescent="0.2">
      <c r="A14" s="48" t="s">
        <v>160</v>
      </c>
      <c r="B14" s="49">
        <v>1108591</v>
      </c>
      <c r="C14" s="50">
        <f t="shared" si="0"/>
        <v>7.3705631572169306E-2</v>
      </c>
      <c r="D14" s="48">
        <v>15040791</v>
      </c>
    </row>
    <row r="15" spans="1:4" x14ac:dyDescent="0.2">
      <c r="A15" s="48" t="s">
        <v>470</v>
      </c>
      <c r="B15" s="49">
        <v>4255</v>
      </c>
      <c r="C15" s="50">
        <f t="shared" si="0"/>
        <v>2.8289735559785384E-4</v>
      </c>
      <c r="D15" s="48">
        <v>15040791</v>
      </c>
    </row>
    <row r="16" spans="1:4" x14ac:dyDescent="0.2">
      <c r="A16" s="48" t="s">
        <v>471</v>
      </c>
      <c r="B16" s="49">
        <v>78861</v>
      </c>
      <c r="C16" s="50">
        <f t="shared" si="0"/>
        <v>5.2431418001885671E-3</v>
      </c>
      <c r="D16" s="48">
        <v>15040791</v>
      </c>
    </row>
    <row r="17" spans="1:4" x14ac:dyDescent="0.2">
      <c r="A17" s="48" t="s">
        <v>472</v>
      </c>
      <c r="B17" s="49">
        <v>645896</v>
      </c>
      <c r="C17" s="50">
        <f t="shared" si="0"/>
        <v>4.2942954263509144E-2</v>
      </c>
      <c r="D17" s="48">
        <v>15040791</v>
      </c>
    </row>
    <row r="18" spans="1:4" x14ac:dyDescent="0.2">
      <c r="A18" s="48" t="s">
        <v>473</v>
      </c>
      <c r="B18" s="49">
        <v>127900</v>
      </c>
      <c r="C18" s="50">
        <f t="shared" si="0"/>
        <v>8.5035421341869595E-3</v>
      </c>
      <c r="D18" s="48">
        <v>15040791</v>
      </c>
    </row>
    <row r="19" spans="1:4" x14ac:dyDescent="0.2">
      <c r="A19" s="48" t="s">
        <v>474</v>
      </c>
      <c r="B19" s="49">
        <v>13102</v>
      </c>
      <c r="C19" s="50">
        <f t="shared" si="0"/>
        <v>8.7109780330037168E-4</v>
      </c>
      <c r="D19" s="48">
        <v>15040791</v>
      </c>
    </row>
    <row r="20" spans="1:4" x14ac:dyDescent="0.2">
      <c r="A20" s="48" t="s">
        <v>475</v>
      </c>
      <c r="B20" s="49">
        <v>49704</v>
      </c>
      <c r="C20" s="50">
        <f t="shared" si="0"/>
        <v>3.3046134342269631E-3</v>
      </c>
      <c r="D20" s="48">
        <v>15040791</v>
      </c>
    </row>
    <row r="21" spans="1:4" x14ac:dyDescent="0.2">
      <c r="A21" s="48" t="s">
        <v>157</v>
      </c>
      <c r="B21" s="49">
        <v>5677</v>
      </c>
      <c r="C21" s="50">
        <f t="shared" si="0"/>
        <v>3.774402556354915E-4</v>
      </c>
      <c r="D21" s="48">
        <v>15040791</v>
      </c>
    </row>
    <row r="22" spans="1:4" x14ac:dyDescent="0.2">
      <c r="A22" s="48" t="s">
        <v>476</v>
      </c>
      <c r="B22" s="49">
        <v>369635</v>
      </c>
      <c r="C22" s="50">
        <f t="shared" si="0"/>
        <v>2.4575502711260331E-2</v>
      </c>
      <c r="D22" s="48">
        <v>15040791</v>
      </c>
    </row>
    <row r="23" spans="1:4" x14ac:dyDescent="0.2">
      <c r="A23" s="48" t="s">
        <v>156</v>
      </c>
      <c r="B23" s="49">
        <v>76743</v>
      </c>
      <c r="C23" s="50">
        <f t="shared" si="0"/>
        <v>5.1023247381071909E-3</v>
      </c>
      <c r="D23" s="48">
        <v>15040791</v>
      </c>
    </row>
    <row r="24" spans="1:4" x14ac:dyDescent="0.2">
      <c r="A24" s="48" t="s">
        <v>477</v>
      </c>
      <c r="B24" s="49">
        <v>99449</v>
      </c>
      <c r="C24" s="50">
        <f t="shared" si="0"/>
        <v>6.611952788919147E-3</v>
      </c>
      <c r="D24" s="48">
        <v>15040791</v>
      </c>
    </row>
    <row r="25" spans="1:4" x14ac:dyDescent="0.2">
      <c r="A25" s="48" t="s">
        <v>478</v>
      </c>
      <c r="B25" s="49">
        <v>137638</v>
      </c>
      <c r="C25" s="50">
        <f t="shared" si="0"/>
        <v>9.1509814876092627E-3</v>
      </c>
      <c r="D25" s="48">
        <v>15040791</v>
      </c>
    </row>
    <row r="26" spans="1:4" x14ac:dyDescent="0.2">
      <c r="A26" s="48" t="s">
        <v>479</v>
      </c>
      <c r="B26" s="49">
        <v>104423</v>
      </c>
      <c r="C26" s="50">
        <f t="shared" si="0"/>
        <v>6.9426534814558622E-3</v>
      </c>
      <c r="D26" s="48">
        <v>15040791</v>
      </c>
    </row>
    <row r="27" spans="1:4" x14ac:dyDescent="0.2">
      <c r="A27" s="48" t="s">
        <v>158</v>
      </c>
      <c r="B27" s="49">
        <v>8530433</v>
      </c>
      <c r="C27" s="50">
        <f t="shared" si="0"/>
        <v>0.56715321687536246</v>
      </c>
      <c r="D27" s="48">
        <v>15040791</v>
      </c>
    </row>
    <row r="28" spans="1:4" x14ac:dyDescent="0.2">
      <c r="A28" s="48" t="s">
        <v>480</v>
      </c>
      <c r="B28" s="49">
        <v>342822</v>
      </c>
      <c r="C28" s="50">
        <f t="shared" si="0"/>
        <v>2.2792817212871318E-2</v>
      </c>
      <c r="D28" s="48">
        <v>15040791</v>
      </c>
    </row>
    <row r="29" spans="1:4" ht="15" x14ac:dyDescent="0.25">
      <c r="A29" s="47" t="s">
        <v>481</v>
      </c>
      <c r="B29" s="51">
        <f>SUM(B3:B28)</f>
        <v>15040791</v>
      </c>
      <c r="C29" s="52">
        <f t="shared" si="0"/>
        <v>1</v>
      </c>
      <c r="D29" s="48">
        <v>15040791</v>
      </c>
    </row>
    <row r="30" spans="1:4" x14ac:dyDescent="0.2">
      <c r="B30" s="49"/>
      <c r="C30" s="50"/>
    </row>
    <row r="31" spans="1:4" s="47" customFormat="1" ht="15" x14ac:dyDescent="0.25">
      <c r="A31" s="47" t="s">
        <v>482</v>
      </c>
    </row>
    <row r="32" spans="1:4" s="47" customFormat="1" ht="15" x14ac:dyDescent="0.25">
      <c r="A32" s="47" t="s">
        <v>459</v>
      </c>
      <c r="B32" s="47" t="s">
        <v>460</v>
      </c>
      <c r="C32" s="47" t="s">
        <v>461</v>
      </c>
    </row>
    <row r="33" spans="1:4" ht="15" x14ac:dyDescent="0.25">
      <c r="A33" s="47" t="s">
        <v>483</v>
      </c>
      <c r="B33" s="49">
        <v>16412</v>
      </c>
      <c r="C33" s="50">
        <f>B33/D33</f>
        <v>8.8083785863872655E-3</v>
      </c>
      <c r="D33" s="48">
        <v>1863226</v>
      </c>
    </row>
    <row r="34" spans="1:4" x14ac:dyDescent="0.2">
      <c r="A34" s="48" t="s">
        <v>462</v>
      </c>
      <c r="B34" s="49">
        <v>51168</v>
      </c>
      <c r="C34" s="50">
        <f>B34/D34</f>
        <v>2.7462047008790132E-2</v>
      </c>
      <c r="D34" s="48">
        <v>1863226</v>
      </c>
    </row>
    <row r="35" spans="1:4" x14ac:dyDescent="0.2">
      <c r="A35" s="48" t="s">
        <v>464</v>
      </c>
      <c r="B35" s="49">
        <v>13476</v>
      </c>
      <c r="C35" s="50">
        <f t="shared" ref="C35:C46" si="1">B35/D35</f>
        <v>7.2326169772212283E-3</v>
      </c>
      <c r="D35" s="48">
        <v>1863226</v>
      </c>
    </row>
    <row r="36" spans="1:4" x14ac:dyDescent="0.2">
      <c r="A36" s="48" t="s">
        <v>159</v>
      </c>
      <c r="B36" s="49">
        <v>674431</v>
      </c>
      <c r="C36" s="50">
        <f t="shared" si="1"/>
        <v>0.36196950879818124</v>
      </c>
      <c r="D36" s="48">
        <v>1863226</v>
      </c>
    </row>
    <row r="37" spans="1:4" x14ac:dyDescent="0.2">
      <c r="A37" s="48" t="s">
        <v>151</v>
      </c>
      <c r="B37" s="49">
        <v>75464</v>
      </c>
      <c r="C37" s="50">
        <f t="shared" si="1"/>
        <v>4.050179634676631E-2</v>
      </c>
      <c r="D37" s="48">
        <v>1863226</v>
      </c>
    </row>
    <row r="38" spans="1:4" x14ac:dyDescent="0.2">
      <c r="A38" s="48" t="s">
        <v>468</v>
      </c>
      <c r="B38" s="49">
        <v>55289</v>
      </c>
      <c r="C38" s="50">
        <f t="shared" si="1"/>
        <v>2.9673802319203361E-2</v>
      </c>
      <c r="D38" s="48">
        <v>1863226</v>
      </c>
    </row>
    <row r="39" spans="1:4" x14ac:dyDescent="0.2">
      <c r="A39" s="48" t="s">
        <v>160</v>
      </c>
      <c r="B39" s="49">
        <v>31301</v>
      </c>
      <c r="C39" s="50">
        <f t="shared" si="1"/>
        <v>1.6799357673196919E-2</v>
      </c>
      <c r="D39" s="48">
        <v>1863226</v>
      </c>
    </row>
    <row r="40" spans="1:4" x14ac:dyDescent="0.2">
      <c r="A40" s="48" t="s">
        <v>471</v>
      </c>
      <c r="B40" s="49">
        <v>3645</v>
      </c>
      <c r="C40" s="50">
        <f t="shared" si="1"/>
        <v>1.9562844228236402E-3</v>
      </c>
      <c r="D40" s="48">
        <v>1863226</v>
      </c>
    </row>
    <row r="41" spans="1:4" x14ac:dyDescent="0.2">
      <c r="A41" s="48" t="s">
        <v>154</v>
      </c>
      <c r="B41" s="49">
        <v>513</v>
      </c>
      <c r="C41" s="50">
        <f t="shared" si="1"/>
        <v>2.7532891876777158E-4</v>
      </c>
      <c r="D41" s="48">
        <v>1863226</v>
      </c>
    </row>
    <row r="42" spans="1:4" x14ac:dyDescent="0.2">
      <c r="A42" s="48" t="s">
        <v>155</v>
      </c>
      <c r="B42" s="49">
        <v>22496</v>
      </c>
      <c r="C42" s="50">
        <f t="shared" si="1"/>
        <v>1.2073682956334873E-2</v>
      </c>
      <c r="D42" s="48">
        <v>1863226</v>
      </c>
    </row>
    <row r="43" spans="1:4" x14ac:dyDescent="0.2">
      <c r="A43" s="48" t="s">
        <v>474</v>
      </c>
      <c r="B43" s="49">
        <v>773336</v>
      </c>
      <c r="C43" s="50">
        <f t="shared" si="1"/>
        <v>0.41505217295164409</v>
      </c>
      <c r="D43" s="48">
        <v>1863226</v>
      </c>
    </row>
    <row r="44" spans="1:4" x14ac:dyDescent="0.2">
      <c r="A44" s="48" t="s">
        <v>157</v>
      </c>
      <c r="B44" s="49">
        <v>138396</v>
      </c>
      <c r="C44" s="50">
        <f t="shared" si="1"/>
        <v>7.4277623863127709E-2</v>
      </c>
      <c r="D44" s="48">
        <v>1863226</v>
      </c>
    </row>
    <row r="45" spans="1:4" x14ac:dyDescent="0.2">
      <c r="A45" s="48" t="s">
        <v>476</v>
      </c>
      <c r="B45" s="49">
        <v>7299</v>
      </c>
      <c r="C45" s="50">
        <f t="shared" si="1"/>
        <v>3.917399177555487E-3</v>
      </c>
      <c r="D45" s="48">
        <v>1863226</v>
      </c>
    </row>
    <row r="46" spans="1:4" ht="15" x14ac:dyDescent="0.25">
      <c r="A46" s="47" t="s">
        <v>481</v>
      </c>
      <c r="B46" s="51">
        <f>SUM(B33:B45)</f>
        <v>1863226</v>
      </c>
      <c r="C46" s="52">
        <f t="shared" si="1"/>
        <v>1</v>
      </c>
      <c r="D46" s="48">
        <v>1863226</v>
      </c>
    </row>
    <row r="48" spans="1:4" ht="15" x14ac:dyDescent="0.25">
      <c r="A48" s="47" t="s">
        <v>484</v>
      </c>
      <c r="B48" s="47"/>
      <c r="C48" s="47"/>
      <c r="D48" s="47"/>
    </row>
    <row r="49" spans="1:4" ht="15" x14ac:dyDescent="0.25">
      <c r="A49" s="47" t="s">
        <v>459</v>
      </c>
      <c r="B49" s="47" t="s">
        <v>460</v>
      </c>
      <c r="C49" s="47" t="s">
        <v>461</v>
      </c>
      <c r="D49" s="47"/>
    </row>
    <row r="50" spans="1:4" x14ac:dyDescent="0.2">
      <c r="A50" s="48" t="s">
        <v>483</v>
      </c>
      <c r="B50" s="49">
        <v>1443510</v>
      </c>
      <c r="C50" s="50">
        <f>B50/D50</f>
        <v>0.14177542260765577</v>
      </c>
      <c r="D50" s="48">
        <v>10181666</v>
      </c>
    </row>
    <row r="51" spans="1:4" x14ac:dyDescent="0.2">
      <c r="A51" s="48" t="s">
        <v>462</v>
      </c>
      <c r="B51" s="49">
        <v>759986</v>
      </c>
      <c r="C51" s="50">
        <f>B51/D51</f>
        <v>7.4642597783113288E-2</v>
      </c>
      <c r="D51" s="48">
        <v>10181666</v>
      </c>
    </row>
    <row r="52" spans="1:4" x14ac:dyDescent="0.2">
      <c r="A52" s="48" t="s">
        <v>464</v>
      </c>
      <c r="B52" s="49">
        <v>53374</v>
      </c>
      <c r="C52" s="50">
        <f t="shared" ref="C52:C65" si="2">B52/D52</f>
        <v>5.2421676373984377E-3</v>
      </c>
      <c r="D52" s="48">
        <v>10181666</v>
      </c>
    </row>
    <row r="53" spans="1:4" x14ac:dyDescent="0.2">
      <c r="A53" s="48" t="s">
        <v>465</v>
      </c>
      <c r="B53" s="49">
        <v>328546</v>
      </c>
      <c r="C53" s="50">
        <f t="shared" si="2"/>
        <v>3.2268393011516974E-2</v>
      </c>
      <c r="D53" s="48">
        <v>10181666</v>
      </c>
    </row>
    <row r="54" spans="1:4" x14ac:dyDescent="0.2">
      <c r="A54" s="48" t="s">
        <v>151</v>
      </c>
      <c r="B54" s="49">
        <f>2504751-151958</f>
        <v>2352793</v>
      </c>
      <c r="C54" s="50">
        <f t="shared" si="2"/>
        <v>0.23108133776928058</v>
      </c>
      <c r="D54" s="48">
        <v>10181666</v>
      </c>
    </row>
    <row r="55" spans="1:4" x14ac:dyDescent="0.2">
      <c r="A55" s="48" t="s">
        <v>152</v>
      </c>
      <c r="B55" s="49">
        <v>331032</v>
      </c>
      <c r="C55" s="50">
        <f t="shared" si="2"/>
        <v>3.2512557375187913E-2</v>
      </c>
      <c r="D55" s="48">
        <v>10181666</v>
      </c>
    </row>
    <row r="56" spans="1:4" x14ac:dyDescent="0.2">
      <c r="A56" s="48" t="s">
        <v>485</v>
      </c>
      <c r="B56" s="49">
        <v>73230</v>
      </c>
      <c r="C56" s="50">
        <f t="shared" si="2"/>
        <v>7.1923396426478731E-3</v>
      </c>
      <c r="D56" s="48">
        <v>10181666</v>
      </c>
    </row>
    <row r="57" spans="1:4" x14ac:dyDescent="0.2">
      <c r="A57" s="48" t="s">
        <v>468</v>
      </c>
      <c r="B57" s="49">
        <v>1675734</v>
      </c>
      <c r="C57" s="50">
        <f t="shared" si="2"/>
        <v>0.16458347779233773</v>
      </c>
      <c r="D57" s="48">
        <v>10181666</v>
      </c>
    </row>
    <row r="58" spans="1:4" x14ac:dyDescent="0.2">
      <c r="A58" s="48" t="s">
        <v>160</v>
      </c>
      <c r="B58" s="49">
        <v>716325</v>
      </c>
      <c r="C58" s="50">
        <f t="shared" si="2"/>
        <v>7.0354399761296427E-2</v>
      </c>
      <c r="D58" s="48">
        <v>10181666</v>
      </c>
    </row>
    <row r="59" spans="1:4" x14ac:dyDescent="0.2">
      <c r="A59" s="48" t="s">
        <v>471</v>
      </c>
      <c r="B59" s="49">
        <v>397276</v>
      </c>
      <c r="C59" s="50">
        <f t="shared" si="2"/>
        <v>3.9018761762564198E-2</v>
      </c>
      <c r="D59" s="48">
        <v>10181666</v>
      </c>
    </row>
    <row r="60" spans="1:4" x14ac:dyDescent="0.2">
      <c r="A60" s="48" t="s">
        <v>154</v>
      </c>
      <c r="B60" s="49">
        <v>644724</v>
      </c>
      <c r="C60" s="50">
        <f t="shared" si="2"/>
        <v>6.3322053581407994E-2</v>
      </c>
      <c r="D60" s="48">
        <v>10181666</v>
      </c>
    </row>
    <row r="61" spans="1:4" x14ac:dyDescent="0.2">
      <c r="A61" s="48" t="s">
        <v>155</v>
      </c>
      <c r="B61" s="49">
        <v>40607</v>
      </c>
      <c r="C61" s="50">
        <f t="shared" si="2"/>
        <v>3.9882471100505558E-3</v>
      </c>
      <c r="D61" s="48">
        <v>10181666</v>
      </c>
    </row>
    <row r="62" spans="1:4" x14ac:dyDescent="0.2">
      <c r="A62" s="48" t="s">
        <v>157</v>
      </c>
      <c r="B62" s="49">
        <v>210667</v>
      </c>
      <c r="C62" s="50">
        <f t="shared" si="2"/>
        <v>2.0690818182407478E-2</v>
      </c>
      <c r="D62" s="48">
        <v>10181666</v>
      </c>
    </row>
    <row r="63" spans="1:4" x14ac:dyDescent="0.2">
      <c r="A63" s="48" t="s">
        <v>476</v>
      </c>
      <c r="B63" s="49">
        <v>2192</v>
      </c>
      <c r="C63" s="50">
        <f t="shared" si="2"/>
        <v>2.1528893208635992E-4</v>
      </c>
      <c r="D63" s="48">
        <v>10181666</v>
      </c>
    </row>
    <row r="64" spans="1:4" x14ac:dyDescent="0.2">
      <c r="A64" s="48" t="s">
        <v>156</v>
      </c>
      <c r="B64" s="49">
        <v>1151670</v>
      </c>
      <c r="C64" s="50">
        <f t="shared" si="2"/>
        <v>0.11311213705104842</v>
      </c>
      <c r="D64" s="48">
        <v>10181666</v>
      </c>
    </row>
    <row r="65" spans="1:4" ht="15" x14ac:dyDescent="0.25">
      <c r="A65" s="47" t="s">
        <v>481</v>
      </c>
      <c r="B65" s="51">
        <f>SUM(B50:B64)</f>
        <v>10181666</v>
      </c>
      <c r="C65" s="52">
        <f t="shared" si="2"/>
        <v>1</v>
      </c>
      <c r="D65" s="48">
        <v>10181666</v>
      </c>
    </row>
    <row r="67" spans="1:4" ht="15" x14ac:dyDescent="0.25">
      <c r="A67" s="47" t="s">
        <v>486</v>
      </c>
    </row>
    <row r="68" spans="1:4" ht="15" x14ac:dyDescent="0.25">
      <c r="A68" s="47" t="s">
        <v>459</v>
      </c>
      <c r="B68" s="47" t="s">
        <v>460</v>
      </c>
      <c r="C68" s="47" t="s">
        <v>461</v>
      </c>
      <c r="D68" s="47"/>
    </row>
    <row r="69" spans="1:4" x14ac:dyDescent="0.2">
      <c r="A69" s="48" t="s">
        <v>160</v>
      </c>
      <c r="B69" s="49">
        <v>1007312</v>
      </c>
      <c r="C69" s="50">
        <f t="shared" ref="C69:C72" si="3">B69/D69</f>
        <v>0.5496489774893788</v>
      </c>
      <c r="D69" s="48">
        <v>1832646</v>
      </c>
    </row>
    <row r="70" spans="1:4" x14ac:dyDescent="0.2">
      <c r="A70" s="48" t="s">
        <v>487</v>
      </c>
      <c r="B70" s="49">
        <v>65559</v>
      </c>
      <c r="C70" s="50">
        <f t="shared" si="3"/>
        <v>3.577286611817012E-2</v>
      </c>
      <c r="D70" s="48">
        <v>1832646</v>
      </c>
    </row>
    <row r="71" spans="1:4" x14ac:dyDescent="0.2">
      <c r="A71" s="48" t="s">
        <v>158</v>
      </c>
      <c r="B71" s="49">
        <v>759775</v>
      </c>
      <c r="C71" s="50">
        <f t="shared" si="3"/>
        <v>0.41457815639245116</v>
      </c>
      <c r="D71" s="48">
        <v>1832646</v>
      </c>
    </row>
    <row r="72" spans="1:4" ht="15" x14ac:dyDescent="0.25">
      <c r="A72" s="47" t="s">
        <v>481</v>
      </c>
      <c r="B72" s="51">
        <f>SUM(B69:B71)</f>
        <v>1832646</v>
      </c>
      <c r="C72" s="52">
        <f t="shared" si="3"/>
        <v>1</v>
      </c>
      <c r="D72" s="48">
        <v>1832646</v>
      </c>
    </row>
    <row r="74" spans="1:4" ht="15" x14ac:dyDescent="0.25">
      <c r="A74" s="47" t="s">
        <v>386</v>
      </c>
    </row>
    <row r="75" spans="1:4" ht="15" x14ac:dyDescent="0.25">
      <c r="A75" s="47" t="s">
        <v>459</v>
      </c>
      <c r="B75" s="47" t="s">
        <v>460</v>
      </c>
      <c r="C75" s="47" t="s">
        <v>461</v>
      </c>
      <c r="D75" s="47"/>
    </row>
    <row r="76" spans="1:4" x14ac:dyDescent="0.2">
      <c r="A76" s="48" t="s">
        <v>488</v>
      </c>
      <c r="B76" s="49">
        <v>56775</v>
      </c>
      <c r="C76" s="50">
        <f t="shared" ref="C76:C81" si="4">B76/D76</f>
        <v>6.336827936286836E-2</v>
      </c>
      <c r="D76" s="48">
        <v>895953</v>
      </c>
    </row>
    <row r="77" spans="1:4" x14ac:dyDescent="0.2">
      <c r="A77" s="48" t="s">
        <v>155</v>
      </c>
      <c r="B77" s="49">
        <v>14019</v>
      </c>
      <c r="C77" s="50">
        <f t="shared" si="4"/>
        <v>1.5647026127486599E-2</v>
      </c>
      <c r="D77" s="48">
        <v>895953</v>
      </c>
    </row>
    <row r="78" spans="1:4" x14ac:dyDescent="0.2">
      <c r="A78" s="48" t="s">
        <v>489</v>
      </c>
      <c r="B78" s="49">
        <v>130141</v>
      </c>
      <c r="C78" s="50">
        <f t="shared" si="4"/>
        <v>0.145254271150384</v>
      </c>
      <c r="D78" s="48">
        <v>895953</v>
      </c>
    </row>
    <row r="79" spans="1:4" x14ac:dyDescent="0.2">
      <c r="A79" s="48" t="s">
        <v>490</v>
      </c>
      <c r="B79" s="49">
        <v>645840</v>
      </c>
      <c r="C79" s="50">
        <f t="shared" si="4"/>
        <v>0.72084138342078208</v>
      </c>
      <c r="D79" s="48">
        <v>895953</v>
      </c>
    </row>
    <row r="80" spans="1:4" x14ac:dyDescent="0.2">
      <c r="A80" s="48" t="s">
        <v>491</v>
      </c>
      <c r="B80" s="49">
        <v>49178</v>
      </c>
      <c r="C80" s="50">
        <f t="shared" si="4"/>
        <v>5.4889039938478913E-2</v>
      </c>
      <c r="D80" s="48">
        <v>895953</v>
      </c>
    </row>
    <row r="81" spans="1:4" ht="15" x14ac:dyDescent="0.25">
      <c r="A81" s="47" t="s">
        <v>481</v>
      </c>
      <c r="B81" s="51">
        <f>SUM(B76:B80)</f>
        <v>895953</v>
      </c>
      <c r="C81" s="52">
        <f t="shared" si="4"/>
        <v>1</v>
      </c>
      <c r="D81" s="48">
        <v>895953</v>
      </c>
    </row>
    <row r="83" spans="1:4" ht="15" x14ac:dyDescent="0.25">
      <c r="A83" s="47" t="s">
        <v>492</v>
      </c>
    </row>
    <row r="84" spans="1:4" ht="15" x14ac:dyDescent="0.25">
      <c r="A84" s="47" t="s">
        <v>459</v>
      </c>
      <c r="B84" s="47" t="s">
        <v>460</v>
      </c>
      <c r="C84" s="47" t="s">
        <v>461</v>
      </c>
      <c r="D84" s="47"/>
    </row>
    <row r="85" spans="1:4" x14ac:dyDescent="0.2">
      <c r="A85" s="48" t="s">
        <v>151</v>
      </c>
      <c r="B85" s="49">
        <v>151958</v>
      </c>
      <c r="C85" s="50">
        <f t="shared" ref="C85:C86" si="5">B85/D85</f>
        <v>1</v>
      </c>
      <c r="D85" s="48">
        <v>151958</v>
      </c>
    </row>
    <row r="86" spans="1:4" ht="15" x14ac:dyDescent="0.25">
      <c r="A86" s="47" t="s">
        <v>481</v>
      </c>
      <c r="B86" s="51">
        <f>SUM(B85:B85)</f>
        <v>151958</v>
      </c>
      <c r="C86" s="52">
        <f t="shared" si="5"/>
        <v>1</v>
      </c>
      <c r="D86" s="48">
        <v>151958</v>
      </c>
    </row>
    <row r="90" spans="1:4" ht="15" x14ac:dyDescent="0.25">
      <c r="A90" s="48" t="s">
        <v>493</v>
      </c>
      <c r="B90" s="51">
        <f>+B86+B81+B72+B65+B46+B29</f>
        <v>29966240</v>
      </c>
    </row>
    <row r="91" spans="1:4" x14ac:dyDescent="0.2">
      <c r="A91" s="273" t="s">
        <v>494</v>
      </c>
      <c r="B91" s="49">
        <f>+B90-B86</f>
        <v>29814282</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C614E0CFB9FE4E9270813CB736E9E0" ma:contentTypeVersion="9" ma:contentTypeDescription="Een nieuw document maken." ma:contentTypeScope="" ma:versionID="8a3cb91acbbdb5e1fddcd6b62dd67929">
  <xsd:schema xmlns:xsd="http://www.w3.org/2001/XMLSchema" xmlns:xs="http://www.w3.org/2001/XMLSchema" xmlns:p="http://schemas.microsoft.com/office/2006/metadata/properties" xmlns:ns1="http://schemas.microsoft.com/sharepoint/v3" xmlns:ns2="e1f914b6-a544-4516-8258-dce33e67d544" xmlns:ns3="0cf69d48-8a84-45c7-8f21-6577c1f49d1b" xmlns:ns4="a3f22593-1193-4169-b7a1-d03c1b035a5b" targetNamespace="http://schemas.microsoft.com/office/2006/metadata/properties" ma:root="true" ma:fieldsID="a1dd2abb9d57184de1dbcad9b34095e2" ns1:_="" ns2:_="" ns3:_="" ns4:_="">
    <xsd:import namespace="http://schemas.microsoft.com/sharepoint/v3"/>
    <xsd:import namespace="e1f914b6-a544-4516-8258-dce33e67d544"/>
    <xsd:import namespace="0cf69d48-8a84-45c7-8f21-6577c1f49d1b"/>
    <xsd:import namespace="a3f22593-1193-4169-b7a1-d03c1b035a5b"/>
    <xsd:element name="properties">
      <xsd:complexType>
        <xsd:sequence>
          <xsd:element name="documentManagement">
            <xsd:complexType>
              <xsd:all>
                <xsd:element ref="ns1:DocumentSetDescription" minOccurs="0"/>
                <xsd:element ref="ns2:Dossierstatus" minOccurs="0"/>
                <xsd:element ref="ns3:MediaServiceMetadata" minOccurs="0"/>
                <xsd:element ref="ns3:MediaServiceFastMetadata"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0cf69d48-8a84-45c7-8f21-6577c1f49d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f22593-1193-4169-b7a1-d03c1b035a5b" elementFormDefault="qualified">
    <xsd:import namespace="http://schemas.microsoft.com/office/2006/documentManagement/types"/>
    <xsd:import namespace="http://schemas.microsoft.com/office/infopath/2007/PartnerControls"/>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32E736-6A21-468A-B2BB-63DCBB2F7788}">
  <ds:schemaRefs>
    <ds:schemaRef ds:uri="http://schemas.openxmlformats.org/package/2006/metadata/core-properties"/>
    <ds:schemaRef ds:uri="http://schemas.microsoft.com/sharepoint/v3"/>
    <ds:schemaRef ds:uri="http://schemas.microsoft.com/office/2006/documentManagement/types"/>
    <ds:schemaRef ds:uri="http://purl.org/dc/dcmitype/"/>
    <ds:schemaRef ds:uri="http://schemas.microsoft.com/office/2006/metadata/properties"/>
    <ds:schemaRef ds:uri="http://schemas.microsoft.com/office/infopath/2007/PartnerControls"/>
    <ds:schemaRef ds:uri="http://www.w3.org/XML/1998/namespace"/>
    <ds:schemaRef ds:uri="0cf69d48-8a84-45c7-8f21-6577c1f49d1b"/>
    <ds:schemaRef ds:uri="http://purl.org/dc/terms/"/>
    <ds:schemaRef ds:uri="a3f22593-1193-4169-b7a1-d03c1b035a5b"/>
    <ds:schemaRef ds:uri="e1f914b6-a544-4516-8258-dce33e67d544"/>
    <ds:schemaRef ds:uri="http://purl.org/dc/elements/1.1/"/>
  </ds:schemaRefs>
</ds:datastoreItem>
</file>

<file path=customXml/itemProps2.xml><?xml version="1.0" encoding="utf-8"?>
<ds:datastoreItem xmlns:ds="http://schemas.openxmlformats.org/officeDocument/2006/customXml" ds:itemID="{6941B913-FF6F-4CE8-B31E-521CF206F03F}">
  <ds:schemaRefs>
    <ds:schemaRef ds:uri="http://schemas.microsoft.com/sharepoint/v3/contenttype/forms"/>
  </ds:schemaRefs>
</ds:datastoreItem>
</file>

<file path=customXml/itemProps3.xml><?xml version="1.0" encoding="utf-8"?>
<ds:datastoreItem xmlns:ds="http://schemas.openxmlformats.org/officeDocument/2006/customXml" ds:itemID="{EDD51FD8-C16B-435A-8878-058A59EAE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0cf69d48-8a84-45c7-8f21-6577c1f49d1b"/>
    <ds:schemaRef ds:uri="a3f22593-1193-4169-b7a1-d03c1b035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16</vt:i4>
      </vt:variant>
      <vt:variant>
        <vt:lpstr>Benoemde bereiken</vt:lpstr>
      </vt:variant>
      <vt:variant>
        <vt:i4>4</vt:i4>
      </vt:variant>
    </vt:vector>
  </HeadingPairs>
  <TitlesOfParts>
    <vt:vector size="20" baseType="lpstr">
      <vt:lpstr>Kostprijsmodel</vt:lpstr>
      <vt:lpstr>Inschaling</vt:lpstr>
      <vt:lpstr>Input --&gt;</vt:lpstr>
      <vt:lpstr>Info --&gt;</vt:lpstr>
      <vt:lpstr>Uitvraag</vt:lpstr>
      <vt:lpstr>Benchmark</vt:lpstr>
      <vt:lpstr>Functies GGZ per opleidingsniv.</vt:lpstr>
      <vt:lpstr>Slaapdienst gegevens</vt:lpstr>
      <vt:lpstr>Omzet per aanbieder per perceel</vt:lpstr>
      <vt:lpstr>Schalen en tredes</vt:lpstr>
      <vt:lpstr>ZKN &amp; Ziekenhuizen</vt:lpstr>
      <vt:lpstr>GGZ</vt:lpstr>
      <vt:lpstr>JZ</vt:lpstr>
      <vt:lpstr>GHZ</vt:lpstr>
      <vt:lpstr>Verlof</vt:lpstr>
      <vt:lpstr>ORT</vt:lpstr>
      <vt:lpstr>CAO</vt:lpstr>
      <vt:lpstr>GGZ</vt:lpstr>
      <vt:lpstr>GHZ</vt:lpstr>
      <vt:lpstr>JZ</vt:lpstr>
    </vt:vector>
  </TitlesOfParts>
  <Manager/>
  <Company>eFormity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Oosterom</dc:creator>
  <cp:keywords/>
  <dc:description/>
  <cp:lastModifiedBy>Reitsma-Hooijmans JM (Karin)</cp:lastModifiedBy>
  <cp:revision/>
  <dcterms:created xsi:type="dcterms:W3CDTF">2014-09-16T08:26:41Z</dcterms:created>
  <dcterms:modified xsi:type="dcterms:W3CDTF">2024-07-11T21:23:55Z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0x01010082C614E0CFB9FE4E9270813CB736E9E0</vt:lpwstr>
  </property>
</Properties>
</file>