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Doesburg\5) Definitieve stukken\"/>
    </mc:Choice>
  </mc:AlternateContent>
  <bookViews>
    <workbookView xWindow="0" yWindow="0" windowWidth="21570" windowHeight="8055"/>
  </bookViews>
  <sheets>
    <sheet name="prolongatie per 01-01-24" sheetId="1" r:id="rId1"/>
  </sheets>
  <externalReferences>
    <externalReference r:id="rId2"/>
  </externalReferences>
  <definedNames>
    <definedName name="afrind">'[1]General Info'!$B$18</definedName>
    <definedName name="ign">'[1]General Info'!$B$13</definedName>
    <definedName name="igo">'[1]General Info'!$B$14</definedName>
    <definedName name="iin">'[1]General Info'!$B$15</definedName>
    <definedName name="iio">'[1]General Info'!$B$16</definedName>
    <definedName name="premie2008">'[1]General Info'!$B$4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43" i="1" l="1"/>
  <c r="AJ44" i="1"/>
  <c r="AJ45" i="1"/>
  <c r="AJ46" i="1"/>
  <c r="AJ47" i="1"/>
  <c r="AJ48" i="1"/>
  <c r="AJ42" i="1"/>
  <c r="AI18" i="1"/>
  <c r="AI20" i="1"/>
  <c r="AI21" i="1"/>
  <c r="AI25" i="1"/>
  <c r="AI27" i="1"/>
  <c r="AH18" i="1"/>
  <c r="AH20" i="1"/>
  <c r="AH25" i="1"/>
  <c r="AJ20" i="1" l="1"/>
  <c r="AJ18" i="1"/>
  <c r="AJ25" i="1"/>
  <c r="AG49" i="1"/>
  <c r="AJ49" i="1" s="1"/>
  <c r="AG18" i="1" l="1"/>
  <c r="AG20" i="1"/>
  <c r="AE55" i="1" l="1"/>
  <c r="AD18" i="1"/>
  <c r="AF35" i="1"/>
  <c r="AI35" i="1" s="1"/>
  <c r="AF34" i="1"/>
  <c r="AI34" i="1" s="1"/>
  <c r="AF33" i="1"/>
  <c r="AI33" i="1" s="1"/>
  <c r="AI38" i="1" s="1"/>
  <c r="AE35" i="1"/>
  <c r="AE34" i="1"/>
  <c r="AH34" i="1" s="1"/>
  <c r="AJ34" i="1" s="1"/>
  <c r="AE33" i="1"/>
  <c r="AF8" i="1"/>
  <c r="AI8" i="1" s="1"/>
  <c r="AF9" i="1"/>
  <c r="AI9" i="1" s="1"/>
  <c r="AF10" i="1"/>
  <c r="AI10" i="1" s="1"/>
  <c r="AF11" i="1"/>
  <c r="AI11" i="1" s="1"/>
  <c r="AF12" i="1"/>
  <c r="AI12" i="1" s="1"/>
  <c r="AF13" i="1"/>
  <c r="AI13" i="1" s="1"/>
  <c r="AF14" i="1"/>
  <c r="AI14" i="1" s="1"/>
  <c r="AF15" i="1"/>
  <c r="AI15" i="1" s="1"/>
  <c r="AF16" i="1"/>
  <c r="AI16" i="1" s="1"/>
  <c r="AF17" i="1"/>
  <c r="AI17" i="1" s="1"/>
  <c r="AF19" i="1"/>
  <c r="AI19" i="1" s="1"/>
  <c r="AF22" i="1"/>
  <c r="AI22" i="1" s="1"/>
  <c r="AF23" i="1"/>
  <c r="AI23" i="1" s="1"/>
  <c r="AF24" i="1"/>
  <c r="AI24" i="1" s="1"/>
  <c r="AF26" i="1"/>
  <c r="AI26" i="1" s="1"/>
  <c r="AF7" i="1"/>
  <c r="AI7" i="1" s="1"/>
  <c r="AE8" i="1"/>
  <c r="AH8" i="1" s="1"/>
  <c r="AJ8" i="1" s="1"/>
  <c r="AE9" i="1"/>
  <c r="AE10" i="1"/>
  <c r="AH10" i="1" s="1"/>
  <c r="AE11" i="1"/>
  <c r="AE12" i="1"/>
  <c r="AE13" i="1"/>
  <c r="AH13" i="1" s="1"/>
  <c r="AE14" i="1"/>
  <c r="AH14" i="1" s="1"/>
  <c r="AJ14" i="1" s="1"/>
  <c r="AE15" i="1"/>
  <c r="AH15" i="1" s="1"/>
  <c r="AJ15" i="1" s="1"/>
  <c r="AE16" i="1"/>
  <c r="AE17" i="1"/>
  <c r="AE19" i="1"/>
  <c r="AE21" i="1"/>
  <c r="AE22" i="1"/>
  <c r="AE23" i="1"/>
  <c r="AH23" i="1" s="1"/>
  <c r="AJ23" i="1" s="1"/>
  <c r="AE24" i="1"/>
  <c r="AH24" i="1" s="1"/>
  <c r="AE26" i="1"/>
  <c r="AE27" i="1"/>
  <c r="AE7" i="1"/>
  <c r="AH7" i="1" s="1"/>
  <c r="AJ13" i="1" l="1"/>
  <c r="AJ10" i="1"/>
  <c r="AG33" i="1"/>
  <c r="AH33" i="1"/>
  <c r="AG26" i="1"/>
  <c r="AH26" i="1"/>
  <c r="AJ26" i="1" s="1"/>
  <c r="AJ24" i="1"/>
  <c r="AG11" i="1"/>
  <c r="AH11" i="1"/>
  <c r="AJ11" i="1" s="1"/>
  <c r="AG35" i="1"/>
  <c r="AH35" i="1"/>
  <c r="AJ35" i="1" s="1"/>
  <c r="AG22" i="1"/>
  <c r="AH22" i="1"/>
  <c r="AJ22" i="1" s="1"/>
  <c r="AG12" i="1"/>
  <c r="AH12" i="1"/>
  <c r="AJ12" i="1" s="1"/>
  <c r="AG21" i="1"/>
  <c r="AH21" i="1"/>
  <c r="AJ21" i="1" s="1"/>
  <c r="AG19" i="1"/>
  <c r="AH19" i="1"/>
  <c r="AJ19" i="1" s="1"/>
  <c r="AG9" i="1"/>
  <c r="AH9" i="1"/>
  <c r="AJ9" i="1" s="1"/>
  <c r="AJ7" i="1"/>
  <c r="AG17" i="1"/>
  <c r="AH17" i="1"/>
  <c r="AJ17" i="1" s="1"/>
  <c r="AG27" i="1"/>
  <c r="AH27" i="1"/>
  <c r="AJ27" i="1" s="1"/>
  <c r="AG16" i="1"/>
  <c r="AH16" i="1"/>
  <c r="AJ16" i="1" s="1"/>
  <c r="AG15" i="1"/>
  <c r="AG10" i="1"/>
  <c r="AG7" i="1"/>
  <c r="AF38" i="1"/>
  <c r="AE38" i="1"/>
  <c r="AG34" i="1"/>
  <c r="AG25" i="1"/>
  <c r="AG24" i="1"/>
  <c r="AF29" i="1"/>
  <c r="AI29" i="1" s="1"/>
  <c r="AE29" i="1"/>
  <c r="AH29" i="1" s="1"/>
  <c r="AG8" i="1"/>
  <c r="AG14" i="1"/>
  <c r="AG23" i="1"/>
  <c r="AG13" i="1"/>
  <c r="AD49" i="1"/>
  <c r="AD34" i="1"/>
  <c r="AD35" i="1"/>
  <c r="AD33" i="1"/>
  <c r="AD8" i="1"/>
  <c r="AD9" i="1"/>
  <c r="AD10" i="1"/>
  <c r="AD11" i="1"/>
  <c r="AD12" i="1"/>
  <c r="AD13" i="1"/>
  <c r="AD14" i="1"/>
  <c r="AD15" i="1"/>
  <c r="AD16" i="1"/>
  <c r="AD17" i="1"/>
  <c r="AD19" i="1"/>
  <c r="AD21" i="1"/>
  <c r="AD22" i="1"/>
  <c r="AD23" i="1"/>
  <c r="AD24" i="1"/>
  <c r="AD25" i="1"/>
  <c r="AD26" i="1"/>
  <c r="AD27" i="1"/>
  <c r="AD7" i="1"/>
  <c r="AG38" i="1" l="1"/>
  <c r="AJ29" i="1"/>
  <c r="AJ33" i="1"/>
  <c r="AJ38" i="1" s="1"/>
  <c r="AH38" i="1"/>
  <c r="AG29" i="1"/>
  <c r="AB38" i="1"/>
  <c r="Z38" i="1" l="1"/>
  <c r="AD38" i="1" s="1"/>
  <c r="AB29" i="1"/>
  <c r="AB58" i="1" s="1"/>
  <c r="Z29" i="1"/>
  <c r="Z58" i="1" l="1"/>
  <c r="AD58" i="1" s="1"/>
  <c r="AD29" i="1"/>
  <c r="Y30" i="1"/>
  <c r="Y31" i="1"/>
  <c r="Y32" i="1"/>
  <c r="Y36" i="1"/>
  <c r="Y37" i="1"/>
  <c r="Y39" i="1"/>
  <c r="Y40" i="1"/>
  <c r="Y41" i="1"/>
  <c r="X27" i="1"/>
  <c r="V7" i="1" l="1"/>
  <c r="X7" i="1" s="1"/>
  <c r="V8" i="1"/>
  <c r="X8" i="1" s="1"/>
  <c r="V9" i="1"/>
  <c r="X9" i="1" s="1"/>
  <c r="V10" i="1"/>
  <c r="X10" i="1" s="1"/>
  <c r="V12" i="1"/>
  <c r="X12" i="1" s="1"/>
  <c r="V13" i="1"/>
  <c r="X13" i="1" s="1"/>
  <c r="V14" i="1"/>
  <c r="X14" i="1" s="1"/>
  <c r="V15" i="1"/>
  <c r="X15" i="1" s="1"/>
  <c r="V16" i="1"/>
  <c r="X16" i="1" s="1"/>
  <c r="V17" i="1"/>
  <c r="X17" i="1" s="1"/>
  <c r="V18" i="1"/>
  <c r="X18" i="1" s="1"/>
  <c r="V19" i="1"/>
  <c r="X19" i="1" s="1"/>
  <c r="V21" i="1"/>
  <c r="X21" i="1" s="1"/>
  <c r="V22" i="1"/>
  <c r="X22" i="1" s="1"/>
  <c r="V23" i="1"/>
  <c r="X23" i="1" s="1"/>
  <c r="V24" i="1"/>
  <c r="X24" i="1" s="1"/>
  <c r="V26" i="1"/>
  <c r="X26" i="1" s="1"/>
  <c r="V30" i="1"/>
  <c r="V31" i="1"/>
  <c r="V32" i="1"/>
  <c r="V33" i="1"/>
  <c r="X33" i="1" s="1"/>
  <c r="V34" i="1"/>
  <c r="X34" i="1" s="1"/>
  <c r="V35" i="1"/>
  <c r="X35" i="1" s="1"/>
  <c r="V37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X38" i="1" l="1"/>
  <c r="P8" i="1"/>
  <c r="Q8" i="1" s="1"/>
  <c r="Y8" i="1" s="1"/>
  <c r="P9" i="1"/>
  <c r="Q9" i="1" s="1"/>
  <c r="Y9" i="1" s="1"/>
  <c r="P10" i="1"/>
  <c r="Q10" i="1" s="1"/>
  <c r="Y10" i="1" s="1"/>
  <c r="P17" i="1"/>
  <c r="Q17" i="1" s="1"/>
  <c r="Y17" i="1" s="1"/>
  <c r="P18" i="1"/>
  <c r="Q18" i="1" s="1"/>
  <c r="Y18" i="1" s="1"/>
  <c r="P25" i="1"/>
  <c r="Q25" i="1" s="1"/>
  <c r="P26" i="1"/>
  <c r="Q26" i="1" s="1"/>
  <c r="Y26" i="1" s="1"/>
  <c r="P35" i="1"/>
  <c r="Q35" i="1" s="1"/>
  <c r="Y35" i="1" s="1"/>
  <c r="P46" i="1"/>
  <c r="Q46" i="1" s="1"/>
  <c r="Y46" i="1" s="1"/>
  <c r="P47" i="1"/>
  <c r="Q47" i="1" s="1"/>
  <c r="Y47" i="1" s="1"/>
  <c r="P48" i="1"/>
  <c r="Q48" i="1" s="1"/>
  <c r="Y48" i="1" s="1"/>
  <c r="P50" i="1"/>
  <c r="Q50" i="1" s="1"/>
  <c r="Y50" i="1" s="1"/>
  <c r="P51" i="1"/>
  <c r="Q51" i="1" s="1"/>
  <c r="Y51" i="1" s="1"/>
  <c r="P52" i="1"/>
  <c r="Q52" i="1" s="1"/>
  <c r="Y52" i="1" s="1"/>
  <c r="P53" i="1"/>
  <c r="Q53" i="1" s="1"/>
  <c r="Y53" i="1" s="1"/>
  <c r="P54" i="1"/>
  <c r="Q54" i="1" s="1"/>
  <c r="Y54" i="1" s="1"/>
  <c r="P55" i="1"/>
  <c r="Q55" i="1" s="1"/>
  <c r="Y55" i="1" l="1"/>
  <c r="W55" i="1"/>
  <c r="W56" i="1"/>
  <c r="W57" i="1"/>
  <c r="W35" i="1"/>
  <c r="W50" i="1"/>
  <c r="W51" i="1"/>
  <c r="W52" i="1"/>
  <c r="W53" i="1"/>
  <c r="W54" i="1"/>
  <c r="R38" i="1" l="1"/>
  <c r="V38" i="1" s="1"/>
  <c r="M30" i="1"/>
  <c r="M31" i="1"/>
  <c r="M32" i="1"/>
  <c r="M39" i="1"/>
  <c r="M40" i="1"/>
  <c r="M41" i="1"/>
  <c r="W41" i="1" l="1"/>
  <c r="P41" i="1"/>
  <c r="W40" i="1"/>
  <c r="P40" i="1"/>
  <c r="W39" i="1"/>
  <c r="P39" i="1"/>
  <c r="W31" i="1"/>
  <c r="P31" i="1"/>
  <c r="W32" i="1"/>
  <c r="P32" i="1"/>
  <c r="W30" i="1"/>
  <c r="P30" i="1"/>
  <c r="T57" i="1"/>
  <c r="T59" i="1"/>
  <c r="T30" i="1" l="1"/>
  <c r="T31" i="1"/>
  <c r="T32" i="1"/>
  <c r="T37" i="1"/>
  <c r="T39" i="1"/>
  <c r="T40" i="1"/>
  <c r="T41" i="1"/>
  <c r="T50" i="1"/>
  <c r="T51" i="1"/>
  <c r="T52" i="1"/>
  <c r="T53" i="1"/>
  <c r="T54" i="1"/>
  <c r="T55" i="1"/>
  <c r="T56" i="1"/>
  <c r="O45" i="1"/>
  <c r="K44" i="1"/>
  <c r="M44" i="1" s="1"/>
  <c r="K45" i="1"/>
  <c r="M45" i="1" s="1"/>
  <c r="K37" i="1"/>
  <c r="M37" i="1" s="1"/>
  <c r="N25" i="1"/>
  <c r="R25" i="1" s="1"/>
  <c r="V25" i="1" s="1"/>
  <c r="X25" i="1" s="1"/>
  <c r="Y25" i="1" s="1"/>
  <c r="K25" i="1"/>
  <c r="W44" i="1" l="1"/>
  <c r="P44" i="1"/>
  <c r="Q44" i="1" s="1"/>
  <c r="Y44" i="1" s="1"/>
  <c r="W37" i="1"/>
  <c r="P37" i="1"/>
  <c r="W45" i="1"/>
  <c r="P45" i="1"/>
  <c r="Q45" i="1" s="1"/>
  <c r="Y45" i="1" s="1"/>
  <c r="S45" i="1"/>
  <c r="T45" i="1" s="1"/>
  <c r="S44" i="1"/>
  <c r="T44" i="1" s="1"/>
  <c r="S25" i="1"/>
  <c r="T25" i="1" s="1"/>
  <c r="W25" i="1"/>
  <c r="O44" i="1"/>
  <c r="I43" i="1"/>
  <c r="I42" i="1"/>
  <c r="I7" i="1"/>
  <c r="K7" i="1" s="1"/>
  <c r="M7" i="1" s="1"/>
  <c r="I9" i="1"/>
  <c r="K9" i="1" s="1"/>
  <c r="W9" i="1" s="1"/>
  <c r="I10" i="1"/>
  <c r="K10" i="1" s="1"/>
  <c r="W10" i="1" s="1"/>
  <c r="I12" i="1"/>
  <c r="K12" i="1" s="1"/>
  <c r="M12" i="1" s="1"/>
  <c r="I13" i="1"/>
  <c r="K13" i="1" s="1"/>
  <c r="M13" i="1" s="1"/>
  <c r="I14" i="1"/>
  <c r="K14" i="1" s="1"/>
  <c r="M14" i="1" s="1"/>
  <c r="I15" i="1"/>
  <c r="K15" i="1" s="1"/>
  <c r="M15" i="1" s="1"/>
  <c r="I16" i="1"/>
  <c r="K16" i="1" s="1"/>
  <c r="M16" i="1" s="1"/>
  <c r="I17" i="1"/>
  <c r="K17" i="1" s="1"/>
  <c r="W17" i="1" s="1"/>
  <c r="I18" i="1"/>
  <c r="K18" i="1" s="1"/>
  <c r="W18" i="1" s="1"/>
  <c r="I19" i="1"/>
  <c r="K19" i="1" s="1"/>
  <c r="M19" i="1" s="1"/>
  <c r="I21" i="1"/>
  <c r="K21" i="1" s="1"/>
  <c r="M21" i="1" s="1"/>
  <c r="I22" i="1"/>
  <c r="K22" i="1" s="1"/>
  <c r="M22" i="1" s="1"/>
  <c r="I23" i="1"/>
  <c r="K23" i="1" s="1"/>
  <c r="M23" i="1" s="1"/>
  <c r="I24" i="1"/>
  <c r="K24" i="1" s="1"/>
  <c r="M24" i="1" s="1"/>
  <c r="I33" i="1"/>
  <c r="K33" i="1" s="1"/>
  <c r="M33" i="1" s="1"/>
  <c r="P33" i="1" s="1"/>
  <c r="Q33" i="1" s="1"/>
  <c r="I34" i="1"/>
  <c r="K34" i="1" s="1"/>
  <c r="M34" i="1" s="1"/>
  <c r="I35" i="1"/>
  <c r="K35" i="1" s="1"/>
  <c r="I27" i="1"/>
  <c r="K27" i="1" s="1"/>
  <c r="M27" i="1" s="1"/>
  <c r="Y33" i="1" l="1"/>
  <c r="W13" i="1"/>
  <c r="P13" i="1"/>
  <c r="Q13" i="1" s="1"/>
  <c r="Y13" i="1" s="1"/>
  <c r="W16" i="1"/>
  <c r="P16" i="1"/>
  <c r="Q16" i="1" s="1"/>
  <c r="Y16" i="1" s="1"/>
  <c r="W15" i="1"/>
  <c r="P15" i="1"/>
  <c r="Q15" i="1" s="1"/>
  <c r="Y15" i="1" s="1"/>
  <c r="W14" i="1"/>
  <c r="P14" i="1"/>
  <c r="Q14" i="1" s="1"/>
  <c r="Y14" i="1" s="1"/>
  <c r="W22" i="1"/>
  <c r="P22" i="1"/>
  <c r="Q22" i="1" s="1"/>
  <c r="Y22" i="1" s="1"/>
  <c r="W27" i="1"/>
  <c r="P27" i="1"/>
  <c r="Q27" i="1" s="1"/>
  <c r="Y27" i="1" s="1"/>
  <c r="W24" i="1"/>
  <c r="P24" i="1"/>
  <c r="Q24" i="1" s="1"/>
  <c r="Y24" i="1" s="1"/>
  <c r="W23" i="1"/>
  <c r="P23" i="1"/>
  <c r="Q23" i="1" s="1"/>
  <c r="Y23" i="1" s="1"/>
  <c r="W7" i="1"/>
  <c r="P7" i="1"/>
  <c r="Q7" i="1" s="1"/>
  <c r="Y7" i="1" s="1"/>
  <c r="W21" i="1"/>
  <c r="P21" i="1"/>
  <c r="Q21" i="1" s="1"/>
  <c r="Y21" i="1" s="1"/>
  <c r="W19" i="1"/>
  <c r="P19" i="1"/>
  <c r="Q19" i="1" s="1"/>
  <c r="Y19" i="1" s="1"/>
  <c r="W12" i="1"/>
  <c r="P12" i="1"/>
  <c r="Q12" i="1" s="1"/>
  <c r="Y12" i="1" s="1"/>
  <c r="W34" i="1"/>
  <c r="P34" i="1"/>
  <c r="Q34" i="1" s="1"/>
  <c r="Y34" i="1" s="1"/>
  <c r="W33" i="1"/>
  <c r="M38" i="1"/>
  <c r="W38" i="1" s="1"/>
  <c r="K38" i="1"/>
  <c r="O42" i="1"/>
  <c r="I49" i="1"/>
  <c r="K42" i="1"/>
  <c r="M42" i="1" s="1"/>
  <c r="P42" i="1" s="1"/>
  <c r="Q42" i="1" s="1"/>
  <c r="Y42" i="1" s="1"/>
  <c r="I29" i="1"/>
  <c r="O43" i="1"/>
  <c r="K43" i="1"/>
  <c r="O25" i="1"/>
  <c r="I38" i="1"/>
  <c r="J7" i="1"/>
  <c r="L7" i="1" s="1"/>
  <c r="J9" i="1"/>
  <c r="L9" i="1" s="1"/>
  <c r="J10" i="1"/>
  <c r="L10" i="1" s="1"/>
  <c r="J12" i="1"/>
  <c r="L12" i="1" s="1"/>
  <c r="J13" i="1"/>
  <c r="L13" i="1" s="1"/>
  <c r="N13" i="1" s="1"/>
  <c r="S13" i="1" s="1"/>
  <c r="T13" i="1" s="1"/>
  <c r="J14" i="1"/>
  <c r="L14" i="1" s="1"/>
  <c r="J15" i="1"/>
  <c r="L15" i="1" s="1"/>
  <c r="J16" i="1"/>
  <c r="L16" i="1" s="1"/>
  <c r="N16" i="1" s="1"/>
  <c r="S16" i="1" s="1"/>
  <c r="T16" i="1" s="1"/>
  <c r="J17" i="1"/>
  <c r="L17" i="1" s="1"/>
  <c r="J18" i="1"/>
  <c r="L18" i="1" s="1"/>
  <c r="J19" i="1"/>
  <c r="L19" i="1" s="1"/>
  <c r="N19" i="1" s="1"/>
  <c r="J21" i="1"/>
  <c r="L21" i="1" s="1"/>
  <c r="J22" i="1"/>
  <c r="L22" i="1" s="1"/>
  <c r="J23" i="1"/>
  <c r="L23" i="1" s="1"/>
  <c r="J24" i="1"/>
  <c r="L24" i="1" s="1"/>
  <c r="J25" i="1"/>
  <c r="J30" i="1"/>
  <c r="L30" i="1" s="1"/>
  <c r="J31" i="1"/>
  <c r="L31" i="1" s="1"/>
  <c r="J32" i="1"/>
  <c r="L32" i="1" s="1"/>
  <c r="J33" i="1"/>
  <c r="L33" i="1" s="1"/>
  <c r="N33" i="1" s="1"/>
  <c r="J34" i="1"/>
  <c r="L34" i="1" s="1"/>
  <c r="J35" i="1"/>
  <c r="L35" i="1" s="1"/>
  <c r="J27" i="1"/>
  <c r="L27" i="1" s="1"/>
  <c r="J37" i="1"/>
  <c r="L37" i="1" s="1"/>
  <c r="N37" i="1" s="1"/>
  <c r="Q29" i="1" l="1"/>
  <c r="Q38" i="1"/>
  <c r="P38" i="1"/>
  <c r="P29" i="1"/>
  <c r="W42" i="1"/>
  <c r="O13" i="1"/>
  <c r="O49" i="1"/>
  <c r="S43" i="1"/>
  <c r="T43" i="1" s="1"/>
  <c r="M43" i="1"/>
  <c r="O35" i="1"/>
  <c r="N35" i="1"/>
  <c r="S35" i="1" s="1"/>
  <c r="T35" i="1" s="1"/>
  <c r="S42" i="1"/>
  <c r="T42" i="1" s="1"/>
  <c r="K49" i="1"/>
  <c r="O27" i="1"/>
  <c r="N27" i="1"/>
  <c r="S27" i="1" s="1"/>
  <c r="T27" i="1" s="1"/>
  <c r="K29" i="1"/>
  <c r="M29" i="1" s="1"/>
  <c r="O15" i="1"/>
  <c r="N15" i="1"/>
  <c r="S15" i="1" s="1"/>
  <c r="T15" i="1" s="1"/>
  <c r="O7" i="1"/>
  <c r="N7" i="1"/>
  <c r="S7" i="1" s="1"/>
  <c r="T7" i="1" s="1"/>
  <c r="S33" i="1"/>
  <c r="O16" i="1"/>
  <c r="O18" i="1"/>
  <c r="N18" i="1"/>
  <c r="S18" i="1" s="1"/>
  <c r="T18" i="1" s="1"/>
  <c r="O34" i="1"/>
  <c r="N34" i="1"/>
  <c r="S34" i="1" s="1"/>
  <c r="T34" i="1" s="1"/>
  <c r="O10" i="1"/>
  <c r="N10" i="1"/>
  <c r="S10" i="1" s="1"/>
  <c r="T10" i="1" s="1"/>
  <c r="O24" i="1"/>
  <c r="N24" i="1"/>
  <c r="S24" i="1" s="1"/>
  <c r="T24" i="1" s="1"/>
  <c r="O9" i="1"/>
  <c r="N9" i="1"/>
  <c r="S9" i="1" s="1"/>
  <c r="T9" i="1" s="1"/>
  <c r="O14" i="1"/>
  <c r="N14" i="1"/>
  <c r="S14" i="1" s="1"/>
  <c r="T14" i="1" s="1"/>
  <c r="O21" i="1"/>
  <c r="N21" i="1"/>
  <c r="S21" i="1" s="1"/>
  <c r="T21" i="1" s="1"/>
  <c r="O12" i="1"/>
  <c r="N12" i="1"/>
  <c r="S12" i="1" s="1"/>
  <c r="T12" i="1" s="1"/>
  <c r="O17" i="1"/>
  <c r="N17" i="1"/>
  <c r="S17" i="1" s="1"/>
  <c r="T17" i="1" s="1"/>
  <c r="O23" i="1"/>
  <c r="N23" i="1"/>
  <c r="S23" i="1" s="1"/>
  <c r="T23" i="1" s="1"/>
  <c r="O22" i="1"/>
  <c r="N22" i="1"/>
  <c r="S22" i="1" s="1"/>
  <c r="T22" i="1" s="1"/>
  <c r="L29" i="1"/>
  <c r="O33" i="1"/>
  <c r="O19" i="1"/>
  <c r="S19" i="1"/>
  <c r="T19" i="1" s="1"/>
  <c r="J29" i="1"/>
  <c r="G49" i="1"/>
  <c r="G38" i="1"/>
  <c r="G29" i="1"/>
  <c r="Y38" i="1" l="1"/>
  <c r="Q58" i="1"/>
  <c r="W43" i="1"/>
  <c r="P43" i="1"/>
  <c r="Q43" i="1" s="1"/>
  <c r="Y43" i="1" s="1"/>
  <c r="M49" i="1"/>
  <c r="M58" i="1" s="1"/>
  <c r="S49" i="1"/>
  <c r="T49" i="1"/>
  <c r="O38" i="1"/>
  <c r="N29" i="1"/>
  <c r="S38" i="1"/>
  <c r="T33" i="1"/>
  <c r="T38" i="1" s="1"/>
  <c r="N38" i="1"/>
  <c r="H29" i="1"/>
  <c r="F49" i="1"/>
  <c r="H38" i="1"/>
  <c r="J38" i="1" s="1"/>
  <c r="L38" i="1" s="1"/>
  <c r="F38" i="1"/>
  <c r="F29" i="1"/>
  <c r="X29" i="1" l="1"/>
  <c r="W49" i="1"/>
  <c r="P49" i="1"/>
  <c r="Q49" i="1" s="1"/>
  <c r="R29" i="1"/>
  <c r="S29" i="1"/>
  <c r="S58" i="1" s="1"/>
  <c r="T29" i="1"/>
  <c r="J56" i="1"/>
  <c r="J42" i="1"/>
  <c r="J43" i="1"/>
  <c r="J49" i="1"/>
  <c r="J55" i="1"/>
  <c r="Y49" i="1" l="1"/>
  <c r="X58" i="1"/>
  <c r="Y29" i="1"/>
  <c r="R58" i="1"/>
  <c r="W58" i="1" s="1"/>
  <c r="V29" i="1"/>
  <c r="P58" i="1"/>
  <c r="W29" i="1"/>
  <c r="T58" i="1"/>
  <c r="G30" i="1"/>
  <c r="G31" i="1"/>
  <c r="G32" i="1"/>
  <c r="Y58" i="1" l="1"/>
  <c r="V58" i="1"/>
  <c r="O32" i="1"/>
  <c r="I32" i="1"/>
  <c r="O31" i="1"/>
  <c r="I31" i="1"/>
  <c r="O30" i="1"/>
  <c r="I30" i="1"/>
  <c r="O29" i="1"/>
</calcChain>
</file>

<file path=xl/sharedStrings.xml><?xml version="1.0" encoding="utf-8"?>
<sst xmlns="http://schemas.openxmlformats.org/spreadsheetml/2006/main" count="331" uniqueCount="178">
  <si>
    <t>Omschrijving:</t>
  </si>
  <si>
    <t>Adres:</t>
  </si>
  <si>
    <t>Bouwaard:</t>
  </si>
  <si>
    <t>Bestemming</t>
  </si>
  <si>
    <t xml:space="preserve">Gemeentelijk Bezit: </t>
  </si>
  <si>
    <t>steen/hard</t>
  </si>
  <si>
    <t>Pompgemaalsystemen</t>
  </si>
  <si>
    <t>brandweer</t>
  </si>
  <si>
    <t>gem diensten</t>
  </si>
  <si>
    <t>Meipoortwl 1</t>
  </si>
  <si>
    <t>steen/ruberoid</t>
  </si>
  <si>
    <t>jeugd/vereniging</t>
  </si>
  <si>
    <t>Burg. Nahuyssingel 2a</t>
  </si>
  <si>
    <t>centrum muziekkorps Harmonie SLOOPWAARDE</t>
  </si>
  <si>
    <t>Breedestraat 39</t>
  </si>
  <si>
    <t>sporthal Beumerskamp</t>
  </si>
  <si>
    <t>Meipoortwal 3</t>
  </si>
  <si>
    <t>waterzuivering</t>
  </si>
  <si>
    <t>Parallelweg 2-a</t>
  </si>
  <si>
    <t>rioolpersgemaal</t>
  </si>
  <si>
    <t>Looiersweg 1</t>
  </si>
  <si>
    <t>gymnastieklokaal</t>
  </si>
  <si>
    <t>Wilgenstraat 2</t>
  </si>
  <si>
    <t>gymlokaal</t>
  </si>
  <si>
    <t>Armgardstraat 2-A</t>
  </si>
  <si>
    <t>kantoor</t>
  </si>
  <si>
    <t>Nieuwstraat 2 en 4</t>
  </si>
  <si>
    <t>raadhuis</t>
  </si>
  <si>
    <t>Gastelaarsstr 2</t>
  </si>
  <si>
    <t>parkeerautomaten</t>
  </si>
  <si>
    <t>binnenstad diversen</t>
  </si>
  <si>
    <t>jongerencentrum 0313</t>
  </si>
  <si>
    <t>De Linie 2</t>
  </si>
  <si>
    <t>De Linie 4</t>
  </si>
  <si>
    <t>onderdak voor div. welzijnsinstellingen</t>
  </si>
  <si>
    <t xml:space="preserve">Totaal Gemeentelijk Bezit: </t>
  </si>
  <si>
    <t xml:space="preserve">Scholen Primair &amp; Secundair Onderwijs: </t>
  </si>
  <si>
    <t>school beveiligd</t>
  </si>
  <si>
    <t>10 klas openb. basisschool "de Horizon Stad"</t>
  </si>
  <si>
    <t>Forsythiastraat 1</t>
  </si>
  <si>
    <t>9 klas bijzondere school "Anne Frank"</t>
  </si>
  <si>
    <t>Zanderskamp 93/95</t>
  </si>
  <si>
    <t>Begoniastraat 42 B</t>
  </si>
  <si>
    <t>nieuw object</t>
  </si>
  <si>
    <t>adres</t>
  </si>
  <si>
    <t>bestemming</t>
  </si>
  <si>
    <t xml:space="preserve">Totaal Scholen Primair &amp; Secundair Onderwijs: </t>
  </si>
  <si>
    <t>Gemeentelijk Bezit: (All-Risks)</t>
  </si>
  <si>
    <t>brons</t>
  </si>
  <si>
    <t xml:space="preserve">buitenobj - AR </t>
  </si>
  <si>
    <t>a/d oostz vd Martinikerk</t>
  </si>
  <si>
    <t>vredesmonument J Wolkers</t>
  </si>
  <si>
    <t>buitenobject</t>
  </si>
  <si>
    <t>ijsselkade thv trappen</t>
  </si>
  <si>
    <t>Totaal Gemeentelijk Bezit: (All-Risks)</t>
  </si>
  <si>
    <t>EINDTOTAAL:</t>
  </si>
  <si>
    <t>kerktoren</t>
  </si>
  <si>
    <t>Markt ong</t>
  </si>
  <si>
    <t>passantenhaven</t>
  </si>
  <si>
    <t>sporthal</t>
  </si>
  <si>
    <t>excl</t>
  </si>
  <si>
    <t>incl</t>
  </si>
  <si>
    <t>in- excl btw</t>
  </si>
  <si>
    <t>stadswerf werkplaatsen (tractie)  + kantoor</t>
  </si>
  <si>
    <t>afvoer gemengd stelsel van de Ooi, 2 pompen</t>
  </si>
  <si>
    <t>jongerencentrum 0313,incl skatebaan,pannenkooi en traplift</t>
  </si>
  <si>
    <t>Molengaarde 56 by</t>
  </si>
  <si>
    <t>Barend Ubbinkweg 1</t>
  </si>
  <si>
    <t>hout/trespa</t>
  </si>
  <si>
    <t>gebouwen  waarde 31-12-2014 exclusief index</t>
  </si>
  <si>
    <t>inventaris waarde 31-12-2014 exclusief index</t>
  </si>
  <si>
    <t>Opruimingskosten</t>
  </si>
  <si>
    <t>Subtotaal</t>
  </si>
  <si>
    <t>Premie 0,4738 o/oo</t>
  </si>
  <si>
    <t>verbouwd</t>
  </si>
  <si>
    <t>parkeerautomaten met paal en lichtbak</t>
  </si>
  <si>
    <t>nwe meters</t>
  </si>
  <si>
    <t>opmerkingen bij mutaties</t>
  </si>
  <si>
    <t>ijsselkade ballustrade</t>
  </si>
  <si>
    <t>cortentstaal +verlichting</t>
  </si>
  <si>
    <t>ballustrade met doesburgs volkslied en tijdslijn, inclusief verlichting</t>
  </si>
  <si>
    <t>nieuwe ballustrade</t>
  </si>
  <si>
    <t>gebouwen waarde 2015 conform taxatie 10-2014 index 121</t>
  </si>
  <si>
    <t>Inventaris waarde 2015 conform taxatie 10-2014 index 115,7</t>
  </si>
  <si>
    <t>Vischmarkt</t>
  </si>
  <si>
    <t>maquette van Doesburg</t>
  </si>
  <si>
    <t>brandweerkazerne Maurits incl politiekantoor, kantine e.d.</t>
  </si>
  <si>
    <t>streekarchief/kantoren, gemeentelijk monument</t>
  </si>
  <si>
    <t>glas en kerkklok onder glasplaat in grondbak</t>
  </si>
  <si>
    <t>kunstwerk Passi van Roberto Barni, 3 mannen op grondplaat</t>
  </si>
  <si>
    <t>Martinitoren met verlichting en carillon ( premieberekening volgens de "Vork-clausule"*) rijks monument</t>
  </si>
  <si>
    <t xml:space="preserve">gebouwen waarde 2016 exclusief index </t>
  </si>
  <si>
    <t>gebouwen waarde 2016 inclusief index 123,1</t>
  </si>
  <si>
    <t>Inventaris waarde 2016 exclusief index</t>
  </si>
  <si>
    <t>Inventaris waarde 2016 inclusief index 116,6</t>
  </si>
  <si>
    <t>Totaal per 2016</t>
  </si>
  <si>
    <t>Totaal per 2016 inclusief index</t>
  </si>
  <si>
    <t>totaal opstal en inventaris</t>
  </si>
  <si>
    <t>opstal 01-01-2018 inclusief index 125,8</t>
  </si>
  <si>
    <t>inventaris 01-01-2018 inclusief index 118.3</t>
  </si>
  <si>
    <t>kunstwerk Cardo</t>
  </si>
  <si>
    <t xml:space="preserve">bingerdenseweg, nabij sluis </t>
  </si>
  <si>
    <t>kunststof met staal</t>
  </si>
  <si>
    <t>openbaar toilet</t>
  </si>
  <si>
    <t>openbaar toilet 2x3,5 m</t>
  </si>
  <si>
    <t>Paardenmarkt, kruidentuin</t>
  </si>
  <si>
    <t>Paard, van Rini Dado</t>
  </si>
  <si>
    <t>steigers, drijvende unit, betaalautomaat,electrozuilen,reddingsstations, trechter</t>
  </si>
  <si>
    <t xml:space="preserve"> </t>
  </si>
  <si>
    <t>hoek Markt en Kerkstraat</t>
  </si>
  <si>
    <t>steen/metaal</t>
  </si>
  <si>
    <t>Onafhankelijkheidsmonument</t>
  </si>
  <si>
    <t>opstal 01-01-2019 inclusief index  141,4</t>
  </si>
  <si>
    <t>inventaris 01-01-2019 inclusief index 123,6</t>
  </si>
  <si>
    <t>voormalige school beveiligd</t>
  </si>
  <si>
    <t>opstal 01-01-2020 inclusief index  105</t>
  </si>
  <si>
    <t>inventaris 01-01-2020 inclusief index 101,6</t>
  </si>
  <si>
    <t>Totaal 01-01-2020</t>
  </si>
  <si>
    <t>opruimingskosten</t>
  </si>
  <si>
    <t>Parallelweg, Den Helder 3</t>
  </si>
  <si>
    <t>pompgemaalsysteem</t>
  </si>
  <si>
    <t>koepoortwal 19, parkeerterrein de Bleek</t>
  </si>
  <si>
    <t>tennisvelden</t>
  </si>
  <si>
    <t>Looiersweg 2</t>
  </si>
  <si>
    <t>opruimingskosten op premier risgue basis</t>
  </si>
  <si>
    <t>Het kantine meubilair sport/vereniging inrichting op de 1e verdieping</t>
  </si>
  <si>
    <t>de gekentekende voertuigen</t>
  </si>
  <si>
    <t>nieuw</t>
  </si>
  <si>
    <t>Poortgebouw begraafplaats incl. 'het baarhuisje"</t>
  </si>
  <si>
    <t>Toegangsgebouw met opbaarruimte/rijksmonument en bergruimte</t>
  </si>
  <si>
    <t>Buitenschoolse opvang en peuterspeelzaal</t>
  </si>
  <si>
    <t>de buitenschoolse opvang (BSO) en peuterspeelzaal</t>
  </si>
  <si>
    <t>de peuterspeelzaal en buitenschoolse opvang</t>
  </si>
  <si>
    <t>overige opmerkingen</t>
  </si>
  <si>
    <t>20 klas scholencomplex Beinum</t>
  </si>
  <si>
    <t>inventaris exclusief:</t>
  </si>
  <si>
    <t>incl. klokkenstoelen    1.575.000,00 
Uurwerk incl. wijzerplaten 155.000,00
Haan op nok  25.000,00</t>
  </si>
  <si>
    <t>sloopwaarde=opr kst</t>
  </si>
  <si>
    <t>herbouwwaarde is 575.000,00 maar verz. Tegen sloopwaarde</t>
  </si>
  <si>
    <t>stadskantoor</t>
  </si>
  <si>
    <t>Leigraafseweg 8</t>
  </si>
  <si>
    <t>staat groot deel leeg sinds 20-02-23, burgerzaken zit er nog wel</t>
  </si>
  <si>
    <t xml:space="preserve">was 9 klas bijzondere school " De Horizon"Ooi nu in gebruik voor opvang oekrainers </t>
  </si>
  <si>
    <t>stadskantoor in gebruik per 20-02-23</t>
  </si>
  <si>
    <t>stadhuis/rijks monument deels nog in gebruik per 20-02-23</t>
  </si>
  <si>
    <t>zit antikraak in, zal worden gesloopt tzt.</t>
  </si>
  <si>
    <t>Opstal 01-01-2021 Troostwijk index 108</t>
  </si>
  <si>
    <t>Inventaris 01-01-2021 Troostwijk index 103,5</t>
  </si>
  <si>
    <t>2021 opstal en inventaris</t>
  </si>
  <si>
    <t>2023 opstal en inventaris</t>
  </si>
  <si>
    <t>Opstal 01-01-2023 Troostwijk index 130</t>
  </si>
  <si>
    <t>Inventaris 01-01-2023 Troostwijk index 126,4</t>
  </si>
  <si>
    <t>per abuis stonden deze op nul</t>
  </si>
  <si>
    <t>staat binnenkort te koop</t>
  </si>
  <si>
    <t>antikraak bewoning, voormalig gymlokaal</t>
  </si>
  <si>
    <t>Opstal 01-01-2024 Troostwijk index 130</t>
  </si>
  <si>
    <t>2024 opstal en inventaris</t>
  </si>
  <si>
    <t>Inventaris 01-01-2024 Troostwijk index 126,8</t>
  </si>
  <si>
    <t>Beveliging</t>
  </si>
  <si>
    <t>Zonnepanelen</t>
  </si>
  <si>
    <t>Leegstand</t>
  </si>
  <si>
    <t>Asbest</t>
  </si>
  <si>
    <t>soort</t>
  </si>
  <si>
    <t>J/N</t>
  </si>
  <si>
    <t>Bijlage C2.5 Gemeente Doesburg</t>
  </si>
  <si>
    <t>Per 01-01-2024</t>
  </si>
  <si>
    <t>Halve Maanweg 3</t>
  </si>
  <si>
    <t>Parallelweg Den Helder 2</t>
  </si>
  <si>
    <t>IBV</t>
  </si>
  <si>
    <t>Nee</t>
  </si>
  <si>
    <t>Nvt</t>
  </si>
  <si>
    <t>BMI/IBV</t>
  </si>
  <si>
    <t>Ja</t>
  </si>
  <si>
    <t>nvt</t>
  </si>
  <si>
    <t>NB</t>
  </si>
  <si>
    <t>Gedeelte</t>
  </si>
  <si>
    <t>gehuurd pand, wordt medio 2024 afgestoten</t>
  </si>
  <si>
    <t>BMI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</si>
</sst>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&quot;€&quot;\ #,##0.00"/>
  </numFmts>
  <fonts count="35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color indexed="8"/>
      <name val="Univers (W1)"/>
    </font>
    <font>
      <b/>
      <i/>
      <sz val="10"/>
      <color indexed="8"/>
      <name val="Univers (W1)"/>
    </font>
    <font>
      <sz val="10"/>
      <color indexed="8"/>
      <name val="Univers (W1)"/>
    </font>
    <font>
      <sz val="18"/>
      <color indexed="8"/>
      <name val="Univers (W1)"/>
    </font>
    <font>
      <b/>
      <i/>
      <sz val="8"/>
      <color indexed="8"/>
      <name val="Univers (W1)"/>
    </font>
    <font>
      <b/>
      <i/>
      <sz val="8"/>
      <color indexed="8"/>
      <name val="Univers (W1)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indexed="18"/>
      <name val="Cambria"/>
      <family val="1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6"/>
      <name val="Calibri"/>
      <family val="2"/>
    </font>
    <font>
      <sz val="11"/>
      <color indexed="18"/>
      <name val="Calibri"/>
      <family val="2"/>
    </font>
    <font>
      <b/>
      <sz val="11"/>
      <color indexed="8"/>
      <name val="Calibri"/>
      <family val="2"/>
    </font>
    <font>
      <b/>
      <sz val="11"/>
      <color indexed="13"/>
      <name val="Calibri"/>
      <family val="2"/>
    </font>
    <font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 Light"/>
      <family val="2"/>
    </font>
    <font>
      <sz val="10"/>
      <color theme="0" tint="-0.34998626667073579"/>
      <name val="Arial"/>
      <family val="2"/>
    </font>
    <font>
      <sz val="10"/>
      <color theme="0" tint="-0.249977111117893"/>
      <name val="Arial"/>
      <family val="2"/>
    </font>
    <font>
      <b/>
      <sz val="10"/>
      <name val="MS Sans Serif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21"/>
      </patternFill>
    </fill>
    <fill>
      <patternFill patternType="solid">
        <fgColor indexed="20"/>
      </patternFill>
    </fill>
    <fill>
      <patternFill patternType="solid">
        <fgColor indexed="15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23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2" borderId="0" applyNumberFormat="0" applyBorder="0" applyAlignment="0" applyProtection="0"/>
    <xf numFmtId="0" fontId="27" fillId="4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5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10" borderId="0" applyNumberFormat="0" applyBorder="0" applyAlignment="0" applyProtection="0"/>
    <xf numFmtId="0" fontId="21" fillId="2" borderId="1" applyNumberFormat="0" applyAlignment="0" applyProtection="0"/>
    <xf numFmtId="0" fontId="23" fillId="11" borderId="2" applyNumberFormat="0" applyAlignment="0" applyProtection="0"/>
    <xf numFmtId="0" fontId="22" fillId="0" borderId="3" applyNumberFormat="0" applyFill="0" applyAlignment="0" applyProtection="0"/>
    <xf numFmtId="0" fontId="16" fillId="2" borderId="0" applyNumberFormat="0" applyBorder="0" applyAlignment="0" applyProtection="0"/>
    <xf numFmtId="0" fontId="19" fillId="2" borderId="1" applyNumberFormat="0" applyAlignment="0" applyProtection="0"/>
    <xf numFmtId="164" fontId="2" fillId="0" borderId="0" applyFon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1" fillId="3" borderId="7" applyNumberFormat="0" applyFont="0" applyAlignment="0" applyProtection="0"/>
    <xf numFmtId="0" fontId="17" fillId="2" borderId="0" applyNumberFormat="0" applyBorder="0" applyAlignment="0" applyProtection="0"/>
    <xf numFmtId="0" fontId="12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20" fillId="2" borderId="9" applyNumberFormat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96">
    <xf numFmtId="0" fontId="0" fillId="0" borderId="0" xfId="0"/>
    <xf numFmtId="0" fontId="3" fillId="0" borderId="10" xfId="0" applyFont="1" applyBorder="1" applyProtection="1"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1" fontId="3" fillId="0" borderId="10" xfId="3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left"/>
      <protection locked="0"/>
    </xf>
    <xf numFmtId="164" fontId="8" fillId="0" borderId="10" xfId="30" applyFont="1" applyFill="1" applyBorder="1" applyAlignment="1"/>
    <xf numFmtId="164" fontId="8" fillId="0" borderId="10" xfId="30" applyFont="1" applyFill="1" applyBorder="1" applyAlignment="1">
      <alignment vertical="top" wrapText="1"/>
    </xf>
    <xf numFmtId="164" fontId="8" fillId="0" borderId="10" xfId="30" applyFont="1" applyFill="1" applyBorder="1" applyAlignment="1">
      <alignment horizontal="center"/>
    </xf>
    <xf numFmtId="164" fontId="7" fillId="0" borderId="10" xfId="30" applyFont="1" applyFill="1" applyBorder="1" applyAlignment="1" applyProtection="1">
      <alignment horizontal="left"/>
      <protection locked="0"/>
    </xf>
    <xf numFmtId="44" fontId="0" fillId="0" borderId="0" xfId="0" applyNumberFormat="1"/>
    <xf numFmtId="164" fontId="7" fillId="0" borderId="10" xfId="30" applyFont="1" applyFill="1" applyBorder="1" applyAlignment="1">
      <alignment vertical="top" wrapText="1"/>
    </xf>
    <xf numFmtId="4" fontId="3" fillId="0" borderId="10" xfId="0" applyNumberFormat="1" applyFont="1" applyBorder="1" applyAlignment="1">
      <alignment vertical="top" wrapText="1"/>
    </xf>
    <xf numFmtId="0" fontId="9" fillId="0" borderId="10" xfId="0" applyFont="1" applyBorder="1" applyAlignment="1" applyProtection="1">
      <alignment vertical="top" wrapText="1"/>
      <protection locked="0"/>
    </xf>
    <xf numFmtId="44" fontId="28" fillId="0" borderId="0" xfId="0" applyNumberFormat="1" applyFont="1"/>
    <xf numFmtId="44" fontId="7" fillId="0" borderId="14" xfId="30" applyNumberFormat="1" applyFont="1" applyFill="1" applyBorder="1" applyAlignment="1">
      <alignment horizontal="center" vertical="top" wrapText="1"/>
    </xf>
    <xf numFmtId="4" fontId="0" fillId="0" borderId="0" xfId="0" applyNumberFormat="1"/>
    <xf numFmtId="0" fontId="0" fillId="0" borderId="16" xfId="0" applyBorder="1"/>
    <xf numFmtId="1" fontId="3" fillId="0" borderId="16" xfId="3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Protection="1">
      <protection locked="0"/>
    </xf>
    <xf numFmtId="0" fontId="3" fillId="0" borderId="16" xfId="0" applyFont="1" applyBorder="1" applyAlignment="1" applyProtection="1">
      <alignment vertical="top" wrapText="1"/>
      <protection locked="0"/>
    </xf>
    <xf numFmtId="44" fontId="29" fillId="0" borderId="0" xfId="0" applyNumberFormat="1" applyFont="1"/>
    <xf numFmtId="0" fontId="29" fillId="0" borderId="0" xfId="0" applyFont="1"/>
    <xf numFmtId="8" fontId="0" fillId="0" borderId="0" xfId="0" applyNumberFormat="1"/>
    <xf numFmtId="44" fontId="7" fillId="0" borderId="0" xfId="30" applyNumberFormat="1" applyFont="1" applyFill="1" applyBorder="1" applyAlignment="1">
      <alignment horizontal="center" vertical="top" wrapText="1"/>
    </xf>
    <xf numFmtId="1" fontId="7" fillId="0" borderId="13" xfId="30" applyNumberFormat="1" applyFont="1" applyFill="1" applyBorder="1" applyAlignment="1">
      <alignment vertical="top" wrapText="1"/>
    </xf>
    <xf numFmtId="1" fontId="8" fillId="0" borderId="14" xfId="30" applyNumberFormat="1" applyFont="1" applyFill="1" applyBorder="1" applyAlignment="1"/>
    <xf numFmtId="1" fontId="8" fillId="0" borderId="14" xfId="30" applyNumberFormat="1" applyFont="1" applyFill="1" applyBorder="1" applyAlignment="1">
      <alignment vertical="top" wrapText="1"/>
    </xf>
    <xf numFmtId="1" fontId="8" fillId="0" borderId="15" xfId="30" applyNumberFormat="1" applyFont="1" applyFill="1" applyBorder="1" applyAlignment="1">
      <alignment vertical="top" wrapText="1"/>
    </xf>
    <xf numFmtId="164" fontId="8" fillId="0" borderId="10" xfId="30" applyFont="1" applyFill="1" applyBorder="1" applyAlignment="1" applyProtection="1">
      <alignment horizontal="left"/>
      <protection locked="0"/>
    </xf>
    <xf numFmtId="1" fontId="3" fillId="0" borderId="10" xfId="30" applyNumberFormat="1" applyFont="1" applyFill="1" applyBorder="1" applyAlignment="1" applyProtection="1">
      <protection locked="0"/>
    </xf>
    <xf numFmtId="164" fontId="3" fillId="0" borderId="10" xfId="30" applyFont="1" applyFill="1" applyBorder="1" applyAlignment="1" applyProtection="1">
      <protection locked="0"/>
    </xf>
    <xf numFmtId="1" fontId="3" fillId="0" borderId="10" xfId="30" applyNumberFormat="1" applyFont="1" applyFill="1" applyBorder="1" applyAlignment="1" applyProtection="1">
      <alignment vertical="top" wrapText="1"/>
      <protection locked="0"/>
    </xf>
    <xf numFmtId="4" fontId="3" fillId="0" borderId="10" xfId="0" applyNumberFormat="1" applyFont="1" applyBorder="1" applyAlignment="1" applyProtection="1">
      <alignment vertical="top" wrapText="1"/>
      <protection locked="0"/>
    </xf>
    <xf numFmtId="164" fontId="7" fillId="0" borderId="10" xfId="30" applyFont="1" applyFill="1" applyBorder="1" applyAlignment="1"/>
    <xf numFmtId="164" fontId="7" fillId="0" borderId="10" xfId="30" applyFont="1" applyFill="1" applyBorder="1" applyAlignment="1">
      <alignment horizontal="center"/>
    </xf>
    <xf numFmtId="0" fontId="3" fillId="0" borderId="10" xfId="0" applyFont="1" applyBorder="1"/>
    <xf numFmtId="1" fontId="3" fillId="0" borderId="10" xfId="30" applyNumberFormat="1" applyFont="1" applyFill="1" applyBorder="1" applyAlignment="1">
      <alignment horizontal="center"/>
    </xf>
    <xf numFmtId="0" fontId="9" fillId="0" borderId="10" xfId="0" applyFont="1" applyBorder="1" applyProtection="1">
      <protection locked="0"/>
    </xf>
    <xf numFmtId="4" fontId="3" fillId="0" borderId="10" xfId="0" applyNumberFormat="1" applyFont="1" applyBorder="1" applyAlignment="1">
      <alignment horizontal="center"/>
    </xf>
    <xf numFmtId="0" fontId="0" fillId="0" borderId="10" xfId="0" applyBorder="1"/>
    <xf numFmtId="165" fontId="28" fillId="0" borderId="0" xfId="0" applyNumberFormat="1" applyFont="1"/>
    <xf numFmtId="164" fontId="7" fillId="0" borderId="0" xfId="30" applyFont="1" applyFill="1" applyBorder="1" applyAlignment="1"/>
    <xf numFmtId="164" fontId="7" fillId="0" borderId="0" xfId="30" applyFont="1" applyFill="1" applyBorder="1" applyAlignment="1">
      <alignment vertical="top" wrapText="1"/>
    </xf>
    <xf numFmtId="164" fontId="7" fillId="0" borderId="0" xfId="30" applyFont="1" applyFill="1" applyBorder="1" applyAlignment="1">
      <alignment horizontal="center"/>
    </xf>
    <xf numFmtId="0" fontId="28" fillId="0" borderId="0" xfId="0" applyFont="1"/>
    <xf numFmtId="44" fontId="0" fillId="0" borderId="19" xfId="0" applyNumberFormat="1" applyBorder="1"/>
    <xf numFmtId="44" fontId="29" fillId="0" borderId="19" xfId="0" applyNumberFormat="1" applyFont="1" applyBorder="1"/>
    <xf numFmtId="0" fontId="0" fillId="0" borderId="19" xfId="0" applyBorder="1"/>
    <xf numFmtId="0" fontId="2" fillId="0" borderId="0" xfId="0" applyFont="1"/>
    <xf numFmtId="0" fontId="31" fillId="0" borderId="0" xfId="0" applyFont="1"/>
    <xf numFmtId="0" fontId="3" fillId="0" borderId="14" xfId="0" applyFont="1" applyBorder="1" applyProtection="1">
      <protection locked="0"/>
    </xf>
    <xf numFmtId="44" fontId="2" fillId="0" borderId="0" xfId="0" applyNumberFormat="1" applyFont="1"/>
    <xf numFmtId="4" fontId="0" fillId="0" borderId="19" xfId="0" applyNumberFormat="1" applyBorder="1"/>
    <xf numFmtId="4" fontId="2" fillId="0" borderId="0" xfId="0" applyNumberFormat="1" applyFont="1"/>
    <xf numFmtId="4" fontId="28" fillId="0" borderId="0" xfId="0" applyNumberFormat="1" applyFont="1"/>
    <xf numFmtId="4" fontId="32" fillId="0" borderId="19" xfId="0" applyNumberFormat="1" applyFont="1" applyBorder="1"/>
    <xf numFmtId="0" fontId="32" fillId="0" borderId="19" xfId="0" applyFont="1" applyBorder="1"/>
    <xf numFmtId="4" fontId="32" fillId="0" borderId="0" xfId="0" applyNumberFormat="1" applyFont="1"/>
    <xf numFmtId="0" fontId="32" fillId="0" borderId="0" xfId="0" applyFont="1"/>
    <xf numFmtId="4" fontId="2" fillId="0" borderId="19" xfId="0" applyNumberFormat="1" applyFont="1" applyBorder="1"/>
    <xf numFmtId="0" fontId="2" fillId="0" borderId="19" xfId="0" applyFont="1" applyBorder="1"/>
    <xf numFmtId="43" fontId="0" fillId="0" borderId="0" xfId="0" applyNumberFormat="1"/>
    <xf numFmtId="43" fontId="28" fillId="0" borderId="0" xfId="0" applyNumberFormat="1" applyFont="1"/>
    <xf numFmtId="0" fontId="30" fillId="0" borderId="16" xfId="20" applyFont="1" applyFill="1" applyBorder="1"/>
    <xf numFmtId="0" fontId="2" fillId="0" borderId="16" xfId="0" applyFont="1" applyBorder="1"/>
    <xf numFmtId="0" fontId="3" fillId="0" borderId="16" xfId="0" applyFont="1" applyBorder="1" applyAlignment="1" applyProtection="1">
      <alignment horizontal="left"/>
      <protection locked="0"/>
    </xf>
    <xf numFmtId="4" fontId="0" fillId="0" borderId="20" xfId="0" applyNumberFormat="1" applyBorder="1"/>
    <xf numFmtId="0" fontId="0" fillId="0" borderId="21" xfId="0" applyBorder="1"/>
    <xf numFmtId="4" fontId="0" fillId="0" borderId="16" xfId="0" applyNumberFormat="1" applyBorder="1"/>
    <xf numFmtId="4" fontId="28" fillId="0" borderId="16" xfId="0" applyNumberFormat="1" applyFont="1" applyBorder="1"/>
    <xf numFmtId="4" fontId="2" fillId="0" borderId="16" xfId="0" applyNumberFormat="1" applyFont="1" applyBorder="1"/>
    <xf numFmtId="43" fontId="0" fillId="0" borderId="16" xfId="0" applyNumberFormat="1" applyBorder="1"/>
    <xf numFmtId="43" fontId="28" fillId="0" borderId="16" xfId="0" applyNumberFormat="1" applyFont="1" applyBorder="1"/>
    <xf numFmtId="0" fontId="0" fillId="0" borderId="16" xfId="0" applyBorder="1" applyAlignment="1">
      <alignment wrapText="1"/>
    </xf>
    <xf numFmtId="2" fontId="3" fillId="0" borderId="0" xfId="0" applyNumberFormat="1" applyFont="1" applyAlignment="1">
      <alignment horizontal="center"/>
    </xf>
    <xf numFmtId="2" fontId="4" fillId="0" borderId="0" xfId="30" applyNumberFormat="1" applyFont="1" applyFill="1" applyAlignment="1">
      <alignment horizontal="left"/>
    </xf>
    <xf numFmtId="2" fontId="5" fillId="0" borderId="0" xfId="30" applyNumberFormat="1" applyFont="1" applyFill="1" applyAlignment="1"/>
    <xf numFmtId="2" fontId="3" fillId="0" borderId="0" xfId="0" applyNumberFormat="1" applyFont="1" applyAlignment="1">
      <alignment vertical="top" wrapText="1"/>
    </xf>
    <xf numFmtId="2" fontId="6" fillId="0" borderId="0" xfId="30" applyNumberFormat="1" applyFont="1" applyFill="1" applyAlignment="1"/>
    <xf numFmtId="1" fontId="7" fillId="0" borderId="11" xfId="30" applyNumberFormat="1" applyFont="1" applyFill="1" applyBorder="1" applyAlignment="1">
      <alignment vertical="top" wrapText="1"/>
    </xf>
    <xf numFmtId="1" fontId="8" fillId="0" borderId="12" xfId="30" applyNumberFormat="1" applyFont="1" applyFill="1" applyBorder="1" applyAlignment="1"/>
    <xf numFmtId="1" fontId="8" fillId="0" borderId="12" xfId="30" applyNumberFormat="1" applyFont="1" applyFill="1" applyBorder="1" applyAlignment="1">
      <alignment vertical="top" wrapText="1"/>
    </xf>
    <xf numFmtId="1" fontId="7" fillId="0" borderId="12" xfId="30" applyNumberFormat="1" applyFont="1" applyFill="1" applyBorder="1" applyAlignment="1">
      <alignment vertical="top" wrapText="1"/>
    </xf>
    <xf numFmtId="44" fontId="7" fillId="0" borderId="16" xfId="30" applyNumberFormat="1" applyFont="1" applyFill="1" applyBorder="1" applyAlignment="1">
      <alignment horizontal="center" vertical="top" wrapText="1"/>
    </xf>
    <xf numFmtId="44" fontId="7" fillId="0" borderId="18" xfId="30" applyNumberFormat="1" applyFont="1" applyFill="1" applyBorder="1" applyAlignment="1">
      <alignment horizontal="center" vertical="top" wrapText="1"/>
    </xf>
    <xf numFmtId="0" fontId="28" fillId="0" borderId="18" xfId="0" applyFont="1" applyBorder="1" applyAlignment="1">
      <alignment horizontal="center" vertical="top" wrapText="1"/>
    </xf>
    <xf numFmtId="44" fontId="7" fillId="0" borderId="17" xfId="30" applyNumberFormat="1" applyFont="1" applyFill="1" applyBorder="1" applyAlignment="1">
      <alignment horizontal="center" vertical="top" wrapText="1"/>
    </xf>
    <xf numFmtId="1" fontId="3" fillId="0" borderId="10" xfId="30" applyNumberFormat="1" applyFont="1" applyFill="1" applyBorder="1" applyAlignment="1" applyProtection="1">
      <alignment horizontal="center" vertical="top"/>
      <protection locked="0"/>
    </xf>
    <xf numFmtId="44" fontId="28" fillId="0" borderId="0" xfId="0" applyNumberFormat="1" applyFont="1" applyAlignment="1">
      <alignment vertical="top"/>
    </xf>
    <xf numFmtId="4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" fontId="28" fillId="0" borderId="0" xfId="0" applyNumberFormat="1" applyFont="1" applyAlignment="1">
      <alignment vertical="top"/>
    </xf>
    <xf numFmtId="4" fontId="33" fillId="0" borderId="0" xfId="0" applyNumberFormat="1" applyFont="1" applyAlignment="1">
      <alignment vertical="top"/>
    </xf>
    <xf numFmtId="4" fontId="28" fillId="0" borderId="16" xfId="0" applyNumberFormat="1" applyFont="1" applyBorder="1" applyAlignment="1">
      <alignment vertical="top"/>
    </xf>
    <xf numFmtId="0" fontId="3" fillId="0" borderId="10" xfId="0" applyFont="1" applyBorder="1" applyAlignment="1" applyProtection="1">
      <alignment vertical="top"/>
      <protection locked="0"/>
    </xf>
    <xf numFmtId="0" fontId="34" fillId="0" borderId="16" xfId="0" applyFont="1" applyFill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mma" xfId="30" builtinId="3"/>
    <cellStyle name="Kop 1" xfId="31" builtinId="16" customBuiltin="1"/>
    <cellStyle name="Kop 2" xfId="32" builtinId="17" customBuiltin="1"/>
    <cellStyle name="Kop 3" xfId="33" builtinId="18" customBuiltin="1"/>
    <cellStyle name="Kop 4" xfId="34" builtinId="19" customBuiltin="1"/>
    <cellStyle name="Neutraal" xfId="35" builtinId="28" customBuiltin="1"/>
    <cellStyle name="Notitie" xfId="36" builtinId="10" customBuiltin="1"/>
    <cellStyle name="Ongeldig" xfId="37" builtinId="27" customBuiltin="1"/>
    <cellStyle name="Standaard" xfId="0" builtinId="0"/>
    <cellStyle name="Titel" xfId="38" builtinId="15" customBuiltin="1"/>
    <cellStyle name="Totaal" xfId="39" builtinId="25" customBuiltin="1"/>
    <cellStyle name="Uitvoer" xfId="40" builtinId="21" customBuiltin="1"/>
    <cellStyle name="Verklarende tekst" xfId="41" builtinId="53" customBuiltin="1"/>
    <cellStyle name="Waarschuwingsteks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esburg%20Muteerbaar%201%20januari%202011-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"/>
      <sheetName val="Polisblad"/>
      <sheetName val="Stand per 1 januari 2011"/>
    </sheetNames>
    <sheetDataSet>
      <sheetData sheetId="0">
        <row r="4">
          <cell r="B4">
            <v>0.55000000000000004</v>
          </cell>
        </row>
        <row r="13">
          <cell r="B13">
            <v>112.2</v>
          </cell>
        </row>
        <row r="14">
          <cell r="B14">
            <v>112.2</v>
          </cell>
        </row>
        <row r="15">
          <cell r="B15">
            <v>108.1</v>
          </cell>
        </row>
        <row r="16">
          <cell r="B16">
            <v>108.1</v>
          </cell>
        </row>
        <row r="18">
          <cell r="B18">
            <v>-3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4"/>
  <sheetViews>
    <sheetView tabSelected="1" zoomScale="85" zoomScaleNormal="85" workbookViewId="0">
      <selection activeCell="AH70" sqref="AH70"/>
    </sheetView>
  </sheetViews>
  <sheetFormatPr defaultRowHeight="12.75"/>
  <cols>
    <col min="1" max="1" width="45.85546875" bestFit="1" customWidth="1"/>
    <col min="2" max="2" width="29.140625" bestFit="1" customWidth="1"/>
    <col min="3" max="3" width="32.5703125" bestFit="1" customWidth="1"/>
    <col min="4" max="4" width="54.7109375" customWidth="1"/>
    <col min="5" max="5" width="7.140625" bestFit="1" customWidth="1"/>
    <col min="6" max="6" width="15.85546875" style="9" hidden="1" customWidth="1"/>
    <col min="7" max="7" width="21.140625" style="9" hidden="1" customWidth="1"/>
    <col min="8" max="8" width="21.7109375" style="9" hidden="1" customWidth="1"/>
    <col min="9" max="9" width="20.140625" style="9" hidden="1" customWidth="1"/>
    <col min="10" max="10" width="21.140625" style="9" hidden="1" customWidth="1"/>
    <col min="11" max="11" width="19.85546875" style="9" hidden="1" customWidth="1"/>
    <col min="12" max="12" width="20.140625" style="9" hidden="1" customWidth="1"/>
    <col min="13" max="13" width="20.28515625" style="9" hidden="1" customWidth="1"/>
    <col min="14" max="14" width="20" style="9" hidden="1" customWidth="1"/>
    <col min="15" max="15" width="16.7109375" style="9" hidden="1" customWidth="1"/>
    <col min="16" max="16" width="18.140625" style="9" hidden="1" customWidth="1"/>
    <col min="17" max="17" width="18.5703125" style="9" hidden="1" customWidth="1"/>
    <col min="18" max="18" width="17.42578125" style="9" hidden="1" customWidth="1"/>
    <col min="19" max="19" width="16.7109375" style="9" hidden="1" customWidth="1"/>
    <col min="20" max="20" width="14.140625" hidden="1" customWidth="1"/>
    <col min="21" max="21" width="16.7109375" hidden="1" customWidth="1"/>
    <col min="22" max="22" width="15.42578125" hidden="1" customWidth="1"/>
    <col min="23" max="23" width="15.5703125" hidden="1" customWidth="1"/>
    <col min="24" max="24" width="15.42578125" hidden="1" customWidth="1"/>
    <col min="25" max="25" width="15.7109375" hidden="1" customWidth="1"/>
    <col min="26" max="26" width="29.42578125" hidden="1" customWidth="1"/>
    <col min="27" max="27" width="19.28515625" hidden="1" customWidth="1"/>
    <col min="28" max="28" width="21.28515625" hidden="1" customWidth="1"/>
    <col min="29" max="29" width="19.28515625" hidden="1" customWidth="1"/>
    <col min="30" max="30" width="16" hidden="1" customWidth="1"/>
    <col min="31" max="31" width="18.85546875" hidden="1" customWidth="1"/>
    <col min="32" max="32" width="18.42578125" hidden="1" customWidth="1"/>
    <col min="33" max="33" width="16.28515625" hidden="1" customWidth="1"/>
    <col min="34" max="34" width="20.7109375" bestFit="1" customWidth="1"/>
    <col min="35" max="35" width="22.140625" bestFit="1" customWidth="1"/>
    <col min="36" max="36" width="16.28515625" bestFit="1" customWidth="1"/>
    <col min="37" max="37" width="57.85546875" bestFit="1" customWidth="1"/>
    <col min="38" max="38" width="55" bestFit="1" customWidth="1"/>
    <col min="39" max="39" width="11.85546875" bestFit="1" customWidth="1"/>
    <col min="40" max="40" width="15.5703125" bestFit="1" customWidth="1"/>
    <col min="41" max="41" width="11.7109375" bestFit="1" customWidth="1"/>
    <col min="42" max="42" width="8.140625" bestFit="1" customWidth="1"/>
  </cols>
  <sheetData>
    <row r="1" spans="1:44">
      <c r="A1" s="75" t="s">
        <v>164</v>
      </c>
      <c r="B1" s="76"/>
      <c r="C1" s="76"/>
      <c r="D1" s="77"/>
      <c r="E1" s="74"/>
      <c r="Z1" s="48"/>
    </row>
    <row r="2" spans="1:44" ht="24" thickBot="1">
      <c r="A2" s="75" t="s">
        <v>165</v>
      </c>
      <c r="B2" s="78"/>
      <c r="C2" s="78"/>
      <c r="D2" s="77"/>
      <c r="E2" s="74"/>
      <c r="Z2" s="48"/>
      <c r="AB2" s="48"/>
      <c r="AM2" s="95" t="s">
        <v>158</v>
      </c>
      <c r="AN2" s="95" t="s">
        <v>159</v>
      </c>
      <c r="AO2" s="95" t="s">
        <v>160</v>
      </c>
      <c r="AP2" s="95" t="s">
        <v>161</v>
      </c>
    </row>
    <row r="3" spans="1:44" ht="31.5">
      <c r="A3" s="79" t="s">
        <v>0</v>
      </c>
      <c r="B3" s="80" t="s">
        <v>1</v>
      </c>
      <c r="C3" s="81" t="s">
        <v>2</v>
      </c>
      <c r="D3" s="81" t="s">
        <v>3</v>
      </c>
      <c r="E3" s="82" t="s">
        <v>62</v>
      </c>
      <c r="F3" s="14" t="s">
        <v>69</v>
      </c>
      <c r="G3" s="83" t="s">
        <v>82</v>
      </c>
      <c r="H3" s="83" t="s">
        <v>70</v>
      </c>
      <c r="I3" s="83" t="s">
        <v>91</v>
      </c>
      <c r="J3" s="83" t="s">
        <v>83</v>
      </c>
      <c r="K3" s="83" t="s">
        <v>92</v>
      </c>
      <c r="L3" s="83" t="s">
        <v>93</v>
      </c>
      <c r="M3" s="83" t="s">
        <v>98</v>
      </c>
      <c r="N3" s="83" t="s">
        <v>94</v>
      </c>
      <c r="O3" s="83" t="s">
        <v>95</v>
      </c>
      <c r="P3" s="84" t="s">
        <v>112</v>
      </c>
      <c r="Q3" s="84" t="s">
        <v>115</v>
      </c>
      <c r="R3" s="84" t="s">
        <v>99</v>
      </c>
      <c r="S3" s="84" t="s">
        <v>96</v>
      </c>
      <c r="T3" s="85" t="s">
        <v>73</v>
      </c>
      <c r="U3" s="86" t="s">
        <v>77</v>
      </c>
      <c r="V3" s="86" t="s">
        <v>113</v>
      </c>
      <c r="W3" s="86" t="s">
        <v>97</v>
      </c>
      <c r="X3" s="86" t="s">
        <v>116</v>
      </c>
      <c r="Y3" s="86" t="s">
        <v>117</v>
      </c>
      <c r="Z3" s="86" t="s">
        <v>146</v>
      </c>
      <c r="AA3" s="86" t="s">
        <v>118</v>
      </c>
      <c r="AB3" s="86" t="s">
        <v>147</v>
      </c>
      <c r="AC3" s="86" t="s">
        <v>124</v>
      </c>
      <c r="AD3" s="86" t="s">
        <v>148</v>
      </c>
      <c r="AE3" s="83" t="s">
        <v>150</v>
      </c>
      <c r="AF3" s="83" t="s">
        <v>151</v>
      </c>
      <c r="AG3" s="83" t="s">
        <v>149</v>
      </c>
      <c r="AH3" s="83" t="s">
        <v>155</v>
      </c>
      <c r="AI3" s="83" t="s">
        <v>157</v>
      </c>
      <c r="AJ3" s="83" t="s">
        <v>156</v>
      </c>
      <c r="AK3" s="83" t="s">
        <v>135</v>
      </c>
      <c r="AL3" s="83" t="s">
        <v>133</v>
      </c>
      <c r="AM3" s="95" t="s">
        <v>162</v>
      </c>
      <c r="AN3" s="95" t="s">
        <v>163</v>
      </c>
      <c r="AO3" s="95" t="s">
        <v>163</v>
      </c>
      <c r="AP3" s="95" t="s">
        <v>163</v>
      </c>
    </row>
    <row r="4" spans="1:44">
      <c r="A4" s="24"/>
      <c r="B4" s="25"/>
      <c r="C4" s="26"/>
      <c r="D4" s="26"/>
      <c r="E4" s="27"/>
      <c r="F4" s="14"/>
      <c r="G4" s="14"/>
      <c r="H4" s="14"/>
      <c r="I4" s="14"/>
      <c r="J4" s="14"/>
      <c r="K4" s="14"/>
      <c r="L4" s="14"/>
      <c r="M4" s="14"/>
      <c r="N4" s="14"/>
      <c r="O4" s="14"/>
      <c r="P4" s="23"/>
      <c r="Q4" s="23"/>
      <c r="R4" s="23"/>
      <c r="S4" s="23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</row>
    <row r="5" spans="1:44">
      <c r="A5" s="28" t="s">
        <v>4</v>
      </c>
      <c r="B5" s="29"/>
      <c r="C5" s="30"/>
      <c r="D5" s="31"/>
      <c r="E5" s="3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</row>
    <row r="6" spans="1:44">
      <c r="A6" s="1"/>
      <c r="B6" s="1"/>
      <c r="C6" s="1"/>
      <c r="D6" s="32"/>
      <c r="E6" s="3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4" ht="15">
      <c r="A7" s="1" t="s">
        <v>7</v>
      </c>
      <c r="B7" s="1" t="s">
        <v>166</v>
      </c>
      <c r="C7" s="1" t="s">
        <v>5</v>
      </c>
      <c r="D7" s="2" t="s">
        <v>86</v>
      </c>
      <c r="E7" s="63" t="s">
        <v>60</v>
      </c>
      <c r="F7" s="9">
        <v>1270500</v>
      </c>
      <c r="G7" s="9">
        <v>1270500</v>
      </c>
      <c r="I7" s="9">
        <f t="shared" ref="I7:I35" si="0">(121/120.2)*G7</f>
        <v>1278955.9068219634</v>
      </c>
      <c r="J7" s="9">
        <f t="shared" ref="J7:J25" si="1">H7</f>
        <v>0</v>
      </c>
      <c r="K7" s="9">
        <f t="shared" ref="K7:K25" si="2">(123.1/121)*I7</f>
        <v>1301152.6622296171</v>
      </c>
      <c r="L7" s="9">
        <f t="shared" ref="L7:L38" si="3">J7</f>
        <v>0</v>
      </c>
      <c r="M7" s="45">
        <f>(125.8/123.1)*K7</f>
        <v>1329691.3477537436</v>
      </c>
      <c r="N7" s="46">
        <f t="shared" ref="N7:N25" si="4">(116.6/115.7)*L7</f>
        <v>0</v>
      </c>
      <c r="O7" s="45">
        <f t="shared" ref="O7:O25" si="5">I7+L7</f>
        <v>1278955.9068219634</v>
      </c>
      <c r="P7" s="9">
        <f t="shared" ref="P7:P55" si="6">(141.4/125.8)*M7</f>
        <v>1494581.53078203</v>
      </c>
      <c r="Q7" s="9">
        <f t="shared" ref="Q7:Q27" si="7">P7*1.05</f>
        <v>1569310.6073211315</v>
      </c>
      <c r="R7" s="45"/>
      <c r="S7" s="45">
        <f>SUM(K7,N7)</f>
        <v>1301152.6622296171</v>
      </c>
      <c r="T7" s="45">
        <f>0.4738*S7/1000</f>
        <v>616.48613136439258</v>
      </c>
      <c r="U7" s="47"/>
      <c r="V7" s="9">
        <f t="shared" ref="V7:V55" si="8">(123.6/118.3)*R7</f>
        <v>0</v>
      </c>
      <c r="W7" s="45">
        <f>M7+R7</f>
        <v>1329691.3477537436</v>
      </c>
      <c r="X7" s="9">
        <f t="shared" ref="X7:X27" si="9">V7*1.016</f>
        <v>0</v>
      </c>
      <c r="Y7" s="9">
        <f t="shared" ref="Y7:Y54" si="10">Q7+X7</f>
        <v>1569310.6073211315</v>
      </c>
      <c r="Z7" s="52">
        <v>1612000</v>
      </c>
      <c r="AA7" s="55">
        <v>145000</v>
      </c>
      <c r="AB7" s="56"/>
      <c r="AC7" s="47"/>
      <c r="AD7" s="66">
        <f>SUM(Z7+AB7)</f>
        <v>1612000</v>
      </c>
      <c r="AE7" s="68">
        <f>130/108*Z7</f>
        <v>1940370.3703703703</v>
      </c>
      <c r="AF7" s="68">
        <f>126.4/103.5*AB7</f>
        <v>0</v>
      </c>
      <c r="AG7" s="68">
        <f>SUM(AE7:AF7)</f>
        <v>1940370.3703703703</v>
      </c>
      <c r="AH7" s="68">
        <f>AE7</f>
        <v>1940370.3703703703</v>
      </c>
      <c r="AI7" s="68">
        <f>(126.8/126.4)*AF7</f>
        <v>0</v>
      </c>
      <c r="AJ7" s="68">
        <f>AH7+AI7</f>
        <v>1940370.3703703703</v>
      </c>
      <c r="AK7" s="16"/>
      <c r="AL7" s="16"/>
      <c r="AM7" s="16" t="s">
        <v>168</v>
      </c>
      <c r="AN7" s="16" t="s">
        <v>169</v>
      </c>
      <c r="AO7" s="16" t="s">
        <v>170</v>
      </c>
      <c r="AP7" s="16" t="s">
        <v>170</v>
      </c>
      <c r="AQ7" s="67"/>
      <c r="AR7" s="47"/>
    </row>
    <row r="8" spans="1:44">
      <c r="A8" s="18" t="s">
        <v>8</v>
      </c>
      <c r="B8" s="18" t="s">
        <v>167</v>
      </c>
      <c r="C8" s="18" t="s">
        <v>5</v>
      </c>
      <c r="D8" s="19" t="s">
        <v>63</v>
      </c>
      <c r="E8" s="64" t="s">
        <v>60</v>
      </c>
      <c r="M8" s="45">
        <v>620000</v>
      </c>
      <c r="N8" s="46"/>
      <c r="O8" s="45"/>
      <c r="P8" s="9">
        <f t="shared" si="6"/>
        <v>696883.94276629575</v>
      </c>
      <c r="Q8" s="9">
        <f t="shared" si="7"/>
        <v>731728.13990461058</v>
      </c>
      <c r="R8" s="45">
        <v>135000</v>
      </c>
      <c r="S8" s="45"/>
      <c r="T8" s="45"/>
      <c r="U8" s="47"/>
      <c r="V8" s="9">
        <f t="shared" si="8"/>
        <v>141048.18258664411</v>
      </c>
      <c r="W8" s="45">
        <v>755000</v>
      </c>
      <c r="X8" s="9">
        <f t="shared" si="9"/>
        <v>143304.95350803042</v>
      </c>
      <c r="Y8" s="9">
        <f t="shared" si="10"/>
        <v>875033.09341264097</v>
      </c>
      <c r="Z8" s="59">
        <v>1058000</v>
      </c>
      <c r="AA8" s="55">
        <v>95000</v>
      </c>
      <c r="AB8" s="59">
        <v>179000</v>
      </c>
      <c r="AC8" s="55">
        <v>20000</v>
      </c>
      <c r="AD8" s="66">
        <f t="shared" ref="AD8:AD27" si="11">SUM(Z8+AB8)</f>
        <v>1237000</v>
      </c>
      <c r="AE8" s="68">
        <f t="shared" ref="AE8:AE27" si="12">130/108*Z8</f>
        <v>1273518.5185185184</v>
      </c>
      <c r="AF8" s="68">
        <f t="shared" ref="AF8:AF26" si="13">126.4/103.5*AB8</f>
        <v>218604.83091787441</v>
      </c>
      <c r="AG8" s="68">
        <f t="shared" ref="AG8:AG27" si="14">SUM(AE8:AF8)</f>
        <v>1492123.3494363928</v>
      </c>
      <c r="AH8" s="68">
        <f t="shared" ref="AH8:AH35" si="15">AE8</f>
        <v>1273518.5185185184</v>
      </c>
      <c r="AI8" s="68">
        <f t="shared" ref="AI8:AI35" si="16">(126.8/126.4)*AF8</f>
        <v>219296.61835748795</v>
      </c>
      <c r="AJ8" s="68">
        <f t="shared" ref="AJ8:AJ27" si="17">AH8+AI8</f>
        <v>1492815.1368760064</v>
      </c>
      <c r="AK8" s="16" t="s">
        <v>126</v>
      </c>
      <c r="AL8" s="16"/>
      <c r="AM8" s="16" t="s">
        <v>171</v>
      </c>
      <c r="AN8" s="16" t="s">
        <v>172</v>
      </c>
      <c r="AO8" s="16" t="s">
        <v>170</v>
      </c>
      <c r="AP8" s="16" t="s">
        <v>170</v>
      </c>
      <c r="AQ8" s="67"/>
      <c r="AR8" s="47"/>
    </row>
    <row r="9" spans="1:44">
      <c r="A9" s="1" t="s">
        <v>11</v>
      </c>
      <c r="B9" s="1" t="s">
        <v>12</v>
      </c>
      <c r="C9" s="1" t="s">
        <v>5</v>
      </c>
      <c r="D9" s="2" t="s">
        <v>13</v>
      </c>
      <c r="E9" s="16" t="s">
        <v>61</v>
      </c>
      <c r="F9" s="9">
        <v>42000</v>
      </c>
      <c r="G9" s="9">
        <v>42000</v>
      </c>
      <c r="I9" s="9">
        <f t="shared" si="0"/>
        <v>42279.534109816974</v>
      </c>
      <c r="J9" s="9">
        <f t="shared" si="1"/>
        <v>0</v>
      </c>
      <c r="K9" s="9">
        <f t="shared" si="2"/>
        <v>43013.311148086519</v>
      </c>
      <c r="L9" s="9">
        <f t="shared" si="3"/>
        <v>0</v>
      </c>
      <c r="M9" s="45">
        <v>20000</v>
      </c>
      <c r="N9" s="46">
        <f t="shared" si="4"/>
        <v>0</v>
      </c>
      <c r="O9" s="45">
        <f t="shared" si="5"/>
        <v>42279.534109816974</v>
      </c>
      <c r="P9" s="9">
        <f t="shared" si="6"/>
        <v>22480.12718600954</v>
      </c>
      <c r="Q9" s="9">
        <f t="shared" si="7"/>
        <v>23604.133545310018</v>
      </c>
      <c r="R9" s="45"/>
      <c r="S9" s="45">
        <f t="shared" ref="S9:S25" si="18">SUM(K9,N9)</f>
        <v>43013.311148086519</v>
      </c>
      <c r="T9" s="45">
        <f t="shared" ref="T9:T59" si="19">0.4738*S9/1000</f>
        <v>20.379706821963392</v>
      </c>
      <c r="U9" s="47"/>
      <c r="V9" s="9">
        <f t="shared" si="8"/>
        <v>0</v>
      </c>
      <c r="W9" s="45">
        <f t="shared" ref="W9:W25" si="20">M9+R9</f>
        <v>20000</v>
      </c>
      <c r="X9" s="9">
        <f t="shared" si="9"/>
        <v>0</v>
      </c>
      <c r="Y9" s="9">
        <f t="shared" si="10"/>
        <v>23604.133545310018</v>
      </c>
      <c r="Z9" s="59">
        <v>45000</v>
      </c>
      <c r="AA9" s="55">
        <v>45000</v>
      </c>
      <c r="AB9" s="53"/>
      <c r="AC9" s="56"/>
      <c r="AD9" s="66">
        <f t="shared" si="11"/>
        <v>45000</v>
      </c>
      <c r="AE9" s="68">
        <f t="shared" si="12"/>
        <v>54166.666666666664</v>
      </c>
      <c r="AF9" s="68">
        <f t="shared" si="13"/>
        <v>0</v>
      </c>
      <c r="AG9" s="68">
        <f t="shared" si="14"/>
        <v>54166.666666666664</v>
      </c>
      <c r="AH9" s="68">
        <f t="shared" si="15"/>
        <v>54166.666666666664</v>
      </c>
      <c r="AI9" s="68">
        <f t="shared" si="16"/>
        <v>0</v>
      </c>
      <c r="AJ9" s="68">
        <f t="shared" si="17"/>
        <v>54166.666666666664</v>
      </c>
      <c r="AK9" s="16" t="s">
        <v>138</v>
      </c>
      <c r="AL9" s="16" t="s">
        <v>137</v>
      </c>
      <c r="AM9" s="16" t="s">
        <v>173</v>
      </c>
      <c r="AN9" s="16" t="s">
        <v>169</v>
      </c>
      <c r="AO9" s="16" t="s">
        <v>169</v>
      </c>
      <c r="AP9" s="16" t="s">
        <v>174</v>
      </c>
      <c r="AQ9" s="67"/>
      <c r="AR9" s="47"/>
    </row>
    <row r="10" spans="1:44">
      <c r="A10" s="4" t="s">
        <v>59</v>
      </c>
      <c r="B10" s="1" t="s">
        <v>14</v>
      </c>
      <c r="C10" s="1" t="s">
        <v>5</v>
      </c>
      <c r="D10" s="2" t="s">
        <v>15</v>
      </c>
      <c r="E10" s="16" t="s">
        <v>61</v>
      </c>
      <c r="F10" s="9">
        <v>3620000</v>
      </c>
      <c r="G10" s="9">
        <v>3620000</v>
      </c>
      <c r="H10" s="9">
        <v>260000</v>
      </c>
      <c r="I10" s="9">
        <f t="shared" si="0"/>
        <v>3644093.1780366055</v>
      </c>
      <c r="J10" s="9">
        <f t="shared" si="1"/>
        <v>260000</v>
      </c>
      <c r="K10" s="9">
        <f t="shared" si="2"/>
        <v>3707337.7703826949</v>
      </c>
      <c r="L10" s="9">
        <f t="shared" si="3"/>
        <v>260000</v>
      </c>
      <c r="M10" s="45">
        <v>4584260</v>
      </c>
      <c r="N10" s="46">
        <f t="shared" si="4"/>
        <v>262022.47191011236</v>
      </c>
      <c r="O10" s="45">
        <f t="shared" si="5"/>
        <v>3904093.1780366055</v>
      </c>
      <c r="P10" s="9">
        <f t="shared" si="6"/>
        <v>5152737.3926868048</v>
      </c>
      <c r="Q10" s="9">
        <f t="shared" si="7"/>
        <v>5410374.2623211453</v>
      </c>
      <c r="R10" s="45">
        <v>399300</v>
      </c>
      <c r="S10" s="45">
        <f t="shared" si="18"/>
        <v>3969360.2422928074</v>
      </c>
      <c r="T10" s="45">
        <f t="shared" si="19"/>
        <v>1880.6828827983322</v>
      </c>
      <c r="U10" s="47"/>
      <c r="V10" s="9">
        <f t="shared" si="8"/>
        <v>417189.18005071848</v>
      </c>
      <c r="W10" s="45">
        <f t="shared" si="20"/>
        <v>4983560</v>
      </c>
      <c r="X10" s="9">
        <f t="shared" si="9"/>
        <v>423864.20693152997</v>
      </c>
      <c r="Y10" s="9">
        <f t="shared" si="10"/>
        <v>5834238.4692526748</v>
      </c>
      <c r="Z10" s="52">
        <v>3645000</v>
      </c>
      <c r="AA10" s="55">
        <v>275000</v>
      </c>
      <c r="AB10" s="59">
        <v>230000</v>
      </c>
      <c r="AC10" s="55">
        <v>15000</v>
      </c>
      <c r="AD10" s="66">
        <f t="shared" si="11"/>
        <v>3875000</v>
      </c>
      <c r="AE10" s="68">
        <f t="shared" si="12"/>
        <v>4387500</v>
      </c>
      <c r="AF10" s="68">
        <f t="shared" si="13"/>
        <v>280888.88888888888</v>
      </c>
      <c r="AG10" s="68">
        <f t="shared" si="14"/>
        <v>4668388.888888889</v>
      </c>
      <c r="AH10" s="68">
        <f t="shared" si="15"/>
        <v>4387500</v>
      </c>
      <c r="AI10" s="68">
        <f t="shared" si="16"/>
        <v>281777.77777777775</v>
      </c>
      <c r="AJ10" s="68">
        <f t="shared" si="17"/>
        <v>4669277.777777778</v>
      </c>
      <c r="AK10" s="16" t="s">
        <v>125</v>
      </c>
      <c r="AL10" s="16"/>
      <c r="AM10" s="16" t="s">
        <v>171</v>
      </c>
      <c r="AN10" s="16" t="s">
        <v>169</v>
      </c>
      <c r="AO10" s="16" t="s">
        <v>169</v>
      </c>
      <c r="AP10" s="16" t="s">
        <v>174</v>
      </c>
      <c r="AQ10" s="67"/>
      <c r="AR10" s="47"/>
    </row>
    <row r="11" spans="1:44">
      <c r="A11" s="65" t="s">
        <v>122</v>
      </c>
      <c r="B11" s="18" t="s">
        <v>123</v>
      </c>
      <c r="C11" s="18"/>
      <c r="D11" s="19" t="s">
        <v>122</v>
      </c>
      <c r="E11" s="16"/>
      <c r="M11" s="45"/>
      <c r="N11" s="46"/>
      <c r="O11" s="45"/>
      <c r="R11" s="45"/>
      <c r="S11" s="45"/>
      <c r="T11" s="45"/>
      <c r="U11" s="47"/>
      <c r="V11" s="9"/>
      <c r="W11" s="45"/>
      <c r="X11" s="9"/>
      <c r="Y11" s="9"/>
      <c r="Z11" s="52">
        <v>410000</v>
      </c>
      <c r="AA11" s="55">
        <v>20000</v>
      </c>
      <c r="AB11" s="60"/>
      <c r="AC11" s="47"/>
      <c r="AD11" s="66">
        <f t="shared" si="11"/>
        <v>410000</v>
      </c>
      <c r="AE11" s="68">
        <f t="shared" si="12"/>
        <v>493518.51851851854</v>
      </c>
      <c r="AF11" s="68">
        <f t="shared" si="13"/>
        <v>0</v>
      </c>
      <c r="AG11" s="68">
        <f t="shared" si="14"/>
        <v>493518.51851851854</v>
      </c>
      <c r="AH11" s="68">
        <f t="shared" si="15"/>
        <v>493518.51851851854</v>
      </c>
      <c r="AI11" s="68">
        <f t="shared" si="16"/>
        <v>0</v>
      </c>
      <c r="AJ11" s="68">
        <f t="shared" si="17"/>
        <v>493518.51851851854</v>
      </c>
      <c r="AK11" s="16"/>
      <c r="AL11" s="16" t="s">
        <v>127</v>
      </c>
      <c r="AM11" s="16" t="s">
        <v>169</v>
      </c>
      <c r="AN11" s="16" t="s">
        <v>169</v>
      </c>
      <c r="AO11" s="16" t="s">
        <v>169</v>
      </c>
      <c r="AP11" s="16" t="s">
        <v>169</v>
      </c>
      <c r="AQ11" s="67"/>
      <c r="AR11" s="47"/>
    </row>
    <row r="12" spans="1:44">
      <c r="A12" s="1" t="s">
        <v>128</v>
      </c>
      <c r="B12" s="1" t="s">
        <v>16</v>
      </c>
      <c r="C12" s="1" t="s">
        <v>5</v>
      </c>
      <c r="D12" s="2" t="s">
        <v>129</v>
      </c>
      <c r="E12" s="16" t="s">
        <v>60</v>
      </c>
      <c r="F12" s="9">
        <v>310000</v>
      </c>
      <c r="G12" s="9">
        <v>310000</v>
      </c>
      <c r="I12" s="9">
        <f t="shared" si="0"/>
        <v>312063.227953411</v>
      </c>
      <c r="J12" s="9">
        <f t="shared" si="1"/>
        <v>0</v>
      </c>
      <c r="K12" s="9">
        <f t="shared" si="2"/>
        <v>317479.2013311148</v>
      </c>
      <c r="L12" s="9">
        <f t="shared" si="3"/>
        <v>0</v>
      </c>
      <c r="M12" s="45">
        <f t="shared" ref="M12:M34" si="21">(125.8/123.1)*K12</f>
        <v>324442.59567387687</v>
      </c>
      <c r="N12" s="46">
        <f t="shared" si="4"/>
        <v>0</v>
      </c>
      <c r="O12" s="45">
        <f t="shared" si="5"/>
        <v>312063.227953411</v>
      </c>
      <c r="P12" s="9">
        <f t="shared" si="6"/>
        <v>364675.54076539102</v>
      </c>
      <c r="Q12" s="9">
        <f t="shared" si="7"/>
        <v>382909.31780366058</v>
      </c>
      <c r="R12" s="45"/>
      <c r="S12" s="45">
        <f t="shared" si="18"/>
        <v>317479.2013311148</v>
      </c>
      <c r="T12" s="45">
        <f t="shared" si="19"/>
        <v>150.4216455906822</v>
      </c>
      <c r="U12" s="47"/>
      <c r="V12" s="9">
        <f t="shared" si="8"/>
        <v>0</v>
      </c>
      <c r="W12" s="45">
        <f t="shared" si="20"/>
        <v>324442.59567387687</v>
      </c>
      <c r="X12" s="9">
        <f t="shared" si="9"/>
        <v>0</v>
      </c>
      <c r="Y12" s="9">
        <f t="shared" si="10"/>
        <v>382909.31780366058</v>
      </c>
      <c r="Z12" s="52">
        <v>248000</v>
      </c>
      <c r="AA12" s="55">
        <v>25000</v>
      </c>
      <c r="AB12" s="60"/>
      <c r="AC12" s="47"/>
      <c r="AD12" s="66">
        <f t="shared" si="11"/>
        <v>248000</v>
      </c>
      <c r="AE12" s="68">
        <f t="shared" si="12"/>
        <v>298518.51851851854</v>
      </c>
      <c r="AF12" s="68">
        <f t="shared" si="13"/>
        <v>0</v>
      </c>
      <c r="AG12" s="68">
        <f t="shared" si="14"/>
        <v>298518.51851851854</v>
      </c>
      <c r="AH12" s="68">
        <f t="shared" si="15"/>
        <v>298518.51851851854</v>
      </c>
      <c r="AI12" s="68">
        <f t="shared" si="16"/>
        <v>0</v>
      </c>
      <c r="AJ12" s="68">
        <f t="shared" si="17"/>
        <v>298518.51851851854</v>
      </c>
      <c r="AK12" s="16"/>
      <c r="AL12" s="16"/>
      <c r="AM12" s="16" t="s">
        <v>169</v>
      </c>
      <c r="AN12" s="16" t="s">
        <v>169</v>
      </c>
      <c r="AO12" s="16" t="s">
        <v>170</v>
      </c>
      <c r="AP12" s="16" t="s">
        <v>169</v>
      </c>
      <c r="AQ12" s="67"/>
      <c r="AR12" s="47"/>
    </row>
    <row r="13" spans="1:44">
      <c r="A13" s="1" t="s">
        <v>17</v>
      </c>
      <c r="B13" s="1" t="s">
        <v>66</v>
      </c>
      <c r="C13" s="1" t="s">
        <v>5</v>
      </c>
      <c r="D13" s="2" t="s">
        <v>6</v>
      </c>
      <c r="E13" s="16" t="s">
        <v>60</v>
      </c>
      <c r="F13" s="9">
        <v>36300</v>
      </c>
      <c r="G13" s="9">
        <v>36300</v>
      </c>
      <c r="I13" s="9">
        <f t="shared" si="0"/>
        <v>36541.597337770385</v>
      </c>
      <c r="J13" s="9">
        <f t="shared" si="1"/>
        <v>0</v>
      </c>
      <c r="K13" s="9">
        <f t="shared" si="2"/>
        <v>37175.790349417635</v>
      </c>
      <c r="L13" s="9">
        <f t="shared" si="3"/>
        <v>0</v>
      </c>
      <c r="M13" s="9">
        <f t="shared" si="21"/>
        <v>37991.18136439268</v>
      </c>
      <c r="N13" s="20">
        <f t="shared" si="4"/>
        <v>0</v>
      </c>
      <c r="O13" s="9">
        <f t="shared" si="5"/>
        <v>36541.597337770385</v>
      </c>
      <c r="P13" s="9">
        <f t="shared" si="6"/>
        <v>42702.329450915146</v>
      </c>
      <c r="Q13" s="9">
        <f t="shared" si="7"/>
        <v>44837.445923460902</v>
      </c>
      <c r="S13" s="9">
        <f t="shared" si="18"/>
        <v>37175.790349417635</v>
      </c>
      <c r="T13" s="9">
        <f t="shared" si="19"/>
        <v>17.613889467554078</v>
      </c>
      <c r="V13" s="9">
        <f t="shared" si="8"/>
        <v>0</v>
      </c>
      <c r="W13" s="9">
        <f t="shared" si="20"/>
        <v>37991.18136439268</v>
      </c>
      <c r="X13" s="9">
        <f t="shared" si="9"/>
        <v>0</v>
      </c>
      <c r="Y13" s="9">
        <f t="shared" si="10"/>
        <v>44837.445923460902</v>
      </c>
      <c r="Z13" s="15">
        <v>178000</v>
      </c>
      <c r="AA13" s="57">
        <v>15000</v>
      </c>
      <c r="AB13" s="48"/>
      <c r="AD13" s="66">
        <f t="shared" si="11"/>
        <v>178000</v>
      </c>
      <c r="AE13" s="68">
        <f t="shared" si="12"/>
        <v>214259.25925925927</v>
      </c>
      <c r="AF13" s="68">
        <f t="shared" si="13"/>
        <v>0</v>
      </c>
      <c r="AG13" s="68">
        <f t="shared" si="14"/>
        <v>214259.25925925927</v>
      </c>
      <c r="AH13" s="68">
        <f t="shared" si="15"/>
        <v>214259.25925925927</v>
      </c>
      <c r="AI13" s="68">
        <f t="shared" si="16"/>
        <v>0</v>
      </c>
      <c r="AJ13" s="68">
        <f t="shared" si="17"/>
        <v>214259.25925925927</v>
      </c>
      <c r="AK13" s="16"/>
      <c r="AL13" s="16"/>
      <c r="AM13" s="16" t="s">
        <v>169</v>
      </c>
      <c r="AN13" s="16" t="s">
        <v>169</v>
      </c>
      <c r="AO13" s="16" t="s">
        <v>170</v>
      </c>
      <c r="AP13" s="16" t="s">
        <v>174</v>
      </c>
    </row>
    <row r="14" spans="1:44">
      <c r="A14" s="1" t="s">
        <v>17</v>
      </c>
      <c r="B14" s="1" t="s">
        <v>18</v>
      </c>
      <c r="C14" s="1" t="s">
        <v>5</v>
      </c>
      <c r="D14" s="2" t="s">
        <v>19</v>
      </c>
      <c r="E14" s="16" t="s">
        <v>60</v>
      </c>
      <c r="F14" s="9">
        <v>121000</v>
      </c>
      <c r="G14" s="9">
        <v>121000</v>
      </c>
      <c r="I14" s="9">
        <f t="shared" si="0"/>
        <v>121805.3244592346</v>
      </c>
      <c r="J14" s="9">
        <f t="shared" si="1"/>
        <v>0</v>
      </c>
      <c r="K14" s="9">
        <f t="shared" si="2"/>
        <v>123919.30116472545</v>
      </c>
      <c r="L14" s="9">
        <f t="shared" si="3"/>
        <v>0</v>
      </c>
      <c r="M14" s="9">
        <f t="shared" si="21"/>
        <v>126637.27121464226</v>
      </c>
      <c r="N14" s="20">
        <f t="shared" si="4"/>
        <v>0</v>
      </c>
      <c r="O14" s="9">
        <f t="shared" si="5"/>
        <v>121805.3244592346</v>
      </c>
      <c r="P14" s="9">
        <f t="shared" si="6"/>
        <v>142341.09816971712</v>
      </c>
      <c r="Q14" s="9">
        <f t="shared" si="7"/>
        <v>149458.15307820297</v>
      </c>
      <c r="S14" s="9">
        <f t="shared" si="18"/>
        <v>123919.30116472545</v>
      </c>
      <c r="T14" s="9">
        <f t="shared" si="19"/>
        <v>58.712964891846916</v>
      </c>
      <c r="V14" s="9">
        <f t="shared" si="8"/>
        <v>0</v>
      </c>
      <c r="W14" s="9">
        <f t="shared" si="20"/>
        <v>126637.27121464226</v>
      </c>
      <c r="X14" s="9">
        <f t="shared" si="9"/>
        <v>0</v>
      </c>
      <c r="Y14" s="9">
        <f t="shared" si="10"/>
        <v>149458.15307820297</v>
      </c>
      <c r="Z14" s="15">
        <v>58000</v>
      </c>
      <c r="AA14" s="57">
        <v>5000</v>
      </c>
      <c r="AB14" s="48"/>
      <c r="AD14" s="66">
        <f t="shared" si="11"/>
        <v>58000</v>
      </c>
      <c r="AE14" s="68">
        <f t="shared" si="12"/>
        <v>69814.814814814818</v>
      </c>
      <c r="AF14" s="68">
        <f t="shared" si="13"/>
        <v>0</v>
      </c>
      <c r="AG14" s="68">
        <f t="shared" si="14"/>
        <v>69814.814814814818</v>
      </c>
      <c r="AH14" s="68">
        <f t="shared" si="15"/>
        <v>69814.814814814818</v>
      </c>
      <c r="AI14" s="68">
        <f t="shared" si="16"/>
        <v>0</v>
      </c>
      <c r="AJ14" s="68">
        <f t="shared" si="17"/>
        <v>69814.814814814818</v>
      </c>
      <c r="AK14" s="16"/>
      <c r="AL14" s="16"/>
      <c r="AM14" s="16" t="s">
        <v>169</v>
      </c>
      <c r="AN14" s="16" t="s">
        <v>169</v>
      </c>
      <c r="AO14" s="16" t="s">
        <v>170</v>
      </c>
      <c r="AP14" s="16" t="s">
        <v>174</v>
      </c>
    </row>
    <row r="15" spans="1:44">
      <c r="A15" s="1" t="s">
        <v>17</v>
      </c>
      <c r="B15" s="1" t="s">
        <v>119</v>
      </c>
      <c r="C15" s="1" t="s">
        <v>5</v>
      </c>
      <c r="D15" s="2" t="s">
        <v>120</v>
      </c>
      <c r="E15" s="16" t="s">
        <v>60</v>
      </c>
      <c r="F15" s="9">
        <v>36300</v>
      </c>
      <c r="G15" s="9">
        <v>36300</v>
      </c>
      <c r="I15" s="9">
        <f t="shared" si="0"/>
        <v>36541.597337770385</v>
      </c>
      <c r="J15" s="9">
        <f t="shared" si="1"/>
        <v>0</v>
      </c>
      <c r="K15" s="9">
        <f t="shared" si="2"/>
        <v>37175.790349417635</v>
      </c>
      <c r="L15" s="9">
        <f t="shared" si="3"/>
        <v>0</v>
      </c>
      <c r="M15" s="9">
        <f t="shared" si="21"/>
        <v>37991.18136439268</v>
      </c>
      <c r="N15" s="20">
        <f t="shared" si="4"/>
        <v>0</v>
      </c>
      <c r="O15" s="9">
        <f t="shared" si="5"/>
        <v>36541.597337770385</v>
      </c>
      <c r="P15" s="9">
        <f t="shared" si="6"/>
        <v>42702.329450915146</v>
      </c>
      <c r="Q15" s="9">
        <f t="shared" si="7"/>
        <v>44837.445923460902</v>
      </c>
      <c r="S15" s="9">
        <f t="shared" si="18"/>
        <v>37175.790349417635</v>
      </c>
      <c r="T15" s="9">
        <f t="shared" si="19"/>
        <v>17.613889467554078</v>
      </c>
      <c r="V15" s="9">
        <f t="shared" si="8"/>
        <v>0</v>
      </c>
      <c r="W15" s="9">
        <f t="shared" si="20"/>
        <v>37991.18136439268</v>
      </c>
      <c r="X15" s="9">
        <f t="shared" si="9"/>
        <v>0</v>
      </c>
      <c r="Y15" s="9">
        <f t="shared" si="10"/>
        <v>44837.445923460902</v>
      </c>
      <c r="Z15" s="15">
        <v>350000</v>
      </c>
      <c r="AA15" s="57">
        <v>30000</v>
      </c>
      <c r="AB15" s="48"/>
      <c r="AD15" s="66">
        <f t="shared" si="11"/>
        <v>350000</v>
      </c>
      <c r="AE15" s="68">
        <f t="shared" si="12"/>
        <v>421296.29629629629</v>
      </c>
      <c r="AF15" s="68">
        <f t="shared" si="13"/>
        <v>0</v>
      </c>
      <c r="AG15" s="68">
        <f t="shared" si="14"/>
        <v>421296.29629629629</v>
      </c>
      <c r="AH15" s="68">
        <f t="shared" si="15"/>
        <v>421296.29629629629</v>
      </c>
      <c r="AI15" s="68">
        <f t="shared" si="16"/>
        <v>0</v>
      </c>
      <c r="AJ15" s="68">
        <f t="shared" si="17"/>
        <v>421296.29629629629</v>
      </c>
      <c r="AK15" s="16"/>
      <c r="AL15" s="16"/>
      <c r="AM15" s="16" t="s">
        <v>169</v>
      </c>
      <c r="AN15" s="16" t="s">
        <v>169</v>
      </c>
      <c r="AO15" s="16" t="s">
        <v>170</v>
      </c>
      <c r="AP15" s="16" t="s">
        <v>174</v>
      </c>
    </row>
    <row r="16" spans="1:44">
      <c r="A16" s="1" t="s">
        <v>17</v>
      </c>
      <c r="B16" s="1" t="s">
        <v>20</v>
      </c>
      <c r="C16" s="1" t="s">
        <v>5</v>
      </c>
      <c r="D16" s="2" t="s">
        <v>64</v>
      </c>
      <c r="E16" s="16" t="s">
        <v>60</v>
      </c>
      <c r="F16" s="9">
        <v>84700</v>
      </c>
      <c r="G16" s="9">
        <v>84700</v>
      </c>
      <c r="I16" s="9">
        <f t="shared" si="0"/>
        <v>85263.727121464224</v>
      </c>
      <c r="J16" s="9">
        <f t="shared" si="1"/>
        <v>0</v>
      </c>
      <c r="K16" s="9">
        <f t="shared" si="2"/>
        <v>86743.510815307818</v>
      </c>
      <c r="L16" s="9">
        <f t="shared" si="3"/>
        <v>0</v>
      </c>
      <c r="M16" s="9">
        <f t="shared" si="21"/>
        <v>88646.089850249584</v>
      </c>
      <c r="N16" s="20">
        <f t="shared" si="4"/>
        <v>0</v>
      </c>
      <c r="O16" s="9">
        <f t="shared" si="5"/>
        <v>85263.727121464224</v>
      </c>
      <c r="P16" s="9">
        <f t="shared" si="6"/>
        <v>99638.768718802006</v>
      </c>
      <c r="Q16" s="9">
        <f t="shared" si="7"/>
        <v>104620.70715474211</v>
      </c>
      <c r="S16" s="9">
        <f t="shared" si="18"/>
        <v>86743.510815307818</v>
      </c>
      <c r="T16" s="9">
        <f t="shared" si="19"/>
        <v>41.099075424292842</v>
      </c>
      <c r="V16" s="9">
        <f t="shared" si="8"/>
        <v>0</v>
      </c>
      <c r="W16" s="9">
        <f t="shared" si="20"/>
        <v>88646.089850249584</v>
      </c>
      <c r="X16" s="9">
        <f t="shared" si="9"/>
        <v>0</v>
      </c>
      <c r="Y16" s="9">
        <f t="shared" si="10"/>
        <v>104620.70715474211</v>
      </c>
      <c r="Z16" s="15">
        <v>170000</v>
      </c>
      <c r="AA16" s="57">
        <v>15000</v>
      </c>
      <c r="AB16" s="48"/>
      <c r="AD16" s="66">
        <f t="shared" si="11"/>
        <v>170000</v>
      </c>
      <c r="AE16" s="68">
        <f t="shared" si="12"/>
        <v>204629.62962962964</v>
      </c>
      <c r="AF16" s="68">
        <f t="shared" si="13"/>
        <v>0</v>
      </c>
      <c r="AG16" s="68">
        <f t="shared" si="14"/>
        <v>204629.62962962964</v>
      </c>
      <c r="AH16" s="68">
        <f t="shared" si="15"/>
        <v>204629.62962962964</v>
      </c>
      <c r="AI16" s="68">
        <f t="shared" si="16"/>
        <v>0</v>
      </c>
      <c r="AJ16" s="68">
        <f t="shared" si="17"/>
        <v>204629.62962962964</v>
      </c>
      <c r="AK16" s="16"/>
      <c r="AL16" s="16"/>
      <c r="AM16" s="16" t="s">
        <v>169</v>
      </c>
      <c r="AN16" s="16" t="s">
        <v>169</v>
      </c>
      <c r="AO16" s="16" t="s">
        <v>170</v>
      </c>
      <c r="AP16" s="16" t="s">
        <v>174</v>
      </c>
    </row>
    <row r="17" spans="1:42">
      <c r="A17" s="1" t="s">
        <v>21</v>
      </c>
      <c r="B17" s="1" t="s">
        <v>22</v>
      </c>
      <c r="C17" s="1" t="s">
        <v>5</v>
      </c>
      <c r="D17" s="2" t="s">
        <v>23</v>
      </c>
      <c r="E17" s="16" t="s">
        <v>61</v>
      </c>
      <c r="F17" s="9">
        <v>675000</v>
      </c>
      <c r="G17" s="9">
        <v>675000</v>
      </c>
      <c r="H17" s="9">
        <v>68000</v>
      </c>
      <c r="I17" s="9">
        <f t="shared" si="0"/>
        <v>679492.51247920131</v>
      </c>
      <c r="J17" s="9">
        <f t="shared" si="1"/>
        <v>68000</v>
      </c>
      <c r="K17" s="9">
        <f t="shared" si="2"/>
        <v>691285.35773710476</v>
      </c>
      <c r="L17" s="9">
        <f t="shared" si="3"/>
        <v>68000</v>
      </c>
      <c r="M17" s="9">
        <v>854000</v>
      </c>
      <c r="N17" s="20">
        <f t="shared" si="4"/>
        <v>68528.954191875542</v>
      </c>
      <c r="O17" s="9">
        <f t="shared" si="5"/>
        <v>747492.51247920131</v>
      </c>
      <c r="P17" s="9">
        <f t="shared" si="6"/>
        <v>959901.4308426074</v>
      </c>
      <c r="Q17" s="9">
        <f t="shared" si="7"/>
        <v>1007896.5023847378</v>
      </c>
      <c r="R17" s="9">
        <v>82280</v>
      </c>
      <c r="S17" s="9">
        <f t="shared" si="18"/>
        <v>759814.31192898029</v>
      </c>
      <c r="T17" s="9">
        <f t="shared" si="19"/>
        <v>360.00002099195086</v>
      </c>
      <c r="V17" s="9">
        <f t="shared" si="8"/>
        <v>85966.255283178354</v>
      </c>
      <c r="W17" s="9">
        <f t="shared" si="20"/>
        <v>936280</v>
      </c>
      <c r="X17" s="9">
        <f t="shared" si="9"/>
        <v>87341.715367709214</v>
      </c>
      <c r="Y17" s="9">
        <f t="shared" si="10"/>
        <v>1095238.2177524471</v>
      </c>
      <c r="Z17" s="53">
        <v>700000</v>
      </c>
      <c r="AA17" s="57">
        <v>55000</v>
      </c>
      <c r="AB17" s="53">
        <v>70000</v>
      </c>
      <c r="AC17" s="57">
        <v>5000</v>
      </c>
      <c r="AD17" s="66">
        <f t="shared" si="11"/>
        <v>770000</v>
      </c>
      <c r="AE17" s="68">
        <f t="shared" si="12"/>
        <v>842592.59259259258</v>
      </c>
      <c r="AF17" s="68">
        <f t="shared" si="13"/>
        <v>85487.922705314006</v>
      </c>
      <c r="AG17" s="68">
        <f t="shared" si="14"/>
        <v>928080.51529790659</v>
      </c>
      <c r="AH17" s="68">
        <f t="shared" si="15"/>
        <v>842592.59259259258</v>
      </c>
      <c r="AI17" s="68">
        <f t="shared" si="16"/>
        <v>85758.454106280187</v>
      </c>
      <c r="AJ17" s="68">
        <f t="shared" si="17"/>
        <v>928351.04669887281</v>
      </c>
      <c r="AK17" s="16"/>
      <c r="AL17" s="16"/>
      <c r="AM17" s="16" t="s">
        <v>169</v>
      </c>
      <c r="AN17" s="16" t="s">
        <v>169</v>
      </c>
      <c r="AO17" s="16" t="s">
        <v>170</v>
      </c>
      <c r="AP17" s="16" t="s">
        <v>174</v>
      </c>
    </row>
    <row r="18" spans="1:42">
      <c r="A18" s="1" t="s">
        <v>21</v>
      </c>
      <c r="B18" s="1" t="s">
        <v>24</v>
      </c>
      <c r="C18" s="1" t="s">
        <v>5</v>
      </c>
      <c r="D18" s="2" t="s">
        <v>154</v>
      </c>
      <c r="E18" s="16" t="s">
        <v>61</v>
      </c>
      <c r="F18" s="9">
        <v>675000</v>
      </c>
      <c r="G18" s="9">
        <v>675000</v>
      </c>
      <c r="H18" s="9">
        <v>68000</v>
      </c>
      <c r="I18" s="9">
        <f t="shared" si="0"/>
        <v>679492.51247920131</v>
      </c>
      <c r="J18" s="9">
        <f t="shared" si="1"/>
        <v>68000</v>
      </c>
      <c r="K18" s="9">
        <f t="shared" si="2"/>
        <v>691285.35773710476</v>
      </c>
      <c r="L18" s="9">
        <f t="shared" si="3"/>
        <v>68000</v>
      </c>
      <c r="M18" s="9">
        <v>854000</v>
      </c>
      <c r="N18" s="20">
        <f t="shared" si="4"/>
        <v>68528.954191875542</v>
      </c>
      <c r="O18" s="9">
        <f t="shared" si="5"/>
        <v>747492.51247920131</v>
      </c>
      <c r="P18" s="9">
        <f t="shared" si="6"/>
        <v>959901.4308426074</v>
      </c>
      <c r="Q18" s="9">
        <f t="shared" si="7"/>
        <v>1007896.5023847378</v>
      </c>
      <c r="R18" s="9">
        <v>84700</v>
      </c>
      <c r="S18" s="9">
        <f t="shared" si="18"/>
        <v>759814.31192898029</v>
      </c>
      <c r="T18" s="9">
        <f t="shared" si="19"/>
        <v>360.00002099195086</v>
      </c>
      <c r="V18" s="9">
        <f t="shared" si="8"/>
        <v>88494.674556213009</v>
      </c>
      <c r="W18" s="9">
        <f t="shared" si="20"/>
        <v>938700</v>
      </c>
      <c r="X18" s="9">
        <f t="shared" si="9"/>
        <v>89910.589349112415</v>
      </c>
      <c r="Y18" s="9">
        <f t="shared" si="10"/>
        <v>1097807.0917338503</v>
      </c>
      <c r="Z18" s="53">
        <v>700000</v>
      </c>
      <c r="AA18" s="57">
        <v>55000</v>
      </c>
      <c r="AB18" s="53">
        <v>70000</v>
      </c>
      <c r="AC18" s="57">
        <v>5000</v>
      </c>
      <c r="AD18" s="66">
        <f t="shared" si="11"/>
        <v>770000</v>
      </c>
      <c r="AE18" s="68">
        <v>275000</v>
      </c>
      <c r="AF18" s="68">
        <v>0</v>
      </c>
      <c r="AG18" s="68">
        <f t="shared" si="14"/>
        <v>275000</v>
      </c>
      <c r="AH18" s="68">
        <f t="shared" si="15"/>
        <v>275000</v>
      </c>
      <c r="AI18" s="68">
        <f t="shared" si="16"/>
        <v>0</v>
      </c>
      <c r="AJ18" s="68">
        <f t="shared" si="17"/>
        <v>275000</v>
      </c>
      <c r="AK18" s="16"/>
      <c r="AL18" s="16" t="s">
        <v>145</v>
      </c>
      <c r="AM18" s="16" t="s">
        <v>169</v>
      </c>
      <c r="AN18" s="16" t="s">
        <v>169</v>
      </c>
      <c r="AO18" s="16" t="s">
        <v>172</v>
      </c>
      <c r="AP18" s="16" t="s">
        <v>169</v>
      </c>
    </row>
    <row r="19" spans="1:42">
      <c r="A19" s="1" t="s">
        <v>25</v>
      </c>
      <c r="B19" s="1" t="s">
        <v>26</v>
      </c>
      <c r="C19" s="1" t="s">
        <v>5</v>
      </c>
      <c r="D19" s="2" t="s">
        <v>87</v>
      </c>
      <c r="E19" s="16" t="s">
        <v>60</v>
      </c>
      <c r="F19" s="9">
        <v>2413950</v>
      </c>
      <c r="G19" s="9">
        <v>2413950</v>
      </c>
      <c r="H19" s="9">
        <v>586850</v>
      </c>
      <c r="I19" s="9">
        <f t="shared" si="0"/>
        <v>2430016.2229617303</v>
      </c>
      <c r="J19" s="9">
        <f t="shared" si="1"/>
        <v>586850</v>
      </c>
      <c r="K19" s="9">
        <f t="shared" si="2"/>
        <v>2472190.0582362725</v>
      </c>
      <c r="L19" s="9">
        <f t="shared" si="3"/>
        <v>586850</v>
      </c>
      <c r="M19" s="9">
        <f t="shared" si="21"/>
        <v>2526413.5607321132</v>
      </c>
      <c r="N19" s="20">
        <f t="shared" si="4"/>
        <v>591414.95246326702</v>
      </c>
      <c r="O19" s="9">
        <f t="shared" si="5"/>
        <v>3016866.2229617303</v>
      </c>
      <c r="P19" s="9">
        <f t="shared" si="6"/>
        <v>2839704.9084858568</v>
      </c>
      <c r="Q19" s="9">
        <f t="shared" si="7"/>
        <v>2981690.1539101498</v>
      </c>
      <c r="R19" s="9">
        <v>500000</v>
      </c>
      <c r="S19" s="9">
        <f t="shared" si="18"/>
        <v>3063605.0106995394</v>
      </c>
      <c r="T19" s="9">
        <f t="shared" si="19"/>
        <v>1451.5360540694417</v>
      </c>
      <c r="V19" s="9">
        <f t="shared" si="8"/>
        <v>522400.67624683009</v>
      </c>
      <c r="W19" s="9">
        <f t="shared" si="20"/>
        <v>3026413.5607321132</v>
      </c>
      <c r="X19" s="9">
        <f t="shared" si="9"/>
        <v>530759.08706677938</v>
      </c>
      <c r="Y19" s="9">
        <f t="shared" si="10"/>
        <v>3512449.2409769292</v>
      </c>
      <c r="Z19" s="15">
        <v>1440000</v>
      </c>
      <c r="AA19" s="57">
        <v>130000</v>
      </c>
      <c r="AB19" s="48"/>
      <c r="AC19" s="58"/>
      <c r="AD19" s="66">
        <f t="shared" si="11"/>
        <v>1440000</v>
      </c>
      <c r="AE19" s="68">
        <f t="shared" si="12"/>
        <v>1733333.3333333333</v>
      </c>
      <c r="AF19" s="68">
        <f t="shared" si="13"/>
        <v>0</v>
      </c>
      <c r="AG19" s="68">
        <f t="shared" si="14"/>
        <v>1733333.3333333333</v>
      </c>
      <c r="AH19" s="68">
        <f t="shared" si="15"/>
        <v>1733333.3333333333</v>
      </c>
      <c r="AI19" s="68">
        <f t="shared" si="16"/>
        <v>0</v>
      </c>
      <c r="AJ19" s="68">
        <f t="shared" si="17"/>
        <v>1733333.3333333333</v>
      </c>
      <c r="AK19" s="16"/>
      <c r="AL19" s="64" t="s">
        <v>153</v>
      </c>
      <c r="AM19" s="16" t="s">
        <v>171</v>
      </c>
      <c r="AN19" s="16" t="s">
        <v>169</v>
      </c>
      <c r="AO19" s="16" t="s">
        <v>175</v>
      </c>
      <c r="AP19" s="16" t="s">
        <v>172</v>
      </c>
    </row>
    <row r="20" spans="1:42">
      <c r="A20" s="18" t="s">
        <v>139</v>
      </c>
      <c r="B20" s="18" t="s">
        <v>140</v>
      </c>
      <c r="C20" s="18" t="s">
        <v>5</v>
      </c>
      <c r="D20" s="19" t="s">
        <v>143</v>
      </c>
      <c r="E20" s="16" t="s">
        <v>60</v>
      </c>
      <c r="N20" s="20"/>
      <c r="T20" s="9"/>
      <c r="V20" s="9"/>
      <c r="W20" s="9"/>
      <c r="X20" s="9"/>
      <c r="Y20" s="9"/>
      <c r="Z20" s="15"/>
      <c r="AA20" s="57"/>
      <c r="AB20" s="48"/>
      <c r="AC20" s="58"/>
      <c r="AD20" s="66"/>
      <c r="AE20" s="68">
        <v>4600000</v>
      </c>
      <c r="AF20" s="68">
        <v>200000</v>
      </c>
      <c r="AG20" s="68">
        <f t="shared" si="14"/>
        <v>4800000</v>
      </c>
      <c r="AH20" s="68">
        <f t="shared" si="15"/>
        <v>4600000</v>
      </c>
      <c r="AI20" s="68">
        <f t="shared" si="16"/>
        <v>200632.91139240508</v>
      </c>
      <c r="AJ20" s="68">
        <f t="shared" si="17"/>
        <v>4800632.9113924047</v>
      </c>
      <c r="AK20" s="64"/>
      <c r="AL20" s="16"/>
      <c r="AM20" s="16" t="s">
        <v>171</v>
      </c>
      <c r="AN20" s="16" t="s">
        <v>172</v>
      </c>
      <c r="AO20" s="16" t="s">
        <v>169</v>
      </c>
      <c r="AP20" s="16" t="s">
        <v>169</v>
      </c>
    </row>
    <row r="21" spans="1:42">
      <c r="A21" s="1" t="s">
        <v>27</v>
      </c>
      <c r="B21" s="1" t="s">
        <v>28</v>
      </c>
      <c r="C21" s="1" t="s">
        <v>5</v>
      </c>
      <c r="D21" s="2" t="s">
        <v>144</v>
      </c>
      <c r="E21" s="16" t="s">
        <v>60</v>
      </c>
      <c r="F21" s="9">
        <v>11979000</v>
      </c>
      <c r="G21" s="9">
        <v>11979000</v>
      </c>
      <c r="H21" s="9">
        <v>1361250</v>
      </c>
      <c r="I21" s="9">
        <f t="shared" si="0"/>
        <v>12058727.121464226</v>
      </c>
      <c r="J21" s="9">
        <f t="shared" si="1"/>
        <v>1361250</v>
      </c>
      <c r="K21" s="9">
        <f t="shared" si="2"/>
        <v>12268010.81530782</v>
      </c>
      <c r="L21" s="9">
        <f t="shared" si="3"/>
        <v>1361250</v>
      </c>
      <c r="M21" s="9">
        <f t="shared" si="21"/>
        <v>12537089.850249585</v>
      </c>
      <c r="N21" s="20">
        <f t="shared" si="4"/>
        <v>1371838.8072601554</v>
      </c>
      <c r="O21" s="9">
        <f t="shared" si="5"/>
        <v>13419977.121464226</v>
      </c>
      <c r="P21" s="9">
        <f t="shared" si="6"/>
        <v>14091768.718801998</v>
      </c>
      <c r="Q21" s="9">
        <f t="shared" si="7"/>
        <v>14796357.154742097</v>
      </c>
      <c r="R21" s="9">
        <v>1240000</v>
      </c>
      <c r="S21" s="9">
        <f t="shared" si="18"/>
        <v>13639849.622567976</v>
      </c>
      <c r="T21" s="9">
        <f t="shared" si="19"/>
        <v>6462.5607511727076</v>
      </c>
      <c r="V21" s="9">
        <f t="shared" si="8"/>
        <v>1295553.6770921384</v>
      </c>
      <c r="W21" s="9">
        <f t="shared" si="20"/>
        <v>13777089.850249585</v>
      </c>
      <c r="X21" s="9">
        <f t="shared" si="9"/>
        <v>1316282.5359256128</v>
      </c>
      <c r="Y21" s="9">
        <f t="shared" si="10"/>
        <v>16112639.690667711</v>
      </c>
      <c r="Z21" s="15">
        <v>12810000</v>
      </c>
      <c r="AA21" s="57">
        <v>1165000</v>
      </c>
      <c r="AB21" s="53">
        <v>1150000</v>
      </c>
      <c r="AC21" s="57">
        <v>95000</v>
      </c>
      <c r="AD21" s="66">
        <f t="shared" si="11"/>
        <v>13960000</v>
      </c>
      <c r="AE21" s="68">
        <f t="shared" si="12"/>
        <v>15419444.444444444</v>
      </c>
      <c r="AF21" s="68">
        <v>200000</v>
      </c>
      <c r="AG21" s="68">
        <f t="shared" si="14"/>
        <v>15619444.444444444</v>
      </c>
      <c r="AH21" s="68">
        <f t="shared" si="15"/>
        <v>15419444.444444444</v>
      </c>
      <c r="AI21" s="68">
        <f t="shared" si="16"/>
        <v>200632.91139240508</v>
      </c>
      <c r="AJ21" s="68">
        <f t="shared" si="17"/>
        <v>15620077.35583685</v>
      </c>
      <c r="AK21" s="16"/>
      <c r="AL21" s="16" t="s">
        <v>141</v>
      </c>
      <c r="AM21" s="16" t="s">
        <v>171</v>
      </c>
      <c r="AN21" s="16" t="s">
        <v>169</v>
      </c>
      <c r="AO21" s="16" t="s">
        <v>175</v>
      </c>
      <c r="AP21" s="16" t="s">
        <v>174</v>
      </c>
    </row>
    <row r="22" spans="1:42">
      <c r="A22" s="1" t="s">
        <v>29</v>
      </c>
      <c r="B22" s="1" t="s">
        <v>30</v>
      </c>
      <c r="C22" s="1"/>
      <c r="D22" s="2" t="s">
        <v>75</v>
      </c>
      <c r="E22" s="16" t="s">
        <v>61</v>
      </c>
      <c r="F22" s="9">
        <v>78000</v>
      </c>
      <c r="G22" s="22">
        <v>110648</v>
      </c>
      <c r="H22"/>
      <c r="I22" s="9">
        <f t="shared" si="0"/>
        <v>111384.42595673876</v>
      </c>
      <c r="J22" s="9">
        <f t="shared" si="1"/>
        <v>0</v>
      </c>
      <c r="K22" s="9">
        <f t="shared" si="2"/>
        <v>113317.54409317802</v>
      </c>
      <c r="L22" s="9">
        <f t="shared" si="3"/>
        <v>0</v>
      </c>
      <c r="M22" s="9">
        <f t="shared" si="21"/>
        <v>115802.98169717137</v>
      </c>
      <c r="N22" s="20">
        <f t="shared" si="4"/>
        <v>0</v>
      </c>
      <c r="O22" s="9">
        <f t="shared" si="5"/>
        <v>111384.42595673876</v>
      </c>
      <c r="P22" s="9">
        <f t="shared" si="6"/>
        <v>130163.28785357736</v>
      </c>
      <c r="Q22" s="9">
        <f t="shared" si="7"/>
        <v>136671.45224625623</v>
      </c>
      <c r="S22" s="9">
        <f t="shared" si="18"/>
        <v>113317.54409317802</v>
      </c>
      <c r="T22" s="9">
        <f t="shared" si="19"/>
        <v>53.689852391347749</v>
      </c>
      <c r="U22" s="21" t="s">
        <v>76</v>
      </c>
      <c r="V22" s="9">
        <f t="shared" si="8"/>
        <v>0</v>
      </c>
      <c r="W22" s="9">
        <f t="shared" si="20"/>
        <v>115802.98169717137</v>
      </c>
      <c r="X22" s="9">
        <f t="shared" si="9"/>
        <v>0</v>
      </c>
      <c r="Y22" s="9">
        <f t="shared" si="10"/>
        <v>136671.45224625623</v>
      </c>
      <c r="AA22" s="58"/>
      <c r="AB22" s="48"/>
      <c r="AC22" s="58"/>
      <c r="AD22" s="66">
        <f t="shared" si="11"/>
        <v>0</v>
      </c>
      <c r="AE22" s="68">
        <f t="shared" si="12"/>
        <v>0</v>
      </c>
      <c r="AF22" s="68">
        <f t="shared" si="13"/>
        <v>0</v>
      </c>
      <c r="AG22" s="68">
        <f t="shared" si="14"/>
        <v>0</v>
      </c>
      <c r="AH22" s="68">
        <f t="shared" si="15"/>
        <v>0</v>
      </c>
      <c r="AI22" s="68">
        <f t="shared" si="16"/>
        <v>0</v>
      </c>
      <c r="AJ22" s="68">
        <f t="shared" si="17"/>
        <v>0</v>
      </c>
      <c r="AK22" s="16"/>
      <c r="AL22" s="16"/>
      <c r="AM22" s="16" t="s">
        <v>173</v>
      </c>
      <c r="AN22" s="16" t="s">
        <v>173</v>
      </c>
      <c r="AO22" s="16" t="s">
        <v>173</v>
      </c>
      <c r="AP22" s="16" t="s">
        <v>173</v>
      </c>
    </row>
    <row r="23" spans="1:42">
      <c r="A23" s="1" t="s">
        <v>31</v>
      </c>
      <c r="B23" s="1" t="s">
        <v>32</v>
      </c>
      <c r="C23" s="1" t="s">
        <v>5</v>
      </c>
      <c r="D23" s="2" t="s">
        <v>65</v>
      </c>
      <c r="E23" s="16" t="s">
        <v>61</v>
      </c>
      <c r="F23" s="9">
        <v>1361250</v>
      </c>
      <c r="G23" s="9">
        <v>1361250</v>
      </c>
      <c r="H23" s="9">
        <v>169400</v>
      </c>
      <c r="I23" s="9">
        <f t="shared" si="0"/>
        <v>1370309.9001663893</v>
      </c>
      <c r="J23" s="9">
        <f t="shared" si="1"/>
        <v>169400</v>
      </c>
      <c r="K23" s="9">
        <f t="shared" si="2"/>
        <v>1394092.1381031612</v>
      </c>
      <c r="L23" s="9">
        <f t="shared" si="3"/>
        <v>169400</v>
      </c>
      <c r="M23" s="9">
        <f t="shared" si="21"/>
        <v>1424669.3011647253</v>
      </c>
      <c r="N23" s="20">
        <f t="shared" si="4"/>
        <v>170717.71823681935</v>
      </c>
      <c r="O23" s="9">
        <f t="shared" si="5"/>
        <v>1539709.9001663893</v>
      </c>
      <c r="P23" s="9">
        <f t="shared" si="6"/>
        <v>1601337.3544093177</v>
      </c>
      <c r="Q23" s="9">
        <f t="shared" si="7"/>
        <v>1681404.2221297836</v>
      </c>
      <c r="R23" s="9">
        <v>181500</v>
      </c>
      <c r="S23" s="9">
        <f t="shared" si="18"/>
        <v>1564809.8563399806</v>
      </c>
      <c r="T23" s="9">
        <f t="shared" si="19"/>
        <v>741.40690993388273</v>
      </c>
      <c r="V23" s="9">
        <f t="shared" si="8"/>
        <v>189631.44547759931</v>
      </c>
      <c r="W23" s="9">
        <f t="shared" si="20"/>
        <v>1606169.3011647253</v>
      </c>
      <c r="X23" s="9">
        <f t="shared" si="9"/>
        <v>192665.54860524091</v>
      </c>
      <c r="Y23" s="9">
        <f t="shared" si="10"/>
        <v>1874069.7707350245</v>
      </c>
      <c r="Z23" s="15">
        <v>900000</v>
      </c>
      <c r="AA23" s="57">
        <v>70000</v>
      </c>
      <c r="AB23" s="53">
        <v>200000</v>
      </c>
      <c r="AC23" s="57">
        <v>15000</v>
      </c>
      <c r="AD23" s="66">
        <f t="shared" si="11"/>
        <v>1100000</v>
      </c>
      <c r="AE23" s="68">
        <f t="shared" si="12"/>
        <v>1083333.3333333333</v>
      </c>
      <c r="AF23" s="68">
        <f t="shared" si="13"/>
        <v>244251.20772946859</v>
      </c>
      <c r="AG23" s="68">
        <f t="shared" si="14"/>
        <v>1327584.5410628018</v>
      </c>
      <c r="AH23" s="68">
        <f t="shared" si="15"/>
        <v>1083333.3333333333</v>
      </c>
      <c r="AI23" s="68">
        <f t="shared" si="16"/>
        <v>245024.15458937196</v>
      </c>
      <c r="AJ23" s="68">
        <f t="shared" si="17"/>
        <v>1328357.4879227052</v>
      </c>
      <c r="AK23" s="16"/>
      <c r="AL23" s="16"/>
      <c r="AM23" s="16" t="s">
        <v>168</v>
      </c>
      <c r="AN23" s="16" t="s">
        <v>172</v>
      </c>
      <c r="AO23" s="16" t="s">
        <v>169</v>
      </c>
      <c r="AP23" s="16" t="s">
        <v>169</v>
      </c>
    </row>
    <row r="24" spans="1:42">
      <c r="A24" s="1" t="s">
        <v>25</v>
      </c>
      <c r="B24" s="1" t="s">
        <v>33</v>
      </c>
      <c r="C24" s="1" t="s">
        <v>5</v>
      </c>
      <c r="D24" s="2" t="s">
        <v>34</v>
      </c>
      <c r="E24" s="16" t="s">
        <v>61</v>
      </c>
      <c r="F24"/>
      <c r="G24"/>
      <c r="H24" s="9">
        <v>208725</v>
      </c>
      <c r="I24" s="9">
        <f t="shared" si="0"/>
        <v>0</v>
      </c>
      <c r="J24" s="9">
        <f t="shared" si="1"/>
        <v>208725</v>
      </c>
      <c r="K24" s="9">
        <f t="shared" si="2"/>
        <v>0</v>
      </c>
      <c r="L24" s="9">
        <f t="shared" si="3"/>
        <v>208725</v>
      </c>
      <c r="M24" s="9">
        <f t="shared" si="21"/>
        <v>0</v>
      </c>
      <c r="N24" s="20">
        <f t="shared" si="4"/>
        <v>210348.61711322385</v>
      </c>
      <c r="O24" s="9">
        <f t="shared" si="5"/>
        <v>208725</v>
      </c>
      <c r="P24" s="9">
        <f t="shared" si="6"/>
        <v>0</v>
      </c>
      <c r="Q24" s="9">
        <f t="shared" si="7"/>
        <v>0</v>
      </c>
      <c r="R24" s="9">
        <v>242000</v>
      </c>
      <c r="S24" s="9">
        <f t="shared" si="18"/>
        <v>210348.61711322385</v>
      </c>
      <c r="T24" s="9">
        <f t="shared" si="19"/>
        <v>99.66317478824547</v>
      </c>
      <c r="V24" s="9">
        <f t="shared" si="8"/>
        <v>252841.92730346575</v>
      </c>
      <c r="W24" s="9">
        <f t="shared" si="20"/>
        <v>242000</v>
      </c>
      <c r="X24" s="9">
        <f t="shared" si="9"/>
        <v>256887.39814032119</v>
      </c>
      <c r="Y24" s="9">
        <f t="shared" si="10"/>
        <v>256887.39814032119</v>
      </c>
      <c r="AA24" s="58"/>
      <c r="AB24" s="53">
        <v>162000</v>
      </c>
      <c r="AC24" s="57">
        <v>6000</v>
      </c>
      <c r="AD24" s="66">
        <f t="shared" si="11"/>
        <v>162000</v>
      </c>
      <c r="AE24" s="68">
        <f t="shared" si="12"/>
        <v>0</v>
      </c>
      <c r="AF24" s="68">
        <f t="shared" si="13"/>
        <v>197843.47826086957</v>
      </c>
      <c r="AG24" s="68">
        <f t="shared" si="14"/>
        <v>197843.47826086957</v>
      </c>
      <c r="AH24" s="68">
        <f t="shared" si="15"/>
        <v>0</v>
      </c>
      <c r="AI24" s="68">
        <f t="shared" si="16"/>
        <v>198469.5652173913</v>
      </c>
      <c r="AJ24" s="68">
        <f t="shared" si="17"/>
        <v>198469.5652173913</v>
      </c>
      <c r="AK24" s="16"/>
      <c r="AL24" s="64" t="s">
        <v>176</v>
      </c>
      <c r="AM24" s="16" t="s">
        <v>171</v>
      </c>
      <c r="AN24" s="16" t="s">
        <v>172</v>
      </c>
      <c r="AO24" s="16" t="s">
        <v>175</v>
      </c>
      <c r="AP24" s="16" t="s">
        <v>169</v>
      </c>
    </row>
    <row r="25" spans="1:42" ht="22.5">
      <c r="A25" s="1" t="s">
        <v>58</v>
      </c>
      <c r="B25" s="1" t="s">
        <v>67</v>
      </c>
      <c r="C25" s="1" t="s">
        <v>68</v>
      </c>
      <c r="D25" s="2" t="s">
        <v>107</v>
      </c>
      <c r="E25" s="16" t="s">
        <v>60</v>
      </c>
      <c r="F25" s="9">
        <v>250000</v>
      </c>
      <c r="G25" s="9">
        <v>250000</v>
      </c>
      <c r="H25" s="9">
        <v>5000</v>
      </c>
      <c r="I25" s="9">
        <v>275500</v>
      </c>
      <c r="J25" s="9">
        <f t="shared" si="1"/>
        <v>5000</v>
      </c>
      <c r="K25" s="9">
        <f t="shared" si="2"/>
        <v>280281.40495867765</v>
      </c>
      <c r="L25" s="9">
        <v>11500</v>
      </c>
      <c r="M25" s="9">
        <v>311428.93</v>
      </c>
      <c r="N25" s="20">
        <f t="shared" si="4"/>
        <v>11589.455488331892</v>
      </c>
      <c r="O25" s="9">
        <f t="shared" si="5"/>
        <v>287000</v>
      </c>
      <c r="P25" s="9">
        <f t="shared" si="6"/>
        <v>350048.0977901431</v>
      </c>
      <c r="Q25" s="9">
        <f t="shared" si="7"/>
        <v>367550.50267965026</v>
      </c>
      <c r="R25" s="9">
        <f>(118.3/116.6)*N25</f>
        <v>11758.426966292136</v>
      </c>
      <c r="S25" s="9">
        <f t="shared" si="18"/>
        <v>291870.86044700956</v>
      </c>
      <c r="T25" s="9">
        <f t="shared" si="19"/>
        <v>138.28841367979314</v>
      </c>
      <c r="V25" s="9">
        <f t="shared" si="8"/>
        <v>12285.220397579949</v>
      </c>
      <c r="W25" s="9">
        <f t="shared" si="20"/>
        <v>323187.35696629214</v>
      </c>
      <c r="X25" s="9">
        <f t="shared" si="9"/>
        <v>12481.783923941228</v>
      </c>
      <c r="Y25" s="9">
        <f t="shared" si="10"/>
        <v>380032.28660359152</v>
      </c>
      <c r="Z25" s="49"/>
      <c r="AA25" s="58"/>
      <c r="AB25" s="58"/>
      <c r="AD25" s="66">
        <f t="shared" si="11"/>
        <v>0</v>
      </c>
      <c r="AE25" s="68">
        <v>367550.50267965026</v>
      </c>
      <c r="AF25" s="68">
        <v>12481.783923941228</v>
      </c>
      <c r="AG25" s="68">
        <f t="shared" si="14"/>
        <v>380032.28660359152</v>
      </c>
      <c r="AH25" s="68">
        <f t="shared" si="15"/>
        <v>367550.50267965026</v>
      </c>
      <c r="AI25" s="68">
        <f t="shared" si="16"/>
        <v>12521.283240156232</v>
      </c>
      <c r="AJ25" s="68">
        <f t="shared" si="17"/>
        <v>380071.78591980651</v>
      </c>
      <c r="AK25" s="16"/>
      <c r="AL25" s="16" t="s">
        <v>152</v>
      </c>
      <c r="AM25" s="16" t="s">
        <v>170</v>
      </c>
      <c r="AN25" s="16" t="s">
        <v>170</v>
      </c>
      <c r="AO25" s="16" t="s">
        <v>170</v>
      </c>
      <c r="AP25" s="16" t="s">
        <v>173</v>
      </c>
    </row>
    <row r="26" spans="1:42">
      <c r="A26" s="18" t="s">
        <v>103</v>
      </c>
      <c r="B26" s="18" t="s">
        <v>121</v>
      </c>
      <c r="C26" s="18"/>
      <c r="D26" s="19" t="s">
        <v>104</v>
      </c>
      <c r="E26" s="16" t="s">
        <v>60</v>
      </c>
      <c r="M26" s="9">
        <v>80000</v>
      </c>
      <c r="N26" s="20"/>
      <c r="P26" s="9">
        <f t="shared" si="6"/>
        <v>89920.508744038161</v>
      </c>
      <c r="Q26" s="9">
        <f t="shared" si="7"/>
        <v>94416.534181240073</v>
      </c>
      <c r="T26" s="9"/>
      <c r="V26" s="9">
        <f t="shared" si="8"/>
        <v>0</v>
      </c>
      <c r="W26" s="9"/>
      <c r="X26" s="9">
        <f t="shared" si="9"/>
        <v>0</v>
      </c>
      <c r="Y26" s="9">
        <f t="shared" si="10"/>
        <v>94416.534181240073</v>
      </c>
      <c r="Z26" s="53">
        <v>41000</v>
      </c>
      <c r="AA26" s="58">
        <v>0</v>
      </c>
      <c r="AB26" s="58"/>
      <c r="AD26" s="66">
        <f t="shared" si="11"/>
        <v>41000</v>
      </c>
      <c r="AE26" s="68">
        <f t="shared" si="12"/>
        <v>49351.851851851854</v>
      </c>
      <c r="AF26" s="68">
        <f t="shared" si="13"/>
        <v>0</v>
      </c>
      <c r="AG26" s="68">
        <f t="shared" si="14"/>
        <v>49351.851851851854</v>
      </c>
      <c r="AH26" s="68">
        <f t="shared" si="15"/>
        <v>49351.851851851854</v>
      </c>
      <c r="AI26" s="68">
        <f t="shared" si="16"/>
        <v>0</v>
      </c>
      <c r="AJ26" s="68">
        <f t="shared" si="17"/>
        <v>49351.851851851854</v>
      </c>
      <c r="AK26" s="16"/>
      <c r="AL26" s="16"/>
      <c r="AM26" s="16" t="s">
        <v>170</v>
      </c>
      <c r="AN26" s="16" t="s">
        <v>170</v>
      </c>
      <c r="AO26" s="16" t="s">
        <v>170</v>
      </c>
      <c r="AP26" s="16" t="s">
        <v>170</v>
      </c>
    </row>
    <row r="27" spans="1:42" ht="22.5">
      <c r="A27" s="1" t="s">
        <v>114</v>
      </c>
      <c r="B27" s="1" t="s">
        <v>42</v>
      </c>
      <c r="C27" s="1" t="s">
        <v>10</v>
      </c>
      <c r="D27" s="2" t="s">
        <v>142</v>
      </c>
      <c r="E27" s="3" t="s">
        <v>61</v>
      </c>
      <c r="F27" s="9">
        <v>2380000</v>
      </c>
      <c r="G27" s="9">
        <v>2380000</v>
      </c>
      <c r="H27" s="9">
        <v>295000</v>
      </c>
      <c r="I27" s="9">
        <f>(121/120.2)*G27</f>
        <v>2395840.2662229617</v>
      </c>
      <c r="J27" s="9">
        <f>H27</f>
        <v>295000</v>
      </c>
      <c r="K27" s="9">
        <f>(123.1/121)*I27</f>
        <v>2437420.9650582359</v>
      </c>
      <c r="L27" s="9">
        <f>J27</f>
        <v>295000</v>
      </c>
      <c r="M27" s="9">
        <f>(125.8/123.1)*K27</f>
        <v>2490881.863560732</v>
      </c>
      <c r="N27" s="9">
        <f>(116.6/115.7)*L27</f>
        <v>297294.72774416592</v>
      </c>
      <c r="O27" s="9">
        <f>I27+L27</f>
        <v>2690840.2662229617</v>
      </c>
      <c r="P27" s="9">
        <f>(141.4/125.8)*M27</f>
        <v>2799767.0549084856</v>
      </c>
      <c r="Q27" s="9">
        <f t="shared" si="7"/>
        <v>2939755.4076539101</v>
      </c>
      <c r="R27" s="9">
        <v>0</v>
      </c>
      <c r="S27" s="9">
        <f>SUM(N27,K27)</f>
        <v>2734715.6928024017</v>
      </c>
      <c r="T27" s="9">
        <f>0.4738*S27/1000</f>
        <v>1295.7082952497778</v>
      </c>
      <c r="V27" s="9">
        <v>0</v>
      </c>
      <c r="W27" s="9">
        <f>M27+R27</f>
        <v>2490881.863560732</v>
      </c>
      <c r="X27" s="9">
        <f t="shared" si="9"/>
        <v>0</v>
      </c>
      <c r="Y27" s="9">
        <f t="shared" si="10"/>
        <v>2939755.4076539101</v>
      </c>
      <c r="Z27" s="15">
        <v>2350000</v>
      </c>
      <c r="AA27" s="57">
        <v>175000</v>
      </c>
      <c r="AB27" s="58"/>
      <c r="AD27" s="66">
        <f t="shared" si="11"/>
        <v>2350000</v>
      </c>
      <c r="AE27" s="68">
        <f t="shared" si="12"/>
        <v>2828703.7037037038</v>
      </c>
      <c r="AF27" s="68">
        <v>100000</v>
      </c>
      <c r="AG27" s="68">
        <f t="shared" si="14"/>
        <v>2928703.7037037038</v>
      </c>
      <c r="AH27" s="68">
        <f t="shared" si="15"/>
        <v>2828703.7037037038</v>
      </c>
      <c r="AI27" s="68">
        <f t="shared" si="16"/>
        <v>100316.45569620254</v>
      </c>
      <c r="AJ27" s="68">
        <f t="shared" si="17"/>
        <v>2929020.1593999062</v>
      </c>
      <c r="AK27" s="16"/>
      <c r="AL27" s="16"/>
      <c r="AM27" s="16" t="s">
        <v>177</v>
      </c>
      <c r="AN27" s="16" t="s">
        <v>169</v>
      </c>
      <c r="AO27" s="16" t="s">
        <v>169</v>
      </c>
      <c r="AP27" s="16" t="s">
        <v>169</v>
      </c>
    </row>
    <row r="28" spans="1:42">
      <c r="A28" s="18"/>
      <c r="B28" s="18"/>
      <c r="C28" s="18"/>
      <c r="D28" s="19"/>
      <c r="E28" s="17"/>
      <c r="T28" s="9"/>
      <c r="V28" s="9"/>
      <c r="W28" s="9"/>
      <c r="X28" s="9"/>
      <c r="Y28" s="9"/>
      <c r="Z28" s="15"/>
      <c r="AA28" s="57"/>
      <c r="AB28" s="58"/>
      <c r="AD28" s="15"/>
      <c r="AE28" s="68"/>
      <c r="AF28" s="68"/>
      <c r="AG28" s="68"/>
      <c r="AH28" s="68"/>
      <c r="AI28" s="68"/>
      <c r="AJ28" s="68"/>
      <c r="AK28" s="16"/>
      <c r="AL28" s="16"/>
      <c r="AM28" s="16"/>
      <c r="AN28" s="16"/>
      <c r="AO28" s="16"/>
      <c r="AP28" s="16"/>
    </row>
    <row r="29" spans="1:42">
      <c r="A29" s="5" t="s">
        <v>35</v>
      </c>
      <c r="B29" s="5"/>
      <c r="C29" s="5"/>
      <c r="D29" s="6"/>
      <c r="E29" s="16"/>
      <c r="F29" s="13">
        <f t="shared" ref="F29:L29" si="22">SUM(F7:F25)</f>
        <v>22953000</v>
      </c>
      <c r="G29" s="13">
        <f t="shared" si="22"/>
        <v>22985648</v>
      </c>
      <c r="H29" s="13">
        <f t="shared" si="22"/>
        <v>2727225</v>
      </c>
      <c r="I29" s="13">
        <f t="shared" si="22"/>
        <v>23162466.788685519</v>
      </c>
      <c r="J29" s="9">
        <f t="shared" si="22"/>
        <v>2727225</v>
      </c>
      <c r="K29" s="13">
        <f t="shared" si="22"/>
        <v>23564460.013943695</v>
      </c>
      <c r="L29" s="13">
        <f t="shared" si="22"/>
        <v>2733725</v>
      </c>
      <c r="M29" s="13">
        <f t="shared" si="21"/>
        <v>24081308.446418498</v>
      </c>
      <c r="N29" s="13">
        <f>SUM(N7:N25)</f>
        <v>2754989.9308556612</v>
      </c>
      <c r="O29" s="13">
        <f>SUM(O7:O25)</f>
        <v>25896191.788685519</v>
      </c>
      <c r="P29" s="51">
        <f>SUM(P7:P26)</f>
        <v>29081488.797747031</v>
      </c>
      <c r="Q29" s="13">
        <f>SUM(Q7:Q27)</f>
        <v>33475318.645288285</v>
      </c>
      <c r="R29" s="13">
        <f>SUM(R7:R25)</f>
        <v>2876538.4269662923</v>
      </c>
      <c r="S29" s="13">
        <f>SUM(S7:S25)</f>
        <v>26319449.944799356</v>
      </c>
      <c r="T29" s="13">
        <f>SUM(T7:T25)</f>
        <v>12470.155383845939</v>
      </c>
      <c r="V29" s="9">
        <f t="shared" si="8"/>
        <v>3005411.2389943679</v>
      </c>
      <c r="W29" s="13">
        <f t="shared" ref="W29:W45" si="23">M29+R29</f>
        <v>26957846.873384789</v>
      </c>
      <c r="X29" s="13">
        <f>SUM(X7:X27)</f>
        <v>3053497.8188182772</v>
      </c>
      <c r="Y29" s="13">
        <f t="shared" si="10"/>
        <v>36528816.46410656</v>
      </c>
      <c r="Z29" s="54">
        <f>SUM(Z7:Z27)</f>
        <v>26715000</v>
      </c>
      <c r="AA29" s="58"/>
      <c r="AB29" s="44">
        <f>SUM(AB7:AB27)</f>
        <v>2061000</v>
      </c>
      <c r="AD29" s="54">
        <f>SUM(Z29+AB29)</f>
        <v>28776000</v>
      </c>
      <c r="AE29" s="69">
        <f>SUM(AE7:AE27)</f>
        <v>36556902.354531504</v>
      </c>
      <c r="AF29" s="69">
        <f>SUM(AF7:AF27)</f>
        <v>1539558.1124263566</v>
      </c>
      <c r="AG29" s="69">
        <f>SUM(AG7:AG27)</f>
        <v>38096460.466957852</v>
      </c>
      <c r="AH29" s="69">
        <f t="shared" si="15"/>
        <v>36556902.354531504</v>
      </c>
      <c r="AI29" s="69">
        <f t="shared" si="16"/>
        <v>1544430.1317694781</v>
      </c>
      <c r="AJ29" s="69">
        <f>SUM(AJ7:AJ28)</f>
        <v>38101332.486300975</v>
      </c>
      <c r="AK29" s="16"/>
      <c r="AL29" s="16"/>
      <c r="AM29" s="16"/>
      <c r="AN29" s="16"/>
      <c r="AO29" s="16"/>
      <c r="AP29" s="16"/>
    </row>
    <row r="30" spans="1:42">
      <c r="A30" s="5"/>
      <c r="B30" s="5"/>
      <c r="C30" s="5"/>
      <c r="D30" s="6"/>
      <c r="E30" s="7"/>
      <c r="G30" s="9">
        <f t="shared" ref="G30:G32" si="24">120.2/118.8*F30</f>
        <v>0</v>
      </c>
      <c r="I30" s="9">
        <f t="shared" si="0"/>
        <v>0</v>
      </c>
      <c r="J30" s="9">
        <f t="shared" ref="J30:J38" si="25">H30</f>
        <v>0</v>
      </c>
      <c r="L30" s="9">
        <f t="shared" si="3"/>
        <v>0</v>
      </c>
      <c r="M30" s="9">
        <f t="shared" si="21"/>
        <v>0</v>
      </c>
      <c r="O30" s="9">
        <f xml:space="preserve"> J30+G30</f>
        <v>0</v>
      </c>
      <c r="P30" s="9">
        <f t="shared" si="6"/>
        <v>0</v>
      </c>
      <c r="T30" s="9">
        <f t="shared" si="19"/>
        <v>0</v>
      </c>
      <c r="V30" s="9">
        <f t="shared" si="8"/>
        <v>0</v>
      </c>
      <c r="W30" s="9">
        <f t="shared" si="23"/>
        <v>0</v>
      </c>
      <c r="X30" s="9"/>
      <c r="Y30" s="9">
        <f t="shared" si="10"/>
        <v>0</v>
      </c>
      <c r="Z30" s="49" t="s">
        <v>108</v>
      </c>
      <c r="AA30" s="58"/>
      <c r="AE30" s="16"/>
      <c r="AF30" s="16"/>
      <c r="AG30" s="16"/>
      <c r="AH30" s="68"/>
      <c r="AI30" s="68"/>
      <c r="AJ30" s="16"/>
      <c r="AK30" s="16"/>
      <c r="AL30" s="16"/>
      <c r="AM30" s="16"/>
      <c r="AN30" s="16"/>
      <c r="AO30" s="16"/>
      <c r="AP30" s="16"/>
    </row>
    <row r="31" spans="1:42">
      <c r="A31" s="8" t="s">
        <v>36</v>
      </c>
      <c r="B31" s="1"/>
      <c r="C31" s="1"/>
      <c r="D31" s="2"/>
      <c r="E31" s="3"/>
      <c r="G31" s="9">
        <f t="shared" si="24"/>
        <v>0</v>
      </c>
      <c r="I31" s="9">
        <f t="shared" si="0"/>
        <v>0</v>
      </c>
      <c r="J31" s="9">
        <f t="shared" si="25"/>
        <v>0</v>
      </c>
      <c r="L31" s="9">
        <f t="shared" si="3"/>
        <v>0</v>
      </c>
      <c r="M31" s="9">
        <f t="shared" si="21"/>
        <v>0</v>
      </c>
      <c r="O31" s="9">
        <f xml:space="preserve"> J31+G31</f>
        <v>0</v>
      </c>
      <c r="P31" s="9">
        <f t="shared" si="6"/>
        <v>0</v>
      </c>
      <c r="T31" s="9">
        <f t="shared" si="19"/>
        <v>0</v>
      </c>
      <c r="V31" s="9">
        <f t="shared" si="8"/>
        <v>0</v>
      </c>
      <c r="W31" s="9">
        <f t="shared" si="23"/>
        <v>0</v>
      </c>
      <c r="X31" s="9"/>
      <c r="Y31" s="9">
        <f t="shared" si="10"/>
        <v>0</v>
      </c>
      <c r="Z31" s="15"/>
      <c r="AA31" s="58"/>
      <c r="AE31" s="16"/>
      <c r="AF31" s="16"/>
      <c r="AG31" s="16"/>
      <c r="AH31" s="68"/>
      <c r="AI31" s="68"/>
      <c r="AJ31" s="16"/>
      <c r="AK31" s="16"/>
      <c r="AL31" s="16"/>
      <c r="AM31" s="16"/>
      <c r="AN31" s="16"/>
      <c r="AO31" s="16"/>
      <c r="AP31" s="16"/>
    </row>
    <row r="32" spans="1:42">
      <c r="A32" s="1"/>
      <c r="B32" s="1"/>
      <c r="C32" s="1"/>
      <c r="D32" s="2"/>
      <c r="E32" s="3"/>
      <c r="G32" s="9">
        <f t="shared" si="24"/>
        <v>0</v>
      </c>
      <c r="I32" s="9">
        <f t="shared" si="0"/>
        <v>0</v>
      </c>
      <c r="J32" s="9">
        <f t="shared" si="25"/>
        <v>0</v>
      </c>
      <c r="L32" s="9">
        <f t="shared" si="3"/>
        <v>0</v>
      </c>
      <c r="M32" s="9">
        <f t="shared" si="21"/>
        <v>0</v>
      </c>
      <c r="O32" s="9">
        <f xml:space="preserve"> J32+G32</f>
        <v>0</v>
      </c>
      <c r="P32" s="9">
        <f t="shared" si="6"/>
        <v>0</v>
      </c>
      <c r="T32" s="9">
        <f t="shared" si="19"/>
        <v>0</v>
      </c>
      <c r="V32" s="9">
        <f t="shared" si="8"/>
        <v>0</v>
      </c>
      <c r="W32" s="9">
        <f t="shared" si="23"/>
        <v>0</v>
      </c>
      <c r="X32" s="9"/>
      <c r="Y32" s="9">
        <f t="shared" si="10"/>
        <v>0</v>
      </c>
      <c r="Z32" s="15"/>
      <c r="AA32" s="58"/>
      <c r="AE32" s="16"/>
      <c r="AF32" s="16"/>
      <c r="AG32" s="16"/>
      <c r="AH32" s="68"/>
      <c r="AI32" s="68"/>
      <c r="AJ32" s="16"/>
      <c r="AK32" s="16"/>
      <c r="AL32" s="16"/>
      <c r="AM32" s="16"/>
      <c r="AN32" s="16"/>
      <c r="AO32" s="16"/>
      <c r="AP32" s="16"/>
    </row>
    <row r="33" spans="1:42">
      <c r="A33" s="1" t="s">
        <v>37</v>
      </c>
      <c r="B33" s="1" t="s">
        <v>9</v>
      </c>
      <c r="C33" s="1" t="s">
        <v>5</v>
      </c>
      <c r="D33" s="2" t="s">
        <v>38</v>
      </c>
      <c r="E33" s="3" t="s">
        <v>61</v>
      </c>
      <c r="F33" s="9">
        <v>2170000</v>
      </c>
      <c r="G33" s="20">
        <v>2270000</v>
      </c>
      <c r="H33" s="9">
        <v>385000</v>
      </c>
      <c r="I33" s="9">
        <f t="shared" si="0"/>
        <v>2285108.1530782031</v>
      </c>
      <c r="J33" s="9">
        <f t="shared" si="25"/>
        <v>385000</v>
      </c>
      <c r="K33" s="9">
        <f>(123.1/121)*I33</f>
        <v>2324767.0549084856</v>
      </c>
      <c r="L33" s="9">
        <f t="shared" si="3"/>
        <v>385000</v>
      </c>
      <c r="M33" s="9">
        <f t="shared" si="21"/>
        <v>2375757.0715474212</v>
      </c>
      <c r="N33" s="9">
        <f>(116.6/115.7)*L33</f>
        <v>387994.81417458947</v>
      </c>
      <c r="O33" s="9">
        <f>I33+L33</f>
        <v>2670108.1530782031</v>
      </c>
      <c r="P33" s="9">
        <f t="shared" si="6"/>
        <v>2670366.0565723795</v>
      </c>
      <c r="Q33" s="9">
        <f>P33*1.05</f>
        <v>2803884.3594009988</v>
      </c>
      <c r="R33" s="9">
        <v>530000</v>
      </c>
      <c r="S33" s="9">
        <f>SUM(N33,K33)</f>
        <v>2712761.8690830749</v>
      </c>
      <c r="T33" s="9">
        <f t="shared" si="19"/>
        <v>1285.3065735715609</v>
      </c>
      <c r="U33" s="21" t="s">
        <v>74</v>
      </c>
      <c r="V33" s="9">
        <f t="shared" si="8"/>
        <v>553744.71682163991</v>
      </c>
      <c r="W33" s="9">
        <f t="shared" si="23"/>
        <v>2905757.0715474212</v>
      </c>
      <c r="X33" s="9">
        <f>V33*1.06</f>
        <v>586969.39983093832</v>
      </c>
      <c r="Y33" s="9">
        <f t="shared" si="10"/>
        <v>3390853.7592319371</v>
      </c>
      <c r="Z33" s="52">
        <v>2715000</v>
      </c>
      <c r="AA33" s="57">
        <v>205000</v>
      </c>
      <c r="AB33" s="53">
        <v>240000</v>
      </c>
      <c r="AC33" s="57">
        <v>15000</v>
      </c>
      <c r="AD33" s="53">
        <f>SUM(Z33+AB33)</f>
        <v>2955000</v>
      </c>
      <c r="AE33" s="70">
        <f>130/108*Z33</f>
        <v>3268055.5555555555</v>
      </c>
      <c r="AF33" s="70">
        <f>126.4/103.5*AB33</f>
        <v>293101.44927536231</v>
      </c>
      <c r="AG33" s="70">
        <f>SUM(AE33:AF33)</f>
        <v>3561157.0048309178</v>
      </c>
      <c r="AH33" s="68">
        <f t="shared" si="15"/>
        <v>3268055.5555555555</v>
      </c>
      <c r="AI33" s="68">
        <f t="shared" si="16"/>
        <v>294028.98550724634</v>
      </c>
      <c r="AJ33" s="70">
        <f>AH33+AI33</f>
        <v>3562084.5410628021</v>
      </c>
      <c r="AK33" s="64" t="s">
        <v>130</v>
      </c>
      <c r="AL33" s="16"/>
      <c r="AM33" s="16" t="s">
        <v>171</v>
      </c>
      <c r="AN33" s="16" t="s">
        <v>169</v>
      </c>
      <c r="AO33" s="16" t="s">
        <v>169</v>
      </c>
      <c r="AP33" s="16" t="s">
        <v>174</v>
      </c>
    </row>
    <row r="34" spans="1:42">
      <c r="A34" s="1" t="s">
        <v>37</v>
      </c>
      <c r="B34" s="1" t="s">
        <v>39</v>
      </c>
      <c r="C34" s="1" t="s">
        <v>5</v>
      </c>
      <c r="D34" s="2" t="s">
        <v>40</v>
      </c>
      <c r="E34" s="3" t="s">
        <v>61</v>
      </c>
      <c r="F34" s="9">
        <v>1850000</v>
      </c>
      <c r="G34" s="9">
        <v>1850000</v>
      </c>
      <c r="H34" s="9">
        <v>375000</v>
      </c>
      <c r="I34" s="9">
        <f t="shared" si="0"/>
        <v>1862312.8119800333</v>
      </c>
      <c r="J34" s="9">
        <f t="shared" si="25"/>
        <v>375000</v>
      </c>
      <c r="K34" s="9">
        <f t="shared" ref="K34:K37" si="26">(123.1/121)*I34</f>
        <v>1894633.9434276205</v>
      </c>
      <c r="L34" s="9">
        <f t="shared" si="3"/>
        <v>375000</v>
      </c>
      <c r="M34" s="9">
        <f t="shared" si="21"/>
        <v>1936189.6838602331</v>
      </c>
      <c r="N34" s="9">
        <f>(116.6/115.7)*L34</f>
        <v>377917.02679343126</v>
      </c>
      <c r="O34" s="9">
        <f>I34+L34</f>
        <v>2237312.8119800333</v>
      </c>
      <c r="P34" s="9">
        <f t="shared" si="6"/>
        <v>2176289.5174708823</v>
      </c>
      <c r="Q34" s="9">
        <f>P34*1.05</f>
        <v>2285103.9933444266</v>
      </c>
      <c r="R34" s="9">
        <v>495000</v>
      </c>
      <c r="S34" s="9">
        <f>SUM(N34,K34)</f>
        <v>2272550.9702210519</v>
      </c>
      <c r="T34" s="9">
        <f t="shared" si="19"/>
        <v>1076.7346496907344</v>
      </c>
      <c r="V34" s="9">
        <f t="shared" si="8"/>
        <v>517176.66948436177</v>
      </c>
      <c r="W34" s="9">
        <f t="shared" si="23"/>
        <v>2431189.6838602331</v>
      </c>
      <c r="X34" s="9">
        <f t="shared" ref="X34:X35" si="27">V34*1.06</f>
        <v>548207.26965342346</v>
      </c>
      <c r="Y34" s="9">
        <f t="shared" si="10"/>
        <v>2833311.2629978498</v>
      </c>
      <c r="Z34" s="15">
        <v>3385000</v>
      </c>
      <c r="AA34" s="57">
        <v>255000</v>
      </c>
      <c r="AB34" s="53">
        <v>360000</v>
      </c>
      <c r="AC34" s="57">
        <v>25000</v>
      </c>
      <c r="AD34" s="53">
        <f t="shared" ref="AD34:AD35" si="28">SUM(Z34+AB34)</f>
        <v>3745000</v>
      </c>
      <c r="AE34" s="70">
        <f>130/108*Z34</f>
        <v>4074537.0370370373</v>
      </c>
      <c r="AF34" s="70">
        <f>126.4/103.5*AB34</f>
        <v>439652.17391304346</v>
      </c>
      <c r="AG34" s="70">
        <f t="shared" ref="AG34:AG35" si="29">SUM(AE34:AF34)</f>
        <v>4514189.2109500803</v>
      </c>
      <c r="AH34" s="68">
        <f t="shared" si="15"/>
        <v>4074537.0370370373</v>
      </c>
      <c r="AI34" s="68">
        <f t="shared" si="16"/>
        <v>441043.47826086957</v>
      </c>
      <c r="AJ34" s="70">
        <f t="shared" ref="AJ34:AJ35" si="30">AH34+AI34</f>
        <v>4515580.5152979065</v>
      </c>
      <c r="AK34" s="64" t="s">
        <v>131</v>
      </c>
      <c r="AL34" s="16"/>
      <c r="AM34" s="16" t="s">
        <v>171</v>
      </c>
      <c r="AN34" s="16" t="s">
        <v>169</v>
      </c>
      <c r="AO34" s="16" t="s">
        <v>169</v>
      </c>
      <c r="AP34" s="16" t="s">
        <v>174</v>
      </c>
    </row>
    <row r="35" spans="1:42">
      <c r="A35" s="1" t="s">
        <v>37</v>
      </c>
      <c r="B35" s="1" t="s">
        <v>41</v>
      </c>
      <c r="C35" s="1" t="s">
        <v>5</v>
      </c>
      <c r="D35" s="2" t="s">
        <v>134</v>
      </c>
      <c r="E35" s="3" t="s">
        <v>61</v>
      </c>
      <c r="F35" s="9">
        <v>3625000</v>
      </c>
      <c r="G35" s="9">
        <v>3625000</v>
      </c>
      <c r="H35" s="9">
        <v>626000</v>
      </c>
      <c r="I35" s="9">
        <f t="shared" si="0"/>
        <v>3649126.4559068219</v>
      </c>
      <c r="J35" s="9">
        <f t="shared" si="25"/>
        <v>626000</v>
      </c>
      <c r="K35" s="9">
        <f t="shared" si="26"/>
        <v>3712458.4026622293</v>
      </c>
      <c r="L35" s="9">
        <f t="shared" si="3"/>
        <v>626000</v>
      </c>
      <c r="M35" s="9">
        <v>4450000</v>
      </c>
      <c r="N35" s="9">
        <f>(116.6/115.7)*L35</f>
        <v>630869.49006050127</v>
      </c>
      <c r="O35" s="9">
        <f>I35+L35</f>
        <v>4275126.4559068214</v>
      </c>
      <c r="P35" s="9">
        <f t="shared" si="6"/>
        <v>5001828.2988871224</v>
      </c>
      <c r="Q35" s="9">
        <f>P35*1.05</f>
        <v>5251919.7138314787</v>
      </c>
      <c r="R35" s="9">
        <v>700000</v>
      </c>
      <c r="S35" s="9">
        <f>SUM(N35,K35)</f>
        <v>4343327.8927227305</v>
      </c>
      <c r="T35" s="9">
        <f t="shared" si="19"/>
        <v>2057.8687555720298</v>
      </c>
      <c r="V35" s="9">
        <f t="shared" si="8"/>
        <v>731360.94674556213</v>
      </c>
      <c r="W35" s="9">
        <f t="shared" si="23"/>
        <v>5150000</v>
      </c>
      <c r="X35" s="9">
        <f t="shared" si="27"/>
        <v>775242.60355029593</v>
      </c>
      <c r="Y35" s="9">
        <f t="shared" si="10"/>
        <v>6027162.317381775</v>
      </c>
      <c r="Z35" s="15">
        <v>5070000</v>
      </c>
      <c r="AA35" s="57">
        <v>380000</v>
      </c>
      <c r="AB35" s="53">
        <v>480000</v>
      </c>
      <c r="AC35" s="57">
        <v>30000</v>
      </c>
      <c r="AD35" s="53">
        <f t="shared" si="28"/>
        <v>5550000</v>
      </c>
      <c r="AE35" s="70">
        <f>130/108*Z35</f>
        <v>6102777.777777778</v>
      </c>
      <c r="AF35" s="70">
        <f>126.4/103.5*AB35</f>
        <v>586202.89855072461</v>
      </c>
      <c r="AG35" s="70">
        <f t="shared" si="29"/>
        <v>6688980.6763285026</v>
      </c>
      <c r="AH35" s="68">
        <f t="shared" si="15"/>
        <v>6102777.777777778</v>
      </c>
      <c r="AI35" s="68">
        <f t="shared" si="16"/>
        <v>588057.97101449268</v>
      </c>
      <c r="AJ35" s="70">
        <f t="shared" si="30"/>
        <v>6690835.7487922702</v>
      </c>
      <c r="AK35" s="64" t="s">
        <v>132</v>
      </c>
      <c r="AL35" s="16"/>
      <c r="AM35" s="16" t="s">
        <v>171</v>
      </c>
      <c r="AN35" s="16" t="s">
        <v>169</v>
      </c>
      <c r="AO35" s="16" t="s">
        <v>169</v>
      </c>
      <c r="AP35" s="16" t="s">
        <v>174</v>
      </c>
    </row>
    <row r="36" spans="1:42">
      <c r="Y36" s="9">
        <f t="shared" si="10"/>
        <v>0</v>
      </c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>
      <c r="A37" s="1" t="s">
        <v>43</v>
      </c>
      <c r="B37" s="1" t="s">
        <v>44</v>
      </c>
      <c r="C37" s="1" t="s">
        <v>5</v>
      </c>
      <c r="D37" s="2" t="s">
        <v>45</v>
      </c>
      <c r="E37" s="3"/>
      <c r="J37" s="9">
        <f t="shared" si="25"/>
        <v>0</v>
      </c>
      <c r="K37" s="9">
        <f t="shared" si="26"/>
        <v>0</v>
      </c>
      <c r="L37" s="9">
        <f t="shared" si="3"/>
        <v>0</v>
      </c>
      <c r="M37" s="9">
        <f>(125.8/123.1)*K37</f>
        <v>0</v>
      </c>
      <c r="N37" s="9">
        <f>(116.6/115.7)*L37</f>
        <v>0</v>
      </c>
      <c r="P37" s="9">
        <f t="shared" si="6"/>
        <v>0</v>
      </c>
      <c r="T37" s="9">
        <f t="shared" si="19"/>
        <v>0</v>
      </c>
      <c r="V37" s="9">
        <f t="shared" si="8"/>
        <v>0</v>
      </c>
      <c r="W37" s="9">
        <f t="shared" si="23"/>
        <v>0</v>
      </c>
      <c r="X37" s="9"/>
      <c r="Y37" s="9">
        <f t="shared" si="10"/>
        <v>0</v>
      </c>
      <c r="Z37" s="15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</row>
    <row r="38" spans="1:42">
      <c r="A38" s="33" t="s">
        <v>46</v>
      </c>
      <c r="B38" s="33"/>
      <c r="C38" s="33"/>
      <c r="D38" s="10"/>
      <c r="E38" s="34"/>
      <c r="F38" s="13">
        <f>SUM(F33:F37)</f>
        <v>7645000</v>
      </c>
      <c r="G38" s="13">
        <f>SUM(G33:G37)</f>
        <v>7745000</v>
      </c>
      <c r="H38" s="13">
        <f>SUM(H33:H37)</f>
        <v>1386000</v>
      </c>
      <c r="I38" s="13">
        <f>SUM(I33:I37)</f>
        <v>7796547.4209650587</v>
      </c>
      <c r="J38" s="13">
        <f t="shared" si="25"/>
        <v>1386000</v>
      </c>
      <c r="K38" s="13">
        <f>SUM(K33:K37)</f>
        <v>7931859.4009983353</v>
      </c>
      <c r="L38" s="13">
        <f t="shared" si="3"/>
        <v>1386000</v>
      </c>
      <c r="M38" s="13">
        <f>SUM(M33:M37)</f>
        <v>8761946.7554076537</v>
      </c>
      <c r="N38" s="13">
        <f>SUM(N33:N37)</f>
        <v>1396781.331028522</v>
      </c>
      <c r="O38" s="13">
        <f>SUM(O33:O37)</f>
        <v>9182547.4209650569</v>
      </c>
      <c r="P38" s="9">
        <f>SUM(P30:P37)</f>
        <v>9848483.8729303852</v>
      </c>
      <c r="Q38" s="13">
        <f>SUM(Q33:Q37)</f>
        <v>10340908.066576904</v>
      </c>
      <c r="R38" s="13">
        <f>SUM(R33:R36)</f>
        <v>1725000</v>
      </c>
      <c r="S38" s="13">
        <f>SUM(S33:S37)</f>
        <v>9328640.7320268564</v>
      </c>
      <c r="T38" s="13">
        <f>SUM(T33:T37)</f>
        <v>4419.9099788343246</v>
      </c>
      <c r="V38" s="9">
        <f t="shared" si="8"/>
        <v>1802282.3330515637</v>
      </c>
      <c r="W38" s="13">
        <f t="shared" si="23"/>
        <v>10486946.755407654</v>
      </c>
      <c r="X38" s="13">
        <f>SUM(X33:X37)</f>
        <v>1910419.2730346578</v>
      </c>
      <c r="Y38" s="13">
        <f t="shared" si="10"/>
        <v>12251327.339611562</v>
      </c>
      <c r="Z38" s="54">
        <f>SUM(Z33:Z35)</f>
        <v>11170000</v>
      </c>
      <c r="AB38" s="54">
        <f>SUM(AB33:AB37)</f>
        <v>1080000</v>
      </c>
      <c r="AC38" s="54"/>
      <c r="AD38" s="54">
        <f>SUM(Z38+AB38)</f>
        <v>12250000</v>
      </c>
      <c r="AE38" s="69">
        <f t="shared" ref="AE38:AJ38" si="31">SUM(AE33:AE37)</f>
        <v>13445370.370370371</v>
      </c>
      <c r="AF38" s="69">
        <f t="shared" si="31"/>
        <v>1318956.5217391304</v>
      </c>
      <c r="AG38" s="69">
        <f t="shared" si="31"/>
        <v>14764326.8921095</v>
      </c>
      <c r="AH38" s="69">
        <f t="shared" si="31"/>
        <v>13445370.370370371</v>
      </c>
      <c r="AI38" s="69">
        <f t="shared" si="31"/>
        <v>1323130.4347826086</v>
      </c>
      <c r="AJ38" s="69">
        <f t="shared" si="31"/>
        <v>14768500.805152979</v>
      </c>
      <c r="AK38" s="16"/>
      <c r="AL38" s="16"/>
      <c r="AM38" s="16"/>
      <c r="AN38" s="16"/>
      <c r="AO38" s="16"/>
      <c r="AP38" s="16"/>
    </row>
    <row r="39" spans="1:42">
      <c r="A39" s="35"/>
      <c r="B39" s="35"/>
      <c r="C39" s="35"/>
      <c r="D39" s="11"/>
      <c r="E39" s="36"/>
      <c r="M39" s="9">
        <f t="shared" ref="M39:M45" si="32">(125.8/123.1)*K39</f>
        <v>0</v>
      </c>
      <c r="P39" s="9">
        <f t="shared" si="6"/>
        <v>0</v>
      </c>
      <c r="T39" s="9">
        <f t="shared" si="19"/>
        <v>0</v>
      </c>
      <c r="V39" s="9">
        <f t="shared" si="8"/>
        <v>0</v>
      </c>
      <c r="W39" s="9">
        <f t="shared" si="23"/>
        <v>0</v>
      </c>
      <c r="X39" s="9"/>
      <c r="Y39" s="9">
        <f t="shared" si="10"/>
        <v>0</v>
      </c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</row>
    <row r="40" spans="1:42">
      <c r="A40" s="8" t="s">
        <v>47</v>
      </c>
      <c r="B40" s="37"/>
      <c r="C40" s="37"/>
      <c r="D40" s="12"/>
      <c r="E40" s="3"/>
      <c r="M40" s="9">
        <f t="shared" si="32"/>
        <v>0</v>
      </c>
      <c r="P40" s="9">
        <f t="shared" si="6"/>
        <v>0</v>
      </c>
      <c r="T40" s="9">
        <f t="shared" si="19"/>
        <v>0</v>
      </c>
      <c r="V40" s="9">
        <f t="shared" si="8"/>
        <v>0</v>
      </c>
      <c r="W40" s="9">
        <f t="shared" si="23"/>
        <v>0</v>
      </c>
      <c r="X40" s="9"/>
      <c r="Y40" s="9">
        <f t="shared" si="10"/>
        <v>0</v>
      </c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</row>
    <row r="41" spans="1:42">
      <c r="A41" s="1"/>
      <c r="B41" s="1"/>
      <c r="C41" s="1"/>
      <c r="D41" s="2"/>
      <c r="E41" s="3"/>
      <c r="M41" s="9">
        <f t="shared" si="32"/>
        <v>0</v>
      </c>
      <c r="P41" s="9">
        <f t="shared" si="6"/>
        <v>0</v>
      </c>
      <c r="T41" s="9">
        <f t="shared" si="19"/>
        <v>0</v>
      </c>
      <c r="V41" s="9">
        <f t="shared" si="8"/>
        <v>0</v>
      </c>
      <c r="W41" s="9">
        <f t="shared" si="23"/>
        <v>0</v>
      </c>
      <c r="X41" s="9"/>
      <c r="Y41" s="9">
        <f t="shared" si="10"/>
        <v>0</v>
      </c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</row>
    <row r="42" spans="1:42">
      <c r="A42" s="1" t="s">
        <v>49</v>
      </c>
      <c r="B42" s="1" t="s">
        <v>50</v>
      </c>
      <c r="C42" s="1" t="s">
        <v>88</v>
      </c>
      <c r="D42" s="2" t="s">
        <v>51</v>
      </c>
      <c r="E42" s="3" t="s">
        <v>61</v>
      </c>
      <c r="F42" s="9">
        <v>96000</v>
      </c>
      <c r="G42" s="9">
        <v>96000</v>
      </c>
      <c r="I42" s="9">
        <f>(121/120.2)*G42</f>
        <v>96638.935108153077</v>
      </c>
      <c r="J42" s="9">
        <f t="shared" ref="J42:J56" si="33" xml:space="preserve"> 115.7/114.7*H42</f>
        <v>0</v>
      </c>
      <c r="K42" s="9">
        <f>(123.1/121)*I42</f>
        <v>98316.139767054905</v>
      </c>
      <c r="M42" s="9">
        <f t="shared" si="32"/>
        <v>100472.54575707155</v>
      </c>
      <c r="O42" s="9">
        <f>I42</f>
        <v>96638.935108153077</v>
      </c>
      <c r="P42" s="9">
        <f t="shared" si="6"/>
        <v>112931.78036605658</v>
      </c>
      <c r="Q42" s="9">
        <f>P42*1.05</f>
        <v>118578.36938435942</v>
      </c>
      <c r="S42" s="9">
        <f>K42</f>
        <v>98316.139767054905</v>
      </c>
      <c r="T42" s="9">
        <f t="shared" si="19"/>
        <v>46.58218702163061</v>
      </c>
      <c r="V42" s="9">
        <f t="shared" si="8"/>
        <v>0</v>
      </c>
      <c r="W42" s="9">
        <f t="shared" si="23"/>
        <v>100472.54575707155</v>
      </c>
      <c r="X42" s="9"/>
      <c r="Y42" s="9">
        <f t="shared" si="10"/>
        <v>118578.36938435942</v>
      </c>
      <c r="AD42" s="61">
        <v>118578.37</v>
      </c>
      <c r="AE42" s="71"/>
      <c r="AF42" s="71"/>
      <c r="AG42" s="71">
        <v>118578.37</v>
      </c>
      <c r="AH42" s="71"/>
      <c r="AI42" s="71"/>
      <c r="AJ42" s="71">
        <f>AG42</f>
        <v>118578.37</v>
      </c>
      <c r="AK42" s="16"/>
      <c r="AL42" s="16"/>
      <c r="AM42" s="16"/>
      <c r="AN42" s="16"/>
      <c r="AO42" s="16"/>
      <c r="AP42" s="16"/>
    </row>
    <row r="43" spans="1:42">
      <c r="A43" s="1" t="s">
        <v>52</v>
      </c>
      <c r="B43" s="1" t="s">
        <v>53</v>
      </c>
      <c r="C43" s="1" t="s">
        <v>48</v>
      </c>
      <c r="D43" s="2" t="s">
        <v>89</v>
      </c>
      <c r="E43" s="3" t="s">
        <v>61</v>
      </c>
      <c r="F43" s="9">
        <v>206000</v>
      </c>
      <c r="G43" s="9">
        <v>206000</v>
      </c>
      <c r="I43" s="9">
        <f t="shared" ref="I43" si="34">(121/120.2)*G43</f>
        <v>207371.0482529118</v>
      </c>
      <c r="J43" s="9">
        <f t="shared" si="33"/>
        <v>0</v>
      </c>
      <c r="K43" s="9">
        <f t="shared" ref="K43:K45" si="35">(123.1/121)*I43</f>
        <v>210970.04991680529</v>
      </c>
      <c r="M43" s="9">
        <f t="shared" si="32"/>
        <v>215597.33777038267</v>
      </c>
      <c r="O43" s="9">
        <f t="shared" ref="O43:O45" si="36">I43</f>
        <v>207371.0482529118</v>
      </c>
      <c r="P43" s="9">
        <f t="shared" si="6"/>
        <v>242332.77870216305</v>
      </c>
      <c r="Q43" s="9">
        <f t="shared" ref="Q43:Q55" si="37">P43*1.05</f>
        <v>254449.41763727122</v>
      </c>
      <c r="S43" s="9">
        <f t="shared" ref="S43:S49" si="38">K43</f>
        <v>210970.04991680529</v>
      </c>
      <c r="T43" s="9">
        <f t="shared" si="19"/>
        <v>99.957609650582356</v>
      </c>
      <c r="V43" s="9">
        <f t="shared" si="8"/>
        <v>0</v>
      </c>
      <c r="W43" s="9">
        <f t="shared" si="23"/>
        <v>215597.33777038267</v>
      </c>
      <c r="X43" s="9"/>
      <c r="Y43" s="9">
        <f t="shared" si="10"/>
        <v>254449.41763727122</v>
      </c>
      <c r="AD43" s="61">
        <v>254449.42</v>
      </c>
      <c r="AE43" s="71"/>
      <c r="AF43" s="71"/>
      <c r="AG43" s="71">
        <v>254449.42</v>
      </c>
      <c r="AH43" s="71"/>
      <c r="AI43" s="71"/>
      <c r="AJ43" s="71">
        <f t="shared" ref="AJ43:AJ49" si="39">AG43</f>
        <v>254449.42</v>
      </c>
      <c r="AK43" s="16"/>
      <c r="AL43" s="16"/>
      <c r="AM43" s="16"/>
      <c r="AN43" s="16"/>
      <c r="AO43" s="16"/>
      <c r="AP43" s="16"/>
    </row>
    <row r="44" spans="1:42">
      <c r="A44" s="18" t="s">
        <v>52</v>
      </c>
      <c r="B44" s="18" t="s">
        <v>78</v>
      </c>
      <c r="C44" s="18" t="s">
        <v>79</v>
      </c>
      <c r="D44" s="19" t="s">
        <v>80</v>
      </c>
      <c r="E44" s="17" t="s">
        <v>61</v>
      </c>
      <c r="G44" s="9">
        <v>67000</v>
      </c>
      <c r="I44" s="9">
        <v>90000</v>
      </c>
      <c r="K44" s="9">
        <f t="shared" si="35"/>
        <v>91561.983471074374</v>
      </c>
      <c r="M44" s="9">
        <f t="shared" si="32"/>
        <v>93570.247933884297</v>
      </c>
      <c r="O44" s="9">
        <f t="shared" si="36"/>
        <v>90000</v>
      </c>
      <c r="P44" s="9">
        <f t="shared" si="6"/>
        <v>105173.55371900827</v>
      </c>
      <c r="Q44" s="9">
        <f t="shared" si="37"/>
        <v>110432.23140495869</v>
      </c>
      <c r="S44" s="9">
        <f t="shared" si="38"/>
        <v>91561.983471074374</v>
      </c>
      <c r="T44" s="9">
        <f t="shared" si="19"/>
        <v>43.382067768595036</v>
      </c>
      <c r="U44" t="s">
        <v>81</v>
      </c>
      <c r="V44" s="9">
        <f t="shared" si="8"/>
        <v>0</v>
      </c>
      <c r="W44" s="9">
        <f t="shared" si="23"/>
        <v>93570.247933884297</v>
      </c>
      <c r="X44" s="9"/>
      <c r="Y44" s="9">
        <f t="shared" si="10"/>
        <v>110432.23140495869</v>
      </c>
      <c r="AD44" s="61">
        <v>110432.23</v>
      </c>
      <c r="AE44" s="71"/>
      <c r="AF44" s="71"/>
      <c r="AG44" s="71">
        <v>110432.23</v>
      </c>
      <c r="AH44" s="71"/>
      <c r="AI44" s="71"/>
      <c r="AJ44" s="71">
        <f t="shared" si="39"/>
        <v>110432.23</v>
      </c>
      <c r="AK44" s="16"/>
      <c r="AL44" s="16"/>
      <c r="AM44" s="16"/>
      <c r="AN44" s="16"/>
      <c r="AO44" s="16"/>
      <c r="AP44" s="16"/>
    </row>
    <row r="45" spans="1:42">
      <c r="A45" s="18" t="s">
        <v>52</v>
      </c>
      <c r="B45" s="18" t="s">
        <v>84</v>
      </c>
      <c r="C45" s="18" t="s">
        <v>48</v>
      </c>
      <c r="D45" s="19" t="s">
        <v>85</v>
      </c>
      <c r="E45" s="17" t="s">
        <v>61</v>
      </c>
      <c r="I45" s="9">
        <v>25000</v>
      </c>
      <c r="K45" s="9">
        <f t="shared" si="35"/>
        <v>25433.884297520661</v>
      </c>
      <c r="M45" s="9">
        <f t="shared" si="32"/>
        <v>25991.735537190085</v>
      </c>
      <c r="O45" s="9">
        <f t="shared" si="36"/>
        <v>25000</v>
      </c>
      <c r="P45" s="9">
        <f t="shared" si="6"/>
        <v>29214.876033057855</v>
      </c>
      <c r="Q45" s="9">
        <f t="shared" si="37"/>
        <v>30675.619834710749</v>
      </c>
      <c r="S45" s="9">
        <f t="shared" si="38"/>
        <v>25433.884297520661</v>
      </c>
      <c r="T45" s="9">
        <f t="shared" si="19"/>
        <v>12.05057438016529</v>
      </c>
      <c r="V45" s="9">
        <f t="shared" si="8"/>
        <v>0</v>
      </c>
      <c r="W45" s="9">
        <f t="shared" si="23"/>
        <v>25991.735537190085</v>
      </c>
      <c r="X45" s="9"/>
      <c r="Y45" s="9">
        <f t="shared" si="10"/>
        <v>30675.619834710749</v>
      </c>
      <c r="AD45" s="61">
        <v>30675.62</v>
      </c>
      <c r="AE45" s="71"/>
      <c r="AF45" s="71"/>
      <c r="AG45" s="71">
        <v>30675.62</v>
      </c>
      <c r="AH45" s="71"/>
      <c r="AI45" s="71"/>
      <c r="AJ45" s="71">
        <f t="shared" si="39"/>
        <v>30675.62</v>
      </c>
      <c r="AK45" s="16"/>
      <c r="AL45" s="16"/>
      <c r="AM45" s="16"/>
      <c r="AN45" s="16"/>
      <c r="AO45" s="16"/>
      <c r="AP45" s="16"/>
    </row>
    <row r="46" spans="1:42">
      <c r="A46" s="18" t="s">
        <v>52</v>
      </c>
      <c r="B46" s="50" t="s">
        <v>109</v>
      </c>
      <c r="C46" s="18" t="s">
        <v>110</v>
      </c>
      <c r="D46" s="19" t="s">
        <v>111</v>
      </c>
      <c r="E46" s="17" t="s">
        <v>61</v>
      </c>
      <c r="M46" s="9">
        <v>15000</v>
      </c>
      <c r="P46" s="9">
        <f t="shared" si="6"/>
        <v>16860.095389507154</v>
      </c>
      <c r="Q46" s="9">
        <f t="shared" si="37"/>
        <v>17703.100158982514</v>
      </c>
      <c r="T46" s="9"/>
      <c r="V46" s="9">
        <f t="shared" si="8"/>
        <v>0</v>
      </c>
      <c r="W46" s="9"/>
      <c r="X46" s="9"/>
      <c r="Y46" s="9">
        <f t="shared" si="10"/>
        <v>17703.100158982514</v>
      </c>
      <c r="Z46" s="48"/>
      <c r="AD46" s="61">
        <v>17703.099999999999</v>
      </c>
      <c r="AE46" s="71"/>
      <c r="AF46" s="71"/>
      <c r="AG46" s="71">
        <v>17703.099999999999</v>
      </c>
      <c r="AH46" s="71"/>
      <c r="AI46" s="71"/>
      <c r="AJ46" s="71">
        <f t="shared" si="39"/>
        <v>17703.099999999999</v>
      </c>
      <c r="AK46" s="16"/>
      <c r="AL46" s="16"/>
      <c r="AM46" s="16"/>
      <c r="AN46" s="16"/>
      <c r="AO46" s="16"/>
      <c r="AP46" s="16"/>
    </row>
    <row r="47" spans="1:42">
      <c r="A47" s="18" t="s">
        <v>52</v>
      </c>
      <c r="B47" s="50" t="s">
        <v>101</v>
      </c>
      <c r="C47" s="18" t="s">
        <v>102</v>
      </c>
      <c r="D47" s="18" t="s">
        <v>100</v>
      </c>
      <c r="E47" s="17" t="s">
        <v>61</v>
      </c>
      <c r="M47" s="9">
        <v>25000</v>
      </c>
      <c r="P47" s="9">
        <f t="shared" si="6"/>
        <v>28100.158982511926</v>
      </c>
      <c r="Q47" s="9">
        <f t="shared" si="37"/>
        <v>29505.166931637523</v>
      </c>
      <c r="T47" s="9"/>
      <c r="V47" s="9">
        <f t="shared" si="8"/>
        <v>0</v>
      </c>
      <c r="W47" s="9"/>
      <c r="X47" s="9"/>
      <c r="Y47" s="9">
        <f t="shared" si="10"/>
        <v>29505.166931637523</v>
      </c>
      <c r="Z47" s="48"/>
      <c r="AD47" s="61">
        <v>29505.17</v>
      </c>
      <c r="AE47" s="71"/>
      <c r="AF47" s="71"/>
      <c r="AG47" s="71">
        <v>29505.17</v>
      </c>
      <c r="AH47" s="71"/>
      <c r="AI47" s="71"/>
      <c r="AJ47" s="71">
        <f t="shared" si="39"/>
        <v>29505.17</v>
      </c>
      <c r="AK47" s="16"/>
      <c r="AL47" s="16"/>
      <c r="AM47" s="16"/>
      <c r="AN47" s="16"/>
      <c r="AO47" s="16"/>
      <c r="AP47" s="16"/>
    </row>
    <row r="48" spans="1:42">
      <c r="A48" s="18" t="s">
        <v>52</v>
      </c>
      <c r="B48" s="50" t="s">
        <v>105</v>
      </c>
      <c r="C48" s="18" t="s">
        <v>48</v>
      </c>
      <c r="D48" s="18" t="s">
        <v>106</v>
      </c>
      <c r="E48" s="17" t="s">
        <v>61</v>
      </c>
      <c r="M48" s="9">
        <v>4500</v>
      </c>
      <c r="P48" s="9">
        <f t="shared" si="6"/>
        <v>5058.0286168521461</v>
      </c>
      <c r="Q48" s="9">
        <f t="shared" si="37"/>
        <v>5310.9300476947537</v>
      </c>
      <c r="T48" s="9"/>
      <c r="V48" s="9">
        <f t="shared" si="8"/>
        <v>0</v>
      </c>
      <c r="W48" s="9"/>
      <c r="X48" s="9"/>
      <c r="Y48" s="9">
        <f t="shared" si="10"/>
        <v>5310.9300476947537</v>
      </c>
      <c r="Z48" s="48"/>
      <c r="AD48" s="61">
        <v>5310.93</v>
      </c>
      <c r="AE48" s="71"/>
      <c r="AF48" s="71"/>
      <c r="AG48" s="71">
        <v>5310.93</v>
      </c>
      <c r="AH48" s="71"/>
      <c r="AI48" s="71"/>
      <c r="AJ48" s="71">
        <f t="shared" si="39"/>
        <v>5310.93</v>
      </c>
      <c r="AK48" s="16"/>
      <c r="AL48" s="16"/>
      <c r="AM48" s="16"/>
      <c r="AN48" s="16"/>
      <c r="AO48" s="16"/>
      <c r="AP48" s="16"/>
    </row>
    <row r="49" spans="1:39">
      <c r="A49" s="33" t="s">
        <v>54</v>
      </c>
      <c r="B49" s="33"/>
      <c r="C49" s="33"/>
      <c r="D49" s="10"/>
      <c r="E49" s="34"/>
      <c r="F49" s="13">
        <f>SUM(F42:F43)</f>
        <v>302000</v>
      </c>
      <c r="G49" s="13">
        <f>SUM(G42:G43)</f>
        <v>302000</v>
      </c>
      <c r="H49" s="13"/>
      <c r="I49" s="13">
        <f>SUM(I42:I45)</f>
        <v>419009.98336106486</v>
      </c>
      <c r="J49" s="13">
        <f t="shared" si="33"/>
        <v>0</v>
      </c>
      <c r="K49" s="13">
        <f>SUM(K42:K45)</f>
        <v>426282.05745245522</v>
      </c>
      <c r="L49" s="13"/>
      <c r="M49" s="13">
        <f>SUM(M42:M48)</f>
        <v>480131.8669985286</v>
      </c>
      <c r="N49" s="13"/>
      <c r="O49" s="13">
        <f>SUM(O42:O45)</f>
        <v>419009.98336106486</v>
      </c>
      <c r="P49" s="9">
        <f>SUM(P39:P48)</f>
        <v>539671.27180915698</v>
      </c>
      <c r="Q49" s="13">
        <f t="shared" si="37"/>
        <v>566654.83539961488</v>
      </c>
      <c r="R49" s="13"/>
      <c r="S49" s="13">
        <f t="shared" si="38"/>
        <v>426282.05745245522</v>
      </c>
      <c r="T49" s="13">
        <f>SUM(T42:T45)</f>
        <v>201.97243882097331</v>
      </c>
      <c r="V49" s="9">
        <f t="shared" si="8"/>
        <v>0</v>
      </c>
      <c r="W49" s="13">
        <f t="shared" ref="W49:W58" si="40">M49+R49</f>
        <v>480131.8669985286</v>
      </c>
      <c r="X49" s="13"/>
      <c r="Y49" s="13">
        <f t="shared" si="10"/>
        <v>566654.83539961488</v>
      </c>
      <c r="AD49" s="62">
        <f>SUM(AD42:AD48)</f>
        <v>566654.84000000008</v>
      </c>
      <c r="AE49" s="72"/>
      <c r="AF49" s="72"/>
      <c r="AG49" s="72">
        <f>SUM(AG42:AG48)</f>
        <v>566654.84000000008</v>
      </c>
      <c r="AH49" s="72"/>
      <c r="AI49" s="72"/>
      <c r="AJ49" s="72">
        <f t="shared" si="39"/>
        <v>566654.84000000008</v>
      </c>
      <c r="AK49" s="16"/>
      <c r="AL49" s="16"/>
    </row>
    <row r="50" spans="1:39">
      <c r="A50" s="33"/>
      <c r="B50" s="33"/>
      <c r="C50" s="33"/>
      <c r="D50" s="10"/>
      <c r="E50" s="34"/>
      <c r="P50" s="9">
        <f t="shared" si="6"/>
        <v>0</v>
      </c>
      <c r="Q50" s="9">
        <f t="shared" si="37"/>
        <v>0</v>
      </c>
      <c r="T50" s="9">
        <f t="shared" si="19"/>
        <v>0</v>
      </c>
      <c r="V50" s="9">
        <f t="shared" si="8"/>
        <v>0</v>
      </c>
      <c r="W50" s="9">
        <f t="shared" si="40"/>
        <v>0</v>
      </c>
      <c r="X50" s="9"/>
      <c r="Y50" s="9">
        <f t="shared" si="10"/>
        <v>0</v>
      </c>
      <c r="AE50" s="16"/>
      <c r="AF50" s="16"/>
      <c r="AG50" s="16"/>
      <c r="AH50" s="16"/>
      <c r="AI50" s="16"/>
      <c r="AJ50" s="16"/>
      <c r="AK50" s="16"/>
      <c r="AL50" s="16"/>
    </row>
    <row r="51" spans="1:39">
      <c r="A51" s="5" t="s">
        <v>55</v>
      </c>
      <c r="B51" s="5"/>
      <c r="C51" s="5"/>
      <c r="D51" s="6"/>
      <c r="E51" s="7"/>
      <c r="P51" s="9">
        <f t="shared" si="6"/>
        <v>0</v>
      </c>
      <c r="Q51" s="9">
        <f t="shared" si="37"/>
        <v>0</v>
      </c>
      <c r="T51" s="9">
        <f t="shared" si="19"/>
        <v>0</v>
      </c>
      <c r="V51" s="9">
        <f t="shared" si="8"/>
        <v>0</v>
      </c>
      <c r="W51" s="9">
        <f t="shared" si="40"/>
        <v>0</v>
      </c>
      <c r="X51" s="9"/>
      <c r="Y51" s="9">
        <f t="shared" si="10"/>
        <v>0</v>
      </c>
      <c r="AE51" s="16"/>
      <c r="AF51" s="16"/>
      <c r="AG51" s="16"/>
      <c r="AH51" s="16"/>
      <c r="AI51" s="16"/>
      <c r="AJ51" s="16"/>
      <c r="AK51" s="16"/>
      <c r="AL51" s="16"/>
    </row>
    <row r="52" spans="1:39">
      <c r="A52" s="35"/>
      <c r="B52" s="35"/>
      <c r="C52" s="35"/>
      <c r="D52" s="11"/>
      <c r="E52" s="38"/>
      <c r="P52" s="9">
        <f t="shared" si="6"/>
        <v>0</v>
      </c>
      <c r="Q52" s="9">
        <f t="shared" si="37"/>
        <v>0</v>
      </c>
      <c r="T52" s="9">
        <f t="shared" si="19"/>
        <v>0</v>
      </c>
      <c r="V52" s="9">
        <f t="shared" si="8"/>
        <v>0</v>
      </c>
      <c r="W52" s="9">
        <f t="shared" si="40"/>
        <v>0</v>
      </c>
      <c r="X52" s="9"/>
      <c r="Y52" s="9">
        <f t="shared" si="10"/>
        <v>0</v>
      </c>
      <c r="AE52" s="16"/>
      <c r="AF52" s="16"/>
      <c r="AG52" s="16"/>
      <c r="AH52" s="16"/>
      <c r="AI52" s="16"/>
      <c r="AJ52" s="16"/>
      <c r="AK52" s="16"/>
      <c r="AL52" s="16"/>
    </row>
    <row r="53" spans="1:39">
      <c r="A53" s="39"/>
      <c r="B53" s="39"/>
      <c r="C53" s="39"/>
      <c r="D53" s="39"/>
      <c r="E53" s="39"/>
      <c r="P53" s="9">
        <f t="shared" si="6"/>
        <v>0</v>
      </c>
      <c r="Q53" s="9">
        <f t="shared" si="37"/>
        <v>0</v>
      </c>
      <c r="T53" s="9">
        <f t="shared" si="19"/>
        <v>0</v>
      </c>
      <c r="V53" s="9">
        <f t="shared" si="8"/>
        <v>0</v>
      </c>
      <c r="W53" s="9">
        <f t="shared" si="40"/>
        <v>0</v>
      </c>
      <c r="X53" s="9"/>
      <c r="Y53" s="9">
        <f t="shared" si="10"/>
        <v>0</v>
      </c>
      <c r="AE53" s="16"/>
      <c r="AF53" s="16"/>
      <c r="AG53" s="16"/>
      <c r="AH53" s="16"/>
      <c r="AI53" s="16"/>
      <c r="AJ53" s="16"/>
      <c r="AK53" s="16"/>
      <c r="AL53" s="16"/>
    </row>
    <row r="54" spans="1:39">
      <c r="A54" s="39"/>
      <c r="B54" s="39"/>
      <c r="C54" s="39"/>
      <c r="D54" s="39"/>
      <c r="E54" s="39"/>
      <c r="P54" s="9">
        <f t="shared" si="6"/>
        <v>0</v>
      </c>
      <c r="Q54" s="9">
        <f t="shared" si="37"/>
        <v>0</v>
      </c>
      <c r="T54" s="9">
        <f t="shared" si="19"/>
        <v>0</v>
      </c>
      <c r="V54" s="9">
        <f t="shared" si="8"/>
        <v>0</v>
      </c>
      <c r="W54" s="9">
        <f t="shared" si="40"/>
        <v>0</v>
      </c>
      <c r="X54" s="9"/>
      <c r="Y54" s="9">
        <f t="shared" si="10"/>
        <v>0</v>
      </c>
      <c r="AE54" s="16"/>
      <c r="AF54" s="16"/>
      <c r="AG54" s="16"/>
      <c r="AH54" s="16"/>
      <c r="AI54" s="16"/>
      <c r="AJ54" s="16"/>
      <c r="AK54" s="16"/>
      <c r="AL54" s="16"/>
    </row>
    <row r="55" spans="1:39" ht="45.75" customHeight="1">
      <c r="A55" s="94" t="s">
        <v>56</v>
      </c>
      <c r="B55" s="94" t="s">
        <v>57</v>
      </c>
      <c r="C55" s="94" t="s">
        <v>5</v>
      </c>
      <c r="D55" s="2" t="s">
        <v>90</v>
      </c>
      <c r="E55" s="87" t="s">
        <v>61</v>
      </c>
      <c r="F55" s="88">
        <v>24590000</v>
      </c>
      <c r="G55" s="88">
        <v>24590000</v>
      </c>
      <c r="H55" s="88"/>
      <c r="I55" s="88"/>
      <c r="J55" s="88">
        <f t="shared" si="33"/>
        <v>0</v>
      </c>
      <c r="K55" s="88"/>
      <c r="L55" s="88"/>
      <c r="M55" s="89">
        <v>19301717.530000001</v>
      </c>
      <c r="N55" s="88"/>
      <c r="O55" s="88"/>
      <c r="P55" s="89">
        <f t="shared" si="6"/>
        <v>21695253.249141496</v>
      </c>
      <c r="Q55" s="88">
        <f t="shared" si="37"/>
        <v>22780015.911598571</v>
      </c>
      <c r="R55" s="88"/>
      <c r="S55" s="88"/>
      <c r="T55" s="89">
        <f t="shared" si="19"/>
        <v>0</v>
      </c>
      <c r="U55" s="90"/>
      <c r="V55" s="89">
        <f t="shared" si="8"/>
        <v>0</v>
      </c>
      <c r="W55" s="89">
        <f t="shared" si="40"/>
        <v>19301717.530000001</v>
      </c>
      <c r="X55" s="89"/>
      <c r="Y55" s="88">
        <f>Q55</f>
        <v>22780015.911598571</v>
      </c>
      <c r="Z55" s="91">
        <v>11550000</v>
      </c>
      <c r="AA55" s="92">
        <v>850000</v>
      </c>
      <c r="AB55" s="90"/>
      <c r="AC55" s="90"/>
      <c r="AD55" s="91">
        <v>8662500</v>
      </c>
      <c r="AE55" s="93">
        <f>130/108*Z55</f>
        <v>13902777.777777778</v>
      </c>
      <c r="AF55" s="93"/>
      <c r="AG55" s="93">
        <v>10427083.5</v>
      </c>
      <c r="AH55" s="93"/>
      <c r="AI55" s="93"/>
      <c r="AJ55" s="93">
        <v>10427083.5</v>
      </c>
      <c r="AK55" s="69"/>
      <c r="AL55" s="73" t="s">
        <v>136</v>
      </c>
      <c r="AM55" s="54"/>
    </row>
    <row r="56" spans="1:39">
      <c r="A56" s="33"/>
      <c r="B56" s="33"/>
      <c r="C56" s="33"/>
      <c r="D56" s="10"/>
      <c r="E56" s="34"/>
      <c r="J56" s="9">
        <f t="shared" si="33"/>
        <v>0</v>
      </c>
      <c r="O56" s="40"/>
      <c r="P56" s="40"/>
      <c r="Q56" s="40"/>
      <c r="R56" s="40"/>
      <c r="S56" s="13">
        <v>18887451.739999998</v>
      </c>
      <c r="T56" s="13">
        <f t="shared" si="19"/>
        <v>8948.8746344119991</v>
      </c>
      <c r="W56" s="9">
        <f t="shared" si="40"/>
        <v>0</v>
      </c>
      <c r="X56" s="9"/>
      <c r="Y56" s="9"/>
      <c r="AE56" s="16"/>
      <c r="AF56" s="16"/>
      <c r="AG56" s="16"/>
      <c r="AH56" s="16"/>
      <c r="AI56" s="16"/>
      <c r="AJ56" s="16"/>
      <c r="AK56" s="16"/>
      <c r="AL56" s="16"/>
    </row>
    <row r="57" spans="1:39">
      <c r="A57" s="41"/>
      <c r="B57" s="41"/>
      <c r="C57" s="41"/>
      <c r="D57" s="42"/>
      <c r="E57" s="43"/>
      <c r="O57" s="13"/>
      <c r="P57" s="13"/>
      <c r="Q57" s="13"/>
      <c r="R57" s="13"/>
      <c r="S57" s="13"/>
      <c r="T57" s="13">
        <f t="shared" si="19"/>
        <v>0</v>
      </c>
      <c r="W57" s="9">
        <f t="shared" si="40"/>
        <v>0</v>
      </c>
      <c r="X57" s="9"/>
      <c r="Y57" s="9"/>
    </row>
    <row r="58" spans="1:39">
      <c r="E58" s="44"/>
      <c r="F58" s="13"/>
      <c r="G58" s="13"/>
      <c r="H58" s="13"/>
      <c r="I58" s="13"/>
      <c r="J58" s="13" t="s">
        <v>72</v>
      </c>
      <c r="K58" s="13"/>
      <c r="L58" s="13"/>
      <c r="M58" s="13">
        <f>M29+M38+M49+M55</f>
        <v>52625104.59882468</v>
      </c>
      <c r="N58" s="13"/>
      <c r="P58" s="9">
        <f>P29+P38+P49+P55</f>
        <v>61164897.191628069</v>
      </c>
      <c r="Q58" s="13">
        <f>Q55+Q38+Q29</f>
        <v>66596242.623463765</v>
      </c>
      <c r="R58" s="13">
        <f>R29+R38</f>
        <v>4601538.4269662928</v>
      </c>
      <c r="S58" s="9">
        <f>SUM(S29,S38,S49,S56)</f>
        <v>54961824.474278659</v>
      </c>
      <c r="T58" s="13">
        <f t="shared" si="19"/>
        <v>26040.912435913229</v>
      </c>
      <c r="V58" s="9">
        <f>V29+V38</f>
        <v>4807693.5720459316</v>
      </c>
      <c r="W58" s="13">
        <f t="shared" si="40"/>
        <v>57226643.025790974</v>
      </c>
      <c r="X58" s="13">
        <f>X29+X38</f>
        <v>4963917.091852935</v>
      </c>
      <c r="Y58" s="13">
        <f>Y29+Y38+Y49+Y55</f>
        <v>72126814.550716311</v>
      </c>
      <c r="Z58" s="54">
        <f>SUM(Z55+Z38+Z29)</f>
        <v>49435000</v>
      </c>
      <c r="AB58" s="54">
        <f>SUM(AB38+AB29)</f>
        <v>3141000</v>
      </c>
      <c r="AD58" s="54">
        <f>SUM(AB58+Z58)</f>
        <v>52576000</v>
      </c>
      <c r="AE58" s="54"/>
      <c r="AF58" s="54"/>
      <c r="AG58" s="54"/>
      <c r="AH58" s="54"/>
      <c r="AI58" s="54"/>
      <c r="AJ58" s="54"/>
    </row>
    <row r="59" spans="1:39">
      <c r="B59" s="48"/>
      <c r="C59" s="48"/>
      <c r="E59" s="44"/>
      <c r="F59" s="13"/>
      <c r="G59" s="13"/>
      <c r="H59" s="13"/>
      <c r="I59" s="13"/>
      <c r="J59" s="13" t="s">
        <v>71</v>
      </c>
      <c r="K59" s="13"/>
      <c r="L59" s="13"/>
      <c r="M59" s="13"/>
      <c r="N59" s="13"/>
      <c r="O59" s="20"/>
      <c r="P59" s="20"/>
      <c r="Q59" s="20"/>
      <c r="R59" s="20"/>
      <c r="S59" s="20">
        <v>2500000</v>
      </c>
      <c r="T59" s="13">
        <f t="shared" si="19"/>
        <v>1184.5</v>
      </c>
    </row>
    <row r="61" spans="1:39">
      <c r="P61" s="51"/>
    </row>
    <row r="62" spans="1:39">
      <c r="P62" s="51"/>
    </row>
    <row r="64" spans="1:39">
      <c r="B64" s="48"/>
      <c r="C64" s="48"/>
    </row>
  </sheetData>
  <phoneticPr fontId="10" type="noConversion"/>
  <printOptions gridLines="1"/>
  <pageMargins left="0.19685039370078741" right="0.19685039370078741" top="0.19685039370078741" bottom="0.19685039370078741" header="0.51181102362204722" footer="0.51181102362204722"/>
  <pageSetup paperSize="8" scale="60" orientation="landscape"/>
  <headerFooter alignWithMargins="0"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1F262DD602774E9022C289C60C0C5B" ma:contentTypeVersion="18" ma:contentTypeDescription="Een nieuw document maken." ma:contentTypeScope="" ma:versionID="b08ac34c61d6255605512c13c63203f8">
  <xsd:schema xmlns:xsd="http://www.w3.org/2001/XMLSchema" xmlns:xs="http://www.w3.org/2001/XMLSchema" xmlns:p="http://schemas.microsoft.com/office/2006/metadata/properties" xmlns:ns2="8014fc60-92cd-49ee-a8eb-45845124688d" xmlns:ns3="c6dd8519-fece-482e-8212-1feca28c0d98" targetNamespace="http://schemas.microsoft.com/office/2006/metadata/properties" ma:root="true" ma:fieldsID="957cf3be78f150330f7cd1f85ad335ac" ns2:_="" ns3:_="">
    <xsd:import namespace="8014fc60-92cd-49ee-a8eb-45845124688d"/>
    <xsd:import namespace="c6dd8519-fece-482e-8212-1feca28c0d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4fc60-92cd-49ee-a8eb-4584512468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a3ad8f0-94fb-4491-b729-870c869a7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dd8519-fece-482e-8212-1feca28c0d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b849c4-30a3-42da-86bd-d36ba8abf9f4}" ma:internalName="TaxCatchAll" ma:showField="CatchAllData" ma:web="c6dd8519-fece-482e-8212-1feca28c0d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14fc60-92cd-49ee-a8eb-45845124688d">
      <Terms xmlns="http://schemas.microsoft.com/office/infopath/2007/PartnerControls"/>
    </lcf76f155ced4ddcb4097134ff3c332f>
    <TaxCatchAll xmlns="c6dd8519-fece-482e-8212-1feca28c0d98" xsi:nil="true"/>
  </documentManagement>
</p:properties>
</file>

<file path=customXml/itemProps1.xml><?xml version="1.0" encoding="utf-8"?>
<ds:datastoreItem xmlns:ds="http://schemas.openxmlformats.org/officeDocument/2006/customXml" ds:itemID="{BB77FB11-0850-409A-B8E8-C16D5B73C5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BC1BA8-039D-4784-99A7-0B5BA8AB2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4fc60-92cd-49ee-a8eb-45845124688d"/>
    <ds:schemaRef ds:uri="c6dd8519-fece-482e-8212-1feca28c0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7B085A-4AD9-4A38-8B9D-4E751A2A8338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8014fc60-92cd-49ee-a8eb-45845124688d"/>
    <ds:schemaRef ds:uri="http://purl.org/dc/dcmitype/"/>
    <ds:schemaRef ds:uri="c6dd8519-fece-482e-8212-1feca28c0d98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prolongatie per 01-01-24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Kortlever, Marianne</dc:creator>
  <cp:lastModifiedBy>Menno Rozema</cp:lastModifiedBy>
  <cp:lastPrinted>2024-01-29T10:34:46Z</cp:lastPrinted>
  <dcterms:created xsi:type="dcterms:W3CDTF">2014-12-22T11:22:08Z</dcterms:created>
  <dcterms:modified xsi:type="dcterms:W3CDTF">2024-09-30T12:30:03Z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0x010100A01F262DD602774E9022C289C60C0C5B</vt:lpwstr>
  </property>
  <property fmtid="{D5CDD505-2E9C-101B-9397-08002B2CF9AE}" pid="3" name="MediaServiceImageTags">
    <vt:lpwstr/>
  </property>
  <property fmtid="{D5CDD505-2E9C-101B-9397-08002B2CF9AE}" pid="4" name="MSIP_Label_863bc15e-e7bf-41c1-bdb3-03882d8a2e2c_Enabled">
    <vt:lpwstr>true</vt:lpwstr>
  </property>
  <property fmtid="{D5CDD505-2E9C-101B-9397-08002B2CF9AE}" pid="5" name="MSIP_Label_863bc15e-e7bf-41c1-bdb3-03882d8a2e2c_SetDate">
    <vt:lpwstr>2024-06-11T09:49:43Z</vt:lpwstr>
  </property>
  <property fmtid="{D5CDD505-2E9C-101B-9397-08002B2CF9AE}" pid="6" name="MSIP_Label_863bc15e-e7bf-41c1-bdb3-03882d8a2e2c_Method">
    <vt:lpwstr>Privileged</vt:lpwstr>
  </property>
  <property fmtid="{D5CDD505-2E9C-101B-9397-08002B2CF9AE}" pid="7" name="MSIP_Label_863bc15e-e7bf-41c1-bdb3-03882d8a2e2c_Name">
    <vt:lpwstr>863bc15e-e7bf-41c1-bdb3-03882d8a2e2c</vt:lpwstr>
  </property>
  <property fmtid="{D5CDD505-2E9C-101B-9397-08002B2CF9AE}" pid="8" name="MSIP_Label_863bc15e-e7bf-41c1-bdb3-03882d8a2e2c_SiteId">
    <vt:lpwstr>6e06e42d-6925-47c6-b9e7-9581c7ca302a</vt:lpwstr>
  </property>
  <property fmtid="{D5CDD505-2E9C-101B-9397-08002B2CF9AE}" pid="9" name="MSIP_Label_863bc15e-e7bf-41c1-bdb3-03882d8a2e2c_ActionId">
    <vt:lpwstr>fca42b65-3291-42b0-88eb-477a43fadcdb</vt:lpwstr>
  </property>
  <property fmtid="{D5CDD505-2E9C-101B-9397-08002B2CF9AE}" pid="10" name="MSIP_Label_863bc15e-e7bf-41c1-bdb3-03882d8a2e2c_ContentBits">
    <vt:lpwstr>1</vt:lpwstr>
  </property>
</Properties>
</file>