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bodegraven.sharepoint.com/sites/OR-Lopendeprojecten/Gedeelde documenten/Regionaal/RROK 2023-2026 - ELEM/07. BE/08. NVI/"/>
    </mc:Choice>
  </mc:AlternateContent>
  <xr:revisionPtr revIDLastSave="13" documentId="8_{CC9F50F4-644D-4325-8233-0EC840EBBC70}" xr6:coauthVersionLast="47" xr6:coauthVersionMax="47" xr10:uidLastSave="{B6070494-8A1D-4CD6-B788-B323BAB8761B}"/>
  <bookViews>
    <workbookView xWindow="-108" yWindow="-108" windowWidth="23256" windowHeight="12720" xr2:uid="{F6873710-5DB4-4353-9280-A24E539FE57B}"/>
  </bookViews>
  <sheets>
    <sheet name="G1 MKI betratingsmateriaal" sheetId="3" r:id="rId1"/>
  </sheets>
  <definedNames>
    <definedName name="_xlnm.Print_Area" localSheetId="0">'G1 MKI betratingsmateriaal'!$A$1:$F$116</definedName>
    <definedName name="_xlnm.Print_Titles" localSheetId="0">'G1 MKI betratingsmateriaal'!$1:$10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6" i="3" l="1"/>
  <c r="F137" i="3"/>
  <c r="F138" i="3"/>
  <c r="D138" i="3"/>
  <c r="E138" i="3" s="1"/>
  <c r="H138" i="3" s="1"/>
  <c r="D137" i="3"/>
  <c r="E137" i="3" s="1"/>
  <c r="D136" i="3"/>
  <c r="E136" i="3" s="1"/>
  <c r="H136" i="3" s="1"/>
  <c r="H105" i="3"/>
  <c r="H90" i="3"/>
  <c r="H89" i="3"/>
  <c r="H88" i="3"/>
  <c r="H86" i="3"/>
  <c r="H85" i="3"/>
  <c r="H84" i="3"/>
  <c r="H82" i="3"/>
  <c r="H79" i="3"/>
  <c r="H63" i="3"/>
  <c r="H33" i="3"/>
  <c r="H16" i="3"/>
  <c r="H19" i="3"/>
  <c r="H22" i="3"/>
  <c r="H25" i="3"/>
  <c r="H28" i="3"/>
  <c r="E103" i="3"/>
  <c r="H103" i="3" s="1"/>
  <c r="E101" i="3"/>
  <c r="G101" i="3" s="1"/>
  <c r="E99" i="3"/>
  <c r="H99" i="3" s="1"/>
  <c r="E97" i="3"/>
  <c r="H97" i="3" s="1"/>
  <c r="E102" i="3"/>
  <c r="H102" i="3" s="1"/>
  <c r="E100" i="3"/>
  <c r="H100" i="3" s="1"/>
  <c r="E98" i="3"/>
  <c r="G98" i="3" s="1"/>
  <c r="E96" i="3"/>
  <c r="H96" i="3" s="1"/>
  <c r="E94" i="3"/>
  <c r="H94" i="3" s="1"/>
  <c r="E93" i="3"/>
  <c r="H93" i="3" s="1"/>
  <c r="E92" i="3"/>
  <c r="H92" i="3" s="1"/>
  <c r="G105" i="3"/>
  <c r="G93" i="3"/>
  <c r="G92" i="3"/>
  <c r="G90" i="3"/>
  <c r="G89" i="3"/>
  <c r="G88" i="3"/>
  <c r="G86" i="3"/>
  <c r="G85" i="3"/>
  <c r="G84" i="3"/>
  <c r="G82" i="3"/>
  <c r="E80" i="3"/>
  <c r="G80" i="3" s="1"/>
  <c r="E79" i="3"/>
  <c r="G79" i="3" s="1"/>
  <c r="E76" i="3"/>
  <c r="G76" i="3" s="1"/>
  <c r="E74" i="3"/>
  <c r="G74" i="3" s="1"/>
  <c r="E72" i="3"/>
  <c r="G72" i="3" s="1"/>
  <c r="E71" i="3"/>
  <c r="H71" i="3" s="1"/>
  <c r="E70" i="3"/>
  <c r="H70" i="3" s="1"/>
  <c r="E69" i="3"/>
  <c r="G69" i="3" s="1"/>
  <c r="E68" i="3"/>
  <c r="G68" i="3" s="1"/>
  <c r="E67" i="3"/>
  <c r="H67" i="3" s="1"/>
  <c r="G71" i="3"/>
  <c r="E66" i="3"/>
  <c r="G66" i="3" s="1"/>
  <c r="E65" i="3"/>
  <c r="G65" i="3" s="1"/>
  <c r="E63" i="3"/>
  <c r="G63" i="3" s="1"/>
  <c r="E62" i="3"/>
  <c r="H62" i="3" s="1"/>
  <c r="E61" i="3"/>
  <c r="H61" i="3" s="1"/>
  <c r="E60" i="3"/>
  <c r="G60" i="3" s="1"/>
  <c r="E59" i="3"/>
  <c r="G59" i="3" s="1"/>
  <c r="E58" i="3"/>
  <c r="H58" i="3" s="1"/>
  <c r="E57" i="3"/>
  <c r="H57" i="3" s="1"/>
  <c r="E56" i="3"/>
  <c r="G56" i="3" s="1"/>
  <c r="E54" i="3"/>
  <c r="G54" i="3" s="1"/>
  <c r="E53" i="3"/>
  <c r="H53" i="3" s="1"/>
  <c r="E52" i="3"/>
  <c r="H52" i="3" s="1"/>
  <c r="E51" i="3"/>
  <c r="H51" i="3" s="1"/>
  <c r="E50" i="3"/>
  <c r="H50" i="3" s="1"/>
  <c r="E49" i="3"/>
  <c r="H49" i="3" s="1"/>
  <c r="E48" i="3"/>
  <c r="G48" i="3" s="1"/>
  <c r="G50" i="3"/>
  <c r="E47" i="3"/>
  <c r="G47" i="3" s="1"/>
  <c r="E44" i="3"/>
  <c r="G44" i="3" s="1"/>
  <c r="E42" i="3"/>
  <c r="H42" i="3" s="1"/>
  <c r="E41" i="3"/>
  <c r="H41" i="3" s="1"/>
  <c r="E40" i="3"/>
  <c r="H40" i="3" s="1"/>
  <c r="E39" i="3"/>
  <c r="H39" i="3" s="1"/>
  <c r="E38" i="3"/>
  <c r="H38" i="3" s="1"/>
  <c r="G16" i="3"/>
  <c r="G18" i="3"/>
  <c r="G19" i="3"/>
  <c r="G22" i="3"/>
  <c r="G25" i="3"/>
  <c r="G28" i="3"/>
  <c r="E36" i="3"/>
  <c r="G36" i="3" s="1"/>
  <c r="E35" i="3"/>
  <c r="G35" i="3" s="1"/>
  <c r="E34" i="3"/>
  <c r="G34" i="3" s="1"/>
  <c r="E33" i="3"/>
  <c r="G33" i="3" s="1"/>
  <c r="E32" i="3"/>
  <c r="G32" i="3" s="1"/>
  <c r="E30" i="3"/>
  <c r="H30" i="3" s="1"/>
  <c r="E29" i="3"/>
  <c r="G29" i="3" s="1"/>
  <c r="E27" i="3"/>
  <c r="G27" i="3" s="1"/>
  <c r="E26" i="3"/>
  <c r="G26" i="3" s="1"/>
  <c r="E24" i="3"/>
  <c r="H24" i="3" s="1"/>
  <c r="E23" i="3"/>
  <c r="G23" i="3" s="1"/>
  <c r="E21" i="3"/>
  <c r="G21" i="3" s="1"/>
  <c r="E20" i="3"/>
  <c r="G20" i="3" s="1"/>
  <c r="E18" i="3"/>
  <c r="H18" i="3" s="1"/>
  <c r="E17" i="3"/>
  <c r="H17" i="3" s="1"/>
  <c r="E15" i="3"/>
  <c r="G15" i="3" s="1"/>
  <c r="E14" i="3"/>
  <c r="H14" i="3" s="1"/>
  <c r="I105" i="3"/>
  <c r="I103" i="3"/>
  <c r="I102" i="3"/>
  <c r="I101" i="3"/>
  <c r="I100" i="3"/>
  <c r="I99" i="3"/>
  <c r="I98" i="3"/>
  <c r="I97" i="3"/>
  <c r="I96" i="3"/>
  <c r="I94" i="3"/>
  <c r="I93" i="3"/>
  <c r="I92" i="3"/>
  <c r="I90" i="3"/>
  <c r="I89" i="3"/>
  <c r="I88" i="3"/>
  <c r="I86" i="3"/>
  <c r="I85" i="3"/>
  <c r="I84" i="3"/>
  <c r="I82" i="3"/>
  <c r="I80" i="3"/>
  <c r="I79" i="3"/>
  <c r="I76" i="3"/>
  <c r="I74" i="3"/>
  <c r="I72" i="3"/>
  <c r="I71" i="3"/>
  <c r="I70" i="3"/>
  <c r="I69" i="3"/>
  <c r="I68" i="3"/>
  <c r="I67" i="3"/>
  <c r="I66" i="3"/>
  <c r="I65" i="3"/>
  <c r="I63" i="3"/>
  <c r="I62" i="3"/>
  <c r="I61" i="3"/>
  <c r="I60" i="3"/>
  <c r="I59" i="3"/>
  <c r="I58" i="3"/>
  <c r="I57" i="3"/>
  <c r="I56" i="3"/>
  <c r="I54" i="3"/>
  <c r="I53" i="3"/>
  <c r="I52" i="3"/>
  <c r="I51" i="3"/>
  <c r="I50" i="3"/>
  <c r="I49" i="3"/>
  <c r="I48" i="3"/>
  <c r="I47" i="3"/>
  <c r="I44" i="3"/>
  <c r="I42" i="3"/>
  <c r="I41" i="3"/>
  <c r="I40" i="3"/>
  <c r="I39" i="3"/>
  <c r="I38" i="3"/>
  <c r="I36" i="3"/>
  <c r="I35" i="3"/>
  <c r="I34" i="3"/>
  <c r="I33" i="3"/>
  <c r="I32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G138" i="3" l="1"/>
  <c r="I138" i="3" s="1"/>
  <c r="G137" i="3"/>
  <c r="I137" i="3" s="1"/>
  <c r="G136" i="3"/>
  <c r="I136" i="3" s="1"/>
  <c r="H15" i="3"/>
  <c r="G61" i="3"/>
  <c r="G94" i="3"/>
  <c r="G62" i="3"/>
  <c r="G38" i="3"/>
  <c r="G70" i="3"/>
  <c r="G49" i="3"/>
  <c r="H65" i="3"/>
  <c r="G24" i="3"/>
  <c r="G97" i="3"/>
  <c r="G99" i="3"/>
  <c r="H44" i="3"/>
  <c r="G51" i="3"/>
  <c r="H47" i="3"/>
  <c r="G52" i="3"/>
  <c r="H27" i="3"/>
  <c r="G14" i="3"/>
  <c r="G53" i="3"/>
  <c r="H26" i="3"/>
  <c r="H60" i="3"/>
  <c r="G103" i="3"/>
  <c r="H23" i="3"/>
  <c r="H59" i="3"/>
  <c r="H72" i="3"/>
  <c r="H74" i="3"/>
  <c r="H32" i="3"/>
  <c r="H48" i="3"/>
  <c r="H76" i="3"/>
  <c r="G96" i="3"/>
  <c r="H34" i="3"/>
  <c r="H80" i="3"/>
  <c r="G17" i="3"/>
  <c r="G42" i="3"/>
  <c r="H35" i="3"/>
  <c r="H98" i="3"/>
  <c r="G41" i="3"/>
  <c r="H36" i="3"/>
  <c r="H66" i="3"/>
  <c r="G40" i="3"/>
  <c r="G102" i="3"/>
  <c r="H21" i="3"/>
  <c r="G30" i="3"/>
  <c r="G39" i="3"/>
  <c r="H20" i="3"/>
  <c r="H54" i="3"/>
  <c r="H68" i="3"/>
  <c r="H101" i="3"/>
  <c r="H56" i="3"/>
  <c r="H69" i="3"/>
  <c r="G57" i="3"/>
  <c r="H29" i="3"/>
  <c r="G100" i="3"/>
  <c r="G58" i="3"/>
  <c r="G67" i="3"/>
  <c r="F148" i="3"/>
  <c r="F135" i="3"/>
  <c r="D135" i="3"/>
  <c r="E135" i="3" s="1"/>
  <c r="H135" i="3" s="1"/>
  <c r="F134" i="3"/>
  <c r="D134" i="3"/>
  <c r="E134" i="3" s="1"/>
  <c r="H134" i="3" s="1"/>
  <c r="F133" i="3"/>
  <c r="D133" i="3"/>
  <c r="E133" i="3" s="1"/>
  <c r="H133" i="3" s="1"/>
  <c r="F132" i="3"/>
  <c r="D132" i="3"/>
  <c r="E132" i="3" s="1"/>
  <c r="H132" i="3" s="1"/>
  <c r="F131" i="3"/>
  <c r="D131" i="3"/>
  <c r="E131" i="3" s="1"/>
  <c r="H131" i="3" s="1"/>
  <c r="F130" i="3"/>
  <c r="D130" i="3"/>
  <c r="E130" i="3" s="1"/>
  <c r="H130" i="3" s="1"/>
  <c r="F129" i="3"/>
  <c r="D129" i="3"/>
  <c r="E129" i="3" s="1"/>
  <c r="H129" i="3" s="1"/>
  <c r="F128" i="3"/>
  <c r="D128" i="3"/>
  <c r="E128" i="3" s="1"/>
  <c r="H128" i="3" s="1"/>
  <c r="F127" i="3"/>
  <c r="D127" i="3"/>
  <c r="E127" i="3" s="1"/>
  <c r="G120" i="3"/>
  <c r="I108" i="3" l="1"/>
  <c r="G133" i="3"/>
  <c r="I133" i="3" s="1"/>
  <c r="G128" i="3"/>
  <c r="I128" i="3" s="1"/>
  <c r="G134" i="3"/>
  <c r="I134" i="3" s="1"/>
  <c r="G135" i="3"/>
  <c r="I135" i="3" s="1"/>
  <c r="G130" i="3"/>
  <c r="I130" i="3" s="1"/>
  <c r="G129" i="3"/>
  <c r="I129" i="3" s="1"/>
  <c r="G132" i="3"/>
  <c r="I132" i="3" s="1"/>
  <c r="G131" i="3"/>
  <c r="I131" i="3" s="1"/>
  <c r="H127" i="3"/>
  <c r="G127" i="3"/>
  <c r="I127" i="3" s="1"/>
  <c r="H109" i="3" l="1"/>
  <c r="G109" i="3"/>
  <c r="F109" i="3" l="1"/>
  <c r="C148" i="3" s="1"/>
  <c r="D148" i="3" s="1"/>
  <c r="E148" i="3" s="1"/>
  <c r="H148" i="3" s="1"/>
  <c r="G148" i="3" l="1"/>
  <c r="I148" i="3" s="1"/>
  <c r="F111" i="3" s="1"/>
</calcChain>
</file>

<file path=xl/sharedStrings.xml><?xml version="1.0" encoding="utf-8"?>
<sst xmlns="http://schemas.openxmlformats.org/spreadsheetml/2006/main" count="317" uniqueCount="220">
  <si>
    <t>post</t>
  </si>
  <si>
    <t>Omschrijving</t>
  </si>
  <si>
    <t>st</t>
  </si>
  <si>
    <t>m</t>
  </si>
  <si>
    <t>hoeveel- heid</t>
  </si>
  <si>
    <t>een- heid</t>
  </si>
  <si>
    <t>MKI/post</t>
  </si>
  <si>
    <t>Maximaal te behalen kwaliteitswaarde:</t>
  </si>
  <si>
    <t>Kwaliteitswaarde opgave:</t>
  </si>
  <si>
    <t>Naam Inschrijver:</t>
  </si>
  <si>
    <t>Datum:</t>
  </si>
  <si>
    <t>Naam gemandateerde fuctionaris Inschrijver:</t>
  </si>
  <si>
    <t>Paraaf gemandateerde functinaris:</t>
  </si>
  <si>
    <t>R</t>
  </si>
  <si>
    <t>Mx</t>
  </si>
  <si>
    <t>My</t>
  </si>
  <si>
    <t>KW max</t>
  </si>
  <si>
    <t>gele cel invullen</t>
  </si>
  <si>
    <t>C1</t>
  </si>
  <si>
    <t>C2</t>
  </si>
  <si>
    <t>C3</t>
  </si>
  <si>
    <t>y1</t>
  </si>
  <si>
    <t>y2</t>
  </si>
  <si>
    <t>KW</t>
  </si>
  <si>
    <t>MKI</t>
  </si>
  <si>
    <t>65</t>
  </si>
  <si>
    <t>LEVEREN ELEMENTENVERHARDINGEN</t>
  </si>
  <si>
    <t/>
  </si>
  <si>
    <t>651</t>
  </si>
  <si>
    <t>LEVEREN BETONSTRAATSTENEN (BSS)</t>
  </si>
  <si>
    <t>6510</t>
  </si>
  <si>
    <t>Betonstraatstenen - Keiformaat</t>
  </si>
  <si>
    <t>651010</t>
  </si>
  <si>
    <t>Leveren BSS - KF - heide</t>
  </si>
  <si>
    <t>651020</t>
  </si>
  <si>
    <t>Leveren BSS  - KF - heide, halve</t>
  </si>
  <si>
    <t>651030</t>
  </si>
  <si>
    <t>Leveren BSS  - KF - heide, mutsen</t>
  </si>
  <si>
    <t>651040</t>
  </si>
  <si>
    <t>Leveren BSS  - KF - antraciet</t>
  </si>
  <si>
    <t>651050</t>
  </si>
  <si>
    <t>Leveren BSS  - KF - antraciet, halve</t>
  </si>
  <si>
    <t>651060</t>
  </si>
  <si>
    <t>Leveren BSS  - KF - antraciet, mutsen</t>
  </si>
  <si>
    <t>651070</t>
  </si>
  <si>
    <t>Leveren BSS  - KF - geel</t>
  </si>
  <si>
    <t>651080</t>
  </si>
  <si>
    <t>Leveren BSS  - KF - geel, halve</t>
  </si>
  <si>
    <t>651090</t>
  </si>
  <si>
    <t>Leveren BSS  - KF - geel, mutsen</t>
  </si>
  <si>
    <t>651100</t>
  </si>
  <si>
    <t>Leveren BSS  - KF - rood</t>
  </si>
  <si>
    <t>651110</t>
  </si>
  <si>
    <t>Leveren BSS  - KF - rood, halve</t>
  </si>
  <si>
    <t>651120</t>
  </si>
  <si>
    <t>Leveren BSS  - KF - rood, mutsen</t>
  </si>
  <si>
    <t>651130</t>
  </si>
  <si>
    <t>Leveren BSS  - KF - grijs</t>
  </si>
  <si>
    <t>651140</t>
  </si>
  <si>
    <t>Leveren BSS  - KF - grijs, halve</t>
  </si>
  <si>
    <t>651150</t>
  </si>
  <si>
    <t>Leveren BSS  - KF - grijs, mutsen</t>
  </si>
  <si>
    <t>651160</t>
  </si>
  <si>
    <t>Leveren BSS  - KF - wit</t>
  </si>
  <si>
    <t>651170</t>
  </si>
  <si>
    <t>Leveren BSS  - KF - blauw</t>
  </si>
  <si>
    <t>6512</t>
  </si>
  <si>
    <t>Betonstraatstenen - Dikformaat</t>
  </si>
  <si>
    <t>651210</t>
  </si>
  <si>
    <t>Leveren BSS - DF - heide</t>
  </si>
  <si>
    <t>651220</t>
  </si>
  <si>
    <t>Leveren BSS - DF - antraciet</t>
  </si>
  <si>
    <t>651230</t>
  </si>
  <si>
    <t>Leveren BSS - DF - geel</t>
  </si>
  <si>
    <t>651240</t>
  </si>
  <si>
    <t>Leveren BSS - DF - rood</t>
  </si>
  <si>
    <t>651250</t>
  </si>
  <si>
    <t>Leveren BSS - DF - grijs</t>
  </si>
  <si>
    <t>6513</t>
  </si>
  <si>
    <t>Betonstraatstenen - Waalformaat</t>
  </si>
  <si>
    <t>651310</t>
  </si>
  <si>
    <t>Leveren BSS - WF - heide</t>
  </si>
  <si>
    <t>651320</t>
  </si>
  <si>
    <t>Leveren BSS - WF - antraciet</t>
  </si>
  <si>
    <t>651330</t>
  </si>
  <si>
    <t>Leveren BSS - WF - geel</t>
  </si>
  <si>
    <t>651340</t>
  </si>
  <si>
    <t>Leveren BSS - WF - rood</t>
  </si>
  <si>
    <t>651350</t>
  </si>
  <si>
    <t>Leveren BSS - WF - grijs</t>
  </si>
  <si>
    <t>6514</t>
  </si>
  <si>
    <t>Betonstraatstenen - Dubbelbetonstraatstenen</t>
  </si>
  <si>
    <t>651410</t>
  </si>
  <si>
    <t>Leveren BSS  - Dubbelbetonstraatsteen</t>
  </si>
  <si>
    <t>653</t>
  </si>
  <si>
    <t>LEVEREN BETONTEGELS</t>
  </si>
  <si>
    <t>6530</t>
  </si>
  <si>
    <t>Leveren betontegels 45 mm dik</t>
  </si>
  <si>
    <t>653010</t>
  </si>
  <si>
    <t>Leveren betontegels 300x300x45mm, grijs</t>
  </si>
  <si>
    <t>653020</t>
  </si>
  <si>
    <t>Leveren betontegels 150x300x45mm, grijs</t>
  </si>
  <si>
    <t>653030</t>
  </si>
  <si>
    <t>Leveren betontegels 300x300x45mm, basalt</t>
  </si>
  <si>
    <t>653040</t>
  </si>
  <si>
    <t>Leveren betontegels 150x300x45mm, basalt</t>
  </si>
  <si>
    <t>653050</t>
  </si>
  <si>
    <t>Leveren betontegels 300x300x45mm, rood</t>
  </si>
  <si>
    <t>653060</t>
  </si>
  <si>
    <t>Leveren betontegels 150x300x45mm, rood</t>
  </si>
  <si>
    <t>653070</t>
  </si>
  <si>
    <t>Leveren betontegels 300x300x45mm, wit</t>
  </si>
  <si>
    <t>653080</t>
  </si>
  <si>
    <t>Leveren betontegels 150x300x45mm, wit</t>
  </si>
  <si>
    <t>6532</t>
  </si>
  <si>
    <t>Leveren betontegels 60 mm dik</t>
  </si>
  <si>
    <t>653210</t>
  </si>
  <si>
    <t>Leveren betontegels 300x300x60mm, grijs</t>
  </si>
  <si>
    <t>653220</t>
  </si>
  <si>
    <t>Leveren betontegels 150x300x60mm, grijs</t>
  </si>
  <si>
    <t>653230</t>
  </si>
  <si>
    <t>Leveren betontegels 300x300x60mm, basalt</t>
  </si>
  <si>
    <t>653240</t>
  </si>
  <si>
    <t>Leveren betontegels 150x300x60mm, basalt</t>
  </si>
  <si>
    <t>653250</t>
  </si>
  <si>
    <t>Leveren betontegels 300x300x60mm, rood</t>
  </si>
  <si>
    <t>653260</t>
  </si>
  <si>
    <t>Leveren betontegels 150x300x60mm, rood</t>
  </si>
  <si>
    <t>653270</t>
  </si>
  <si>
    <t>Leveren betontegels 300x300x60mm, wit</t>
  </si>
  <si>
    <t>653280</t>
  </si>
  <si>
    <t>Leveren betontegels 150x300x60mm, wit</t>
  </si>
  <si>
    <t>6534</t>
  </si>
  <si>
    <t>Leveren betontegels 80 mm dik</t>
  </si>
  <si>
    <t>653410</t>
  </si>
  <si>
    <t>Leveren betontegels 300x300x80mm, grijs</t>
  </si>
  <si>
    <t>653420</t>
  </si>
  <si>
    <t>Leveren betontegels 150x300x80mm, grijs</t>
  </si>
  <si>
    <t>653430</t>
  </si>
  <si>
    <t>Leveren betontegels 300x300x80mm, basalt</t>
  </si>
  <si>
    <t>653440</t>
  </si>
  <si>
    <t>Leveren betontegels 150x300x80mm, basalt</t>
  </si>
  <si>
    <t>653450</t>
  </si>
  <si>
    <t>Leveren betontegels 300x300x80mm, rood</t>
  </si>
  <si>
    <t>653460</t>
  </si>
  <si>
    <t>Leveren betontegels 150x300x80mm, rood</t>
  </si>
  <si>
    <t>653470</t>
  </si>
  <si>
    <t>Leveren betontegels 300x300x80mm, wit</t>
  </si>
  <si>
    <t>653480</t>
  </si>
  <si>
    <t>Leveren betontegels 150x300x80mm, wit</t>
  </si>
  <si>
    <t>6535</t>
  </si>
  <si>
    <t>Leveren gitruittegels 300x300x80 mm</t>
  </si>
  <si>
    <t>653510</t>
  </si>
  <si>
    <t>Leveren gitruittegels 300x300x80mm zwart kleurvast</t>
  </si>
  <si>
    <t>6538</t>
  </si>
  <si>
    <t>Leveren grasbetontegels 400x600x120 mm</t>
  </si>
  <si>
    <t>653810</t>
  </si>
  <si>
    <t>654</t>
  </si>
  <si>
    <t>LEVEREN BETONBANDEN</t>
  </si>
  <si>
    <t>6540</t>
  </si>
  <si>
    <t>Leveren opsluitbanden</t>
  </si>
  <si>
    <t>654050</t>
  </si>
  <si>
    <t>Leveren rechte opsluitband van beton 100x200mm</t>
  </si>
  <si>
    <t>654110</t>
  </si>
  <si>
    <t>Leveren rechte opsluitband van beton 150x250mm</t>
  </si>
  <si>
    <t>6542</t>
  </si>
  <si>
    <t>Leveren gazonbanden</t>
  </si>
  <si>
    <t>654210</t>
  </si>
  <si>
    <t>Leveren rechte gazonband van beton 100x200mm</t>
  </si>
  <si>
    <t>6543</t>
  </si>
  <si>
    <t>Leveren trottoirbanden kleur grijs</t>
  </si>
  <si>
    <t>654310</t>
  </si>
  <si>
    <t>Leveren rechte trottoirband van beton 130/150x250</t>
  </si>
  <si>
    <t>654370</t>
  </si>
  <si>
    <t>Leveren rechte trottoirband van beton 180/200x250</t>
  </si>
  <si>
    <t>654430</t>
  </si>
  <si>
    <t>Leveren rechte trottoirband van beton 110/220x250</t>
  </si>
  <si>
    <t>6546</t>
  </si>
  <si>
    <t>Leveren trottoirbanden, grenette gewassen</t>
  </si>
  <si>
    <t>654610</t>
  </si>
  <si>
    <t>654670</t>
  </si>
  <si>
    <t>654730</t>
  </si>
  <si>
    <t>6548</t>
  </si>
  <si>
    <t>Leveren parkeerstootbanden</t>
  </si>
  <si>
    <t>654810</t>
  </si>
  <si>
    <t>Leveren parkeerstootband van beton 200x200x900 mm,</t>
  </si>
  <si>
    <t>654820</t>
  </si>
  <si>
    <t>654830</t>
  </si>
  <si>
    <t>Leveren parkeerstootband van beton 200x200x1000 mm</t>
  </si>
  <si>
    <t>6549</t>
  </si>
  <si>
    <t>Leveren inritbanden</t>
  </si>
  <si>
    <t>654910</t>
  </si>
  <si>
    <t>Leveren inritbanden van beton 450x200x500mm,  tuss</t>
  </si>
  <si>
    <t>654920</t>
  </si>
  <si>
    <t>Leveren inritbanden van beton 450x200x500mm, einds</t>
  </si>
  <si>
    <t>654930</t>
  </si>
  <si>
    <t>Leveren inritbanden van beton 450x200x500 mm,  tus</t>
  </si>
  <si>
    <t>654940</t>
  </si>
  <si>
    <t>Leveren inritbanden van beton 450x200x500mm,  eind</t>
  </si>
  <si>
    <t>654950</t>
  </si>
  <si>
    <t>Leveren inritbanden van beton 500x200x500mm,  tuss</t>
  </si>
  <si>
    <t>654960</t>
  </si>
  <si>
    <t>Leveren inritbanden van beton 500x200x500mm, einds</t>
  </si>
  <si>
    <t>654970</t>
  </si>
  <si>
    <t>Leveren inritbanden van beton 500x200x500 mm,  tus</t>
  </si>
  <si>
    <t>654980</t>
  </si>
  <si>
    <t>Leveren inritbanden van beton 500x200x500mm,  eind</t>
  </si>
  <si>
    <t>6550</t>
  </si>
  <si>
    <t>Leveren boomrandbanden</t>
  </si>
  <si>
    <t>655010</t>
  </si>
  <si>
    <t>Leveren boomrandband</t>
  </si>
  <si>
    <t>Alle gele cellen invullen</t>
  </si>
  <si>
    <t>Opdrachtgever: Gemeente Bodegraven-Reeuwijk</t>
  </si>
  <si>
    <t>Projectnaam: Raamovereenkomst Grootonderhoud Elementenverhardingen 2023-2027</t>
  </si>
  <si>
    <t>Bijlage B3 - G1: MKI-bedrag te leveren bestratingsmaterialen</t>
  </si>
  <si>
    <t>Opgave MKI-bedrag / m3 in €</t>
  </si>
  <si>
    <t>Volume</t>
  </si>
  <si>
    <t>Volume in m3 per post</t>
  </si>
  <si>
    <t>MKI per m3 gemiddeld::</t>
  </si>
  <si>
    <t>Referentie: 117404.OR.B23.001 - Nota van Inlichtingen d.d. 27-01-2023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</si>
</sst>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0.000000"/>
    <numFmt numFmtId="166" formatCode="_ [$€-413]\ * #,##0.000000_ ;_ [$€-413]\ * \-#,##0.000000_ ;_ [$€-413]\ * &quot;-&quot;????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2" fontId="0" fillId="0" borderId="0" xfId="0" applyNumberFormat="1"/>
    <xf numFmtId="2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7" xfId="0" applyBorder="1"/>
    <xf numFmtId="0" fontId="0" fillId="0" borderId="8" xfId="0" applyBorder="1"/>
    <xf numFmtId="2" fontId="0" fillId="0" borderId="9" xfId="0" applyNumberFormat="1" applyBorder="1"/>
    <xf numFmtId="0" fontId="0" fillId="0" borderId="3" xfId="0" applyBorder="1"/>
    <xf numFmtId="0" fontId="0" fillId="0" borderId="4" xfId="0" applyBorder="1"/>
    <xf numFmtId="0" fontId="3" fillId="0" borderId="4" xfId="0" applyFont="1" applyBorder="1" applyAlignment="1">
      <alignment horizontal="left" vertical="top" wrapText="1"/>
    </xf>
    <xf numFmtId="164" fontId="0" fillId="0" borderId="3" xfId="0" applyNumberFormat="1" applyBorder="1"/>
    <xf numFmtId="16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1" fontId="6" fillId="2" borderId="1" xfId="2" applyNumberFormat="1" applyFont="1" applyFill="1" applyBorder="1" applyAlignment="1">
      <alignment horizontal="center"/>
    </xf>
    <xf numFmtId="44" fontId="6" fillId="2" borderId="1" xfId="1" applyFont="1" applyFill="1" applyBorder="1" applyAlignment="1">
      <alignment horizontal="center"/>
    </xf>
    <xf numFmtId="9" fontId="6" fillId="0" borderId="0" xfId="0" applyNumberFormat="1" applyFont="1" applyAlignment="1">
      <alignment horizontal="center"/>
    </xf>
    <xf numFmtId="44" fontId="0" fillId="0" borderId="0" xfId="0" applyNumberFormat="1"/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left" vertical="center"/>
    </xf>
    <xf numFmtId="164" fontId="0" fillId="3" borderId="1" xfId="0" applyNumberFormat="1" applyFill="1" applyBorder="1" applyAlignment="1">
      <alignment vertical="center"/>
    </xf>
    <xf numFmtId="164" fontId="1" fillId="3" borderId="1" xfId="0" applyNumberFormat="1" applyFont="1" applyFill="1" applyBorder="1" applyAlignment="1">
      <alignment vertical="center" wrapText="1"/>
    </xf>
    <xf numFmtId="0" fontId="0" fillId="0" borderId="0" xfId="0" applyFill="1"/>
    <xf numFmtId="164" fontId="0" fillId="2" borderId="1" xfId="0" applyNumberFormat="1" applyFill="1" applyBorder="1" applyProtection="1">
      <protection locked="0"/>
    </xf>
    <xf numFmtId="2" fontId="0" fillId="0" borderId="4" xfId="0" applyNumberFormat="1" applyBorder="1"/>
    <xf numFmtId="164" fontId="0" fillId="0" borderId="1" xfId="0" applyNumberFormat="1" applyFill="1" applyBorder="1"/>
    <xf numFmtId="0" fontId="1" fillId="0" borderId="1" xfId="0" applyFont="1" applyBorder="1"/>
    <xf numFmtId="0" fontId="0" fillId="0" borderId="1" xfId="0" applyFont="1" applyBorder="1"/>
    <xf numFmtId="164" fontId="0" fillId="0" borderId="1" xfId="0" applyNumberFormat="1" applyBorder="1" applyAlignment="1">
      <alignment horizontal="center" vertical="center" wrapText="1"/>
    </xf>
    <xf numFmtId="0" fontId="8" fillId="0" borderId="0" xfId="0" applyFont="1"/>
    <xf numFmtId="164" fontId="1" fillId="3" borderId="1" xfId="0" applyNumberFormat="1" applyFont="1" applyFill="1" applyBorder="1" applyAlignment="1">
      <alignment horizontal="left" vertical="top" wrapText="1"/>
    </xf>
    <xf numFmtId="0" fontId="0" fillId="0" borderId="2" xfId="0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3" xfId="0" applyFill="1" applyBorder="1" applyProtection="1"/>
    <xf numFmtId="2" fontId="0" fillId="0" borderId="6" xfId="0" applyNumberFormat="1" applyBorder="1" applyAlignment="1" applyProtection="1">
      <alignment horizontal="center" vertical="center" wrapText="1"/>
    </xf>
    <xf numFmtId="164" fontId="0" fillId="0" borderId="2" xfId="0" applyNumberFormat="1" applyBorder="1" applyAlignment="1" applyProtection="1">
      <alignment horizontal="center" vertical="center"/>
    </xf>
    <xf numFmtId="0" fontId="1" fillId="0" borderId="1" xfId="0" applyFont="1" applyBorder="1" applyProtection="1"/>
    <xf numFmtId="0" fontId="0" fillId="0" borderId="1" xfId="0" applyBorder="1" applyProtection="1"/>
    <xf numFmtId="2" fontId="0" fillId="0" borderId="1" xfId="0" applyNumberFormat="1" applyFill="1" applyBorder="1" applyProtection="1"/>
    <xf numFmtId="164" fontId="0" fillId="0" borderId="1" xfId="0" applyNumberFormat="1" applyFill="1" applyBorder="1" applyProtection="1"/>
    <xf numFmtId="0" fontId="9" fillId="0" borderId="0" xfId="0" applyFont="1"/>
    <xf numFmtId="165" fontId="0" fillId="0" borderId="1" xfId="0" applyNumberFormat="1" applyFill="1" applyBorder="1"/>
    <xf numFmtId="166" fontId="0" fillId="0" borderId="0" xfId="0" applyNumberFormat="1"/>
    <xf numFmtId="0" fontId="0" fillId="2" borderId="1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0" xfId="0" applyAlignment="1">
      <alignment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Kwaliteitswaarde</a:t>
            </a:r>
            <a:r>
              <a:rPr lang="nl-NL" baseline="0"/>
              <a:t> MKI bestratingsmaterialen</a:t>
            </a:r>
            <a:endParaRPr lang="nl-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'G1 MKI betratingsmateriaal'!$C$127:$C$138</c:f>
              <c:numCache>
                <c:formatCode>General</c:formatCode>
                <c:ptCount val="12"/>
                <c:pt idx="0">
                  <c:v>12</c:v>
                </c:pt>
                <c:pt idx="1">
                  <c:v>13</c:v>
                </c:pt>
                <c:pt idx="2">
                  <c:v>14</c:v>
                </c:pt>
                <c:pt idx="3">
                  <c:v>15</c:v>
                </c:pt>
                <c:pt idx="4">
                  <c:v>16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20</c:v>
                </c:pt>
                <c:pt idx="9">
                  <c:v>21</c:v>
                </c:pt>
                <c:pt idx="10">
                  <c:v>22</c:v>
                </c:pt>
                <c:pt idx="11">
                  <c:v>23</c:v>
                </c:pt>
              </c:numCache>
            </c:numRef>
          </c:cat>
          <c:val>
            <c:numRef>
              <c:f>'G1 MKI betratingsmateriaal'!$I$127:$I$138</c:f>
              <c:numCache>
                <c:formatCode>_("€"* #,##0.00_);_("€"* \(#,##0.00\);_("€"* "-"??_);_(@_)</c:formatCode>
                <c:ptCount val="12"/>
                <c:pt idx="0">
                  <c:v>525000</c:v>
                </c:pt>
                <c:pt idx="1">
                  <c:v>306286.16001347126</c:v>
                </c:pt>
                <c:pt idx="2">
                  <c:v>223146.22334756376</c:v>
                </c:pt>
                <c:pt idx="3">
                  <c:v>164666.99286207787</c:v>
                </c:pt>
                <c:pt idx="4">
                  <c:v>120020.66168406828</c:v>
                </c:pt>
                <c:pt idx="5">
                  <c:v>84976.287265566745</c:v>
                </c:pt>
                <c:pt idx="6">
                  <c:v>57370.140014120589</c:v>
                </c:pt>
                <c:pt idx="7">
                  <c:v>35940.986170110096</c:v>
                </c:pt>
                <c:pt idx="8">
                  <c:v>19902.022433123591</c:v>
                </c:pt>
                <c:pt idx="9">
                  <c:v>8750.6128312924029</c:v>
                </c:pt>
                <c:pt idx="10">
                  <c:v>2173.9223814323409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E2-4EC7-B94B-95133331C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40624"/>
        <c:axId val="383494496"/>
      </c:lineChart>
      <c:catAx>
        <c:axId val="340940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Gewogen gemiddelde MKI-bedrag / m3 </a:t>
                </a:r>
              </a:p>
              <a:p>
                <a:pPr>
                  <a:defRPr/>
                </a:pPr>
                <a:r>
                  <a:rPr lang="nl-NL"/>
                  <a:t>bestratingsmaterialen van beton</a:t>
                </a:r>
                <a:endParaRPr lang="nl-NL" baseline="0"/>
              </a:p>
            </c:rich>
          </c:tx>
          <c:layout>
            <c:manualLayout>
              <c:xMode val="edge"/>
              <c:yMode val="edge"/>
              <c:x val="0.41637379702537181"/>
              <c:y val="0.9070928083331953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83494496"/>
        <c:crosses val="autoZero"/>
        <c:auto val="1"/>
        <c:lblAlgn val="ctr"/>
        <c:lblOffset val="100"/>
        <c:noMultiLvlLbl val="0"/>
      </c:catAx>
      <c:valAx>
        <c:axId val="383494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Kwalieitswaarde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340940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461010</xdr:colOff>
      <xdr:row>118</xdr:row>
      <xdr:rowOff>171450</xdr:rowOff>
    </xdr:from>
    <xdr:to>
      <xdr:col>17</xdr:col>
      <xdr:colOff>156210</xdr:colOff>
      <xdr:row>147</xdr:row>
      <xdr:rowOff>38100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89F24FA1-CE52-C8BD-9803-DE2444A204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2</xdr:row>
      <xdr:rowOff>0</xdr:rowOff>
    </xdr:from>
    <xdr:to>
      <xdr:col>17</xdr:col>
      <xdr:colOff>99386</xdr:colOff>
      <xdr:row>24</xdr:row>
      <xdr:rowOff>35771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86DE87E-C070-8B67-B51A-7CA034821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475129"/>
          <a:ext cx="3756986" cy="416850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08B8D-12F8-4968-BB23-56AF819C23FD}">
  <dimension ref="A1:J148"/>
  <sheetViews>
    <sheetView tabSelected="1" view="pageBreakPreview" topLeftCell="A118" zoomScale="85" zoomScaleNormal="100" zoomScaleSheetLayoutView="85" workbookViewId="0">
      <selection activeCell="H138" sqref="H138"/>
    </sheetView>
  </sheetViews>
  <sheetFormatPr defaultRowHeight="14.4" x14ac:dyDescent="0.3"/>
  <cols>
    <col min="2" max="2" width="47.77734375" bestFit="1" customWidth="1"/>
    <col min="3" max="3" width="6.77734375" bestFit="1" customWidth="1"/>
    <col min="4" max="4" width="9.77734375" customWidth="1"/>
    <col min="5" max="5" width="10.44140625" style="8" customWidth="1"/>
    <col min="6" max="6" width="15.5546875" style="12" customWidth="1"/>
    <col min="7" max="7" width="13.77734375" customWidth="1"/>
    <col min="8" max="8" width="16.109375" customWidth="1"/>
    <col min="9" max="9" width="16" customWidth="1"/>
    <col min="10" max="23" width="8.88671875" customWidth="1"/>
  </cols>
  <sheetData>
    <row r="1" spans="1:9" ht="23.4" x14ac:dyDescent="0.45">
      <c r="A1" s="54" t="s">
        <v>214</v>
      </c>
    </row>
    <row r="2" spans="1:9" x14ac:dyDescent="0.3">
      <c r="A2" s="63" t="s">
        <v>212</v>
      </c>
      <c r="B2" s="63"/>
      <c r="C2" s="63"/>
      <c r="D2" s="63"/>
      <c r="E2" s="63"/>
      <c r="F2" s="63"/>
    </row>
    <row r="3" spans="1:9" x14ac:dyDescent="0.3">
      <c r="A3" s="63" t="s">
        <v>213</v>
      </c>
      <c r="B3" s="63"/>
      <c r="C3" s="63"/>
      <c r="D3" s="63"/>
      <c r="E3" s="63"/>
      <c r="F3" s="63"/>
    </row>
    <row r="4" spans="1:9" x14ac:dyDescent="0.3">
      <c r="A4" s="63" t="s">
        <v>219</v>
      </c>
      <c r="B4" s="63"/>
      <c r="C4" s="63"/>
      <c r="D4" s="63"/>
      <c r="E4" s="63"/>
      <c r="F4" s="63"/>
    </row>
    <row r="6" spans="1:9" s="22" customFormat="1" x14ac:dyDescent="0.3">
      <c r="A6" s="63" t="s">
        <v>7</v>
      </c>
      <c r="B6" s="63"/>
      <c r="C6" s="63"/>
      <c r="D6" s="63"/>
      <c r="F6" s="43">
        <v>525000</v>
      </c>
    </row>
    <row r="7" spans="1:9" x14ac:dyDescent="0.3">
      <c r="A7" s="42" t="s">
        <v>211</v>
      </c>
    </row>
    <row r="9" spans="1:9" ht="28.8" x14ac:dyDescent="0.3">
      <c r="A9" s="2" t="s">
        <v>0</v>
      </c>
      <c r="B9" s="2" t="s">
        <v>1</v>
      </c>
      <c r="C9" s="5" t="s">
        <v>5</v>
      </c>
      <c r="D9" s="5" t="s">
        <v>4</v>
      </c>
      <c r="E9" s="9" t="s">
        <v>216</v>
      </c>
      <c r="F9" s="41" t="s">
        <v>215</v>
      </c>
      <c r="G9" s="11" t="s">
        <v>217</v>
      </c>
      <c r="H9" t="s">
        <v>6</v>
      </c>
    </row>
    <row r="10" spans="1:9" x14ac:dyDescent="0.3">
      <c r="A10" s="44"/>
      <c r="B10" s="45"/>
      <c r="C10" s="46"/>
      <c r="D10" s="47"/>
      <c r="E10" s="48"/>
      <c r="F10" s="49"/>
      <c r="G10" s="1"/>
    </row>
    <row r="11" spans="1:9" s="35" customFormat="1" x14ac:dyDescent="0.3">
      <c r="A11" s="50" t="s">
        <v>25</v>
      </c>
      <c r="B11" s="50" t="s">
        <v>26</v>
      </c>
      <c r="C11" s="51" t="s">
        <v>27</v>
      </c>
      <c r="D11" s="51"/>
      <c r="E11" s="52"/>
      <c r="F11" s="53"/>
    </row>
    <row r="12" spans="1:9" s="35" customFormat="1" x14ac:dyDescent="0.3">
      <c r="A12" s="50" t="s">
        <v>28</v>
      </c>
      <c r="B12" s="50" t="s">
        <v>29</v>
      </c>
      <c r="C12" s="51" t="s">
        <v>27</v>
      </c>
      <c r="D12" s="51"/>
      <c r="E12" s="52"/>
      <c r="F12" s="53"/>
    </row>
    <row r="13" spans="1:9" s="35" customFormat="1" x14ac:dyDescent="0.3">
      <c r="A13" s="50" t="s">
        <v>30</v>
      </c>
      <c r="B13" s="50" t="s">
        <v>31</v>
      </c>
      <c r="C13" s="51" t="s">
        <v>27</v>
      </c>
      <c r="D13" s="51"/>
      <c r="E13" s="52"/>
      <c r="F13" s="53"/>
    </row>
    <row r="14" spans="1:9" s="35" customFormat="1" x14ac:dyDescent="0.3">
      <c r="A14" s="3" t="s">
        <v>32</v>
      </c>
      <c r="B14" s="3" t="s">
        <v>33</v>
      </c>
      <c r="C14" s="3" t="s">
        <v>2</v>
      </c>
      <c r="D14" s="3">
        <v>756000</v>
      </c>
      <c r="E14" s="55">
        <f>(0.211*0.105)*0.08</f>
        <v>1.7723999999999999E-3</v>
      </c>
      <c r="F14" s="36"/>
      <c r="G14">
        <f>D14*E14</f>
        <v>1339.9343999999999</v>
      </c>
      <c r="H14" s="56">
        <f>(D14*E14)*F14</f>
        <v>0</v>
      </c>
      <c r="I14">
        <f>IF(F14="",1,0)</f>
        <v>1</v>
      </c>
    </row>
    <row r="15" spans="1:9" s="35" customFormat="1" x14ac:dyDescent="0.3">
      <c r="A15" s="3" t="s">
        <v>34</v>
      </c>
      <c r="B15" s="3" t="s">
        <v>35</v>
      </c>
      <c r="C15" s="3" t="s">
        <v>2</v>
      </c>
      <c r="D15" s="3">
        <v>75600</v>
      </c>
      <c r="E15" s="55">
        <f>(0.105*0.105)*0.08</f>
        <v>8.8199999999999986E-4</v>
      </c>
      <c r="F15" s="36"/>
      <c r="G15">
        <f t="shared" ref="G15:G44" si="0">D15*E15</f>
        <v>66.679199999999994</v>
      </c>
      <c r="H15" s="56">
        <f t="shared" ref="H15:H44" si="1">(D15*E15)*F15</f>
        <v>0</v>
      </c>
      <c r="I15">
        <f t="shared" ref="I15:I30" si="2">IF(F15="",1,0)</f>
        <v>1</v>
      </c>
    </row>
    <row r="16" spans="1:9" s="35" customFormat="1" x14ac:dyDescent="0.3">
      <c r="A16" s="3" t="s">
        <v>36</v>
      </c>
      <c r="B16" s="3" t="s">
        <v>37</v>
      </c>
      <c r="C16" s="3" t="s">
        <v>2</v>
      </c>
      <c r="D16" s="3">
        <v>75600</v>
      </c>
      <c r="E16" s="55">
        <v>3.1099999999999999E-2</v>
      </c>
      <c r="F16" s="36"/>
      <c r="G16">
        <f t="shared" si="0"/>
        <v>2351.16</v>
      </c>
      <c r="H16" s="56">
        <f t="shared" si="1"/>
        <v>0</v>
      </c>
      <c r="I16">
        <f t="shared" si="2"/>
        <v>1</v>
      </c>
    </row>
    <row r="17" spans="1:9" s="35" customFormat="1" x14ac:dyDescent="0.3">
      <c r="A17" s="3" t="s">
        <v>38</v>
      </c>
      <c r="B17" s="3" t="s">
        <v>39</v>
      </c>
      <c r="C17" s="3" t="s">
        <v>2</v>
      </c>
      <c r="D17" s="3">
        <v>420000</v>
      </c>
      <c r="E17" s="55">
        <f>(0.211*0.105)*0.08</f>
        <v>1.7723999999999999E-3</v>
      </c>
      <c r="F17" s="36"/>
      <c r="G17">
        <f t="shared" si="0"/>
        <v>744.40800000000002</v>
      </c>
      <c r="H17" s="56">
        <f t="shared" si="1"/>
        <v>0</v>
      </c>
      <c r="I17">
        <f t="shared" si="2"/>
        <v>1</v>
      </c>
    </row>
    <row r="18" spans="1:9" s="35" customFormat="1" x14ac:dyDescent="0.3">
      <c r="A18" s="3" t="s">
        <v>40</v>
      </c>
      <c r="B18" s="3" t="s">
        <v>41</v>
      </c>
      <c r="C18" s="3" t="s">
        <v>2</v>
      </c>
      <c r="D18" s="3">
        <v>42000</v>
      </c>
      <c r="E18" s="55">
        <f>(0.105*0.105)*0.08</f>
        <v>8.8199999999999986E-4</v>
      </c>
      <c r="F18" s="36"/>
      <c r="G18">
        <f t="shared" si="0"/>
        <v>37.043999999999997</v>
      </c>
      <c r="H18" s="56">
        <f t="shared" si="1"/>
        <v>0</v>
      </c>
      <c r="I18">
        <f t="shared" si="2"/>
        <v>1</v>
      </c>
    </row>
    <row r="19" spans="1:9" s="35" customFormat="1" x14ac:dyDescent="0.3">
      <c r="A19" s="3" t="s">
        <v>42</v>
      </c>
      <c r="B19" s="3" t="s">
        <v>43</v>
      </c>
      <c r="C19" s="3" t="s">
        <v>2</v>
      </c>
      <c r="D19" s="3">
        <v>500</v>
      </c>
      <c r="E19" s="55">
        <v>3.1099999999999999E-2</v>
      </c>
      <c r="F19" s="36"/>
      <c r="G19">
        <f t="shared" si="0"/>
        <v>15.549999999999999</v>
      </c>
      <c r="H19" s="56">
        <f t="shared" si="1"/>
        <v>0</v>
      </c>
      <c r="I19">
        <f t="shared" si="2"/>
        <v>1</v>
      </c>
    </row>
    <row r="20" spans="1:9" s="35" customFormat="1" x14ac:dyDescent="0.3">
      <c r="A20" s="3" t="s">
        <v>44</v>
      </c>
      <c r="B20" s="3" t="s">
        <v>45</v>
      </c>
      <c r="C20" s="3" t="s">
        <v>2</v>
      </c>
      <c r="D20" s="3">
        <v>84000</v>
      </c>
      <c r="E20" s="55">
        <f>(0.211*0.105)*0.08</f>
        <v>1.7723999999999999E-3</v>
      </c>
      <c r="F20" s="36"/>
      <c r="G20">
        <f t="shared" si="0"/>
        <v>148.88159999999999</v>
      </c>
      <c r="H20" s="56">
        <f t="shared" si="1"/>
        <v>0</v>
      </c>
      <c r="I20">
        <f t="shared" si="2"/>
        <v>1</v>
      </c>
    </row>
    <row r="21" spans="1:9" s="35" customFormat="1" x14ac:dyDescent="0.3">
      <c r="A21" s="3" t="s">
        <v>46</v>
      </c>
      <c r="B21" s="3" t="s">
        <v>47</v>
      </c>
      <c r="C21" s="3" t="s">
        <v>2</v>
      </c>
      <c r="D21" s="3">
        <v>8400</v>
      </c>
      <c r="E21" s="55">
        <f>(0.105*0.105)*0.08</f>
        <v>8.8199999999999986E-4</v>
      </c>
      <c r="F21" s="36"/>
      <c r="G21">
        <f t="shared" si="0"/>
        <v>7.4087999999999985</v>
      </c>
      <c r="H21" s="56">
        <f t="shared" si="1"/>
        <v>0</v>
      </c>
      <c r="I21">
        <f t="shared" si="2"/>
        <v>1</v>
      </c>
    </row>
    <row r="22" spans="1:9" s="35" customFormat="1" x14ac:dyDescent="0.3">
      <c r="A22" s="3" t="s">
        <v>48</v>
      </c>
      <c r="B22" s="3" t="s">
        <v>49</v>
      </c>
      <c r="C22" s="3" t="s">
        <v>2</v>
      </c>
      <c r="D22" s="3">
        <v>500</v>
      </c>
      <c r="E22" s="55">
        <v>3.1099999999999999E-2</v>
      </c>
      <c r="F22" s="36"/>
      <c r="G22">
        <f t="shared" si="0"/>
        <v>15.549999999999999</v>
      </c>
      <c r="H22" s="56">
        <f t="shared" si="1"/>
        <v>0</v>
      </c>
      <c r="I22">
        <f t="shared" si="2"/>
        <v>1</v>
      </c>
    </row>
    <row r="23" spans="1:9" s="35" customFormat="1" x14ac:dyDescent="0.3">
      <c r="A23" s="3" t="s">
        <v>50</v>
      </c>
      <c r="B23" s="3" t="s">
        <v>51</v>
      </c>
      <c r="C23" s="3" t="s">
        <v>2</v>
      </c>
      <c r="D23" s="3">
        <v>252000</v>
      </c>
      <c r="E23" s="55">
        <f>(0.211*0.105)*0.08</f>
        <v>1.7723999999999999E-3</v>
      </c>
      <c r="F23" s="36"/>
      <c r="G23">
        <f t="shared" si="0"/>
        <v>446.64479999999998</v>
      </c>
      <c r="H23" s="56">
        <f t="shared" si="1"/>
        <v>0</v>
      </c>
      <c r="I23">
        <f t="shared" si="2"/>
        <v>1</v>
      </c>
    </row>
    <row r="24" spans="1:9" s="35" customFormat="1" x14ac:dyDescent="0.3">
      <c r="A24" s="3" t="s">
        <v>52</v>
      </c>
      <c r="B24" s="3" t="s">
        <v>53</v>
      </c>
      <c r="C24" s="3" t="s">
        <v>2</v>
      </c>
      <c r="D24" s="3">
        <v>25200</v>
      </c>
      <c r="E24" s="55">
        <f>(0.105*0.105)*0.08</f>
        <v>8.8199999999999986E-4</v>
      </c>
      <c r="F24" s="36"/>
      <c r="G24">
        <f t="shared" si="0"/>
        <v>22.226399999999998</v>
      </c>
      <c r="H24" s="56">
        <f t="shared" si="1"/>
        <v>0</v>
      </c>
      <c r="I24">
        <f t="shared" si="2"/>
        <v>1</v>
      </c>
    </row>
    <row r="25" spans="1:9" s="35" customFormat="1" x14ac:dyDescent="0.3">
      <c r="A25" s="3" t="s">
        <v>54</v>
      </c>
      <c r="B25" s="3" t="s">
        <v>55</v>
      </c>
      <c r="C25" s="3" t="s">
        <v>2</v>
      </c>
      <c r="D25" s="3">
        <v>25200</v>
      </c>
      <c r="E25" s="55">
        <v>3.1099999999999999E-2</v>
      </c>
      <c r="F25" s="36"/>
      <c r="G25">
        <f t="shared" si="0"/>
        <v>783.72</v>
      </c>
      <c r="H25" s="56">
        <f t="shared" si="1"/>
        <v>0</v>
      </c>
      <c r="I25">
        <f t="shared" si="2"/>
        <v>1</v>
      </c>
    </row>
    <row r="26" spans="1:9" s="35" customFormat="1" x14ac:dyDescent="0.3">
      <c r="A26" s="3" t="s">
        <v>56</v>
      </c>
      <c r="B26" s="3" t="s">
        <v>57</v>
      </c>
      <c r="C26" s="3" t="s">
        <v>2</v>
      </c>
      <c r="D26" s="3">
        <v>168000</v>
      </c>
      <c r="E26" s="55">
        <f>(0.211*0.105)*0.08</f>
        <v>1.7723999999999999E-3</v>
      </c>
      <c r="F26" s="36"/>
      <c r="G26">
        <f t="shared" si="0"/>
        <v>297.76319999999998</v>
      </c>
      <c r="H26" s="56">
        <f t="shared" si="1"/>
        <v>0</v>
      </c>
      <c r="I26">
        <f t="shared" si="2"/>
        <v>1</v>
      </c>
    </row>
    <row r="27" spans="1:9" s="35" customFormat="1" x14ac:dyDescent="0.3">
      <c r="A27" s="3" t="s">
        <v>58</v>
      </c>
      <c r="B27" s="3" t="s">
        <v>59</v>
      </c>
      <c r="C27" s="3" t="s">
        <v>2</v>
      </c>
      <c r="D27" s="3">
        <v>16800</v>
      </c>
      <c r="E27" s="55">
        <f>(0.105*0.105)*0.08</f>
        <v>8.8199999999999986E-4</v>
      </c>
      <c r="F27" s="36"/>
      <c r="G27">
        <f t="shared" si="0"/>
        <v>14.817599999999997</v>
      </c>
      <c r="H27" s="56">
        <f t="shared" si="1"/>
        <v>0</v>
      </c>
      <c r="I27">
        <f t="shared" si="2"/>
        <v>1</v>
      </c>
    </row>
    <row r="28" spans="1:9" s="35" customFormat="1" x14ac:dyDescent="0.3">
      <c r="A28" s="3" t="s">
        <v>60</v>
      </c>
      <c r="B28" s="3" t="s">
        <v>61</v>
      </c>
      <c r="C28" s="3" t="s">
        <v>2</v>
      </c>
      <c r="D28" s="3">
        <v>1000</v>
      </c>
      <c r="E28" s="55">
        <v>3.1099999999999999E-2</v>
      </c>
      <c r="F28" s="36"/>
      <c r="G28">
        <f t="shared" si="0"/>
        <v>31.099999999999998</v>
      </c>
      <c r="H28" s="56">
        <f t="shared" si="1"/>
        <v>0</v>
      </c>
      <c r="I28">
        <f t="shared" si="2"/>
        <v>1</v>
      </c>
    </row>
    <row r="29" spans="1:9" s="35" customFormat="1" x14ac:dyDescent="0.3">
      <c r="A29" s="3" t="s">
        <v>62</v>
      </c>
      <c r="B29" s="3" t="s">
        <v>63</v>
      </c>
      <c r="C29" s="3" t="s">
        <v>2</v>
      </c>
      <c r="D29" s="3">
        <v>10000</v>
      </c>
      <c r="E29" s="55">
        <f>(0.211*0.105)*0.08</f>
        <v>1.7723999999999999E-3</v>
      </c>
      <c r="F29" s="36"/>
      <c r="G29">
        <f t="shared" si="0"/>
        <v>17.724</v>
      </c>
      <c r="H29" s="56">
        <f t="shared" si="1"/>
        <v>0</v>
      </c>
      <c r="I29">
        <f t="shared" si="2"/>
        <v>1</v>
      </c>
    </row>
    <row r="30" spans="1:9" s="35" customFormat="1" x14ac:dyDescent="0.3">
      <c r="A30" s="3" t="s">
        <v>64</v>
      </c>
      <c r="B30" s="3" t="s">
        <v>65</v>
      </c>
      <c r="C30" s="3" t="s">
        <v>2</v>
      </c>
      <c r="D30" s="3">
        <v>2500</v>
      </c>
      <c r="E30" s="55">
        <f>(0.211*0.105)*0.08</f>
        <v>1.7723999999999999E-3</v>
      </c>
      <c r="F30" s="36"/>
      <c r="G30">
        <f t="shared" si="0"/>
        <v>4.431</v>
      </c>
      <c r="H30" s="56">
        <f t="shared" si="1"/>
        <v>0</v>
      </c>
      <c r="I30">
        <f t="shared" si="2"/>
        <v>1</v>
      </c>
    </row>
    <row r="31" spans="1:9" s="35" customFormat="1" x14ac:dyDescent="0.3">
      <c r="A31" s="39" t="s">
        <v>66</v>
      </c>
      <c r="B31" s="39" t="s">
        <v>67</v>
      </c>
      <c r="C31" s="3" t="s">
        <v>27</v>
      </c>
      <c r="D31" s="3"/>
      <c r="E31" s="55"/>
      <c r="F31" s="38"/>
    </row>
    <row r="32" spans="1:9" s="35" customFormat="1" x14ac:dyDescent="0.3">
      <c r="A32" s="3" t="s">
        <v>68</v>
      </c>
      <c r="B32" s="3" t="s">
        <v>69</v>
      </c>
      <c r="C32" s="3" t="s">
        <v>2</v>
      </c>
      <c r="D32" s="3">
        <v>175000</v>
      </c>
      <c r="E32" s="55">
        <f>(0.211*0.069)*0.08</f>
        <v>1.1647200000000002E-3</v>
      </c>
      <c r="F32" s="36"/>
      <c r="G32">
        <f t="shared" si="0"/>
        <v>203.82600000000002</v>
      </c>
      <c r="H32" s="56">
        <f t="shared" si="1"/>
        <v>0</v>
      </c>
      <c r="I32">
        <f t="shared" ref="I32:I36" si="3">IF(F32="",1,0)</f>
        <v>1</v>
      </c>
    </row>
    <row r="33" spans="1:9" s="35" customFormat="1" x14ac:dyDescent="0.3">
      <c r="A33" s="3" t="s">
        <v>70</v>
      </c>
      <c r="B33" s="3" t="s">
        <v>71</v>
      </c>
      <c r="C33" s="3" t="s">
        <v>2</v>
      </c>
      <c r="D33" s="3">
        <v>97000</v>
      </c>
      <c r="E33" s="55">
        <f t="shared" ref="E33:E36" si="4">(0.211*0.069)*0.08</f>
        <v>1.1647200000000002E-3</v>
      </c>
      <c r="F33" s="36"/>
      <c r="G33">
        <f t="shared" si="0"/>
        <v>112.97784000000001</v>
      </c>
      <c r="H33" s="56">
        <f t="shared" si="1"/>
        <v>0</v>
      </c>
      <c r="I33">
        <f t="shared" si="3"/>
        <v>1</v>
      </c>
    </row>
    <row r="34" spans="1:9" s="35" customFormat="1" x14ac:dyDescent="0.3">
      <c r="A34" s="3" t="s">
        <v>72</v>
      </c>
      <c r="B34" s="3" t="s">
        <v>73</v>
      </c>
      <c r="C34" s="3" t="s">
        <v>2</v>
      </c>
      <c r="D34" s="3">
        <v>19500</v>
      </c>
      <c r="E34" s="55">
        <f t="shared" si="4"/>
        <v>1.1647200000000002E-3</v>
      </c>
      <c r="F34" s="36"/>
      <c r="G34">
        <f t="shared" si="0"/>
        <v>22.712040000000002</v>
      </c>
      <c r="H34" s="56">
        <f t="shared" si="1"/>
        <v>0</v>
      </c>
      <c r="I34">
        <f t="shared" si="3"/>
        <v>1</v>
      </c>
    </row>
    <row r="35" spans="1:9" s="35" customFormat="1" x14ac:dyDescent="0.3">
      <c r="A35" s="3" t="s">
        <v>74</v>
      </c>
      <c r="B35" s="3" t="s">
        <v>75</v>
      </c>
      <c r="C35" s="3" t="s">
        <v>2</v>
      </c>
      <c r="D35" s="3">
        <v>58000</v>
      </c>
      <c r="E35" s="55">
        <f t="shared" si="4"/>
        <v>1.1647200000000002E-3</v>
      </c>
      <c r="F35" s="36"/>
      <c r="G35">
        <f t="shared" si="0"/>
        <v>67.553760000000011</v>
      </c>
      <c r="H35" s="56">
        <f t="shared" si="1"/>
        <v>0</v>
      </c>
      <c r="I35">
        <f t="shared" si="3"/>
        <v>1</v>
      </c>
    </row>
    <row r="36" spans="1:9" s="35" customFormat="1" x14ac:dyDescent="0.3">
      <c r="A36" s="3" t="s">
        <v>76</v>
      </c>
      <c r="B36" s="3" t="s">
        <v>77</v>
      </c>
      <c r="C36" s="3" t="s">
        <v>2</v>
      </c>
      <c r="D36" s="3">
        <v>39000</v>
      </c>
      <c r="E36" s="55">
        <f t="shared" si="4"/>
        <v>1.1647200000000002E-3</v>
      </c>
      <c r="F36" s="36"/>
      <c r="G36">
        <f t="shared" si="0"/>
        <v>45.424080000000004</v>
      </c>
      <c r="H36" s="56">
        <f t="shared" si="1"/>
        <v>0</v>
      </c>
      <c r="I36">
        <f t="shared" si="3"/>
        <v>1</v>
      </c>
    </row>
    <row r="37" spans="1:9" s="35" customFormat="1" x14ac:dyDescent="0.3">
      <c r="A37" s="39" t="s">
        <v>78</v>
      </c>
      <c r="B37" s="39" t="s">
        <v>79</v>
      </c>
      <c r="C37" s="3" t="s">
        <v>27</v>
      </c>
      <c r="D37" s="3"/>
      <c r="E37" s="55"/>
      <c r="F37" s="38"/>
    </row>
    <row r="38" spans="1:9" s="35" customFormat="1" x14ac:dyDescent="0.3">
      <c r="A38" s="3" t="s">
        <v>80</v>
      </c>
      <c r="B38" s="3" t="s">
        <v>81</v>
      </c>
      <c r="C38" s="3" t="s">
        <v>2</v>
      </c>
      <c r="D38" s="3">
        <v>124000</v>
      </c>
      <c r="E38" s="55">
        <f>(0.2*0.05)*0.08</f>
        <v>8.0000000000000015E-4</v>
      </c>
      <c r="F38" s="36"/>
      <c r="G38">
        <f t="shared" si="0"/>
        <v>99.200000000000017</v>
      </c>
      <c r="H38" s="56">
        <f t="shared" si="1"/>
        <v>0</v>
      </c>
      <c r="I38">
        <f t="shared" ref="I38:I42" si="5">IF(F38="",1,0)</f>
        <v>1</v>
      </c>
    </row>
    <row r="39" spans="1:9" s="35" customFormat="1" x14ac:dyDescent="0.3">
      <c r="A39" s="3" t="s">
        <v>82</v>
      </c>
      <c r="B39" s="3" t="s">
        <v>83</v>
      </c>
      <c r="C39" s="3" t="s">
        <v>2</v>
      </c>
      <c r="D39" s="3">
        <v>69000</v>
      </c>
      <c r="E39" s="55">
        <f t="shared" ref="E39:E42" si="6">(0.2*0.05)*0.08</f>
        <v>8.0000000000000015E-4</v>
      </c>
      <c r="F39" s="36"/>
      <c r="G39">
        <f t="shared" si="0"/>
        <v>55.20000000000001</v>
      </c>
      <c r="H39" s="56">
        <f t="shared" si="1"/>
        <v>0</v>
      </c>
      <c r="I39">
        <f t="shared" si="5"/>
        <v>1</v>
      </c>
    </row>
    <row r="40" spans="1:9" s="35" customFormat="1" x14ac:dyDescent="0.3">
      <c r="A40" s="3" t="s">
        <v>84</v>
      </c>
      <c r="B40" s="3" t="s">
        <v>85</v>
      </c>
      <c r="C40" s="3" t="s">
        <v>2</v>
      </c>
      <c r="D40" s="3">
        <v>14000</v>
      </c>
      <c r="E40" s="55">
        <f t="shared" si="6"/>
        <v>8.0000000000000015E-4</v>
      </c>
      <c r="F40" s="36"/>
      <c r="G40">
        <f t="shared" si="0"/>
        <v>11.200000000000003</v>
      </c>
      <c r="H40" s="56">
        <f t="shared" si="1"/>
        <v>0</v>
      </c>
      <c r="I40">
        <f t="shared" si="5"/>
        <v>1</v>
      </c>
    </row>
    <row r="41" spans="1:9" s="35" customFormat="1" x14ac:dyDescent="0.3">
      <c r="A41" s="3" t="s">
        <v>86</v>
      </c>
      <c r="B41" s="3" t="s">
        <v>87</v>
      </c>
      <c r="C41" s="3" t="s">
        <v>2</v>
      </c>
      <c r="D41" s="3">
        <v>42000</v>
      </c>
      <c r="E41" s="55">
        <f t="shared" si="6"/>
        <v>8.0000000000000015E-4</v>
      </c>
      <c r="F41" s="36"/>
      <c r="G41">
        <f t="shared" si="0"/>
        <v>33.600000000000009</v>
      </c>
      <c r="H41" s="56">
        <f t="shared" si="1"/>
        <v>0</v>
      </c>
      <c r="I41">
        <f t="shared" si="5"/>
        <v>1</v>
      </c>
    </row>
    <row r="42" spans="1:9" s="35" customFormat="1" x14ac:dyDescent="0.3">
      <c r="A42" s="3" t="s">
        <v>88</v>
      </c>
      <c r="B42" s="3" t="s">
        <v>89</v>
      </c>
      <c r="C42" s="3" t="s">
        <v>2</v>
      </c>
      <c r="D42" s="3">
        <v>28000</v>
      </c>
      <c r="E42" s="55">
        <f t="shared" si="6"/>
        <v>8.0000000000000015E-4</v>
      </c>
      <c r="F42" s="36"/>
      <c r="G42">
        <f t="shared" si="0"/>
        <v>22.400000000000006</v>
      </c>
      <c r="H42" s="56">
        <f t="shared" si="1"/>
        <v>0</v>
      </c>
      <c r="I42">
        <f t="shared" si="5"/>
        <v>1</v>
      </c>
    </row>
    <row r="43" spans="1:9" s="35" customFormat="1" x14ac:dyDescent="0.3">
      <c r="A43" s="39" t="s">
        <v>90</v>
      </c>
      <c r="B43" s="39" t="s">
        <v>91</v>
      </c>
      <c r="C43" s="3" t="s">
        <v>27</v>
      </c>
      <c r="D43" s="3"/>
      <c r="E43" s="55"/>
      <c r="F43" s="38"/>
    </row>
    <row r="44" spans="1:9" s="35" customFormat="1" x14ac:dyDescent="0.3">
      <c r="A44" s="3" t="s">
        <v>92</v>
      </c>
      <c r="B44" s="3" t="s">
        <v>93</v>
      </c>
      <c r="C44" s="3" t="s">
        <v>2</v>
      </c>
      <c r="D44" s="3">
        <v>12000</v>
      </c>
      <c r="E44" s="55">
        <f>(0.21*0.21)*0.08</f>
        <v>3.5279999999999995E-3</v>
      </c>
      <c r="F44" s="36"/>
      <c r="G44">
        <f t="shared" si="0"/>
        <v>42.335999999999991</v>
      </c>
      <c r="H44" s="56">
        <f t="shared" si="1"/>
        <v>0</v>
      </c>
      <c r="I44">
        <f>IF(F44="",1,0)</f>
        <v>1</v>
      </c>
    </row>
    <row r="45" spans="1:9" s="35" customFormat="1" x14ac:dyDescent="0.3">
      <c r="A45" s="39" t="s">
        <v>94</v>
      </c>
      <c r="B45" s="39" t="s">
        <v>95</v>
      </c>
      <c r="C45" s="3" t="s">
        <v>27</v>
      </c>
      <c r="D45" s="3"/>
      <c r="E45" s="55"/>
      <c r="F45" s="38"/>
    </row>
    <row r="46" spans="1:9" s="35" customFormat="1" x14ac:dyDescent="0.3">
      <c r="A46" s="39" t="s">
        <v>96</v>
      </c>
      <c r="B46" s="39" t="s">
        <v>97</v>
      </c>
      <c r="C46" s="3" t="s">
        <v>27</v>
      </c>
      <c r="D46" s="3"/>
      <c r="E46" s="55"/>
      <c r="F46" s="38"/>
    </row>
    <row r="47" spans="1:9" s="35" customFormat="1" x14ac:dyDescent="0.3">
      <c r="A47" s="3" t="s">
        <v>98</v>
      </c>
      <c r="B47" s="3" t="s">
        <v>99</v>
      </c>
      <c r="C47" s="3" t="s">
        <v>2</v>
      </c>
      <c r="D47" s="3">
        <v>32000</v>
      </c>
      <c r="E47" s="55">
        <f>(0.3*0.3)*0.045</f>
        <v>4.0499999999999998E-3</v>
      </c>
      <c r="F47" s="36"/>
      <c r="G47">
        <f t="shared" ref="G47:G76" si="7">D47*E47</f>
        <v>129.6</v>
      </c>
      <c r="H47" s="56">
        <f t="shared" ref="H47:H76" si="8">(D47*E47)*F47</f>
        <v>0</v>
      </c>
      <c r="I47">
        <f t="shared" ref="I47:I54" si="9">IF(F47="",1,0)</f>
        <v>1</v>
      </c>
    </row>
    <row r="48" spans="1:9" s="35" customFormat="1" x14ac:dyDescent="0.3">
      <c r="A48" s="3" t="s">
        <v>100</v>
      </c>
      <c r="B48" s="3" t="s">
        <v>101</v>
      </c>
      <c r="C48" s="3" t="s">
        <v>2</v>
      </c>
      <c r="D48" s="3">
        <v>8000</v>
      </c>
      <c r="E48" s="55">
        <f>(0.15*0.3)*0.045</f>
        <v>2.0249999999999999E-3</v>
      </c>
      <c r="F48" s="36"/>
      <c r="G48">
        <f t="shared" si="7"/>
        <v>16.2</v>
      </c>
      <c r="H48" s="56">
        <f t="shared" si="8"/>
        <v>0</v>
      </c>
      <c r="I48">
        <f t="shared" si="9"/>
        <v>1</v>
      </c>
    </row>
    <row r="49" spans="1:9" s="35" customFormat="1" x14ac:dyDescent="0.3">
      <c r="A49" s="3" t="s">
        <v>102</v>
      </c>
      <c r="B49" s="3" t="s">
        <v>103</v>
      </c>
      <c r="C49" s="3" t="s">
        <v>2</v>
      </c>
      <c r="D49" s="3">
        <v>5300</v>
      </c>
      <c r="E49" s="55">
        <f>(0.3*0.3)*0.045</f>
        <v>4.0499999999999998E-3</v>
      </c>
      <c r="F49" s="36"/>
      <c r="G49">
        <f t="shared" si="7"/>
        <v>21.465</v>
      </c>
      <c r="H49" s="56">
        <f t="shared" si="8"/>
        <v>0</v>
      </c>
      <c r="I49">
        <f t="shared" si="9"/>
        <v>1</v>
      </c>
    </row>
    <row r="50" spans="1:9" s="35" customFormat="1" x14ac:dyDescent="0.3">
      <c r="A50" s="3" t="s">
        <v>104</v>
      </c>
      <c r="B50" s="3" t="s">
        <v>105</v>
      </c>
      <c r="C50" s="3" t="s">
        <v>2</v>
      </c>
      <c r="D50" s="3">
        <v>1300</v>
      </c>
      <c r="E50" s="55">
        <f>(0.15*0.3)*0.045</f>
        <v>2.0249999999999999E-3</v>
      </c>
      <c r="F50" s="36"/>
      <c r="G50">
        <f t="shared" si="7"/>
        <v>2.6324999999999998</v>
      </c>
      <c r="H50" s="56">
        <f t="shared" si="8"/>
        <v>0</v>
      </c>
      <c r="I50">
        <f t="shared" si="9"/>
        <v>1</v>
      </c>
    </row>
    <row r="51" spans="1:9" s="35" customFormat="1" x14ac:dyDescent="0.3">
      <c r="A51" s="3" t="s">
        <v>106</v>
      </c>
      <c r="B51" s="3" t="s">
        <v>107</v>
      </c>
      <c r="C51" s="3" t="s">
        <v>2</v>
      </c>
      <c r="D51" s="3">
        <v>4000</v>
      </c>
      <c r="E51" s="55">
        <f>(0.3*0.3)*0.045</f>
        <v>4.0499999999999998E-3</v>
      </c>
      <c r="F51" s="36"/>
      <c r="G51">
        <f t="shared" si="7"/>
        <v>16.2</v>
      </c>
      <c r="H51" s="56">
        <f t="shared" si="8"/>
        <v>0</v>
      </c>
      <c r="I51">
        <f t="shared" si="9"/>
        <v>1</v>
      </c>
    </row>
    <row r="52" spans="1:9" s="35" customFormat="1" x14ac:dyDescent="0.3">
      <c r="A52" s="3" t="s">
        <v>108</v>
      </c>
      <c r="B52" s="3" t="s">
        <v>109</v>
      </c>
      <c r="C52" s="3" t="s">
        <v>2</v>
      </c>
      <c r="D52" s="3">
        <v>1300</v>
      </c>
      <c r="E52" s="55">
        <f>(0.15*0.3)*0.045</f>
        <v>2.0249999999999999E-3</v>
      </c>
      <c r="F52" s="36"/>
      <c r="G52">
        <f t="shared" si="7"/>
        <v>2.6324999999999998</v>
      </c>
      <c r="H52" s="56">
        <f t="shared" si="8"/>
        <v>0</v>
      </c>
      <c r="I52">
        <f t="shared" si="9"/>
        <v>1</v>
      </c>
    </row>
    <row r="53" spans="1:9" s="35" customFormat="1" x14ac:dyDescent="0.3">
      <c r="A53" s="3" t="s">
        <v>110</v>
      </c>
      <c r="B53" s="3" t="s">
        <v>111</v>
      </c>
      <c r="C53" s="3" t="s">
        <v>2</v>
      </c>
      <c r="D53" s="3">
        <v>800</v>
      </c>
      <c r="E53" s="55">
        <f>(0.3*0.3)*0.045</f>
        <v>4.0499999999999998E-3</v>
      </c>
      <c r="F53" s="36"/>
      <c r="G53">
        <f t="shared" si="7"/>
        <v>3.2399999999999998</v>
      </c>
      <c r="H53" s="56">
        <f t="shared" si="8"/>
        <v>0</v>
      </c>
      <c r="I53">
        <f t="shared" si="9"/>
        <v>1</v>
      </c>
    </row>
    <row r="54" spans="1:9" s="35" customFormat="1" x14ac:dyDescent="0.3">
      <c r="A54" s="3" t="s">
        <v>112</v>
      </c>
      <c r="B54" s="3" t="s">
        <v>113</v>
      </c>
      <c r="C54" s="3" t="s">
        <v>2</v>
      </c>
      <c r="D54" s="3">
        <v>500</v>
      </c>
      <c r="E54" s="55">
        <f>(0.15*0.3)*0.045</f>
        <v>2.0249999999999999E-3</v>
      </c>
      <c r="F54" s="36"/>
      <c r="G54">
        <f t="shared" si="7"/>
        <v>1.0125</v>
      </c>
      <c r="H54" s="56">
        <f t="shared" si="8"/>
        <v>0</v>
      </c>
      <c r="I54">
        <f t="shared" si="9"/>
        <v>1</v>
      </c>
    </row>
    <row r="55" spans="1:9" s="35" customFormat="1" x14ac:dyDescent="0.3">
      <c r="A55" s="39" t="s">
        <v>114</v>
      </c>
      <c r="B55" s="39" t="s">
        <v>115</v>
      </c>
      <c r="C55" s="3" t="s">
        <v>27</v>
      </c>
      <c r="D55" s="3"/>
      <c r="E55" s="55"/>
      <c r="F55" s="38"/>
    </row>
    <row r="56" spans="1:9" s="35" customFormat="1" x14ac:dyDescent="0.3">
      <c r="A56" s="3" t="s">
        <v>116</v>
      </c>
      <c r="B56" s="3" t="s">
        <v>117</v>
      </c>
      <c r="C56" s="3" t="s">
        <v>2</v>
      </c>
      <c r="D56" s="3">
        <v>5700</v>
      </c>
      <c r="E56" s="55">
        <f>(0.3*0.3)*0.06</f>
        <v>5.3999999999999994E-3</v>
      </c>
      <c r="F56" s="36"/>
      <c r="G56">
        <f t="shared" si="7"/>
        <v>30.779999999999998</v>
      </c>
      <c r="H56" s="56">
        <f t="shared" si="8"/>
        <v>0</v>
      </c>
      <c r="I56">
        <f t="shared" ref="I56:I63" si="10">IF(F56="",1,0)</f>
        <v>1</v>
      </c>
    </row>
    <row r="57" spans="1:9" s="35" customFormat="1" x14ac:dyDescent="0.3">
      <c r="A57" s="3" t="s">
        <v>118</v>
      </c>
      <c r="B57" s="3" t="s">
        <v>119</v>
      </c>
      <c r="C57" s="3" t="s">
        <v>2</v>
      </c>
      <c r="D57" s="3">
        <v>1400</v>
      </c>
      <c r="E57" s="55">
        <f>(0.15*0.3)*0.06</f>
        <v>2.6999999999999997E-3</v>
      </c>
      <c r="F57" s="36"/>
      <c r="G57">
        <f t="shared" si="7"/>
        <v>3.78</v>
      </c>
      <c r="H57" s="56">
        <f t="shared" si="8"/>
        <v>0</v>
      </c>
      <c r="I57">
        <f t="shared" si="10"/>
        <v>1</v>
      </c>
    </row>
    <row r="58" spans="1:9" s="35" customFormat="1" x14ac:dyDescent="0.3">
      <c r="A58" s="3" t="s">
        <v>120</v>
      </c>
      <c r="B58" s="3" t="s">
        <v>121</v>
      </c>
      <c r="C58" s="3" t="s">
        <v>2</v>
      </c>
      <c r="D58" s="3">
        <v>1000</v>
      </c>
      <c r="E58" s="55">
        <f>(0.3*0.3)*0.06</f>
        <v>5.3999999999999994E-3</v>
      </c>
      <c r="F58" s="36"/>
      <c r="G58">
        <f t="shared" si="7"/>
        <v>5.3999999999999995</v>
      </c>
      <c r="H58" s="56">
        <f t="shared" si="8"/>
        <v>0</v>
      </c>
      <c r="I58">
        <f t="shared" si="10"/>
        <v>1</v>
      </c>
    </row>
    <row r="59" spans="1:9" s="35" customFormat="1" x14ac:dyDescent="0.3">
      <c r="A59" s="3" t="s">
        <v>122</v>
      </c>
      <c r="B59" s="3" t="s">
        <v>123</v>
      </c>
      <c r="C59" s="3" t="s">
        <v>2</v>
      </c>
      <c r="D59" s="3">
        <v>250</v>
      </c>
      <c r="E59" s="55">
        <f>(0.15*0.3)*0.06</f>
        <v>2.6999999999999997E-3</v>
      </c>
      <c r="F59" s="36"/>
      <c r="G59">
        <f t="shared" si="7"/>
        <v>0.67499999999999993</v>
      </c>
      <c r="H59" s="56">
        <f t="shared" si="8"/>
        <v>0</v>
      </c>
      <c r="I59">
        <f t="shared" si="10"/>
        <v>1</v>
      </c>
    </row>
    <row r="60" spans="1:9" s="35" customFormat="1" x14ac:dyDescent="0.3">
      <c r="A60" s="3" t="s">
        <v>124</v>
      </c>
      <c r="B60" s="3" t="s">
        <v>125</v>
      </c>
      <c r="C60" s="3" t="s">
        <v>2</v>
      </c>
      <c r="D60" s="3">
        <v>700</v>
      </c>
      <c r="E60" s="55">
        <f>(0.3*0.3)*0.06</f>
        <v>5.3999999999999994E-3</v>
      </c>
      <c r="F60" s="36"/>
      <c r="G60">
        <f t="shared" si="7"/>
        <v>3.78</v>
      </c>
      <c r="H60" s="56">
        <f t="shared" si="8"/>
        <v>0</v>
      </c>
      <c r="I60">
        <f t="shared" si="10"/>
        <v>1</v>
      </c>
    </row>
    <row r="61" spans="1:9" s="35" customFormat="1" x14ac:dyDescent="0.3">
      <c r="A61" s="3" t="s">
        <v>126</v>
      </c>
      <c r="B61" s="3" t="s">
        <v>127</v>
      </c>
      <c r="C61" s="3" t="s">
        <v>2</v>
      </c>
      <c r="D61" s="3">
        <v>200</v>
      </c>
      <c r="E61" s="55">
        <f>(0.15*0.3)*0.06</f>
        <v>2.6999999999999997E-3</v>
      </c>
      <c r="F61" s="36"/>
      <c r="G61">
        <f t="shared" si="7"/>
        <v>0.53999999999999992</v>
      </c>
      <c r="H61" s="56">
        <f t="shared" si="8"/>
        <v>0</v>
      </c>
      <c r="I61">
        <f t="shared" si="10"/>
        <v>1</v>
      </c>
    </row>
    <row r="62" spans="1:9" s="35" customFormat="1" x14ac:dyDescent="0.3">
      <c r="A62" s="3" t="s">
        <v>128</v>
      </c>
      <c r="B62" s="3" t="s">
        <v>129</v>
      </c>
      <c r="C62" s="3" t="s">
        <v>2</v>
      </c>
      <c r="D62" s="3">
        <v>140</v>
      </c>
      <c r="E62" s="55">
        <f>(0.3*0.3)*0.06</f>
        <v>5.3999999999999994E-3</v>
      </c>
      <c r="F62" s="36"/>
      <c r="G62">
        <f t="shared" si="7"/>
        <v>0.75599999999999989</v>
      </c>
      <c r="H62" s="56">
        <f t="shared" si="8"/>
        <v>0</v>
      </c>
      <c r="I62">
        <f t="shared" si="10"/>
        <v>1</v>
      </c>
    </row>
    <row r="63" spans="1:9" s="35" customFormat="1" x14ac:dyDescent="0.3">
      <c r="A63" s="3" t="s">
        <v>130</v>
      </c>
      <c r="B63" s="3" t="s">
        <v>131</v>
      </c>
      <c r="C63" s="3" t="s">
        <v>2</v>
      </c>
      <c r="D63" s="3">
        <v>100</v>
      </c>
      <c r="E63" s="55">
        <f>(0.15*0.3)*0.06</f>
        <v>2.6999999999999997E-3</v>
      </c>
      <c r="F63" s="36"/>
      <c r="G63">
        <f t="shared" si="7"/>
        <v>0.26999999999999996</v>
      </c>
      <c r="H63" s="56">
        <f t="shared" si="8"/>
        <v>0</v>
      </c>
      <c r="I63">
        <f t="shared" si="10"/>
        <v>1</v>
      </c>
    </row>
    <row r="64" spans="1:9" s="35" customFormat="1" x14ac:dyDescent="0.3">
      <c r="A64" s="39" t="s">
        <v>132</v>
      </c>
      <c r="B64" s="39" t="s">
        <v>133</v>
      </c>
      <c r="C64" s="3" t="s">
        <v>27</v>
      </c>
      <c r="D64" s="3"/>
      <c r="E64" s="55"/>
      <c r="F64" s="38"/>
    </row>
    <row r="65" spans="1:9" s="35" customFormat="1" x14ac:dyDescent="0.3">
      <c r="A65" s="3" t="s">
        <v>134</v>
      </c>
      <c r="B65" s="3" t="s">
        <v>135</v>
      </c>
      <c r="C65" s="3" t="s">
        <v>2</v>
      </c>
      <c r="D65" s="3">
        <v>3100</v>
      </c>
      <c r="E65" s="55">
        <f>(0.3*0.3)*0.08</f>
        <v>7.1999999999999998E-3</v>
      </c>
      <c r="F65" s="36"/>
      <c r="G65">
        <f t="shared" si="7"/>
        <v>22.32</v>
      </c>
      <c r="H65" s="56">
        <f t="shared" si="8"/>
        <v>0</v>
      </c>
      <c r="I65">
        <f t="shared" ref="I65:I72" si="11">IF(F65="",1,0)</f>
        <v>1</v>
      </c>
    </row>
    <row r="66" spans="1:9" s="35" customFormat="1" x14ac:dyDescent="0.3">
      <c r="A66" s="3" t="s">
        <v>136</v>
      </c>
      <c r="B66" s="3" t="s">
        <v>137</v>
      </c>
      <c r="C66" s="3" t="s">
        <v>2</v>
      </c>
      <c r="D66" s="3">
        <v>750</v>
      </c>
      <c r="E66" s="55">
        <f>(0.15*0.3)*0.08</f>
        <v>3.5999999999999999E-3</v>
      </c>
      <c r="F66" s="36"/>
      <c r="G66">
        <f t="shared" si="7"/>
        <v>2.6999999999999997</v>
      </c>
      <c r="H66" s="56">
        <f t="shared" si="8"/>
        <v>0</v>
      </c>
      <c r="I66">
        <f t="shared" si="11"/>
        <v>1</v>
      </c>
    </row>
    <row r="67" spans="1:9" s="35" customFormat="1" x14ac:dyDescent="0.3">
      <c r="A67" s="3" t="s">
        <v>138</v>
      </c>
      <c r="B67" s="3" t="s">
        <v>139</v>
      </c>
      <c r="C67" s="3" t="s">
        <v>2</v>
      </c>
      <c r="D67" s="3">
        <v>500</v>
      </c>
      <c r="E67" s="55">
        <f>(0.3*0.3)*0.08</f>
        <v>7.1999999999999998E-3</v>
      </c>
      <c r="F67" s="36"/>
      <c r="G67">
        <f t="shared" si="7"/>
        <v>3.6</v>
      </c>
      <c r="H67" s="56">
        <f t="shared" si="8"/>
        <v>0</v>
      </c>
      <c r="I67">
        <f t="shared" si="11"/>
        <v>1</v>
      </c>
    </row>
    <row r="68" spans="1:9" s="35" customFormat="1" x14ac:dyDescent="0.3">
      <c r="A68" s="3" t="s">
        <v>140</v>
      </c>
      <c r="B68" s="3" t="s">
        <v>141</v>
      </c>
      <c r="C68" s="3" t="s">
        <v>2</v>
      </c>
      <c r="D68" s="3">
        <v>125</v>
      </c>
      <c r="E68" s="55">
        <f>(0.15*0.3)*0.08</f>
        <v>3.5999999999999999E-3</v>
      </c>
      <c r="F68" s="36"/>
      <c r="G68">
        <f t="shared" si="7"/>
        <v>0.45</v>
      </c>
      <c r="H68" s="56">
        <f t="shared" si="8"/>
        <v>0</v>
      </c>
      <c r="I68">
        <f t="shared" si="11"/>
        <v>1</v>
      </c>
    </row>
    <row r="69" spans="1:9" s="35" customFormat="1" x14ac:dyDescent="0.3">
      <c r="A69" s="3" t="s">
        <v>142</v>
      </c>
      <c r="B69" s="3" t="s">
        <v>143</v>
      </c>
      <c r="C69" s="3" t="s">
        <v>2</v>
      </c>
      <c r="D69" s="3">
        <v>400</v>
      </c>
      <c r="E69" s="55">
        <f>(0.3*0.3)*0.08</f>
        <v>7.1999999999999998E-3</v>
      </c>
      <c r="F69" s="36"/>
      <c r="G69">
        <f t="shared" si="7"/>
        <v>2.88</v>
      </c>
      <c r="H69" s="56">
        <f t="shared" si="8"/>
        <v>0</v>
      </c>
      <c r="I69">
        <f t="shared" si="11"/>
        <v>1</v>
      </c>
    </row>
    <row r="70" spans="1:9" s="35" customFormat="1" x14ac:dyDescent="0.3">
      <c r="A70" s="3" t="s">
        <v>144</v>
      </c>
      <c r="B70" s="3" t="s">
        <v>145</v>
      </c>
      <c r="C70" s="3" t="s">
        <v>2</v>
      </c>
      <c r="D70" s="3">
        <v>150</v>
      </c>
      <c r="E70" s="55">
        <f>(0.15*0.3)*0.08</f>
        <v>3.5999999999999999E-3</v>
      </c>
      <c r="F70" s="36"/>
      <c r="G70">
        <f t="shared" si="7"/>
        <v>0.54</v>
      </c>
      <c r="H70" s="56">
        <f t="shared" si="8"/>
        <v>0</v>
      </c>
      <c r="I70">
        <f t="shared" si="11"/>
        <v>1</v>
      </c>
    </row>
    <row r="71" spans="1:9" s="35" customFormat="1" x14ac:dyDescent="0.3">
      <c r="A71" s="3" t="s">
        <v>146</v>
      </c>
      <c r="B71" s="3" t="s">
        <v>147</v>
      </c>
      <c r="C71" s="3" t="s">
        <v>2</v>
      </c>
      <c r="D71" s="3">
        <v>50</v>
      </c>
      <c r="E71" s="55">
        <f>(0.3*0.3)*0.08</f>
        <v>7.1999999999999998E-3</v>
      </c>
      <c r="F71" s="36"/>
      <c r="G71">
        <f t="shared" si="7"/>
        <v>0.36</v>
      </c>
      <c r="H71" s="56">
        <f t="shared" si="8"/>
        <v>0</v>
      </c>
      <c r="I71">
        <f t="shared" si="11"/>
        <v>1</v>
      </c>
    </row>
    <row r="72" spans="1:9" s="35" customFormat="1" x14ac:dyDescent="0.3">
      <c r="A72" s="3" t="s">
        <v>148</v>
      </c>
      <c r="B72" s="3" t="s">
        <v>149</v>
      </c>
      <c r="C72" s="3" t="s">
        <v>2</v>
      </c>
      <c r="D72" s="3">
        <v>25</v>
      </c>
      <c r="E72" s="55">
        <f>(0.15*0.3)*0.08</f>
        <v>3.5999999999999999E-3</v>
      </c>
      <c r="F72" s="36"/>
      <c r="G72">
        <f t="shared" si="7"/>
        <v>0.09</v>
      </c>
      <c r="H72" s="56">
        <f t="shared" si="8"/>
        <v>0</v>
      </c>
      <c r="I72">
        <f t="shared" si="11"/>
        <v>1</v>
      </c>
    </row>
    <row r="73" spans="1:9" s="35" customFormat="1" x14ac:dyDescent="0.3">
      <c r="A73" s="39" t="s">
        <v>150</v>
      </c>
      <c r="B73" s="39" t="s">
        <v>151</v>
      </c>
      <c r="C73" s="3" t="s">
        <v>27</v>
      </c>
      <c r="D73" s="3"/>
      <c r="E73" s="55"/>
      <c r="F73" s="38"/>
    </row>
    <row r="74" spans="1:9" s="35" customFormat="1" x14ac:dyDescent="0.3">
      <c r="A74" s="3" t="s">
        <v>152</v>
      </c>
      <c r="B74" s="3" t="s">
        <v>153</v>
      </c>
      <c r="C74" s="3" t="s">
        <v>2</v>
      </c>
      <c r="D74" s="3">
        <v>400</v>
      </c>
      <c r="E74" s="55">
        <f>(0.3*0.3)*0.08</f>
        <v>7.1999999999999998E-3</v>
      </c>
      <c r="F74" s="36"/>
      <c r="G74">
        <f t="shared" si="7"/>
        <v>2.88</v>
      </c>
      <c r="H74" s="56">
        <f t="shared" si="8"/>
        <v>0</v>
      </c>
      <c r="I74">
        <f>IF(F74="",1,0)</f>
        <v>1</v>
      </c>
    </row>
    <row r="75" spans="1:9" s="35" customFormat="1" x14ac:dyDescent="0.3">
      <c r="A75" s="39" t="s">
        <v>154</v>
      </c>
      <c r="B75" s="39" t="s">
        <v>155</v>
      </c>
      <c r="C75" s="3" t="s">
        <v>27</v>
      </c>
      <c r="D75" s="3"/>
      <c r="E75" s="55"/>
      <c r="F75" s="38"/>
    </row>
    <row r="76" spans="1:9" s="35" customFormat="1" x14ac:dyDescent="0.3">
      <c r="A76" s="3" t="s">
        <v>156</v>
      </c>
      <c r="B76" s="3" t="s">
        <v>155</v>
      </c>
      <c r="C76" s="3" t="s">
        <v>2</v>
      </c>
      <c r="D76" s="3">
        <v>1100</v>
      </c>
      <c r="E76" s="55">
        <f>(0.4*0.6)*0.12</f>
        <v>2.8799999999999999E-2</v>
      </c>
      <c r="F76" s="36"/>
      <c r="G76">
        <f t="shared" si="7"/>
        <v>31.68</v>
      </c>
      <c r="H76" s="56">
        <f t="shared" si="8"/>
        <v>0</v>
      </c>
      <c r="I76">
        <f>IF(F76="",1,0)</f>
        <v>1</v>
      </c>
    </row>
    <row r="77" spans="1:9" s="35" customFormat="1" x14ac:dyDescent="0.3">
      <c r="A77" s="39" t="s">
        <v>157</v>
      </c>
      <c r="B77" s="39" t="s">
        <v>158</v>
      </c>
      <c r="C77" s="3" t="s">
        <v>27</v>
      </c>
      <c r="D77" s="3"/>
      <c r="E77" s="55"/>
      <c r="F77" s="38"/>
    </row>
    <row r="78" spans="1:9" s="35" customFormat="1" x14ac:dyDescent="0.3">
      <c r="A78" s="39" t="s">
        <v>159</v>
      </c>
      <c r="B78" s="39" t="s">
        <v>160</v>
      </c>
      <c r="C78" s="3" t="s">
        <v>27</v>
      </c>
      <c r="D78" s="3"/>
      <c r="E78" s="55"/>
      <c r="F78" s="38"/>
    </row>
    <row r="79" spans="1:9" s="35" customFormat="1" x14ac:dyDescent="0.3">
      <c r="A79" s="3" t="s">
        <v>161</v>
      </c>
      <c r="B79" s="3" t="s">
        <v>162</v>
      </c>
      <c r="C79" s="3" t="s">
        <v>2</v>
      </c>
      <c r="D79" s="3">
        <v>1100</v>
      </c>
      <c r="E79" s="55">
        <f>0.1*0.2</f>
        <v>2.0000000000000004E-2</v>
      </c>
      <c r="F79" s="36"/>
      <c r="G79">
        <f t="shared" ref="G79:G105" si="12">D79*E79</f>
        <v>22.000000000000004</v>
      </c>
      <c r="H79" s="56">
        <f t="shared" ref="H79:H80" si="13">(D79*E79)*F79</f>
        <v>0</v>
      </c>
      <c r="I79">
        <f t="shared" ref="I79:I80" si="14">IF(F79="",1,0)</f>
        <v>1</v>
      </c>
    </row>
    <row r="80" spans="1:9" s="35" customFormat="1" x14ac:dyDescent="0.3">
      <c r="A80" s="3" t="s">
        <v>163</v>
      </c>
      <c r="B80" s="3" t="s">
        <v>164</v>
      </c>
      <c r="C80" s="3" t="s">
        <v>2</v>
      </c>
      <c r="D80" s="3">
        <v>100</v>
      </c>
      <c r="E80" s="55">
        <f>0.15*0.2</f>
        <v>0.03</v>
      </c>
      <c r="F80" s="36"/>
      <c r="G80">
        <f t="shared" si="12"/>
        <v>3</v>
      </c>
      <c r="H80" s="56">
        <f t="shared" si="13"/>
        <v>0</v>
      </c>
      <c r="I80">
        <f t="shared" si="14"/>
        <v>1</v>
      </c>
    </row>
    <row r="81" spans="1:9" s="35" customFormat="1" x14ac:dyDescent="0.3">
      <c r="A81" s="39" t="s">
        <v>165</v>
      </c>
      <c r="B81" s="39" t="s">
        <v>166</v>
      </c>
      <c r="C81" s="3" t="s">
        <v>27</v>
      </c>
      <c r="D81" s="3"/>
      <c r="E81" s="55"/>
      <c r="F81" s="38"/>
    </row>
    <row r="82" spans="1:9" s="35" customFormat="1" x14ac:dyDescent="0.3">
      <c r="A82" s="3" t="s">
        <v>167</v>
      </c>
      <c r="B82" s="3" t="s">
        <v>168</v>
      </c>
      <c r="C82" s="3" t="s">
        <v>2</v>
      </c>
      <c r="D82" s="3">
        <v>200</v>
      </c>
      <c r="E82" s="55">
        <v>1.9800000000000002E-2</v>
      </c>
      <c r="F82" s="36"/>
      <c r="G82">
        <f t="shared" si="12"/>
        <v>3.9600000000000004</v>
      </c>
      <c r="H82" s="56">
        <f t="shared" ref="H82" si="15">(D82*E82)*F82</f>
        <v>0</v>
      </c>
      <c r="I82">
        <f t="shared" ref="I82" si="16">IF(F82="",1,0)</f>
        <v>1</v>
      </c>
    </row>
    <row r="83" spans="1:9" s="35" customFormat="1" x14ac:dyDescent="0.3">
      <c r="A83" s="39" t="s">
        <v>169</v>
      </c>
      <c r="B83" s="39" t="s">
        <v>170</v>
      </c>
      <c r="C83" s="3" t="s">
        <v>27</v>
      </c>
      <c r="D83" s="3"/>
      <c r="E83" s="55"/>
      <c r="F83" s="38"/>
    </row>
    <row r="84" spans="1:9" s="35" customFormat="1" x14ac:dyDescent="0.3">
      <c r="A84" s="3" t="s">
        <v>171</v>
      </c>
      <c r="B84" s="3" t="s">
        <v>172</v>
      </c>
      <c r="C84" s="3" t="s">
        <v>2</v>
      </c>
      <c r="D84" s="3">
        <v>800</v>
      </c>
      <c r="E84" s="55">
        <v>3.6200000000000003E-2</v>
      </c>
      <c r="F84" s="36"/>
      <c r="G84">
        <f t="shared" si="12"/>
        <v>28.96</v>
      </c>
      <c r="H84" s="56">
        <f t="shared" ref="H84:H86" si="17">(D84*E84)*F84</f>
        <v>0</v>
      </c>
      <c r="I84">
        <f t="shared" ref="I84:I86" si="18">IF(F84="",1,0)</f>
        <v>1</v>
      </c>
    </row>
    <row r="85" spans="1:9" s="35" customFormat="1" x14ac:dyDescent="0.3">
      <c r="A85" s="40" t="s">
        <v>173</v>
      </c>
      <c r="B85" s="40" t="s">
        <v>174</v>
      </c>
      <c r="C85" s="3" t="s">
        <v>2</v>
      </c>
      <c r="D85" s="3">
        <v>200</v>
      </c>
      <c r="E85" s="55">
        <v>4.87E-2</v>
      </c>
      <c r="F85" s="36"/>
      <c r="G85">
        <f t="shared" si="12"/>
        <v>9.74</v>
      </c>
      <c r="H85" s="56">
        <f t="shared" si="17"/>
        <v>0</v>
      </c>
      <c r="I85">
        <f t="shared" si="18"/>
        <v>1</v>
      </c>
    </row>
    <row r="86" spans="1:9" s="35" customFormat="1" x14ac:dyDescent="0.3">
      <c r="A86" s="3" t="s">
        <v>175</v>
      </c>
      <c r="B86" s="3" t="s">
        <v>176</v>
      </c>
      <c r="C86" s="3" t="s">
        <v>2</v>
      </c>
      <c r="D86" s="3">
        <v>170</v>
      </c>
      <c r="E86" s="55">
        <v>4.82E-2</v>
      </c>
      <c r="F86" s="36"/>
      <c r="G86">
        <f t="shared" si="12"/>
        <v>8.1940000000000008</v>
      </c>
      <c r="H86" s="56">
        <f t="shared" si="17"/>
        <v>0</v>
      </c>
      <c r="I86">
        <f t="shared" si="18"/>
        <v>1</v>
      </c>
    </row>
    <row r="87" spans="1:9" s="35" customFormat="1" x14ac:dyDescent="0.3">
      <c r="A87" s="39" t="s">
        <v>177</v>
      </c>
      <c r="B87" s="39" t="s">
        <v>178</v>
      </c>
      <c r="C87" s="3" t="s">
        <v>27</v>
      </c>
      <c r="D87" s="3"/>
      <c r="E87" s="55"/>
      <c r="F87" s="38"/>
    </row>
    <row r="88" spans="1:9" s="35" customFormat="1" x14ac:dyDescent="0.3">
      <c r="A88" s="3" t="s">
        <v>179</v>
      </c>
      <c r="B88" s="3" t="s">
        <v>172</v>
      </c>
      <c r="C88" s="3" t="s">
        <v>2</v>
      </c>
      <c r="D88" s="3">
        <v>100</v>
      </c>
      <c r="E88" s="55">
        <v>3.6200000000000003E-2</v>
      </c>
      <c r="F88" s="36"/>
      <c r="G88">
        <f t="shared" si="12"/>
        <v>3.62</v>
      </c>
      <c r="H88" s="56">
        <f t="shared" ref="H88:H90" si="19">(D88*E88)*F88</f>
        <v>0</v>
      </c>
      <c r="I88">
        <f t="shared" ref="I88:I90" si="20">IF(F88="",1,0)</f>
        <v>1</v>
      </c>
    </row>
    <row r="89" spans="1:9" s="35" customFormat="1" x14ac:dyDescent="0.3">
      <c r="A89" s="3" t="s">
        <v>180</v>
      </c>
      <c r="B89" s="3" t="s">
        <v>174</v>
      </c>
      <c r="C89" s="3" t="s">
        <v>2</v>
      </c>
      <c r="D89" s="3">
        <v>50</v>
      </c>
      <c r="E89" s="55">
        <v>4.87E-2</v>
      </c>
      <c r="F89" s="36"/>
      <c r="G89">
        <f t="shared" si="12"/>
        <v>2.4350000000000001</v>
      </c>
      <c r="H89" s="56">
        <f t="shared" si="19"/>
        <v>0</v>
      </c>
      <c r="I89">
        <f t="shared" si="20"/>
        <v>1</v>
      </c>
    </row>
    <row r="90" spans="1:9" s="35" customFormat="1" x14ac:dyDescent="0.3">
      <c r="A90" s="3" t="s">
        <v>181</v>
      </c>
      <c r="B90" s="3" t="s">
        <v>176</v>
      </c>
      <c r="C90" s="3" t="s">
        <v>2</v>
      </c>
      <c r="D90" s="3">
        <v>30</v>
      </c>
      <c r="E90" s="55">
        <v>4.82E-2</v>
      </c>
      <c r="F90" s="36"/>
      <c r="G90">
        <f t="shared" si="12"/>
        <v>1.446</v>
      </c>
      <c r="H90" s="56">
        <f t="shared" si="19"/>
        <v>0</v>
      </c>
      <c r="I90">
        <f t="shared" si="20"/>
        <v>1</v>
      </c>
    </row>
    <row r="91" spans="1:9" s="35" customFormat="1" x14ac:dyDescent="0.3">
      <c r="A91" s="39" t="s">
        <v>182</v>
      </c>
      <c r="B91" s="39" t="s">
        <v>183</v>
      </c>
      <c r="C91" s="3" t="s">
        <v>27</v>
      </c>
      <c r="D91" s="3"/>
      <c r="E91" s="55"/>
      <c r="F91" s="38"/>
    </row>
    <row r="92" spans="1:9" s="35" customFormat="1" x14ac:dyDescent="0.3">
      <c r="A92" s="3" t="s">
        <v>184</v>
      </c>
      <c r="B92" s="3" t="s">
        <v>185</v>
      </c>
      <c r="C92" s="3" t="s">
        <v>2</v>
      </c>
      <c r="D92" s="3">
        <v>60</v>
      </c>
      <c r="E92" s="55">
        <f>0.0357*0.9</f>
        <v>3.2130000000000006E-2</v>
      </c>
      <c r="F92" s="36"/>
      <c r="G92">
        <f t="shared" si="12"/>
        <v>1.9278000000000004</v>
      </c>
      <c r="H92" s="56">
        <f t="shared" ref="H92:H94" si="21">(D92*E92)*F92</f>
        <v>0</v>
      </c>
      <c r="I92">
        <f t="shared" ref="I92:I94" si="22">IF(F92="",1,0)</f>
        <v>1</v>
      </c>
    </row>
    <row r="93" spans="1:9" s="35" customFormat="1" x14ac:dyDescent="0.3">
      <c r="A93" s="3" t="s">
        <v>186</v>
      </c>
      <c r="B93" s="3" t="s">
        <v>185</v>
      </c>
      <c r="C93" s="3" t="s">
        <v>2</v>
      </c>
      <c r="D93" s="3">
        <v>20</v>
      </c>
      <c r="E93" s="55">
        <f t="shared" ref="E93" si="23">0.0357*0.9</f>
        <v>3.2130000000000006E-2</v>
      </c>
      <c r="F93" s="36"/>
      <c r="G93">
        <f t="shared" si="12"/>
        <v>0.64260000000000006</v>
      </c>
      <c r="H93" s="56">
        <f t="shared" si="21"/>
        <v>0</v>
      </c>
      <c r="I93">
        <f t="shared" si="22"/>
        <v>1</v>
      </c>
    </row>
    <row r="94" spans="1:9" s="35" customFormat="1" x14ac:dyDescent="0.3">
      <c r="A94" s="3" t="s">
        <v>187</v>
      </c>
      <c r="B94" s="3" t="s">
        <v>188</v>
      </c>
      <c r="C94" s="3" t="s">
        <v>2</v>
      </c>
      <c r="D94" s="3">
        <v>60</v>
      </c>
      <c r="E94" s="55">
        <f>0.0357*1</f>
        <v>3.5700000000000003E-2</v>
      </c>
      <c r="F94" s="36"/>
      <c r="G94">
        <f t="shared" si="12"/>
        <v>2.1420000000000003</v>
      </c>
      <c r="H94" s="56">
        <f t="shared" si="21"/>
        <v>0</v>
      </c>
      <c r="I94">
        <f t="shared" si="22"/>
        <v>1</v>
      </c>
    </row>
    <row r="95" spans="1:9" s="35" customFormat="1" x14ac:dyDescent="0.3">
      <c r="A95" s="39" t="s">
        <v>189</v>
      </c>
      <c r="B95" s="39" t="s">
        <v>190</v>
      </c>
      <c r="C95" s="3" t="s">
        <v>27</v>
      </c>
      <c r="D95" s="3"/>
      <c r="E95" s="55"/>
      <c r="F95" s="38"/>
    </row>
    <row r="96" spans="1:9" s="35" customFormat="1" x14ac:dyDescent="0.3">
      <c r="A96" s="3" t="s">
        <v>191</v>
      </c>
      <c r="B96" s="3" t="s">
        <v>192</v>
      </c>
      <c r="C96" s="3" t="s">
        <v>3</v>
      </c>
      <c r="D96" s="3">
        <v>60</v>
      </c>
      <c r="E96" s="55">
        <f>0.0737*0.5</f>
        <v>3.6850000000000001E-2</v>
      </c>
      <c r="F96" s="36"/>
      <c r="G96">
        <f t="shared" si="12"/>
        <v>2.2109999999999999</v>
      </c>
      <c r="H96" s="56">
        <f t="shared" ref="H96:H103" si="24">(D96*E96)*F96</f>
        <v>0</v>
      </c>
      <c r="I96">
        <f t="shared" ref="I96:I103" si="25">IF(F96="",1,0)</f>
        <v>1</v>
      </c>
    </row>
    <row r="97" spans="1:9" s="35" customFormat="1" x14ac:dyDescent="0.3">
      <c r="A97" s="3" t="s">
        <v>193</v>
      </c>
      <c r="B97" s="3" t="s">
        <v>194</v>
      </c>
      <c r="C97" s="3" t="s">
        <v>3</v>
      </c>
      <c r="D97" s="3">
        <v>20</v>
      </c>
      <c r="E97" s="55">
        <f>(0.0737*0.5)*1.05</f>
        <v>3.8692500000000005E-2</v>
      </c>
      <c r="F97" s="36"/>
      <c r="G97">
        <f t="shared" si="12"/>
        <v>0.77385000000000015</v>
      </c>
      <c r="H97" s="56">
        <f t="shared" si="24"/>
        <v>0</v>
      </c>
      <c r="I97">
        <f t="shared" si="25"/>
        <v>1</v>
      </c>
    </row>
    <row r="98" spans="1:9" s="35" customFormat="1" x14ac:dyDescent="0.3">
      <c r="A98" s="3" t="s">
        <v>195</v>
      </c>
      <c r="B98" s="3" t="s">
        <v>196</v>
      </c>
      <c r="C98" s="3" t="s">
        <v>3</v>
      </c>
      <c r="D98" s="3">
        <v>60</v>
      </c>
      <c r="E98" s="55">
        <f>0.0737*0.5</f>
        <v>3.6850000000000001E-2</v>
      </c>
      <c r="F98" s="36"/>
      <c r="G98">
        <f t="shared" si="12"/>
        <v>2.2109999999999999</v>
      </c>
      <c r="H98" s="56">
        <f t="shared" si="24"/>
        <v>0</v>
      </c>
      <c r="I98">
        <f t="shared" si="25"/>
        <v>1</v>
      </c>
    </row>
    <row r="99" spans="1:9" s="35" customFormat="1" x14ac:dyDescent="0.3">
      <c r="A99" s="3" t="s">
        <v>197</v>
      </c>
      <c r="B99" s="3" t="s">
        <v>198</v>
      </c>
      <c r="C99" s="3" t="s">
        <v>3</v>
      </c>
      <c r="D99" s="3">
        <v>20</v>
      </c>
      <c r="E99" s="55">
        <f>(0.0737*0.5)*1.05</f>
        <v>3.8692500000000005E-2</v>
      </c>
      <c r="F99" s="36"/>
      <c r="G99">
        <f t="shared" si="12"/>
        <v>0.77385000000000015</v>
      </c>
      <c r="H99" s="56">
        <f t="shared" si="24"/>
        <v>0</v>
      </c>
      <c r="I99">
        <f t="shared" si="25"/>
        <v>1</v>
      </c>
    </row>
    <row r="100" spans="1:9" s="35" customFormat="1" x14ac:dyDescent="0.3">
      <c r="A100" s="3" t="s">
        <v>199</v>
      </c>
      <c r="B100" s="3" t="s">
        <v>200</v>
      </c>
      <c r="C100" s="3" t="s">
        <v>3</v>
      </c>
      <c r="D100" s="3">
        <v>100</v>
      </c>
      <c r="E100" s="55">
        <f>0.0728*0.5</f>
        <v>3.6400000000000002E-2</v>
      </c>
      <c r="F100" s="36"/>
      <c r="G100">
        <f t="shared" si="12"/>
        <v>3.64</v>
      </c>
      <c r="H100" s="56">
        <f t="shared" si="24"/>
        <v>0</v>
      </c>
      <c r="I100">
        <f t="shared" si="25"/>
        <v>1</v>
      </c>
    </row>
    <row r="101" spans="1:9" s="35" customFormat="1" x14ac:dyDescent="0.3">
      <c r="A101" s="3" t="s">
        <v>201</v>
      </c>
      <c r="B101" s="3" t="s">
        <v>202</v>
      </c>
      <c r="C101" s="3" t="s">
        <v>3</v>
      </c>
      <c r="D101" s="3">
        <v>10</v>
      </c>
      <c r="E101" s="55">
        <f>(0.0728*0.5)*1.05</f>
        <v>3.8220000000000004E-2</v>
      </c>
      <c r="F101" s="36"/>
      <c r="G101">
        <f t="shared" si="12"/>
        <v>0.38220000000000004</v>
      </c>
      <c r="H101" s="56">
        <f t="shared" si="24"/>
        <v>0</v>
      </c>
      <c r="I101">
        <f t="shared" si="25"/>
        <v>1</v>
      </c>
    </row>
    <row r="102" spans="1:9" s="35" customFormat="1" x14ac:dyDescent="0.3">
      <c r="A102" s="3" t="s">
        <v>203</v>
      </c>
      <c r="B102" s="3" t="s">
        <v>204</v>
      </c>
      <c r="C102" s="3" t="s">
        <v>3</v>
      </c>
      <c r="D102" s="3">
        <v>10</v>
      </c>
      <c r="E102" s="55">
        <f>0.0728*0.5</f>
        <v>3.6400000000000002E-2</v>
      </c>
      <c r="F102" s="36"/>
      <c r="G102">
        <f t="shared" si="12"/>
        <v>0.36399999999999999</v>
      </c>
      <c r="H102" s="56">
        <f t="shared" si="24"/>
        <v>0</v>
      </c>
      <c r="I102">
        <f t="shared" si="25"/>
        <v>1</v>
      </c>
    </row>
    <row r="103" spans="1:9" s="35" customFormat="1" x14ac:dyDescent="0.3">
      <c r="A103" s="3" t="s">
        <v>205</v>
      </c>
      <c r="B103" s="3" t="s">
        <v>206</v>
      </c>
      <c r="C103" s="3" t="s">
        <v>3</v>
      </c>
      <c r="D103" s="3">
        <v>4</v>
      </c>
      <c r="E103" s="55">
        <f>(0.0728*0.5)*1.05</f>
        <v>3.8220000000000004E-2</v>
      </c>
      <c r="F103" s="36"/>
      <c r="G103">
        <f t="shared" si="12"/>
        <v>0.15288000000000002</v>
      </c>
      <c r="H103" s="56">
        <f t="shared" si="24"/>
        <v>0</v>
      </c>
      <c r="I103">
        <f t="shared" si="25"/>
        <v>1</v>
      </c>
    </row>
    <row r="104" spans="1:9" s="35" customFormat="1" x14ac:dyDescent="0.3">
      <c r="A104" s="39" t="s">
        <v>207</v>
      </c>
      <c r="B104" s="39" t="s">
        <v>208</v>
      </c>
      <c r="C104" s="3" t="s">
        <v>27</v>
      </c>
      <c r="D104" s="3"/>
      <c r="E104" s="55"/>
      <c r="F104" s="38"/>
    </row>
    <row r="105" spans="1:9" s="35" customFormat="1" x14ac:dyDescent="0.3">
      <c r="A105" s="3" t="s">
        <v>209</v>
      </c>
      <c r="B105" s="3" t="s">
        <v>210</v>
      </c>
      <c r="C105" s="3" t="s">
        <v>2</v>
      </c>
      <c r="D105" s="3">
        <v>60</v>
      </c>
      <c r="E105" s="55">
        <v>82.025000000000006</v>
      </c>
      <c r="F105" s="36"/>
      <c r="G105">
        <f t="shared" si="12"/>
        <v>4921.5</v>
      </c>
      <c r="H105" s="56">
        <f t="shared" ref="H105" si="26">(D105*E105)*F105</f>
        <v>0</v>
      </c>
      <c r="I105">
        <f t="shared" ref="I105" si="27">IF(F105="",1,0)</f>
        <v>1</v>
      </c>
    </row>
    <row r="106" spans="1:9" ht="15" customHeight="1" x14ac:dyDescent="0.3">
      <c r="A106" s="17"/>
      <c r="B106" s="7"/>
      <c r="C106" s="6"/>
      <c r="D106" s="14"/>
      <c r="F106" s="20"/>
    </row>
    <row r="107" spans="1:9" ht="15" customHeight="1" x14ac:dyDescent="0.3">
      <c r="A107" s="18"/>
      <c r="B107" s="19"/>
      <c r="C107" s="19"/>
      <c r="D107" s="15"/>
      <c r="E107" s="16"/>
      <c r="F107" s="37"/>
    </row>
    <row r="108" spans="1:9" x14ac:dyDescent="0.3">
      <c r="I108">
        <f>SUM(I11:I107)</f>
        <v>75</v>
      </c>
    </row>
    <row r="109" spans="1:9" ht="30" customHeight="1" x14ac:dyDescent="0.3">
      <c r="C109" s="60" t="s">
        <v>218</v>
      </c>
      <c r="D109" s="60"/>
      <c r="E109" s="60"/>
      <c r="F109" s="33">
        <f>H109/G109</f>
        <v>0</v>
      </c>
      <c r="G109">
        <f>SUM(G11:G108)</f>
        <v>12388.0124</v>
      </c>
      <c r="H109">
        <f>SUM(H11:H108)</f>
        <v>0</v>
      </c>
    </row>
    <row r="110" spans="1:9" ht="15" customHeight="1" x14ac:dyDescent="0.3">
      <c r="C110" s="31"/>
      <c r="D110" s="31"/>
      <c r="E110" s="32"/>
    </row>
    <row r="111" spans="1:9" ht="45" customHeight="1" x14ac:dyDescent="0.3">
      <c r="C111" s="61" t="s">
        <v>8</v>
      </c>
      <c r="D111" s="61"/>
      <c r="E111" s="62"/>
      <c r="F111" s="34">
        <f>IF(I108&gt;0,0,I148)</f>
        <v>0</v>
      </c>
    </row>
    <row r="113" spans="1:9" x14ac:dyDescent="0.3">
      <c r="B113" t="s">
        <v>9</v>
      </c>
      <c r="C113" s="57"/>
      <c r="D113" s="57"/>
      <c r="E113" s="57"/>
      <c r="F113" s="57"/>
    </row>
    <row r="114" spans="1:9" x14ac:dyDescent="0.3">
      <c r="B114" t="s">
        <v>11</v>
      </c>
      <c r="C114" s="57"/>
      <c r="D114" s="57"/>
      <c r="E114" s="57"/>
      <c r="F114" s="57"/>
    </row>
    <row r="115" spans="1:9" ht="45" customHeight="1" x14ac:dyDescent="0.3">
      <c r="B115" s="22" t="s">
        <v>12</v>
      </c>
      <c r="C115" s="57"/>
      <c r="D115" s="57"/>
      <c r="E115" s="57"/>
      <c r="F115" s="57"/>
    </row>
    <row r="116" spans="1:9" x14ac:dyDescent="0.3">
      <c r="B116" t="s">
        <v>10</v>
      </c>
      <c r="C116" s="57"/>
      <c r="D116" s="57"/>
      <c r="E116" s="57"/>
      <c r="F116" s="57"/>
    </row>
    <row r="119" spans="1:9" x14ac:dyDescent="0.3">
      <c r="D119" s="23" t="s">
        <v>13</v>
      </c>
      <c r="E119" s="24" t="s">
        <v>14</v>
      </c>
      <c r="F119" s="4" t="s">
        <v>15</v>
      </c>
      <c r="G119" s="23" t="s">
        <v>16</v>
      </c>
      <c r="H119" s="25"/>
      <c r="I119" s="26"/>
    </row>
    <row r="120" spans="1:9" ht="15.6" x14ac:dyDescent="0.3">
      <c r="D120" s="10">
        <v>11</v>
      </c>
      <c r="E120" s="27">
        <v>23</v>
      </c>
      <c r="F120" s="10">
        <v>11</v>
      </c>
      <c r="G120" s="28">
        <f>F6</f>
        <v>525000</v>
      </c>
      <c r="H120" s="58" t="s">
        <v>17</v>
      </c>
      <c r="I120" s="59"/>
    </row>
    <row r="121" spans="1:9" x14ac:dyDescent="0.3">
      <c r="B121" s="26"/>
      <c r="E121"/>
      <c r="F121"/>
      <c r="G121" s="25"/>
    </row>
    <row r="122" spans="1:9" x14ac:dyDescent="0.3">
      <c r="A122" s="26"/>
      <c r="C122" s="25" t="s">
        <v>24</v>
      </c>
      <c r="D122" s="25" t="s">
        <v>18</v>
      </c>
      <c r="E122" s="29" t="s">
        <v>19</v>
      </c>
      <c r="F122" t="s">
        <v>20</v>
      </c>
      <c r="G122" s="25" t="s">
        <v>21</v>
      </c>
      <c r="H122" s="25" t="s">
        <v>22</v>
      </c>
      <c r="I122" s="25" t="s">
        <v>23</v>
      </c>
    </row>
    <row r="123" spans="1:9" x14ac:dyDescent="0.3">
      <c r="A123" s="26"/>
      <c r="C123" s="25"/>
      <c r="D123" s="25"/>
      <c r="E123" s="29"/>
      <c r="F123"/>
      <c r="G123" s="25"/>
      <c r="H123" s="25"/>
      <c r="I123" s="25"/>
    </row>
    <row r="124" spans="1:9" x14ac:dyDescent="0.3">
      <c r="A124" s="26"/>
      <c r="C124" s="25"/>
      <c r="D124" s="25"/>
      <c r="E124" s="29"/>
      <c r="F124"/>
      <c r="G124" s="25"/>
      <c r="H124" s="25"/>
      <c r="I124" s="25"/>
    </row>
    <row r="125" spans="1:9" x14ac:dyDescent="0.3">
      <c r="A125" s="26"/>
      <c r="C125" s="25"/>
      <c r="D125" s="25"/>
      <c r="E125" s="29"/>
      <c r="F125"/>
      <c r="G125" s="25"/>
      <c r="H125" s="25"/>
      <c r="I125" s="25"/>
    </row>
    <row r="126" spans="1:9" x14ac:dyDescent="0.3">
      <c r="C126" s="13"/>
      <c r="E126" s="26"/>
      <c r="F126"/>
      <c r="I126" s="30"/>
    </row>
    <row r="127" spans="1:9" x14ac:dyDescent="0.3">
      <c r="C127" s="13">
        <v>12</v>
      </c>
      <c r="D127">
        <f>C127^2-2*C127*E$120+E$120^2</f>
        <v>121</v>
      </c>
      <c r="E127" s="26">
        <f>D127+F$120^2-D$120^2</f>
        <v>121</v>
      </c>
      <c r="F127">
        <f>-2*F$120</f>
        <v>-22</v>
      </c>
      <c r="G127">
        <f t="shared" ref="G127" si="28">-(F127+SQRT(F127^2-4*1*E127))/2</f>
        <v>11</v>
      </c>
      <c r="H127">
        <f t="shared" ref="H127:H138" si="29">-($E127-SQRT($E127^2-4*1*$D127))/2</f>
        <v>-1.0084039548441766</v>
      </c>
      <c r="I127" s="30">
        <f>G$120*G127/F$120</f>
        <v>525000</v>
      </c>
    </row>
    <row r="128" spans="1:9" x14ac:dyDescent="0.3">
      <c r="C128" s="13">
        <v>13</v>
      </c>
      <c r="D128">
        <f t="shared" ref="D128:D148" si="30">C128^2-2*C128*E$120+E$120^2</f>
        <v>100</v>
      </c>
      <c r="E128" s="26">
        <f t="shared" ref="E128:E148" si="31">D128+F$120^2-D$120^2</f>
        <v>100</v>
      </c>
      <c r="F128">
        <f t="shared" ref="F128:F148" si="32">-2*F$120</f>
        <v>-22</v>
      </c>
      <c r="G128">
        <f t="shared" ref="G128:G148" si="33">-(F128+SQRT(F128^2-4*1*E128))/2</f>
        <v>6.4174243050441602</v>
      </c>
      <c r="H128">
        <f t="shared" si="29"/>
        <v>-1.0102051443364388</v>
      </c>
      <c r="I128" s="30">
        <f>G$120*G128/F$120</f>
        <v>306286.16001347126</v>
      </c>
    </row>
    <row r="129" spans="3:9" x14ac:dyDescent="0.3">
      <c r="C129" s="13">
        <v>14</v>
      </c>
      <c r="D129">
        <f t="shared" si="30"/>
        <v>81</v>
      </c>
      <c r="E129" s="26">
        <f t="shared" si="31"/>
        <v>81</v>
      </c>
      <c r="F129">
        <f t="shared" si="32"/>
        <v>-22</v>
      </c>
      <c r="G129">
        <f t="shared" si="33"/>
        <v>4.675444679663241</v>
      </c>
      <c r="H129">
        <f t="shared" si="29"/>
        <v>-1.012660256735451</v>
      </c>
      <c r="I129" s="30">
        <f t="shared" ref="I129:I138" si="34">G$120*G129/F$120</f>
        <v>223146.22334756376</v>
      </c>
    </row>
    <row r="130" spans="3:9" x14ac:dyDescent="0.3">
      <c r="C130" s="13">
        <v>15</v>
      </c>
      <c r="D130">
        <f t="shared" si="30"/>
        <v>64</v>
      </c>
      <c r="E130" s="26">
        <f t="shared" si="31"/>
        <v>64</v>
      </c>
      <c r="F130">
        <f t="shared" si="32"/>
        <v>-22</v>
      </c>
      <c r="G130">
        <f t="shared" si="33"/>
        <v>3.4501655647292502</v>
      </c>
      <c r="H130">
        <f t="shared" si="29"/>
        <v>-1.0161332303406638</v>
      </c>
      <c r="I130" s="30">
        <f t="shared" si="34"/>
        <v>164666.99286207787</v>
      </c>
    </row>
    <row r="131" spans="3:9" x14ac:dyDescent="0.3">
      <c r="C131" s="13">
        <v>16</v>
      </c>
      <c r="D131">
        <f t="shared" si="30"/>
        <v>49</v>
      </c>
      <c r="E131" s="26">
        <f t="shared" si="31"/>
        <v>49</v>
      </c>
      <c r="F131">
        <f t="shared" si="32"/>
        <v>-22</v>
      </c>
      <c r="G131">
        <f t="shared" si="33"/>
        <v>2.5147186257614305</v>
      </c>
      <c r="H131">
        <f t="shared" si="29"/>
        <v>-1.0212862362522088</v>
      </c>
      <c r="I131" s="30">
        <f t="shared" si="34"/>
        <v>120020.66168406828</v>
      </c>
    </row>
    <row r="132" spans="3:9" x14ac:dyDescent="0.3">
      <c r="C132" s="13">
        <v>17</v>
      </c>
      <c r="D132">
        <f t="shared" si="30"/>
        <v>36</v>
      </c>
      <c r="E132" s="26">
        <f t="shared" si="31"/>
        <v>36</v>
      </c>
      <c r="F132">
        <f t="shared" si="32"/>
        <v>-22</v>
      </c>
      <c r="G132">
        <f t="shared" si="33"/>
        <v>1.7804555427071129</v>
      </c>
      <c r="H132">
        <f t="shared" si="29"/>
        <v>-1.0294372515228609</v>
      </c>
      <c r="I132" s="30">
        <f t="shared" si="34"/>
        <v>84976.287265566745</v>
      </c>
    </row>
    <row r="133" spans="3:9" x14ac:dyDescent="0.3">
      <c r="C133" s="13">
        <v>18</v>
      </c>
      <c r="D133">
        <f t="shared" si="30"/>
        <v>25</v>
      </c>
      <c r="E133" s="26">
        <f t="shared" si="31"/>
        <v>25</v>
      </c>
      <c r="F133">
        <f t="shared" si="32"/>
        <v>-22</v>
      </c>
      <c r="G133">
        <f t="shared" si="33"/>
        <v>1.2020410288672885</v>
      </c>
      <c r="H133">
        <f t="shared" si="29"/>
        <v>-1.0435607626104009</v>
      </c>
      <c r="I133" s="30">
        <f t="shared" si="34"/>
        <v>57370.140014120589</v>
      </c>
    </row>
    <row r="134" spans="3:9" x14ac:dyDescent="0.3">
      <c r="C134" s="13">
        <v>19</v>
      </c>
      <c r="D134">
        <f t="shared" si="30"/>
        <v>16</v>
      </c>
      <c r="E134" s="26">
        <f t="shared" si="31"/>
        <v>16</v>
      </c>
      <c r="F134">
        <f t="shared" si="32"/>
        <v>-22</v>
      </c>
      <c r="G134">
        <f t="shared" si="33"/>
        <v>0.75304923404040203</v>
      </c>
      <c r="H134">
        <f t="shared" si="29"/>
        <v>-1.0717967697244912</v>
      </c>
      <c r="I134" s="30">
        <f t="shared" si="34"/>
        <v>35940.986170110096</v>
      </c>
    </row>
    <row r="135" spans="3:9" x14ac:dyDescent="0.3">
      <c r="C135" s="13">
        <v>20</v>
      </c>
      <c r="D135">
        <f t="shared" si="30"/>
        <v>9</v>
      </c>
      <c r="E135" s="26">
        <f t="shared" si="31"/>
        <v>9</v>
      </c>
      <c r="F135">
        <f t="shared" si="32"/>
        <v>-22</v>
      </c>
      <c r="G135">
        <f t="shared" si="33"/>
        <v>0.41699475574163714</v>
      </c>
      <c r="H135">
        <f t="shared" si="29"/>
        <v>-1.1458980337503153</v>
      </c>
      <c r="I135" s="30">
        <f t="shared" si="34"/>
        <v>19902.022433123591</v>
      </c>
    </row>
    <row r="136" spans="3:9" x14ac:dyDescent="0.3">
      <c r="C136" s="13">
        <v>21</v>
      </c>
      <c r="D136">
        <f t="shared" si="30"/>
        <v>4</v>
      </c>
      <c r="E136" s="26">
        <f t="shared" si="31"/>
        <v>4</v>
      </c>
      <c r="F136">
        <f t="shared" si="32"/>
        <v>-22</v>
      </c>
      <c r="G136">
        <f t="shared" si="33"/>
        <v>0.18334617360803129</v>
      </c>
      <c r="H136">
        <f t="shared" si="29"/>
        <v>-2</v>
      </c>
      <c r="I136" s="30">
        <f t="shared" si="34"/>
        <v>8750.6128312924029</v>
      </c>
    </row>
    <row r="137" spans="3:9" x14ac:dyDescent="0.3">
      <c r="C137" s="13">
        <v>22</v>
      </c>
      <c r="D137">
        <f t="shared" si="30"/>
        <v>1</v>
      </c>
      <c r="E137" s="26">
        <f t="shared" si="31"/>
        <v>1</v>
      </c>
      <c r="F137">
        <f t="shared" si="32"/>
        <v>-22</v>
      </c>
      <c r="G137">
        <f t="shared" si="33"/>
        <v>4.5548849896677623E-2</v>
      </c>
      <c r="H137">
        <v>-0.5</v>
      </c>
      <c r="I137" s="30">
        <f t="shared" si="34"/>
        <v>2173.9223814323409</v>
      </c>
    </row>
    <row r="138" spans="3:9" x14ac:dyDescent="0.3">
      <c r="C138" s="13">
        <v>23</v>
      </c>
      <c r="D138">
        <f t="shared" si="30"/>
        <v>0</v>
      </c>
      <c r="E138" s="26">
        <f t="shared" si="31"/>
        <v>0</v>
      </c>
      <c r="F138">
        <f t="shared" si="32"/>
        <v>-22</v>
      </c>
      <c r="G138">
        <f t="shared" si="33"/>
        <v>0</v>
      </c>
      <c r="H138">
        <f t="shared" si="29"/>
        <v>0</v>
      </c>
      <c r="I138" s="30">
        <f t="shared" si="34"/>
        <v>0</v>
      </c>
    </row>
    <row r="139" spans="3:9" x14ac:dyDescent="0.3">
      <c r="C139" s="13"/>
      <c r="E139" s="26"/>
      <c r="F139"/>
      <c r="I139" s="30"/>
    </row>
    <row r="140" spans="3:9" x14ac:dyDescent="0.3">
      <c r="C140" s="13"/>
      <c r="E140" s="26"/>
      <c r="F140"/>
      <c r="I140" s="30"/>
    </row>
    <row r="141" spans="3:9" x14ac:dyDescent="0.3">
      <c r="C141" s="13"/>
      <c r="E141" s="26"/>
      <c r="F141"/>
      <c r="I141" s="30"/>
    </row>
    <row r="142" spans="3:9" x14ac:dyDescent="0.3">
      <c r="C142" s="13"/>
      <c r="E142" s="26"/>
      <c r="F142"/>
      <c r="I142" s="30"/>
    </row>
    <row r="143" spans="3:9" x14ac:dyDescent="0.3">
      <c r="C143" s="13"/>
      <c r="E143" s="26"/>
      <c r="F143"/>
      <c r="I143" s="30"/>
    </row>
    <row r="144" spans="3:9" x14ac:dyDescent="0.3">
      <c r="C144" s="13"/>
      <c r="E144" s="26"/>
      <c r="F144"/>
      <c r="I144" s="30"/>
    </row>
    <row r="145" spans="3:9" x14ac:dyDescent="0.3">
      <c r="C145" s="13"/>
      <c r="E145" s="26"/>
      <c r="F145"/>
      <c r="I145" s="30"/>
    </row>
    <row r="146" spans="3:9" x14ac:dyDescent="0.3">
      <c r="C146" s="13"/>
      <c r="E146" s="26"/>
      <c r="F146"/>
      <c r="I146" s="30"/>
    </row>
    <row r="147" spans="3:9" x14ac:dyDescent="0.3">
      <c r="C147" s="13"/>
      <c r="E147" s="26"/>
      <c r="F147"/>
      <c r="I147" s="30"/>
    </row>
    <row r="148" spans="3:9" x14ac:dyDescent="0.3">
      <c r="C148" s="21">
        <f>F109</f>
        <v>0</v>
      </c>
      <c r="D148">
        <f t="shared" si="30"/>
        <v>529</v>
      </c>
      <c r="E148" s="26">
        <f t="shared" si="31"/>
        <v>529</v>
      </c>
      <c r="F148">
        <f t="shared" si="32"/>
        <v>-22</v>
      </c>
      <c r="G148" t="e">
        <f t="shared" si="33"/>
        <v>#NUM!</v>
      </c>
      <c r="H148">
        <f>-($E148-SQRT($E148^2-4*1*$D148))/2</f>
        <v>-1.001897540039181</v>
      </c>
      <c r="I148" s="30" t="e">
        <f>G$120*G148/F$120</f>
        <v>#NUM!</v>
      </c>
    </row>
  </sheetData>
  <sheetProtection formatCells="0" formatColumns="0"/>
  <protectedRanges>
    <protectedRange sqref="C113:F116" name="Bereik2"/>
    <protectedRange sqref="F107 F11:F13" name="Bereik1"/>
    <protectedRange sqref="F14:F105" name="Bereik1_3"/>
  </protectedRanges>
  <mergeCells count="11">
    <mergeCell ref="A6:D6"/>
    <mergeCell ref="A2:F2"/>
    <mergeCell ref="A3:F3"/>
    <mergeCell ref="A4:F4"/>
    <mergeCell ref="C114:F114"/>
    <mergeCell ref="C115:F115"/>
    <mergeCell ref="C116:F116"/>
    <mergeCell ref="H120:I120"/>
    <mergeCell ref="C109:E109"/>
    <mergeCell ref="C111:E111"/>
    <mergeCell ref="C113:F113"/>
  </mergeCells>
  <pageMargins left="0.23622047244094491" right="0.23622047244094491" top="0.74803149606299213" bottom="0.74803149606299213" header="0.31496062992125984" footer="0.31496062992125984"/>
  <pageSetup paperSize="9" fitToWidth="0" fitToHeight="0" orientation="portrait" horizontalDpi="1200" verticalDpi="1200" r:id="rId1"/>
  <headerFooter>
    <oddFooter>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82F1B1B1D9F741B548BEA51F31E697" ma:contentTypeVersion="15" ma:contentTypeDescription="Een nieuw document maken." ma:contentTypeScope="" ma:versionID="73af0b7083edd821b1ea2356b0f73620">
  <xsd:schema xmlns:xsd="http://www.w3.org/2001/XMLSchema" xmlns:xs="http://www.w3.org/2001/XMLSchema" xmlns:p="http://schemas.microsoft.com/office/2006/metadata/properties" xmlns:ns1="http://schemas.microsoft.com/sharepoint/v3" xmlns:ns2="eb10debc-da1f-43ca-ae05-ff80a2194029" xmlns:ns3="e40bc26f-eeb3-4021-b597-6e34895079a4" targetNamespace="http://schemas.microsoft.com/office/2006/metadata/properties" ma:root="true" ma:fieldsID="152c06f58ddd7bbcf10524b532c27227" ns1:_="" ns2:_="" ns3:_="">
    <xsd:import namespace="http://schemas.microsoft.com/sharepoint/v3"/>
    <xsd:import namespace="eb10debc-da1f-43ca-ae05-ff80a2194029"/>
    <xsd:import namespace="e40bc26f-eeb3-4021-b597-6e34895079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10debc-da1f-43ca-ae05-ff80a2194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e99ebba-7dd4-4ca1-8877-3e1f117946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0bc26f-eeb3-4021-b597-6e34895079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7e7261-4a09-48d2-b4b8-c4867652afd9}" ma:internalName="TaxCatchAll" ma:showField="CatchAllData" ma:web="e40bc26f-eeb3-4021-b597-6e3489507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e40bc26f-eeb3-4021-b597-6e34895079a4" xsi:nil="true"/>
    <_ip_UnifiedCompliancePolicyProperties xmlns="http://schemas.microsoft.com/sharepoint/v3" xsi:nil="true"/>
    <lcf76f155ced4ddcb4097134ff3c332f xmlns="eb10debc-da1f-43ca-ae05-ff80a21940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76AF261-50E8-4F9A-9F25-0A7DDCACE6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10debc-da1f-43ca-ae05-ff80a2194029"/>
    <ds:schemaRef ds:uri="e40bc26f-eeb3-4021-b597-6e3489507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36DD09-A678-469B-B804-97BD6867F2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DC1E76-3CE4-4246-A9E0-711A6B2E2F2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40bc26f-eeb3-4021-b597-6e34895079a4"/>
    <ds:schemaRef ds:uri="eb10debc-da1f-43ca-ae05-ff80a21940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G1 MKI betratingsmateriaal</vt:lpstr>
      <vt:lpstr>'G1 MKI betratingsmateriaal'!Afdrukbereik</vt:lpstr>
      <vt:lpstr>'G1 MKI betratingsmateriaal'!Afdruktitels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Rietveld</dc:creator>
  <cp:lastModifiedBy>Sjaak Jongeneel</cp:lastModifiedBy>
  <cp:lastPrinted>2023-01-03T09:41:20Z</cp:lastPrinted>
  <dcterms:created xsi:type="dcterms:W3CDTF">2022-01-22T09:03:19Z</dcterms:created>
  <dcterms:modified xsi:type="dcterms:W3CDTF">2023-01-26T08:50:30Z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0x0101003B82F1B1B1D9F741B548BEA51F31E697</vt:lpwstr>
  </property>
  <property fmtid="{D5CDD505-2E9C-101B-9397-08002B2CF9AE}" pid="3" name="MediaServiceImageTags">
    <vt:lpwstr/>
  </property>
</Properties>
</file>