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 Zwolle\Brand\03) Concept aanbestedingsstukken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8" i="1" l="1"/>
  <c r="G78" i="1"/>
  <c r="F78" i="1"/>
  <c r="E78" i="1"/>
  <c r="D78" i="1"/>
  <c r="C78" i="1"/>
  <c r="D55" i="1"/>
  <c r="C55" i="1"/>
  <c r="D72" i="1"/>
  <c r="C72" i="1"/>
  <c r="D64" i="1"/>
  <c r="D46" i="1"/>
  <c r="D36" i="1"/>
  <c r="C36" i="1"/>
  <c r="D29" i="1"/>
  <c r="C29" i="1"/>
  <c r="G70" i="1" l="1"/>
  <c r="H70" i="1" s="1"/>
  <c r="E69" i="1"/>
  <c r="F69" i="1" s="1"/>
  <c r="F72" i="1" s="1"/>
  <c r="E68" i="1"/>
  <c r="E63" i="1"/>
  <c r="C63" i="1"/>
  <c r="F62" i="1"/>
  <c r="H62" i="1" s="1"/>
  <c r="E61" i="1"/>
  <c r="F61" i="1" s="1"/>
  <c r="H61" i="1" s="1"/>
  <c r="E60" i="1"/>
  <c r="C60" i="1"/>
  <c r="E59" i="1"/>
  <c r="F59" i="1" s="1"/>
  <c r="F54" i="1"/>
  <c r="H54" i="1" s="1"/>
  <c r="E53" i="1"/>
  <c r="F53" i="1" s="1"/>
  <c r="H53" i="1" s="1"/>
  <c r="E52" i="1"/>
  <c r="F52" i="1" s="1"/>
  <c r="H52" i="1" s="1"/>
  <c r="F51" i="1"/>
  <c r="H51" i="1" s="1"/>
  <c r="E50" i="1"/>
  <c r="F50" i="1" s="1"/>
  <c r="G46" i="1"/>
  <c r="F45" i="1"/>
  <c r="H45" i="1" s="1"/>
  <c r="E44" i="1"/>
  <c r="F44" i="1" s="1"/>
  <c r="H44" i="1" s="1"/>
  <c r="E43" i="1"/>
  <c r="F43" i="1" s="1"/>
  <c r="H43" i="1" s="1"/>
  <c r="E42" i="1"/>
  <c r="F42" i="1" s="1"/>
  <c r="H42" i="1" s="1"/>
  <c r="E41" i="1"/>
  <c r="F41" i="1" s="1"/>
  <c r="H41" i="1" s="1"/>
  <c r="E40" i="1"/>
  <c r="C40" i="1"/>
  <c r="C46" i="1" s="1"/>
  <c r="G36" i="1"/>
  <c r="E35" i="1"/>
  <c r="H34" i="1"/>
  <c r="E33" i="1"/>
  <c r="F33" i="1" s="1"/>
  <c r="H33" i="1" s="1"/>
  <c r="G29" i="1"/>
  <c r="E28" i="1"/>
  <c r="F28" i="1" s="1"/>
  <c r="H28" i="1" s="1"/>
  <c r="E27" i="1"/>
  <c r="F27" i="1" s="1"/>
  <c r="G23" i="1"/>
  <c r="D23" i="1"/>
  <c r="E22" i="1"/>
  <c r="F22" i="1" s="1"/>
  <c r="H22" i="1" s="1"/>
  <c r="E21" i="1"/>
  <c r="F21" i="1" s="1"/>
  <c r="H21" i="1" s="1"/>
  <c r="E20" i="1"/>
  <c r="F20" i="1" s="1"/>
  <c r="H20" i="1" s="1"/>
  <c r="E19" i="1"/>
  <c r="F19" i="1" s="1"/>
  <c r="H19" i="1" s="1"/>
  <c r="E18" i="1"/>
  <c r="F18" i="1" s="1"/>
  <c r="H18" i="1" s="1"/>
  <c r="H17" i="1"/>
  <c r="E16" i="1"/>
  <c r="C16" i="1"/>
  <c r="C23" i="1" s="1"/>
  <c r="G11" i="1"/>
  <c r="D11" i="1"/>
  <c r="C11" i="1"/>
  <c r="E9" i="1"/>
  <c r="E11" i="1" s="1"/>
  <c r="G68" i="1" l="1"/>
  <c r="G72" i="1" s="1"/>
  <c r="E72" i="1"/>
  <c r="D77" i="1"/>
  <c r="G77" i="1"/>
  <c r="C64" i="1"/>
  <c r="C77" i="1" s="1"/>
  <c r="F9" i="1"/>
  <c r="F11" i="1" s="1"/>
  <c r="G63" i="1"/>
  <c r="G64" i="1" s="1"/>
  <c r="F60" i="1"/>
  <c r="H60" i="1" s="1"/>
  <c r="E64" i="1"/>
  <c r="E23" i="1"/>
  <c r="E77" i="1" s="1"/>
  <c r="E36" i="1"/>
  <c r="F40" i="1"/>
  <c r="F46" i="1" s="1"/>
  <c r="E29" i="1"/>
  <c r="E46" i="1"/>
  <c r="H27" i="1"/>
  <c r="H29" i="1" s="1"/>
  <c r="F29" i="1"/>
  <c r="H68" i="1"/>
  <c r="F55" i="1"/>
  <c r="G50" i="1"/>
  <c r="G55" i="1" s="1"/>
  <c r="H69" i="1"/>
  <c r="F35" i="1"/>
  <c r="H35" i="1" s="1"/>
  <c r="H36" i="1" s="1"/>
  <c r="F16" i="1"/>
  <c r="E55" i="1"/>
  <c r="H72" i="1" l="1"/>
  <c r="H63" i="1"/>
  <c r="H64" i="1" s="1"/>
  <c r="H9" i="1"/>
  <c r="H11" i="1" s="1"/>
  <c r="F64" i="1"/>
  <c r="H40" i="1"/>
  <c r="H46" i="1" s="1"/>
  <c r="H16" i="1"/>
  <c r="H23" i="1" s="1"/>
  <c r="F23" i="1"/>
  <c r="F77" i="1" s="1"/>
  <c r="H50" i="1"/>
  <c r="H55" i="1" s="1"/>
  <c r="F36" i="1"/>
  <c r="H77" i="1" l="1"/>
</calcChain>
</file>

<file path=xl/sharedStrings.xml><?xml version="1.0" encoding="utf-8"?>
<sst xmlns="http://schemas.openxmlformats.org/spreadsheetml/2006/main" count="147" uniqueCount="50">
  <si>
    <t>Datum</t>
  </si>
  <si>
    <t>Omschrijving</t>
  </si>
  <si>
    <t>Schade</t>
  </si>
  <si>
    <t>Eigen risico</t>
  </si>
  <si>
    <t>Kosten</t>
  </si>
  <si>
    <t>Betaald</t>
  </si>
  <si>
    <t>Reserve</t>
  </si>
  <si>
    <t>Totaal</t>
  </si>
  <si>
    <t xml:space="preserve"> </t>
  </si>
  <si>
    <t>regres</t>
  </si>
  <si>
    <t>Stormschade diverse adressen</t>
  </si>
  <si>
    <t>Brand container bo Schatgraver</t>
  </si>
  <si>
    <t>Waterschade Morgenster</t>
  </si>
  <si>
    <t>Brand / vandalisme OBS Octopus</t>
  </si>
  <si>
    <t>Brand in verwarmingsketel Meander College</t>
  </si>
  <si>
    <t>Stormschade Burg Drijbersingel 7</t>
  </si>
  <si>
    <t>Vochtprobleem bs De Aquarel</t>
  </si>
  <si>
    <t xml:space="preserve">Looddiefstal De Ambelt </t>
  </si>
  <si>
    <t>Looddiefstal Meander College</t>
  </si>
  <si>
    <t>Vandalismeschade os De Marshof</t>
  </si>
  <si>
    <t>Looddiefstal SBO De Brug</t>
  </si>
  <si>
    <t>Inbraak Thorbecke Scholengemeenschap</t>
  </si>
  <si>
    <t>Lekkage Grand Café Public</t>
  </si>
  <si>
    <t>Waterschade De Stadkamer</t>
  </si>
  <si>
    <t>Stormschade kunstwerk Bureaulamp op Stadskantoor</t>
  </si>
  <si>
    <t>waterschade Odeon, Blijmarkt 25</t>
  </si>
  <si>
    <t>Brandschade Stilo hal</t>
  </si>
  <si>
    <t>Vandalismeschade parkeergarage Station - slagbomen</t>
  </si>
  <si>
    <t>Waterschade WRZV hallen</t>
  </si>
  <si>
    <t>Vandalismeschade parkeergarage Station - lift</t>
  </si>
  <si>
    <t>Vandalismeschade parkkeergarage Station - glas</t>
  </si>
  <si>
    <t>Vandalismeschade raamkozijn De Zevensprong</t>
  </si>
  <si>
    <t>Brand opzichterswoning begraafplaats Kranenburgweg 5</t>
  </si>
  <si>
    <t>Brandstichting fietsenhok bs Aquarel</t>
  </si>
  <si>
    <t xml:space="preserve">Waterschade Capellen Campus </t>
  </si>
  <si>
    <t>Vandalisme (ruiten) Belvederelaan 444</t>
  </si>
  <si>
    <t>Aanrijdingsschade poppodium Hedon</t>
  </si>
  <si>
    <t>Waterschade diverse locaties</t>
  </si>
  <si>
    <t>Printplaten airco's Thorbecke college doorgebrand</t>
  </si>
  <si>
    <t>Vandalismeschade obs De Toonladder</t>
  </si>
  <si>
    <t>Waterschade diverse locaties, combi van factoren</t>
  </si>
  <si>
    <t>Vandalismeschade gymzaal Waallaan 10- 12</t>
  </si>
  <si>
    <t>Vandalismeschade bs De Sprankel</t>
  </si>
  <si>
    <t>Waterschade Stadhuis Zwolle</t>
  </si>
  <si>
    <t>Bijlage C.4</t>
  </si>
  <si>
    <t>Gemeente Zwolle</t>
  </si>
  <si>
    <t>Brandverzekering</t>
  </si>
  <si>
    <t>Schadestatistieken 01-01-2017 tot 05-09-2024</t>
  </si>
  <si>
    <t>Gemiddelde gerekend met 8 jaar</t>
  </si>
  <si>
    <r>
      <t xml:space="preserve">Totaal aantal schades (tot 05-09-2024): </t>
    </r>
    <r>
      <rPr>
        <b/>
        <sz val="11"/>
        <color theme="1"/>
        <rFont val="Calibri"/>
        <family val="2"/>
        <scheme val="minor"/>
      </rPr>
      <t>35 (4+ gemiddeld)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</si>
</sst>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164" fontId="0" fillId="0" borderId="0" xfId="0" applyNumberFormat="1"/>
    <xf numFmtId="49" fontId="0" fillId="0" borderId="0" xfId="0" applyNumberFormat="1" applyAlignment="1">
      <alignment horizontal="left"/>
    </xf>
    <xf numFmtId="14" fontId="0" fillId="0" borderId="0" xfId="0" applyNumberFormat="1" applyBorder="1"/>
    <xf numFmtId="0" fontId="0" fillId="0" borderId="0" xfId="0" applyBorder="1"/>
    <xf numFmtId="164" fontId="0" fillId="0" borderId="0" xfId="0" applyNumberFormat="1" applyBorder="1"/>
    <xf numFmtId="0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14" fontId="0" fillId="0" borderId="1" xfId="0" applyNumberFormat="1" applyBorder="1"/>
    <xf numFmtId="0" fontId="0" fillId="0" borderId="1" xfId="0" applyBorder="1"/>
    <xf numFmtId="14" fontId="0" fillId="0" borderId="2" xfId="0" applyNumberFormat="1" applyBorder="1"/>
    <xf numFmtId="0" fontId="0" fillId="0" borderId="2" xfId="0" applyBorder="1"/>
    <xf numFmtId="14" fontId="1" fillId="0" borderId="3" xfId="0" applyNumberFormat="1" applyFont="1" applyBorder="1"/>
    <xf numFmtId="14" fontId="0" fillId="0" borderId="1" xfId="0" applyNumberFormat="1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0" xfId="0" applyFill="1" applyBorder="1"/>
    <xf numFmtId="0" fontId="2" fillId="0" borderId="0" xfId="0" applyNumberFormat="1" applyFont="1" applyFill="1" applyBorder="1" applyAlignment="1">
      <alignment horizontal="center"/>
    </xf>
    <xf numFmtId="0" fontId="1" fillId="0" borderId="4" xfId="0" applyFont="1" applyFill="1" applyBorder="1"/>
    <xf numFmtId="0" fontId="3" fillId="0" borderId="2" xfId="0" applyFont="1" applyBorder="1"/>
    <xf numFmtId="0" fontId="0" fillId="0" borderId="1" xfId="0" applyFont="1" applyFill="1" applyBorder="1"/>
    <xf numFmtId="164" fontId="1" fillId="0" borderId="0" xfId="0" applyNumberFormat="1" applyFont="1" applyFill="1" applyBorder="1"/>
    <xf numFmtId="0" fontId="3" fillId="0" borderId="1" xfId="0" applyFont="1" applyBorder="1"/>
    <xf numFmtId="0" fontId="3" fillId="0" borderId="1" xfId="0" applyFont="1" applyFill="1" applyBorder="1"/>
    <xf numFmtId="0" fontId="1" fillId="0" borderId="4" xfId="0" applyFont="1" applyBorder="1"/>
    <xf numFmtId="0" fontId="1" fillId="0" borderId="3" xfId="0" applyFont="1" applyBorder="1"/>
    <xf numFmtId="164" fontId="0" fillId="0" borderId="1" xfId="0" applyNumberFormat="1" applyBorder="1"/>
    <xf numFmtId="164" fontId="0" fillId="0" borderId="2" xfId="0" applyNumberFormat="1" applyBorder="1"/>
    <xf numFmtId="164" fontId="1" fillId="0" borderId="4" xfId="0" applyNumberFormat="1" applyFont="1" applyBorder="1"/>
    <xf numFmtId="164" fontId="1" fillId="0" borderId="5" xfId="0" applyNumberFormat="1" applyFont="1" applyBorder="1"/>
    <xf numFmtId="44" fontId="0" fillId="0" borderId="0" xfId="0" applyNumberFormat="1"/>
    <xf numFmtId="49" fontId="3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/>
    <xf numFmtId="164" fontId="1" fillId="0" borderId="6" xfId="0" applyNumberFormat="1" applyFont="1" applyBorder="1"/>
    <xf numFmtId="164" fontId="1" fillId="0" borderId="7" xfId="0" applyNumberFormat="1" applyFont="1" applyBorder="1"/>
    <xf numFmtId="0" fontId="2" fillId="0" borderId="0" xfId="0" applyFont="1" applyAlignment="1">
      <alignment horizontal="center"/>
    </xf>
    <xf numFmtId="0" fontId="0" fillId="0" borderId="6" xfId="0" applyBorder="1"/>
    <xf numFmtId="164" fontId="7" fillId="0" borderId="6" xfId="0" applyNumberFormat="1" applyFont="1" applyBorder="1"/>
    <xf numFmtId="164" fontId="1" fillId="2" borderId="8" xfId="0" applyNumberFormat="1" applyFont="1" applyFill="1" applyBorder="1"/>
    <xf numFmtId="164" fontId="1" fillId="2" borderId="9" xfId="0" applyNumberFormat="1" applyFont="1" applyFill="1" applyBorder="1"/>
    <xf numFmtId="164" fontId="0" fillId="2" borderId="1" xfId="0" applyNumberFormat="1" applyFill="1" applyBorder="1"/>
    <xf numFmtId="0" fontId="0" fillId="2" borderId="10" xfId="0" applyFill="1" applyBorder="1"/>
    <xf numFmtId="0" fontId="0" fillId="2" borderId="11" xfId="0" applyFill="1" applyBorder="1"/>
    <xf numFmtId="164" fontId="0" fillId="2" borderId="12" xfId="0" applyNumberFormat="1" applyFill="1" applyBorder="1"/>
    <xf numFmtId="0" fontId="0" fillId="2" borderId="13" xfId="0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topLeftCell="A4" workbookViewId="0">
      <selection activeCell="I74" sqref="I74"/>
    </sheetView>
  </sheetViews>
  <sheetFormatPr defaultRowHeight="15" x14ac:dyDescent="0.25"/>
  <cols>
    <col min="1" max="1" width="11.42578125" customWidth="1"/>
    <col min="2" max="2" width="52.7109375" customWidth="1"/>
    <col min="3" max="3" width="16" style="2" customWidth="1"/>
    <col min="4" max="4" width="14.42578125" style="2" customWidth="1"/>
    <col min="5" max="5" width="15.28515625" style="2" customWidth="1"/>
    <col min="6" max="6" width="17.42578125" style="2" customWidth="1"/>
    <col min="7" max="7" width="15.5703125" style="2" customWidth="1"/>
    <col min="8" max="8" width="14.7109375" style="2" customWidth="1"/>
    <col min="9" max="9" width="13.140625" style="3" customWidth="1"/>
    <col min="10" max="10" width="14.42578125" bestFit="1" customWidth="1"/>
    <col min="11" max="11" width="12" bestFit="1" customWidth="1"/>
    <col min="256" max="256" width="10.140625" customWidth="1"/>
    <col min="257" max="257" width="9.42578125" bestFit="1" customWidth="1"/>
    <col min="258" max="258" width="47.42578125" customWidth="1"/>
    <col min="259" max="259" width="16" customWidth="1"/>
    <col min="260" max="260" width="14.42578125" customWidth="1"/>
    <col min="261" max="261" width="15.28515625" customWidth="1"/>
    <col min="262" max="262" width="17.42578125" customWidth="1"/>
    <col min="263" max="263" width="15.5703125" customWidth="1"/>
    <col min="264" max="264" width="14.7109375" customWidth="1"/>
    <col min="265" max="265" width="13.140625" customWidth="1"/>
    <col min="266" max="266" width="14.42578125" bestFit="1" customWidth="1"/>
    <col min="267" max="267" width="12" bestFit="1" customWidth="1"/>
    <col min="512" max="512" width="10.140625" customWidth="1"/>
    <col min="513" max="513" width="9.42578125" bestFit="1" customWidth="1"/>
    <col min="514" max="514" width="47.42578125" customWidth="1"/>
    <col min="515" max="515" width="16" customWidth="1"/>
    <col min="516" max="516" width="14.42578125" customWidth="1"/>
    <col min="517" max="517" width="15.28515625" customWidth="1"/>
    <col min="518" max="518" width="17.42578125" customWidth="1"/>
    <col min="519" max="519" width="15.5703125" customWidth="1"/>
    <col min="520" max="520" width="14.7109375" customWidth="1"/>
    <col min="521" max="521" width="13.140625" customWidth="1"/>
    <col min="522" max="522" width="14.42578125" bestFit="1" customWidth="1"/>
    <col min="523" max="523" width="12" bestFit="1" customWidth="1"/>
    <col min="768" max="768" width="10.140625" customWidth="1"/>
    <col min="769" max="769" width="9.42578125" bestFit="1" customWidth="1"/>
    <col min="770" max="770" width="47.42578125" customWidth="1"/>
    <col min="771" max="771" width="16" customWidth="1"/>
    <col min="772" max="772" width="14.42578125" customWidth="1"/>
    <col min="773" max="773" width="15.28515625" customWidth="1"/>
    <col min="774" max="774" width="17.42578125" customWidth="1"/>
    <col min="775" max="775" width="15.5703125" customWidth="1"/>
    <col min="776" max="776" width="14.7109375" customWidth="1"/>
    <col min="777" max="777" width="13.140625" customWidth="1"/>
    <col min="778" max="778" width="14.42578125" bestFit="1" customWidth="1"/>
    <col min="779" max="779" width="12" bestFit="1" customWidth="1"/>
    <col min="1024" max="1024" width="10.140625" customWidth="1"/>
    <col min="1025" max="1025" width="9.42578125" bestFit="1" customWidth="1"/>
    <col min="1026" max="1026" width="47.42578125" customWidth="1"/>
    <col min="1027" max="1027" width="16" customWidth="1"/>
    <col min="1028" max="1028" width="14.42578125" customWidth="1"/>
    <col min="1029" max="1029" width="15.28515625" customWidth="1"/>
    <col min="1030" max="1030" width="17.42578125" customWidth="1"/>
    <col min="1031" max="1031" width="15.5703125" customWidth="1"/>
    <col min="1032" max="1032" width="14.7109375" customWidth="1"/>
    <col min="1033" max="1033" width="13.140625" customWidth="1"/>
    <col min="1034" max="1034" width="14.42578125" bestFit="1" customWidth="1"/>
    <col min="1035" max="1035" width="12" bestFit="1" customWidth="1"/>
    <col min="1280" max="1280" width="10.140625" customWidth="1"/>
    <col min="1281" max="1281" width="9.42578125" bestFit="1" customWidth="1"/>
    <col min="1282" max="1282" width="47.42578125" customWidth="1"/>
    <col min="1283" max="1283" width="16" customWidth="1"/>
    <col min="1284" max="1284" width="14.42578125" customWidth="1"/>
    <col min="1285" max="1285" width="15.28515625" customWidth="1"/>
    <col min="1286" max="1286" width="17.42578125" customWidth="1"/>
    <col min="1287" max="1287" width="15.5703125" customWidth="1"/>
    <col min="1288" max="1288" width="14.7109375" customWidth="1"/>
    <col min="1289" max="1289" width="13.140625" customWidth="1"/>
    <col min="1290" max="1290" width="14.42578125" bestFit="1" customWidth="1"/>
    <col min="1291" max="1291" width="12" bestFit="1" customWidth="1"/>
    <col min="1536" max="1536" width="10.140625" customWidth="1"/>
    <col min="1537" max="1537" width="9.42578125" bestFit="1" customWidth="1"/>
    <col min="1538" max="1538" width="47.42578125" customWidth="1"/>
    <col min="1539" max="1539" width="16" customWidth="1"/>
    <col min="1540" max="1540" width="14.42578125" customWidth="1"/>
    <col min="1541" max="1541" width="15.28515625" customWidth="1"/>
    <col min="1542" max="1542" width="17.42578125" customWidth="1"/>
    <col min="1543" max="1543" width="15.5703125" customWidth="1"/>
    <col min="1544" max="1544" width="14.7109375" customWidth="1"/>
    <col min="1545" max="1545" width="13.140625" customWidth="1"/>
    <col min="1546" max="1546" width="14.42578125" bestFit="1" customWidth="1"/>
    <col min="1547" max="1547" width="12" bestFit="1" customWidth="1"/>
    <col min="1792" max="1792" width="10.140625" customWidth="1"/>
    <col min="1793" max="1793" width="9.42578125" bestFit="1" customWidth="1"/>
    <col min="1794" max="1794" width="47.42578125" customWidth="1"/>
    <col min="1795" max="1795" width="16" customWidth="1"/>
    <col min="1796" max="1796" width="14.42578125" customWidth="1"/>
    <col min="1797" max="1797" width="15.28515625" customWidth="1"/>
    <col min="1798" max="1798" width="17.42578125" customWidth="1"/>
    <col min="1799" max="1799" width="15.5703125" customWidth="1"/>
    <col min="1800" max="1800" width="14.7109375" customWidth="1"/>
    <col min="1801" max="1801" width="13.140625" customWidth="1"/>
    <col min="1802" max="1802" width="14.42578125" bestFit="1" customWidth="1"/>
    <col min="1803" max="1803" width="12" bestFit="1" customWidth="1"/>
    <col min="2048" max="2048" width="10.140625" customWidth="1"/>
    <col min="2049" max="2049" width="9.42578125" bestFit="1" customWidth="1"/>
    <col min="2050" max="2050" width="47.42578125" customWidth="1"/>
    <col min="2051" max="2051" width="16" customWidth="1"/>
    <col min="2052" max="2052" width="14.42578125" customWidth="1"/>
    <col min="2053" max="2053" width="15.28515625" customWidth="1"/>
    <col min="2054" max="2054" width="17.42578125" customWidth="1"/>
    <col min="2055" max="2055" width="15.5703125" customWidth="1"/>
    <col min="2056" max="2056" width="14.7109375" customWidth="1"/>
    <col min="2057" max="2057" width="13.140625" customWidth="1"/>
    <col min="2058" max="2058" width="14.42578125" bestFit="1" customWidth="1"/>
    <col min="2059" max="2059" width="12" bestFit="1" customWidth="1"/>
    <col min="2304" max="2304" width="10.140625" customWidth="1"/>
    <col min="2305" max="2305" width="9.42578125" bestFit="1" customWidth="1"/>
    <col min="2306" max="2306" width="47.42578125" customWidth="1"/>
    <col min="2307" max="2307" width="16" customWidth="1"/>
    <col min="2308" max="2308" width="14.42578125" customWidth="1"/>
    <col min="2309" max="2309" width="15.28515625" customWidth="1"/>
    <col min="2310" max="2310" width="17.42578125" customWidth="1"/>
    <col min="2311" max="2311" width="15.5703125" customWidth="1"/>
    <col min="2312" max="2312" width="14.7109375" customWidth="1"/>
    <col min="2313" max="2313" width="13.140625" customWidth="1"/>
    <col min="2314" max="2314" width="14.42578125" bestFit="1" customWidth="1"/>
    <col min="2315" max="2315" width="12" bestFit="1" customWidth="1"/>
    <col min="2560" max="2560" width="10.140625" customWidth="1"/>
    <col min="2561" max="2561" width="9.42578125" bestFit="1" customWidth="1"/>
    <col min="2562" max="2562" width="47.42578125" customWidth="1"/>
    <col min="2563" max="2563" width="16" customWidth="1"/>
    <col min="2564" max="2564" width="14.42578125" customWidth="1"/>
    <col min="2565" max="2565" width="15.28515625" customWidth="1"/>
    <col min="2566" max="2566" width="17.42578125" customWidth="1"/>
    <col min="2567" max="2567" width="15.5703125" customWidth="1"/>
    <col min="2568" max="2568" width="14.7109375" customWidth="1"/>
    <col min="2569" max="2569" width="13.140625" customWidth="1"/>
    <col min="2570" max="2570" width="14.42578125" bestFit="1" customWidth="1"/>
    <col min="2571" max="2571" width="12" bestFit="1" customWidth="1"/>
    <col min="2816" max="2816" width="10.140625" customWidth="1"/>
    <col min="2817" max="2817" width="9.42578125" bestFit="1" customWidth="1"/>
    <col min="2818" max="2818" width="47.42578125" customWidth="1"/>
    <col min="2819" max="2819" width="16" customWidth="1"/>
    <col min="2820" max="2820" width="14.42578125" customWidth="1"/>
    <col min="2821" max="2821" width="15.28515625" customWidth="1"/>
    <col min="2822" max="2822" width="17.42578125" customWidth="1"/>
    <col min="2823" max="2823" width="15.5703125" customWidth="1"/>
    <col min="2824" max="2824" width="14.7109375" customWidth="1"/>
    <col min="2825" max="2825" width="13.140625" customWidth="1"/>
    <col min="2826" max="2826" width="14.42578125" bestFit="1" customWidth="1"/>
    <col min="2827" max="2827" width="12" bestFit="1" customWidth="1"/>
    <col min="3072" max="3072" width="10.140625" customWidth="1"/>
    <col min="3073" max="3073" width="9.42578125" bestFit="1" customWidth="1"/>
    <col min="3074" max="3074" width="47.42578125" customWidth="1"/>
    <col min="3075" max="3075" width="16" customWidth="1"/>
    <col min="3076" max="3076" width="14.42578125" customWidth="1"/>
    <col min="3077" max="3077" width="15.28515625" customWidth="1"/>
    <col min="3078" max="3078" width="17.42578125" customWidth="1"/>
    <col min="3079" max="3079" width="15.5703125" customWidth="1"/>
    <col min="3080" max="3080" width="14.7109375" customWidth="1"/>
    <col min="3081" max="3081" width="13.140625" customWidth="1"/>
    <col min="3082" max="3082" width="14.42578125" bestFit="1" customWidth="1"/>
    <col min="3083" max="3083" width="12" bestFit="1" customWidth="1"/>
    <col min="3328" max="3328" width="10.140625" customWidth="1"/>
    <col min="3329" max="3329" width="9.42578125" bestFit="1" customWidth="1"/>
    <col min="3330" max="3330" width="47.42578125" customWidth="1"/>
    <col min="3331" max="3331" width="16" customWidth="1"/>
    <col min="3332" max="3332" width="14.42578125" customWidth="1"/>
    <col min="3333" max="3333" width="15.28515625" customWidth="1"/>
    <col min="3334" max="3334" width="17.42578125" customWidth="1"/>
    <col min="3335" max="3335" width="15.5703125" customWidth="1"/>
    <col min="3336" max="3336" width="14.7109375" customWidth="1"/>
    <col min="3337" max="3337" width="13.140625" customWidth="1"/>
    <col min="3338" max="3338" width="14.42578125" bestFit="1" customWidth="1"/>
    <col min="3339" max="3339" width="12" bestFit="1" customWidth="1"/>
    <col min="3584" max="3584" width="10.140625" customWidth="1"/>
    <col min="3585" max="3585" width="9.42578125" bestFit="1" customWidth="1"/>
    <col min="3586" max="3586" width="47.42578125" customWidth="1"/>
    <col min="3587" max="3587" width="16" customWidth="1"/>
    <col min="3588" max="3588" width="14.42578125" customWidth="1"/>
    <col min="3589" max="3589" width="15.28515625" customWidth="1"/>
    <col min="3590" max="3590" width="17.42578125" customWidth="1"/>
    <col min="3591" max="3591" width="15.5703125" customWidth="1"/>
    <col min="3592" max="3592" width="14.7109375" customWidth="1"/>
    <col min="3593" max="3593" width="13.140625" customWidth="1"/>
    <col min="3594" max="3594" width="14.42578125" bestFit="1" customWidth="1"/>
    <col min="3595" max="3595" width="12" bestFit="1" customWidth="1"/>
    <col min="3840" max="3840" width="10.140625" customWidth="1"/>
    <col min="3841" max="3841" width="9.42578125" bestFit="1" customWidth="1"/>
    <col min="3842" max="3842" width="47.42578125" customWidth="1"/>
    <col min="3843" max="3843" width="16" customWidth="1"/>
    <col min="3844" max="3844" width="14.42578125" customWidth="1"/>
    <col min="3845" max="3845" width="15.28515625" customWidth="1"/>
    <col min="3846" max="3846" width="17.42578125" customWidth="1"/>
    <col min="3847" max="3847" width="15.5703125" customWidth="1"/>
    <col min="3848" max="3848" width="14.7109375" customWidth="1"/>
    <col min="3849" max="3849" width="13.140625" customWidth="1"/>
    <col min="3850" max="3850" width="14.42578125" bestFit="1" customWidth="1"/>
    <col min="3851" max="3851" width="12" bestFit="1" customWidth="1"/>
    <col min="4096" max="4096" width="10.140625" customWidth="1"/>
    <col min="4097" max="4097" width="9.42578125" bestFit="1" customWidth="1"/>
    <col min="4098" max="4098" width="47.42578125" customWidth="1"/>
    <col min="4099" max="4099" width="16" customWidth="1"/>
    <col min="4100" max="4100" width="14.42578125" customWidth="1"/>
    <col min="4101" max="4101" width="15.28515625" customWidth="1"/>
    <col min="4102" max="4102" width="17.42578125" customWidth="1"/>
    <col min="4103" max="4103" width="15.5703125" customWidth="1"/>
    <col min="4104" max="4104" width="14.7109375" customWidth="1"/>
    <col min="4105" max="4105" width="13.140625" customWidth="1"/>
    <col min="4106" max="4106" width="14.42578125" bestFit="1" customWidth="1"/>
    <col min="4107" max="4107" width="12" bestFit="1" customWidth="1"/>
    <col min="4352" max="4352" width="10.140625" customWidth="1"/>
    <col min="4353" max="4353" width="9.42578125" bestFit="1" customWidth="1"/>
    <col min="4354" max="4354" width="47.42578125" customWidth="1"/>
    <col min="4355" max="4355" width="16" customWidth="1"/>
    <col min="4356" max="4356" width="14.42578125" customWidth="1"/>
    <col min="4357" max="4357" width="15.28515625" customWidth="1"/>
    <col min="4358" max="4358" width="17.42578125" customWidth="1"/>
    <col min="4359" max="4359" width="15.5703125" customWidth="1"/>
    <col min="4360" max="4360" width="14.7109375" customWidth="1"/>
    <col min="4361" max="4361" width="13.140625" customWidth="1"/>
    <col min="4362" max="4362" width="14.42578125" bestFit="1" customWidth="1"/>
    <col min="4363" max="4363" width="12" bestFit="1" customWidth="1"/>
    <col min="4608" max="4608" width="10.140625" customWidth="1"/>
    <col min="4609" max="4609" width="9.42578125" bestFit="1" customWidth="1"/>
    <col min="4610" max="4610" width="47.42578125" customWidth="1"/>
    <col min="4611" max="4611" width="16" customWidth="1"/>
    <col min="4612" max="4612" width="14.42578125" customWidth="1"/>
    <col min="4613" max="4613" width="15.28515625" customWidth="1"/>
    <col min="4614" max="4614" width="17.42578125" customWidth="1"/>
    <col min="4615" max="4615" width="15.5703125" customWidth="1"/>
    <col min="4616" max="4616" width="14.7109375" customWidth="1"/>
    <col min="4617" max="4617" width="13.140625" customWidth="1"/>
    <col min="4618" max="4618" width="14.42578125" bestFit="1" customWidth="1"/>
    <col min="4619" max="4619" width="12" bestFit="1" customWidth="1"/>
    <col min="4864" max="4864" width="10.140625" customWidth="1"/>
    <col min="4865" max="4865" width="9.42578125" bestFit="1" customWidth="1"/>
    <col min="4866" max="4866" width="47.42578125" customWidth="1"/>
    <col min="4867" max="4867" width="16" customWidth="1"/>
    <col min="4868" max="4868" width="14.42578125" customWidth="1"/>
    <col min="4869" max="4869" width="15.28515625" customWidth="1"/>
    <col min="4870" max="4870" width="17.42578125" customWidth="1"/>
    <col min="4871" max="4871" width="15.5703125" customWidth="1"/>
    <col min="4872" max="4872" width="14.7109375" customWidth="1"/>
    <col min="4873" max="4873" width="13.140625" customWidth="1"/>
    <col min="4874" max="4874" width="14.42578125" bestFit="1" customWidth="1"/>
    <col min="4875" max="4875" width="12" bestFit="1" customWidth="1"/>
    <col min="5120" max="5120" width="10.140625" customWidth="1"/>
    <col min="5121" max="5121" width="9.42578125" bestFit="1" customWidth="1"/>
    <col min="5122" max="5122" width="47.42578125" customWidth="1"/>
    <col min="5123" max="5123" width="16" customWidth="1"/>
    <col min="5124" max="5124" width="14.42578125" customWidth="1"/>
    <col min="5125" max="5125" width="15.28515625" customWidth="1"/>
    <col min="5126" max="5126" width="17.42578125" customWidth="1"/>
    <col min="5127" max="5127" width="15.5703125" customWidth="1"/>
    <col min="5128" max="5128" width="14.7109375" customWidth="1"/>
    <col min="5129" max="5129" width="13.140625" customWidth="1"/>
    <col min="5130" max="5130" width="14.42578125" bestFit="1" customWidth="1"/>
    <col min="5131" max="5131" width="12" bestFit="1" customWidth="1"/>
    <col min="5376" max="5376" width="10.140625" customWidth="1"/>
    <col min="5377" max="5377" width="9.42578125" bestFit="1" customWidth="1"/>
    <col min="5378" max="5378" width="47.42578125" customWidth="1"/>
    <col min="5379" max="5379" width="16" customWidth="1"/>
    <col min="5380" max="5380" width="14.42578125" customWidth="1"/>
    <col min="5381" max="5381" width="15.28515625" customWidth="1"/>
    <col min="5382" max="5382" width="17.42578125" customWidth="1"/>
    <col min="5383" max="5383" width="15.5703125" customWidth="1"/>
    <col min="5384" max="5384" width="14.7109375" customWidth="1"/>
    <col min="5385" max="5385" width="13.140625" customWidth="1"/>
    <col min="5386" max="5386" width="14.42578125" bestFit="1" customWidth="1"/>
    <col min="5387" max="5387" width="12" bestFit="1" customWidth="1"/>
    <col min="5632" max="5632" width="10.140625" customWidth="1"/>
    <col min="5633" max="5633" width="9.42578125" bestFit="1" customWidth="1"/>
    <col min="5634" max="5634" width="47.42578125" customWidth="1"/>
    <col min="5635" max="5635" width="16" customWidth="1"/>
    <col min="5636" max="5636" width="14.42578125" customWidth="1"/>
    <col min="5637" max="5637" width="15.28515625" customWidth="1"/>
    <col min="5638" max="5638" width="17.42578125" customWidth="1"/>
    <col min="5639" max="5639" width="15.5703125" customWidth="1"/>
    <col min="5640" max="5640" width="14.7109375" customWidth="1"/>
    <col min="5641" max="5641" width="13.140625" customWidth="1"/>
    <col min="5642" max="5642" width="14.42578125" bestFit="1" customWidth="1"/>
    <col min="5643" max="5643" width="12" bestFit="1" customWidth="1"/>
    <col min="5888" max="5888" width="10.140625" customWidth="1"/>
    <col min="5889" max="5889" width="9.42578125" bestFit="1" customWidth="1"/>
    <col min="5890" max="5890" width="47.42578125" customWidth="1"/>
    <col min="5891" max="5891" width="16" customWidth="1"/>
    <col min="5892" max="5892" width="14.42578125" customWidth="1"/>
    <col min="5893" max="5893" width="15.28515625" customWidth="1"/>
    <col min="5894" max="5894" width="17.42578125" customWidth="1"/>
    <col min="5895" max="5895" width="15.5703125" customWidth="1"/>
    <col min="5896" max="5896" width="14.7109375" customWidth="1"/>
    <col min="5897" max="5897" width="13.140625" customWidth="1"/>
    <col min="5898" max="5898" width="14.42578125" bestFit="1" customWidth="1"/>
    <col min="5899" max="5899" width="12" bestFit="1" customWidth="1"/>
    <col min="6144" max="6144" width="10.140625" customWidth="1"/>
    <col min="6145" max="6145" width="9.42578125" bestFit="1" customWidth="1"/>
    <col min="6146" max="6146" width="47.42578125" customWidth="1"/>
    <col min="6147" max="6147" width="16" customWidth="1"/>
    <col min="6148" max="6148" width="14.42578125" customWidth="1"/>
    <col min="6149" max="6149" width="15.28515625" customWidth="1"/>
    <col min="6150" max="6150" width="17.42578125" customWidth="1"/>
    <col min="6151" max="6151" width="15.5703125" customWidth="1"/>
    <col min="6152" max="6152" width="14.7109375" customWidth="1"/>
    <col min="6153" max="6153" width="13.140625" customWidth="1"/>
    <col min="6154" max="6154" width="14.42578125" bestFit="1" customWidth="1"/>
    <col min="6155" max="6155" width="12" bestFit="1" customWidth="1"/>
    <col min="6400" max="6400" width="10.140625" customWidth="1"/>
    <col min="6401" max="6401" width="9.42578125" bestFit="1" customWidth="1"/>
    <col min="6402" max="6402" width="47.42578125" customWidth="1"/>
    <col min="6403" max="6403" width="16" customWidth="1"/>
    <col min="6404" max="6404" width="14.42578125" customWidth="1"/>
    <col min="6405" max="6405" width="15.28515625" customWidth="1"/>
    <col min="6406" max="6406" width="17.42578125" customWidth="1"/>
    <col min="6407" max="6407" width="15.5703125" customWidth="1"/>
    <col min="6408" max="6408" width="14.7109375" customWidth="1"/>
    <col min="6409" max="6409" width="13.140625" customWidth="1"/>
    <col min="6410" max="6410" width="14.42578125" bestFit="1" customWidth="1"/>
    <col min="6411" max="6411" width="12" bestFit="1" customWidth="1"/>
    <col min="6656" max="6656" width="10.140625" customWidth="1"/>
    <col min="6657" max="6657" width="9.42578125" bestFit="1" customWidth="1"/>
    <col min="6658" max="6658" width="47.42578125" customWidth="1"/>
    <col min="6659" max="6659" width="16" customWidth="1"/>
    <col min="6660" max="6660" width="14.42578125" customWidth="1"/>
    <col min="6661" max="6661" width="15.28515625" customWidth="1"/>
    <col min="6662" max="6662" width="17.42578125" customWidth="1"/>
    <col min="6663" max="6663" width="15.5703125" customWidth="1"/>
    <col min="6664" max="6664" width="14.7109375" customWidth="1"/>
    <col min="6665" max="6665" width="13.140625" customWidth="1"/>
    <col min="6666" max="6666" width="14.42578125" bestFit="1" customWidth="1"/>
    <col min="6667" max="6667" width="12" bestFit="1" customWidth="1"/>
    <col min="6912" max="6912" width="10.140625" customWidth="1"/>
    <col min="6913" max="6913" width="9.42578125" bestFit="1" customWidth="1"/>
    <col min="6914" max="6914" width="47.42578125" customWidth="1"/>
    <col min="6915" max="6915" width="16" customWidth="1"/>
    <col min="6916" max="6916" width="14.42578125" customWidth="1"/>
    <col min="6917" max="6917" width="15.28515625" customWidth="1"/>
    <col min="6918" max="6918" width="17.42578125" customWidth="1"/>
    <col min="6919" max="6919" width="15.5703125" customWidth="1"/>
    <col min="6920" max="6920" width="14.7109375" customWidth="1"/>
    <col min="6921" max="6921" width="13.140625" customWidth="1"/>
    <col min="6922" max="6922" width="14.42578125" bestFit="1" customWidth="1"/>
    <col min="6923" max="6923" width="12" bestFit="1" customWidth="1"/>
    <col min="7168" max="7168" width="10.140625" customWidth="1"/>
    <col min="7169" max="7169" width="9.42578125" bestFit="1" customWidth="1"/>
    <col min="7170" max="7170" width="47.42578125" customWidth="1"/>
    <col min="7171" max="7171" width="16" customWidth="1"/>
    <col min="7172" max="7172" width="14.42578125" customWidth="1"/>
    <col min="7173" max="7173" width="15.28515625" customWidth="1"/>
    <col min="7174" max="7174" width="17.42578125" customWidth="1"/>
    <col min="7175" max="7175" width="15.5703125" customWidth="1"/>
    <col min="7176" max="7176" width="14.7109375" customWidth="1"/>
    <col min="7177" max="7177" width="13.140625" customWidth="1"/>
    <col min="7178" max="7178" width="14.42578125" bestFit="1" customWidth="1"/>
    <col min="7179" max="7179" width="12" bestFit="1" customWidth="1"/>
    <col min="7424" max="7424" width="10.140625" customWidth="1"/>
    <col min="7425" max="7425" width="9.42578125" bestFit="1" customWidth="1"/>
    <col min="7426" max="7426" width="47.42578125" customWidth="1"/>
    <col min="7427" max="7427" width="16" customWidth="1"/>
    <col min="7428" max="7428" width="14.42578125" customWidth="1"/>
    <col min="7429" max="7429" width="15.28515625" customWidth="1"/>
    <col min="7430" max="7430" width="17.42578125" customWidth="1"/>
    <col min="7431" max="7431" width="15.5703125" customWidth="1"/>
    <col min="7432" max="7432" width="14.7109375" customWidth="1"/>
    <col min="7433" max="7433" width="13.140625" customWidth="1"/>
    <col min="7434" max="7434" width="14.42578125" bestFit="1" customWidth="1"/>
    <col min="7435" max="7435" width="12" bestFit="1" customWidth="1"/>
    <col min="7680" max="7680" width="10.140625" customWidth="1"/>
    <col min="7681" max="7681" width="9.42578125" bestFit="1" customWidth="1"/>
    <col min="7682" max="7682" width="47.42578125" customWidth="1"/>
    <col min="7683" max="7683" width="16" customWidth="1"/>
    <col min="7684" max="7684" width="14.42578125" customWidth="1"/>
    <col min="7685" max="7685" width="15.28515625" customWidth="1"/>
    <col min="7686" max="7686" width="17.42578125" customWidth="1"/>
    <col min="7687" max="7687" width="15.5703125" customWidth="1"/>
    <col min="7688" max="7688" width="14.7109375" customWidth="1"/>
    <col min="7689" max="7689" width="13.140625" customWidth="1"/>
    <col min="7690" max="7690" width="14.42578125" bestFit="1" customWidth="1"/>
    <col min="7691" max="7691" width="12" bestFit="1" customWidth="1"/>
    <col min="7936" max="7936" width="10.140625" customWidth="1"/>
    <col min="7937" max="7937" width="9.42578125" bestFit="1" customWidth="1"/>
    <col min="7938" max="7938" width="47.42578125" customWidth="1"/>
    <col min="7939" max="7939" width="16" customWidth="1"/>
    <col min="7940" max="7940" width="14.42578125" customWidth="1"/>
    <col min="7941" max="7941" width="15.28515625" customWidth="1"/>
    <col min="7942" max="7942" width="17.42578125" customWidth="1"/>
    <col min="7943" max="7943" width="15.5703125" customWidth="1"/>
    <col min="7944" max="7944" width="14.7109375" customWidth="1"/>
    <col min="7945" max="7945" width="13.140625" customWidth="1"/>
    <col min="7946" max="7946" width="14.42578125" bestFit="1" customWidth="1"/>
    <col min="7947" max="7947" width="12" bestFit="1" customWidth="1"/>
    <col min="8192" max="8192" width="10.140625" customWidth="1"/>
    <col min="8193" max="8193" width="9.42578125" bestFit="1" customWidth="1"/>
    <col min="8194" max="8194" width="47.42578125" customWidth="1"/>
    <col min="8195" max="8195" width="16" customWidth="1"/>
    <col min="8196" max="8196" width="14.42578125" customWidth="1"/>
    <col min="8197" max="8197" width="15.28515625" customWidth="1"/>
    <col min="8198" max="8198" width="17.42578125" customWidth="1"/>
    <col min="8199" max="8199" width="15.5703125" customWidth="1"/>
    <col min="8200" max="8200" width="14.7109375" customWidth="1"/>
    <col min="8201" max="8201" width="13.140625" customWidth="1"/>
    <col min="8202" max="8202" width="14.42578125" bestFit="1" customWidth="1"/>
    <col min="8203" max="8203" width="12" bestFit="1" customWidth="1"/>
    <col min="8448" max="8448" width="10.140625" customWidth="1"/>
    <col min="8449" max="8449" width="9.42578125" bestFit="1" customWidth="1"/>
    <col min="8450" max="8450" width="47.42578125" customWidth="1"/>
    <col min="8451" max="8451" width="16" customWidth="1"/>
    <col min="8452" max="8452" width="14.42578125" customWidth="1"/>
    <col min="8453" max="8453" width="15.28515625" customWidth="1"/>
    <col min="8454" max="8454" width="17.42578125" customWidth="1"/>
    <col min="8455" max="8455" width="15.5703125" customWidth="1"/>
    <col min="8456" max="8456" width="14.7109375" customWidth="1"/>
    <col min="8457" max="8457" width="13.140625" customWidth="1"/>
    <col min="8458" max="8458" width="14.42578125" bestFit="1" customWidth="1"/>
    <col min="8459" max="8459" width="12" bestFit="1" customWidth="1"/>
    <col min="8704" max="8704" width="10.140625" customWidth="1"/>
    <col min="8705" max="8705" width="9.42578125" bestFit="1" customWidth="1"/>
    <col min="8706" max="8706" width="47.42578125" customWidth="1"/>
    <col min="8707" max="8707" width="16" customWidth="1"/>
    <col min="8708" max="8708" width="14.42578125" customWidth="1"/>
    <col min="8709" max="8709" width="15.28515625" customWidth="1"/>
    <col min="8710" max="8710" width="17.42578125" customWidth="1"/>
    <col min="8711" max="8711" width="15.5703125" customWidth="1"/>
    <col min="8712" max="8712" width="14.7109375" customWidth="1"/>
    <col min="8713" max="8713" width="13.140625" customWidth="1"/>
    <col min="8714" max="8714" width="14.42578125" bestFit="1" customWidth="1"/>
    <col min="8715" max="8715" width="12" bestFit="1" customWidth="1"/>
    <col min="8960" max="8960" width="10.140625" customWidth="1"/>
    <col min="8961" max="8961" width="9.42578125" bestFit="1" customWidth="1"/>
    <col min="8962" max="8962" width="47.42578125" customWidth="1"/>
    <col min="8963" max="8963" width="16" customWidth="1"/>
    <col min="8964" max="8964" width="14.42578125" customWidth="1"/>
    <col min="8965" max="8965" width="15.28515625" customWidth="1"/>
    <col min="8966" max="8966" width="17.42578125" customWidth="1"/>
    <col min="8967" max="8967" width="15.5703125" customWidth="1"/>
    <col min="8968" max="8968" width="14.7109375" customWidth="1"/>
    <col min="8969" max="8969" width="13.140625" customWidth="1"/>
    <col min="8970" max="8970" width="14.42578125" bestFit="1" customWidth="1"/>
    <col min="8971" max="8971" width="12" bestFit="1" customWidth="1"/>
    <col min="9216" max="9216" width="10.140625" customWidth="1"/>
    <col min="9217" max="9217" width="9.42578125" bestFit="1" customWidth="1"/>
    <col min="9218" max="9218" width="47.42578125" customWidth="1"/>
    <col min="9219" max="9219" width="16" customWidth="1"/>
    <col min="9220" max="9220" width="14.42578125" customWidth="1"/>
    <col min="9221" max="9221" width="15.28515625" customWidth="1"/>
    <col min="9222" max="9222" width="17.42578125" customWidth="1"/>
    <col min="9223" max="9223" width="15.5703125" customWidth="1"/>
    <col min="9224" max="9224" width="14.7109375" customWidth="1"/>
    <col min="9225" max="9225" width="13.140625" customWidth="1"/>
    <col min="9226" max="9226" width="14.42578125" bestFit="1" customWidth="1"/>
    <col min="9227" max="9227" width="12" bestFit="1" customWidth="1"/>
    <col min="9472" max="9472" width="10.140625" customWidth="1"/>
    <col min="9473" max="9473" width="9.42578125" bestFit="1" customWidth="1"/>
    <col min="9474" max="9474" width="47.42578125" customWidth="1"/>
    <col min="9475" max="9475" width="16" customWidth="1"/>
    <col min="9476" max="9476" width="14.42578125" customWidth="1"/>
    <col min="9477" max="9477" width="15.28515625" customWidth="1"/>
    <col min="9478" max="9478" width="17.42578125" customWidth="1"/>
    <col min="9479" max="9479" width="15.5703125" customWidth="1"/>
    <col min="9480" max="9480" width="14.7109375" customWidth="1"/>
    <col min="9481" max="9481" width="13.140625" customWidth="1"/>
    <col min="9482" max="9482" width="14.42578125" bestFit="1" customWidth="1"/>
    <col min="9483" max="9483" width="12" bestFit="1" customWidth="1"/>
    <col min="9728" max="9728" width="10.140625" customWidth="1"/>
    <col min="9729" max="9729" width="9.42578125" bestFit="1" customWidth="1"/>
    <col min="9730" max="9730" width="47.42578125" customWidth="1"/>
    <col min="9731" max="9731" width="16" customWidth="1"/>
    <col min="9732" max="9732" width="14.42578125" customWidth="1"/>
    <col min="9733" max="9733" width="15.28515625" customWidth="1"/>
    <col min="9734" max="9734" width="17.42578125" customWidth="1"/>
    <col min="9735" max="9735" width="15.5703125" customWidth="1"/>
    <col min="9736" max="9736" width="14.7109375" customWidth="1"/>
    <col min="9737" max="9737" width="13.140625" customWidth="1"/>
    <col min="9738" max="9738" width="14.42578125" bestFit="1" customWidth="1"/>
    <col min="9739" max="9739" width="12" bestFit="1" customWidth="1"/>
    <col min="9984" max="9984" width="10.140625" customWidth="1"/>
    <col min="9985" max="9985" width="9.42578125" bestFit="1" customWidth="1"/>
    <col min="9986" max="9986" width="47.42578125" customWidth="1"/>
    <col min="9987" max="9987" width="16" customWidth="1"/>
    <col min="9988" max="9988" width="14.42578125" customWidth="1"/>
    <col min="9989" max="9989" width="15.28515625" customWidth="1"/>
    <col min="9990" max="9990" width="17.42578125" customWidth="1"/>
    <col min="9991" max="9991" width="15.5703125" customWidth="1"/>
    <col min="9992" max="9992" width="14.7109375" customWidth="1"/>
    <col min="9993" max="9993" width="13.140625" customWidth="1"/>
    <col min="9994" max="9994" width="14.42578125" bestFit="1" customWidth="1"/>
    <col min="9995" max="9995" width="12" bestFit="1" customWidth="1"/>
    <col min="10240" max="10240" width="10.140625" customWidth="1"/>
    <col min="10241" max="10241" width="9.42578125" bestFit="1" customWidth="1"/>
    <col min="10242" max="10242" width="47.42578125" customWidth="1"/>
    <col min="10243" max="10243" width="16" customWidth="1"/>
    <col min="10244" max="10244" width="14.42578125" customWidth="1"/>
    <col min="10245" max="10245" width="15.28515625" customWidth="1"/>
    <col min="10246" max="10246" width="17.42578125" customWidth="1"/>
    <col min="10247" max="10247" width="15.5703125" customWidth="1"/>
    <col min="10248" max="10248" width="14.7109375" customWidth="1"/>
    <col min="10249" max="10249" width="13.140625" customWidth="1"/>
    <col min="10250" max="10250" width="14.42578125" bestFit="1" customWidth="1"/>
    <col min="10251" max="10251" width="12" bestFit="1" customWidth="1"/>
    <col min="10496" max="10496" width="10.140625" customWidth="1"/>
    <col min="10497" max="10497" width="9.42578125" bestFit="1" customWidth="1"/>
    <col min="10498" max="10498" width="47.42578125" customWidth="1"/>
    <col min="10499" max="10499" width="16" customWidth="1"/>
    <col min="10500" max="10500" width="14.42578125" customWidth="1"/>
    <col min="10501" max="10501" width="15.28515625" customWidth="1"/>
    <col min="10502" max="10502" width="17.42578125" customWidth="1"/>
    <col min="10503" max="10503" width="15.5703125" customWidth="1"/>
    <col min="10504" max="10504" width="14.7109375" customWidth="1"/>
    <col min="10505" max="10505" width="13.140625" customWidth="1"/>
    <col min="10506" max="10506" width="14.42578125" bestFit="1" customWidth="1"/>
    <col min="10507" max="10507" width="12" bestFit="1" customWidth="1"/>
    <col min="10752" max="10752" width="10.140625" customWidth="1"/>
    <col min="10753" max="10753" width="9.42578125" bestFit="1" customWidth="1"/>
    <col min="10754" max="10754" width="47.42578125" customWidth="1"/>
    <col min="10755" max="10755" width="16" customWidth="1"/>
    <col min="10756" max="10756" width="14.42578125" customWidth="1"/>
    <col min="10757" max="10757" width="15.28515625" customWidth="1"/>
    <col min="10758" max="10758" width="17.42578125" customWidth="1"/>
    <col min="10759" max="10759" width="15.5703125" customWidth="1"/>
    <col min="10760" max="10760" width="14.7109375" customWidth="1"/>
    <col min="10761" max="10761" width="13.140625" customWidth="1"/>
    <col min="10762" max="10762" width="14.42578125" bestFit="1" customWidth="1"/>
    <col min="10763" max="10763" width="12" bestFit="1" customWidth="1"/>
    <col min="11008" max="11008" width="10.140625" customWidth="1"/>
    <col min="11009" max="11009" width="9.42578125" bestFit="1" customWidth="1"/>
    <col min="11010" max="11010" width="47.42578125" customWidth="1"/>
    <col min="11011" max="11011" width="16" customWidth="1"/>
    <col min="11012" max="11012" width="14.42578125" customWidth="1"/>
    <col min="11013" max="11013" width="15.28515625" customWidth="1"/>
    <col min="11014" max="11014" width="17.42578125" customWidth="1"/>
    <col min="11015" max="11015" width="15.5703125" customWidth="1"/>
    <col min="11016" max="11016" width="14.7109375" customWidth="1"/>
    <col min="11017" max="11017" width="13.140625" customWidth="1"/>
    <col min="11018" max="11018" width="14.42578125" bestFit="1" customWidth="1"/>
    <col min="11019" max="11019" width="12" bestFit="1" customWidth="1"/>
    <col min="11264" max="11264" width="10.140625" customWidth="1"/>
    <col min="11265" max="11265" width="9.42578125" bestFit="1" customWidth="1"/>
    <col min="11266" max="11266" width="47.42578125" customWidth="1"/>
    <col min="11267" max="11267" width="16" customWidth="1"/>
    <col min="11268" max="11268" width="14.42578125" customWidth="1"/>
    <col min="11269" max="11269" width="15.28515625" customWidth="1"/>
    <col min="11270" max="11270" width="17.42578125" customWidth="1"/>
    <col min="11271" max="11271" width="15.5703125" customWidth="1"/>
    <col min="11272" max="11272" width="14.7109375" customWidth="1"/>
    <col min="11273" max="11273" width="13.140625" customWidth="1"/>
    <col min="11274" max="11274" width="14.42578125" bestFit="1" customWidth="1"/>
    <col min="11275" max="11275" width="12" bestFit="1" customWidth="1"/>
    <col min="11520" max="11520" width="10.140625" customWidth="1"/>
    <col min="11521" max="11521" width="9.42578125" bestFit="1" customWidth="1"/>
    <col min="11522" max="11522" width="47.42578125" customWidth="1"/>
    <col min="11523" max="11523" width="16" customWidth="1"/>
    <col min="11524" max="11524" width="14.42578125" customWidth="1"/>
    <col min="11525" max="11525" width="15.28515625" customWidth="1"/>
    <col min="11526" max="11526" width="17.42578125" customWidth="1"/>
    <col min="11527" max="11527" width="15.5703125" customWidth="1"/>
    <col min="11528" max="11528" width="14.7109375" customWidth="1"/>
    <col min="11529" max="11529" width="13.140625" customWidth="1"/>
    <col min="11530" max="11530" width="14.42578125" bestFit="1" customWidth="1"/>
    <col min="11531" max="11531" width="12" bestFit="1" customWidth="1"/>
    <col min="11776" max="11776" width="10.140625" customWidth="1"/>
    <col min="11777" max="11777" width="9.42578125" bestFit="1" customWidth="1"/>
    <col min="11778" max="11778" width="47.42578125" customWidth="1"/>
    <col min="11779" max="11779" width="16" customWidth="1"/>
    <col min="11780" max="11780" width="14.42578125" customWidth="1"/>
    <col min="11781" max="11781" width="15.28515625" customWidth="1"/>
    <col min="11782" max="11782" width="17.42578125" customWidth="1"/>
    <col min="11783" max="11783" width="15.5703125" customWidth="1"/>
    <col min="11784" max="11784" width="14.7109375" customWidth="1"/>
    <col min="11785" max="11785" width="13.140625" customWidth="1"/>
    <col min="11786" max="11786" width="14.42578125" bestFit="1" customWidth="1"/>
    <col min="11787" max="11787" width="12" bestFit="1" customWidth="1"/>
    <col min="12032" max="12032" width="10.140625" customWidth="1"/>
    <col min="12033" max="12033" width="9.42578125" bestFit="1" customWidth="1"/>
    <col min="12034" max="12034" width="47.42578125" customWidth="1"/>
    <col min="12035" max="12035" width="16" customWidth="1"/>
    <col min="12036" max="12036" width="14.42578125" customWidth="1"/>
    <col min="12037" max="12037" width="15.28515625" customWidth="1"/>
    <col min="12038" max="12038" width="17.42578125" customWidth="1"/>
    <col min="12039" max="12039" width="15.5703125" customWidth="1"/>
    <col min="12040" max="12040" width="14.7109375" customWidth="1"/>
    <col min="12041" max="12041" width="13.140625" customWidth="1"/>
    <col min="12042" max="12042" width="14.42578125" bestFit="1" customWidth="1"/>
    <col min="12043" max="12043" width="12" bestFit="1" customWidth="1"/>
    <col min="12288" max="12288" width="10.140625" customWidth="1"/>
    <col min="12289" max="12289" width="9.42578125" bestFit="1" customWidth="1"/>
    <col min="12290" max="12290" width="47.42578125" customWidth="1"/>
    <col min="12291" max="12291" width="16" customWidth="1"/>
    <col min="12292" max="12292" width="14.42578125" customWidth="1"/>
    <col min="12293" max="12293" width="15.28515625" customWidth="1"/>
    <col min="12294" max="12294" width="17.42578125" customWidth="1"/>
    <col min="12295" max="12295" width="15.5703125" customWidth="1"/>
    <col min="12296" max="12296" width="14.7109375" customWidth="1"/>
    <col min="12297" max="12297" width="13.140625" customWidth="1"/>
    <col min="12298" max="12298" width="14.42578125" bestFit="1" customWidth="1"/>
    <col min="12299" max="12299" width="12" bestFit="1" customWidth="1"/>
    <col min="12544" max="12544" width="10.140625" customWidth="1"/>
    <col min="12545" max="12545" width="9.42578125" bestFit="1" customWidth="1"/>
    <col min="12546" max="12546" width="47.42578125" customWidth="1"/>
    <col min="12547" max="12547" width="16" customWidth="1"/>
    <col min="12548" max="12548" width="14.42578125" customWidth="1"/>
    <col min="12549" max="12549" width="15.28515625" customWidth="1"/>
    <col min="12550" max="12550" width="17.42578125" customWidth="1"/>
    <col min="12551" max="12551" width="15.5703125" customWidth="1"/>
    <col min="12552" max="12552" width="14.7109375" customWidth="1"/>
    <col min="12553" max="12553" width="13.140625" customWidth="1"/>
    <col min="12554" max="12554" width="14.42578125" bestFit="1" customWidth="1"/>
    <col min="12555" max="12555" width="12" bestFit="1" customWidth="1"/>
    <col min="12800" max="12800" width="10.140625" customWidth="1"/>
    <col min="12801" max="12801" width="9.42578125" bestFit="1" customWidth="1"/>
    <col min="12802" max="12802" width="47.42578125" customWidth="1"/>
    <col min="12803" max="12803" width="16" customWidth="1"/>
    <col min="12804" max="12804" width="14.42578125" customWidth="1"/>
    <col min="12805" max="12805" width="15.28515625" customWidth="1"/>
    <col min="12806" max="12806" width="17.42578125" customWidth="1"/>
    <col min="12807" max="12807" width="15.5703125" customWidth="1"/>
    <col min="12808" max="12808" width="14.7109375" customWidth="1"/>
    <col min="12809" max="12809" width="13.140625" customWidth="1"/>
    <col min="12810" max="12810" width="14.42578125" bestFit="1" customWidth="1"/>
    <col min="12811" max="12811" width="12" bestFit="1" customWidth="1"/>
    <col min="13056" max="13056" width="10.140625" customWidth="1"/>
    <col min="13057" max="13057" width="9.42578125" bestFit="1" customWidth="1"/>
    <col min="13058" max="13058" width="47.42578125" customWidth="1"/>
    <col min="13059" max="13059" width="16" customWidth="1"/>
    <col min="13060" max="13060" width="14.42578125" customWidth="1"/>
    <col min="13061" max="13061" width="15.28515625" customWidth="1"/>
    <col min="13062" max="13062" width="17.42578125" customWidth="1"/>
    <col min="13063" max="13063" width="15.5703125" customWidth="1"/>
    <col min="13064" max="13064" width="14.7109375" customWidth="1"/>
    <col min="13065" max="13065" width="13.140625" customWidth="1"/>
    <col min="13066" max="13066" width="14.42578125" bestFit="1" customWidth="1"/>
    <col min="13067" max="13067" width="12" bestFit="1" customWidth="1"/>
    <col min="13312" max="13312" width="10.140625" customWidth="1"/>
    <col min="13313" max="13313" width="9.42578125" bestFit="1" customWidth="1"/>
    <col min="13314" max="13314" width="47.42578125" customWidth="1"/>
    <col min="13315" max="13315" width="16" customWidth="1"/>
    <col min="13316" max="13316" width="14.42578125" customWidth="1"/>
    <col min="13317" max="13317" width="15.28515625" customWidth="1"/>
    <col min="13318" max="13318" width="17.42578125" customWidth="1"/>
    <col min="13319" max="13319" width="15.5703125" customWidth="1"/>
    <col min="13320" max="13320" width="14.7109375" customWidth="1"/>
    <col min="13321" max="13321" width="13.140625" customWidth="1"/>
    <col min="13322" max="13322" width="14.42578125" bestFit="1" customWidth="1"/>
    <col min="13323" max="13323" width="12" bestFit="1" customWidth="1"/>
    <col min="13568" max="13568" width="10.140625" customWidth="1"/>
    <col min="13569" max="13569" width="9.42578125" bestFit="1" customWidth="1"/>
    <col min="13570" max="13570" width="47.42578125" customWidth="1"/>
    <col min="13571" max="13571" width="16" customWidth="1"/>
    <col min="13572" max="13572" width="14.42578125" customWidth="1"/>
    <col min="13573" max="13573" width="15.28515625" customWidth="1"/>
    <col min="13574" max="13574" width="17.42578125" customWidth="1"/>
    <col min="13575" max="13575" width="15.5703125" customWidth="1"/>
    <col min="13576" max="13576" width="14.7109375" customWidth="1"/>
    <col min="13577" max="13577" width="13.140625" customWidth="1"/>
    <col min="13578" max="13578" width="14.42578125" bestFit="1" customWidth="1"/>
    <col min="13579" max="13579" width="12" bestFit="1" customWidth="1"/>
    <col min="13824" max="13824" width="10.140625" customWidth="1"/>
    <col min="13825" max="13825" width="9.42578125" bestFit="1" customWidth="1"/>
    <col min="13826" max="13826" width="47.42578125" customWidth="1"/>
    <col min="13827" max="13827" width="16" customWidth="1"/>
    <col min="13828" max="13828" width="14.42578125" customWidth="1"/>
    <col min="13829" max="13829" width="15.28515625" customWidth="1"/>
    <col min="13830" max="13830" width="17.42578125" customWidth="1"/>
    <col min="13831" max="13831" width="15.5703125" customWidth="1"/>
    <col min="13832" max="13832" width="14.7109375" customWidth="1"/>
    <col min="13833" max="13833" width="13.140625" customWidth="1"/>
    <col min="13834" max="13834" width="14.42578125" bestFit="1" customWidth="1"/>
    <col min="13835" max="13835" width="12" bestFit="1" customWidth="1"/>
    <col min="14080" max="14080" width="10.140625" customWidth="1"/>
    <col min="14081" max="14081" width="9.42578125" bestFit="1" customWidth="1"/>
    <col min="14082" max="14082" width="47.42578125" customWidth="1"/>
    <col min="14083" max="14083" width="16" customWidth="1"/>
    <col min="14084" max="14084" width="14.42578125" customWidth="1"/>
    <col min="14085" max="14085" width="15.28515625" customWidth="1"/>
    <col min="14086" max="14086" width="17.42578125" customWidth="1"/>
    <col min="14087" max="14087" width="15.5703125" customWidth="1"/>
    <col min="14088" max="14088" width="14.7109375" customWidth="1"/>
    <col min="14089" max="14089" width="13.140625" customWidth="1"/>
    <col min="14090" max="14090" width="14.42578125" bestFit="1" customWidth="1"/>
    <col min="14091" max="14091" width="12" bestFit="1" customWidth="1"/>
    <col min="14336" max="14336" width="10.140625" customWidth="1"/>
    <col min="14337" max="14337" width="9.42578125" bestFit="1" customWidth="1"/>
    <col min="14338" max="14338" width="47.42578125" customWidth="1"/>
    <col min="14339" max="14339" width="16" customWidth="1"/>
    <col min="14340" max="14340" width="14.42578125" customWidth="1"/>
    <col min="14341" max="14341" width="15.28515625" customWidth="1"/>
    <col min="14342" max="14342" width="17.42578125" customWidth="1"/>
    <col min="14343" max="14343" width="15.5703125" customWidth="1"/>
    <col min="14344" max="14344" width="14.7109375" customWidth="1"/>
    <col min="14345" max="14345" width="13.140625" customWidth="1"/>
    <col min="14346" max="14346" width="14.42578125" bestFit="1" customWidth="1"/>
    <col min="14347" max="14347" width="12" bestFit="1" customWidth="1"/>
    <col min="14592" max="14592" width="10.140625" customWidth="1"/>
    <col min="14593" max="14593" width="9.42578125" bestFit="1" customWidth="1"/>
    <col min="14594" max="14594" width="47.42578125" customWidth="1"/>
    <col min="14595" max="14595" width="16" customWidth="1"/>
    <col min="14596" max="14596" width="14.42578125" customWidth="1"/>
    <col min="14597" max="14597" width="15.28515625" customWidth="1"/>
    <col min="14598" max="14598" width="17.42578125" customWidth="1"/>
    <col min="14599" max="14599" width="15.5703125" customWidth="1"/>
    <col min="14600" max="14600" width="14.7109375" customWidth="1"/>
    <col min="14601" max="14601" width="13.140625" customWidth="1"/>
    <col min="14602" max="14602" width="14.42578125" bestFit="1" customWidth="1"/>
    <col min="14603" max="14603" width="12" bestFit="1" customWidth="1"/>
    <col min="14848" max="14848" width="10.140625" customWidth="1"/>
    <col min="14849" max="14849" width="9.42578125" bestFit="1" customWidth="1"/>
    <col min="14850" max="14850" width="47.42578125" customWidth="1"/>
    <col min="14851" max="14851" width="16" customWidth="1"/>
    <col min="14852" max="14852" width="14.42578125" customWidth="1"/>
    <col min="14853" max="14853" width="15.28515625" customWidth="1"/>
    <col min="14854" max="14854" width="17.42578125" customWidth="1"/>
    <col min="14855" max="14855" width="15.5703125" customWidth="1"/>
    <col min="14856" max="14856" width="14.7109375" customWidth="1"/>
    <col min="14857" max="14857" width="13.140625" customWidth="1"/>
    <col min="14858" max="14858" width="14.42578125" bestFit="1" customWidth="1"/>
    <col min="14859" max="14859" width="12" bestFit="1" customWidth="1"/>
    <col min="15104" max="15104" width="10.140625" customWidth="1"/>
    <col min="15105" max="15105" width="9.42578125" bestFit="1" customWidth="1"/>
    <col min="15106" max="15106" width="47.42578125" customWidth="1"/>
    <col min="15107" max="15107" width="16" customWidth="1"/>
    <col min="15108" max="15108" width="14.42578125" customWidth="1"/>
    <col min="15109" max="15109" width="15.28515625" customWidth="1"/>
    <col min="15110" max="15110" width="17.42578125" customWidth="1"/>
    <col min="15111" max="15111" width="15.5703125" customWidth="1"/>
    <col min="15112" max="15112" width="14.7109375" customWidth="1"/>
    <col min="15113" max="15113" width="13.140625" customWidth="1"/>
    <col min="15114" max="15114" width="14.42578125" bestFit="1" customWidth="1"/>
    <col min="15115" max="15115" width="12" bestFit="1" customWidth="1"/>
    <col min="15360" max="15360" width="10.140625" customWidth="1"/>
    <col min="15361" max="15361" width="9.42578125" bestFit="1" customWidth="1"/>
    <col min="15362" max="15362" width="47.42578125" customWidth="1"/>
    <col min="15363" max="15363" width="16" customWidth="1"/>
    <col min="15364" max="15364" width="14.42578125" customWidth="1"/>
    <col min="15365" max="15365" width="15.28515625" customWidth="1"/>
    <col min="15366" max="15366" width="17.42578125" customWidth="1"/>
    <col min="15367" max="15367" width="15.5703125" customWidth="1"/>
    <col min="15368" max="15368" width="14.7109375" customWidth="1"/>
    <col min="15369" max="15369" width="13.140625" customWidth="1"/>
    <col min="15370" max="15370" width="14.42578125" bestFit="1" customWidth="1"/>
    <col min="15371" max="15371" width="12" bestFit="1" customWidth="1"/>
    <col min="15616" max="15616" width="10.140625" customWidth="1"/>
    <col min="15617" max="15617" width="9.42578125" bestFit="1" customWidth="1"/>
    <col min="15618" max="15618" width="47.42578125" customWidth="1"/>
    <col min="15619" max="15619" width="16" customWidth="1"/>
    <col min="15620" max="15620" width="14.42578125" customWidth="1"/>
    <col min="15621" max="15621" width="15.28515625" customWidth="1"/>
    <col min="15622" max="15622" width="17.42578125" customWidth="1"/>
    <col min="15623" max="15623" width="15.5703125" customWidth="1"/>
    <col min="15624" max="15624" width="14.7109375" customWidth="1"/>
    <col min="15625" max="15625" width="13.140625" customWidth="1"/>
    <col min="15626" max="15626" width="14.42578125" bestFit="1" customWidth="1"/>
    <col min="15627" max="15627" width="12" bestFit="1" customWidth="1"/>
    <col min="15872" max="15872" width="10.140625" customWidth="1"/>
    <col min="15873" max="15873" width="9.42578125" bestFit="1" customWidth="1"/>
    <col min="15874" max="15874" width="47.42578125" customWidth="1"/>
    <col min="15875" max="15875" width="16" customWidth="1"/>
    <col min="15876" max="15876" width="14.42578125" customWidth="1"/>
    <col min="15877" max="15877" width="15.28515625" customWidth="1"/>
    <col min="15878" max="15878" width="17.42578125" customWidth="1"/>
    <col min="15879" max="15879" width="15.5703125" customWidth="1"/>
    <col min="15880" max="15880" width="14.7109375" customWidth="1"/>
    <col min="15881" max="15881" width="13.140625" customWidth="1"/>
    <col min="15882" max="15882" width="14.42578125" bestFit="1" customWidth="1"/>
    <col min="15883" max="15883" width="12" bestFit="1" customWidth="1"/>
    <col min="16128" max="16128" width="10.140625" customWidth="1"/>
    <col min="16129" max="16129" width="9.42578125" bestFit="1" customWidth="1"/>
    <col min="16130" max="16130" width="47.42578125" customWidth="1"/>
    <col min="16131" max="16131" width="16" customWidth="1"/>
    <col min="16132" max="16132" width="14.42578125" customWidth="1"/>
    <col min="16133" max="16133" width="15.28515625" customWidth="1"/>
    <col min="16134" max="16134" width="17.42578125" customWidth="1"/>
    <col min="16135" max="16135" width="15.5703125" customWidth="1"/>
    <col min="16136" max="16136" width="14.7109375" customWidth="1"/>
    <col min="16137" max="16137" width="13.140625" customWidth="1"/>
    <col min="16138" max="16138" width="14.42578125" bestFit="1" customWidth="1"/>
    <col min="16139" max="16139" width="12" bestFit="1" customWidth="1"/>
  </cols>
  <sheetData>
    <row r="1" spans="1:9" ht="15.75" x14ac:dyDescent="0.25">
      <c r="A1" s="34" t="s">
        <v>44</v>
      </c>
      <c r="B1" s="1"/>
    </row>
    <row r="2" spans="1:9" ht="15.75" x14ac:dyDescent="0.25">
      <c r="A2" s="35" t="s">
        <v>45</v>
      </c>
    </row>
    <row r="3" spans="1:9" ht="15.75" x14ac:dyDescent="0.25">
      <c r="A3" s="35" t="s">
        <v>46</v>
      </c>
    </row>
    <row r="4" spans="1:9" ht="15.75" x14ac:dyDescent="0.25">
      <c r="A4" s="35" t="s">
        <v>47</v>
      </c>
    </row>
    <row r="5" spans="1:9" x14ac:dyDescent="0.25">
      <c r="A5" s="4"/>
      <c r="B5" s="5"/>
      <c r="C5" s="6"/>
      <c r="D5" s="6"/>
      <c r="E5" s="6"/>
      <c r="F5" s="6"/>
      <c r="G5" s="6"/>
      <c r="H5" s="6"/>
    </row>
    <row r="6" spans="1:9" x14ac:dyDescent="0.25">
      <c r="A6" s="19">
        <v>2017</v>
      </c>
      <c r="B6" s="18"/>
      <c r="C6" s="23"/>
      <c r="D6" s="23"/>
      <c r="E6" s="23"/>
      <c r="F6" s="23"/>
      <c r="G6" s="23"/>
      <c r="H6" s="23"/>
    </row>
    <row r="7" spans="1:9" x14ac:dyDescent="0.25">
      <c r="A7" s="7" t="s">
        <v>0</v>
      </c>
      <c r="B7" s="8" t="s">
        <v>1</v>
      </c>
      <c r="C7" s="9" t="s">
        <v>2</v>
      </c>
      <c r="D7" s="9" t="s">
        <v>3</v>
      </c>
      <c r="E7" s="9" t="s">
        <v>4</v>
      </c>
      <c r="F7" s="9" t="s">
        <v>5</v>
      </c>
      <c r="G7" s="9" t="s">
        <v>6</v>
      </c>
      <c r="H7" s="9" t="s">
        <v>7</v>
      </c>
    </row>
    <row r="8" spans="1:9" x14ac:dyDescent="0.25">
      <c r="A8" s="10">
        <v>42923</v>
      </c>
      <c r="B8" s="11" t="s">
        <v>11</v>
      </c>
      <c r="C8" s="28">
        <v>0</v>
      </c>
      <c r="D8" s="28">
        <v>5000</v>
      </c>
      <c r="E8" s="28">
        <v>363</v>
      </c>
      <c r="F8" s="28">
        <v>363</v>
      </c>
      <c r="G8" s="28">
        <v>0</v>
      </c>
      <c r="H8" s="28">
        <v>363</v>
      </c>
    </row>
    <row r="9" spans="1:9" x14ac:dyDescent="0.25">
      <c r="A9" s="10">
        <v>43031</v>
      </c>
      <c r="B9" s="24" t="s">
        <v>12</v>
      </c>
      <c r="C9" s="28">
        <v>7004.73</v>
      </c>
      <c r="D9" s="28">
        <v>5000</v>
      </c>
      <c r="E9" s="28">
        <f>20.05+1.22</f>
        <v>21.27</v>
      </c>
      <c r="F9" s="28">
        <f>+C9-D9+E9</f>
        <v>2025.9999999999995</v>
      </c>
      <c r="G9" s="28">
        <v>0</v>
      </c>
      <c r="H9" s="28">
        <f>+F9+G9</f>
        <v>2025.9999999999995</v>
      </c>
    </row>
    <row r="10" spans="1:9" ht="15.75" thickBot="1" x14ac:dyDescent="0.3">
      <c r="A10" s="12">
        <v>43043</v>
      </c>
      <c r="B10" s="21" t="s">
        <v>13</v>
      </c>
      <c r="C10" s="29">
        <v>0</v>
      </c>
      <c r="D10" s="29">
        <v>5000</v>
      </c>
      <c r="E10" s="29">
        <v>363</v>
      </c>
      <c r="F10" s="29">
        <v>363</v>
      </c>
      <c r="G10" s="29">
        <v>0</v>
      </c>
      <c r="H10" s="29">
        <v>363</v>
      </c>
    </row>
    <row r="11" spans="1:9" ht="15.75" thickBot="1" x14ac:dyDescent="0.3">
      <c r="A11" s="27" t="s">
        <v>7</v>
      </c>
      <c r="B11" s="26"/>
      <c r="C11" s="30">
        <f t="shared" ref="C11:H11" si="0">SUM(C8:C10)</f>
        <v>7004.73</v>
      </c>
      <c r="D11" s="30">
        <f t="shared" si="0"/>
        <v>15000</v>
      </c>
      <c r="E11" s="30">
        <f t="shared" si="0"/>
        <v>747.27</v>
      </c>
      <c r="F11" s="30">
        <f t="shared" si="0"/>
        <v>2751.9999999999995</v>
      </c>
      <c r="G11" s="30">
        <f t="shared" si="0"/>
        <v>0</v>
      </c>
      <c r="H11" s="31">
        <f t="shared" si="0"/>
        <v>2751.9999999999995</v>
      </c>
    </row>
    <row r="12" spans="1:9" ht="18" customHeight="1" x14ac:dyDescent="0.25"/>
    <row r="13" spans="1:9" x14ac:dyDescent="0.25">
      <c r="A13" s="38">
        <v>2018</v>
      </c>
    </row>
    <row r="14" spans="1:9" x14ac:dyDescent="0.25">
      <c r="A14" s="7" t="s">
        <v>0</v>
      </c>
      <c r="B14" s="8" t="s">
        <v>1</v>
      </c>
      <c r="C14" s="9" t="s">
        <v>2</v>
      </c>
      <c r="D14" s="9" t="s">
        <v>3</v>
      </c>
      <c r="E14" s="9" t="s">
        <v>4</v>
      </c>
      <c r="F14" s="9" t="s">
        <v>5</v>
      </c>
      <c r="G14" s="9" t="s">
        <v>6</v>
      </c>
      <c r="H14" s="9" t="s">
        <v>7</v>
      </c>
    </row>
    <row r="15" spans="1:9" x14ac:dyDescent="0.25">
      <c r="A15" s="10">
        <v>43103</v>
      </c>
      <c r="B15" s="24" t="s">
        <v>14</v>
      </c>
      <c r="C15" s="28" t="s">
        <v>8</v>
      </c>
      <c r="D15" s="28">
        <v>5000</v>
      </c>
      <c r="E15" s="28">
        <v>484</v>
      </c>
      <c r="F15" s="28">
        <v>484</v>
      </c>
      <c r="G15" s="28">
        <v>0</v>
      </c>
      <c r="H15" s="28">
        <v>484</v>
      </c>
    </row>
    <row r="16" spans="1:9" x14ac:dyDescent="0.25">
      <c r="A16" s="10">
        <v>43118</v>
      </c>
      <c r="B16" s="11" t="s">
        <v>15</v>
      </c>
      <c r="C16" s="28">
        <f>34107.11+25513.56</f>
        <v>59620.67</v>
      </c>
      <c r="D16" s="28">
        <v>5000</v>
      </c>
      <c r="E16" s="28">
        <f>1815+291.07+1.82+203.1+4247.33</f>
        <v>6558.32</v>
      </c>
      <c r="F16" s="28">
        <f>C16-D16+E16</f>
        <v>61178.99</v>
      </c>
      <c r="G16" s="28">
        <v>0</v>
      </c>
      <c r="H16" s="28">
        <f t="shared" ref="H16:H22" si="1">F16+G16</f>
        <v>61178.99</v>
      </c>
      <c r="I16" s="3" t="s">
        <v>8</v>
      </c>
    </row>
    <row r="17" spans="1:10" x14ac:dyDescent="0.25">
      <c r="A17" s="10">
        <v>43132</v>
      </c>
      <c r="B17" s="16" t="s">
        <v>16</v>
      </c>
      <c r="C17" s="28">
        <v>0</v>
      </c>
      <c r="D17" s="28">
        <v>5000</v>
      </c>
      <c r="E17" s="28">
        <v>363</v>
      </c>
      <c r="F17" s="28">
        <v>363</v>
      </c>
      <c r="G17" s="28">
        <v>0</v>
      </c>
      <c r="H17" s="28">
        <f t="shared" si="1"/>
        <v>363</v>
      </c>
    </row>
    <row r="18" spans="1:10" x14ac:dyDescent="0.25">
      <c r="A18" s="15">
        <v>43245</v>
      </c>
      <c r="B18" s="22" t="s">
        <v>17</v>
      </c>
      <c r="C18" s="28">
        <v>8336.9</v>
      </c>
      <c r="D18" s="28">
        <v>5000</v>
      </c>
      <c r="E18" s="28">
        <f>33.37</f>
        <v>33.369999999999997</v>
      </c>
      <c r="F18" s="28">
        <f>C18-D18+E18</f>
        <v>3370.2699999999995</v>
      </c>
      <c r="G18" s="28">
        <v>0</v>
      </c>
      <c r="H18" s="28">
        <f t="shared" si="1"/>
        <v>3370.2699999999995</v>
      </c>
    </row>
    <row r="19" spans="1:10" x14ac:dyDescent="0.25">
      <c r="A19" s="15">
        <v>43382</v>
      </c>
      <c r="B19" s="22" t="s">
        <v>17</v>
      </c>
      <c r="C19" s="28">
        <v>17257.21</v>
      </c>
      <c r="D19" s="28">
        <v>5000</v>
      </c>
      <c r="E19" s="28">
        <f>1815+122.57+2.07</f>
        <v>1939.6399999999999</v>
      </c>
      <c r="F19" s="28">
        <f>C19-D19+E19</f>
        <v>14196.849999999999</v>
      </c>
      <c r="G19" s="28">
        <v>0</v>
      </c>
      <c r="H19" s="28">
        <f t="shared" si="1"/>
        <v>14196.849999999999</v>
      </c>
    </row>
    <row r="20" spans="1:10" x14ac:dyDescent="0.25">
      <c r="A20" s="15">
        <v>43101</v>
      </c>
      <c r="B20" s="24" t="s">
        <v>18</v>
      </c>
      <c r="C20" s="28">
        <v>12624.84</v>
      </c>
      <c r="D20" s="28">
        <v>5000</v>
      </c>
      <c r="E20" s="28">
        <f>484+76.25</f>
        <v>560.25</v>
      </c>
      <c r="F20" s="28">
        <f>C20-D20+E20</f>
        <v>8185.09</v>
      </c>
      <c r="G20" s="28">
        <v>0</v>
      </c>
      <c r="H20" s="28">
        <f t="shared" si="1"/>
        <v>8185.09</v>
      </c>
    </row>
    <row r="21" spans="1:10" x14ac:dyDescent="0.25">
      <c r="A21" s="15">
        <v>43416</v>
      </c>
      <c r="B21" s="25" t="s">
        <v>19</v>
      </c>
      <c r="C21" s="28">
        <v>11921</v>
      </c>
      <c r="D21" s="28">
        <v>5000</v>
      </c>
      <c r="E21" s="28">
        <f>69.21+0.79+484</f>
        <v>554</v>
      </c>
      <c r="F21" s="28">
        <f>C21-D21+E21</f>
        <v>7475</v>
      </c>
      <c r="G21" s="28">
        <v>0</v>
      </c>
      <c r="H21" s="28">
        <f t="shared" si="1"/>
        <v>7475</v>
      </c>
    </row>
    <row r="22" spans="1:10" ht="15.75" thickBot="1" x14ac:dyDescent="0.3">
      <c r="A22" s="15">
        <v>43447</v>
      </c>
      <c r="B22" s="25" t="s">
        <v>20</v>
      </c>
      <c r="C22" s="28">
        <v>5637.85</v>
      </c>
      <c r="D22" s="28">
        <v>5000</v>
      </c>
      <c r="E22" s="28">
        <f>6.38+0.77</f>
        <v>7.15</v>
      </c>
      <c r="F22" s="28">
        <f>C22-D22+E22</f>
        <v>645.00000000000034</v>
      </c>
      <c r="G22" s="28">
        <v>0</v>
      </c>
      <c r="H22" s="28">
        <f t="shared" si="1"/>
        <v>645.00000000000034</v>
      </c>
    </row>
    <row r="23" spans="1:10" ht="15.75" thickBot="1" x14ac:dyDescent="0.3">
      <c r="A23" s="27" t="s">
        <v>7</v>
      </c>
      <c r="B23" s="26"/>
      <c r="C23" s="30">
        <f t="shared" ref="C23:H23" si="2">SUM(C15:C22)</f>
        <v>115398.47</v>
      </c>
      <c r="D23" s="30">
        <f t="shared" si="2"/>
        <v>40000</v>
      </c>
      <c r="E23" s="30">
        <f t="shared" si="2"/>
        <v>10499.73</v>
      </c>
      <c r="F23" s="30">
        <f t="shared" si="2"/>
        <v>95898.199999999983</v>
      </c>
      <c r="G23" s="30">
        <f t="shared" si="2"/>
        <v>0</v>
      </c>
      <c r="H23" s="31">
        <f t="shared" si="2"/>
        <v>95898.199999999983</v>
      </c>
      <c r="J23" s="32" t="s">
        <v>8</v>
      </c>
    </row>
    <row r="25" spans="1:10" x14ac:dyDescent="0.25">
      <c r="A25" s="38">
        <v>2019</v>
      </c>
    </row>
    <row r="26" spans="1:10" x14ac:dyDescent="0.25">
      <c r="A26" s="7" t="s">
        <v>0</v>
      </c>
      <c r="B26" s="8" t="s">
        <v>1</v>
      </c>
      <c r="C26" s="9" t="s">
        <v>2</v>
      </c>
      <c r="D26" s="9" t="s">
        <v>3</v>
      </c>
      <c r="E26" s="9" t="s">
        <v>4</v>
      </c>
      <c r="F26" s="9" t="s">
        <v>5</v>
      </c>
      <c r="G26" s="9" t="s">
        <v>6</v>
      </c>
      <c r="H26" s="9" t="s">
        <v>7</v>
      </c>
    </row>
    <row r="27" spans="1:10" x14ac:dyDescent="0.25">
      <c r="A27" s="10">
        <v>43623</v>
      </c>
      <c r="B27" s="11" t="s">
        <v>21</v>
      </c>
      <c r="C27" s="28">
        <v>10484.81</v>
      </c>
      <c r="D27" s="28">
        <v>5000</v>
      </c>
      <c r="E27" s="28">
        <f>484+54.82+1.37</f>
        <v>540.19000000000005</v>
      </c>
      <c r="F27" s="28">
        <f>C27-D27+E27</f>
        <v>6025</v>
      </c>
      <c r="G27" s="28">
        <v>0</v>
      </c>
      <c r="H27" s="28">
        <f>F27+G27</f>
        <v>6025</v>
      </c>
    </row>
    <row r="28" spans="1:10" ht="15.75" thickBot="1" x14ac:dyDescent="0.3">
      <c r="A28" s="12">
        <v>43752</v>
      </c>
      <c r="B28" s="13" t="s">
        <v>22</v>
      </c>
      <c r="C28" s="29">
        <v>7182.32</v>
      </c>
      <c r="D28" s="29">
        <v>5000</v>
      </c>
      <c r="E28" s="29">
        <f>21.82+0.86</f>
        <v>22.68</v>
      </c>
      <c r="F28" s="29">
        <f>C28-D28+E28</f>
        <v>2204.9999999999995</v>
      </c>
      <c r="G28" s="29"/>
      <c r="H28" s="29">
        <f>F28</f>
        <v>2204.9999999999995</v>
      </c>
    </row>
    <row r="29" spans="1:10" ht="15.75" thickBot="1" x14ac:dyDescent="0.3">
      <c r="A29" s="14" t="s">
        <v>7</v>
      </c>
      <c r="B29" s="26"/>
      <c r="C29" s="36">
        <f>SUM(C27:C28)</f>
        <v>17667.129999999997</v>
      </c>
      <c r="D29" s="36">
        <f>SUM(D27:D28)</f>
        <v>10000</v>
      </c>
      <c r="E29" s="36">
        <f>SUM(E27:E28)</f>
        <v>562.87</v>
      </c>
      <c r="F29" s="36">
        <f>SUM(F27:F28)</f>
        <v>8230</v>
      </c>
      <c r="G29" s="36">
        <f>SUM(G27:G28)</f>
        <v>0</v>
      </c>
      <c r="H29" s="37">
        <f>SUM(H27:H28)</f>
        <v>8230</v>
      </c>
    </row>
    <row r="31" spans="1:10" x14ac:dyDescent="0.25">
      <c r="A31" s="38">
        <v>2020</v>
      </c>
    </row>
    <row r="32" spans="1:10" x14ac:dyDescent="0.25">
      <c r="A32" s="7" t="s">
        <v>0</v>
      </c>
      <c r="B32" s="8" t="s">
        <v>1</v>
      </c>
      <c r="C32" s="9" t="s">
        <v>2</v>
      </c>
      <c r="D32" s="9" t="s">
        <v>3</v>
      </c>
      <c r="E32" s="9" t="s">
        <v>4</v>
      </c>
      <c r="F32" s="9" t="s">
        <v>5</v>
      </c>
      <c r="G32" s="9" t="s">
        <v>6</v>
      </c>
      <c r="H32" s="9" t="s">
        <v>7</v>
      </c>
    </row>
    <row r="33" spans="1:9" x14ac:dyDescent="0.25">
      <c r="A33" s="10">
        <v>44061</v>
      </c>
      <c r="B33" s="11" t="s">
        <v>23</v>
      </c>
      <c r="C33" s="28">
        <v>6406.92</v>
      </c>
      <c r="D33" s="28">
        <v>5000</v>
      </c>
      <c r="E33" s="28">
        <f>1029.29+14.07+1.72</f>
        <v>1045.08</v>
      </c>
      <c r="F33" s="28">
        <f>+C33-D33+E33</f>
        <v>2452</v>
      </c>
      <c r="G33" s="28">
        <v>0</v>
      </c>
      <c r="H33" s="28">
        <f>+F33+G33</f>
        <v>2452</v>
      </c>
    </row>
    <row r="34" spans="1:9" x14ac:dyDescent="0.25">
      <c r="A34" s="10">
        <v>44083</v>
      </c>
      <c r="B34" s="16" t="s">
        <v>24</v>
      </c>
      <c r="C34" s="28">
        <v>0</v>
      </c>
      <c r="D34" s="28">
        <v>5000</v>
      </c>
      <c r="E34" s="28">
        <v>0</v>
      </c>
      <c r="F34" s="28">
        <v>0</v>
      </c>
      <c r="G34" s="28">
        <v>0</v>
      </c>
      <c r="H34" s="28">
        <f>F34+G34</f>
        <v>0</v>
      </c>
      <c r="I34" s="3" t="s">
        <v>8</v>
      </c>
    </row>
    <row r="35" spans="1:9" ht="15.75" thickBot="1" x14ac:dyDescent="0.3">
      <c r="A35" s="12">
        <v>44168</v>
      </c>
      <c r="B35" s="17" t="s">
        <v>25</v>
      </c>
      <c r="C35" s="29">
        <v>5754.1</v>
      </c>
      <c r="D35" s="29">
        <v>5000</v>
      </c>
      <c r="E35" s="29">
        <f>762.51+7.54+1.85</f>
        <v>771.9</v>
      </c>
      <c r="F35" s="29">
        <f>+C35-D35+E35</f>
        <v>1526.0000000000005</v>
      </c>
      <c r="G35" s="29">
        <v>0</v>
      </c>
      <c r="H35" s="29">
        <f>+F35+G35</f>
        <v>1526.0000000000005</v>
      </c>
    </row>
    <row r="36" spans="1:9" ht="15.75" thickBot="1" x14ac:dyDescent="0.3">
      <c r="A36" s="14" t="s">
        <v>7</v>
      </c>
      <c r="B36" s="20"/>
      <c r="C36" s="30">
        <f>SUM(C33:C35)</f>
        <v>12161.02</v>
      </c>
      <c r="D36" s="30">
        <f>SUM(D33:D35)</f>
        <v>15000</v>
      </c>
      <c r="E36" s="30">
        <f>SUM(E33:E35)</f>
        <v>1816.98</v>
      </c>
      <c r="F36" s="30">
        <f>SUM(F33:F35)</f>
        <v>3978.0000000000005</v>
      </c>
      <c r="G36" s="30">
        <f>SUM(G33:G35)</f>
        <v>0</v>
      </c>
      <c r="H36" s="31">
        <f>SUM(H33:H35)</f>
        <v>3978.0000000000005</v>
      </c>
    </row>
    <row r="38" spans="1:9" x14ac:dyDescent="0.25">
      <c r="A38" s="19">
        <v>2021</v>
      </c>
    </row>
    <row r="39" spans="1:9" x14ac:dyDescent="0.25">
      <c r="A39" s="7" t="s">
        <v>0</v>
      </c>
      <c r="B39" s="8" t="s">
        <v>1</v>
      </c>
      <c r="C39" s="9" t="s">
        <v>2</v>
      </c>
      <c r="D39" s="9" t="s">
        <v>3</v>
      </c>
      <c r="E39" s="9" t="s">
        <v>4</v>
      </c>
      <c r="F39" s="9" t="s">
        <v>5</v>
      </c>
      <c r="G39" s="9" t="s">
        <v>6</v>
      </c>
      <c r="H39" s="9" t="s">
        <v>7</v>
      </c>
    </row>
    <row r="40" spans="1:9" x14ac:dyDescent="0.25">
      <c r="A40" s="10">
        <v>44326</v>
      </c>
      <c r="B40" s="24" t="s">
        <v>26</v>
      </c>
      <c r="C40" s="28">
        <f>11742.85+11434.5+1143.45</f>
        <v>24320.799999999999</v>
      </c>
      <c r="D40" s="28">
        <v>5000</v>
      </c>
      <c r="E40" s="28">
        <f>1491.66+67.43+114.35+1.15+11.43</f>
        <v>1686.0200000000002</v>
      </c>
      <c r="F40" s="28">
        <f t="shared" ref="F40:F45" si="3">C40-D40+E40</f>
        <v>21006.82</v>
      </c>
      <c r="G40" s="28">
        <v>0</v>
      </c>
      <c r="H40" s="28">
        <f>F40+G40</f>
        <v>21006.82</v>
      </c>
      <c r="I40" s="3" t="s">
        <v>8</v>
      </c>
    </row>
    <row r="41" spans="1:9" x14ac:dyDescent="0.25">
      <c r="A41" s="10">
        <v>44301</v>
      </c>
      <c r="B41" s="11" t="s">
        <v>27</v>
      </c>
      <c r="C41" s="28">
        <v>10335.15</v>
      </c>
      <c r="D41" s="28">
        <v>5000</v>
      </c>
      <c r="E41" s="28">
        <f>740.7+0.8+53.35+2021.38</f>
        <v>2816.23</v>
      </c>
      <c r="F41" s="28">
        <f t="shared" si="3"/>
        <v>8151.3799999999992</v>
      </c>
      <c r="G41" s="28">
        <v>0</v>
      </c>
      <c r="H41" s="28">
        <f>F41+G41</f>
        <v>8151.3799999999992</v>
      </c>
    </row>
    <row r="42" spans="1:9" x14ac:dyDescent="0.25">
      <c r="A42" s="10">
        <v>44442</v>
      </c>
      <c r="B42" s="11" t="s">
        <v>28</v>
      </c>
      <c r="C42" s="28">
        <v>7560.91</v>
      </c>
      <c r="D42" s="28">
        <v>5000</v>
      </c>
      <c r="E42" s="28">
        <f>1158.19+25.61</f>
        <v>1183.8</v>
      </c>
      <c r="F42" s="28">
        <f t="shared" si="3"/>
        <v>3744.71</v>
      </c>
      <c r="G42" s="28" t="s">
        <v>8</v>
      </c>
      <c r="H42" s="28">
        <f>F42-2560.91</f>
        <v>1183.8000000000002</v>
      </c>
      <c r="I42" s="3" t="s">
        <v>9</v>
      </c>
    </row>
    <row r="43" spans="1:9" x14ac:dyDescent="0.25">
      <c r="A43" s="10">
        <v>44280</v>
      </c>
      <c r="B43" s="16" t="s">
        <v>29</v>
      </c>
      <c r="C43" s="28">
        <v>23304.48</v>
      </c>
      <c r="D43" s="28">
        <v>5000</v>
      </c>
      <c r="E43" s="28">
        <f>381.57+183.04+0.91</f>
        <v>565.52</v>
      </c>
      <c r="F43" s="28">
        <f t="shared" si="3"/>
        <v>18870</v>
      </c>
      <c r="G43" s="28">
        <v>0</v>
      </c>
      <c r="H43" s="28">
        <f>F43+G43</f>
        <v>18870</v>
      </c>
    </row>
    <row r="44" spans="1:9" x14ac:dyDescent="0.25">
      <c r="A44" s="10">
        <v>44317</v>
      </c>
      <c r="B44" s="16" t="s">
        <v>30</v>
      </c>
      <c r="C44" s="28">
        <v>47838.239999999998</v>
      </c>
      <c r="D44" s="28">
        <v>5000</v>
      </c>
      <c r="E44" s="28">
        <f>428.38+381.57</f>
        <v>809.95</v>
      </c>
      <c r="F44" s="28">
        <f t="shared" si="3"/>
        <v>43648.189999999995</v>
      </c>
      <c r="G44" s="28">
        <v>0</v>
      </c>
      <c r="H44" s="28">
        <f>F44+G44</f>
        <v>43648.189999999995</v>
      </c>
    </row>
    <row r="45" spans="1:9" ht="15.75" thickBot="1" x14ac:dyDescent="0.3">
      <c r="A45" s="10">
        <v>44216</v>
      </c>
      <c r="B45" s="16" t="s">
        <v>31</v>
      </c>
      <c r="C45" s="28">
        <v>5968</v>
      </c>
      <c r="D45" s="28">
        <v>5000</v>
      </c>
      <c r="E45" s="28">
        <v>9.68</v>
      </c>
      <c r="F45" s="28">
        <f t="shared" si="3"/>
        <v>977.68</v>
      </c>
      <c r="G45" s="28">
        <v>0</v>
      </c>
      <c r="H45" s="28">
        <f>F45+G45</f>
        <v>977.68</v>
      </c>
    </row>
    <row r="46" spans="1:9" ht="15.75" thickBot="1" x14ac:dyDescent="0.3">
      <c r="A46" s="27" t="s">
        <v>7</v>
      </c>
      <c r="B46" s="26"/>
      <c r="C46" s="30">
        <f>SUM(C40:C45)</f>
        <v>119327.57999999999</v>
      </c>
      <c r="D46" s="30">
        <f>SUM(D40:D45)</f>
        <v>30000</v>
      </c>
      <c r="E46" s="30">
        <f>SUM(E40:E45)</f>
        <v>7071.2</v>
      </c>
      <c r="F46" s="30">
        <f>SUM(F40:F45)</f>
        <v>96398.779999999984</v>
      </c>
      <c r="G46" s="30">
        <f>SUM(G40:G45)</f>
        <v>0</v>
      </c>
      <c r="H46" s="31">
        <f>SUM(H40:H45)</f>
        <v>93837.87</v>
      </c>
    </row>
    <row r="48" spans="1:9" x14ac:dyDescent="0.25">
      <c r="A48" s="19">
        <v>2022</v>
      </c>
    </row>
    <row r="49" spans="1:9" x14ac:dyDescent="0.25">
      <c r="A49" s="7" t="s">
        <v>0</v>
      </c>
      <c r="B49" s="8" t="s">
        <v>1</v>
      </c>
      <c r="C49" s="9" t="s">
        <v>2</v>
      </c>
      <c r="D49" s="9" t="s">
        <v>3</v>
      </c>
      <c r="E49" s="9" t="s">
        <v>4</v>
      </c>
      <c r="F49" s="9" t="s">
        <v>5</v>
      </c>
      <c r="G49" s="9" t="s">
        <v>6</v>
      </c>
      <c r="H49" s="9" t="s">
        <v>7</v>
      </c>
    </row>
    <row r="50" spans="1:9" x14ac:dyDescent="0.25">
      <c r="A50" s="10">
        <v>44619</v>
      </c>
      <c r="B50" s="11" t="s">
        <v>32</v>
      </c>
      <c r="C50" s="28">
        <v>717770.16</v>
      </c>
      <c r="D50" s="28">
        <v>5000</v>
      </c>
      <c r="E50" s="28">
        <f>3236+950+2672.16+1985.46+2486.32+4177.7+8503.5</f>
        <v>24011.14</v>
      </c>
      <c r="F50" s="28">
        <f>C50-D50+E50</f>
        <v>736781.3</v>
      </c>
      <c r="G50" s="28">
        <f>C50-D50+E50-F50</f>
        <v>0</v>
      </c>
      <c r="H50" s="28">
        <f>F50+G50</f>
        <v>736781.3</v>
      </c>
      <c r="I50" s="33" t="s">
        <v>8</v>
      </c>
    </row>
    <row r="51" spans="1:9" x14ac:dyDescent="0.25">
      <c r="A51" s="10">
        <v>44610</v>
      </c>
      <c r="B51" s="16" t="s">
        <v>10</v>
      </c>
      <c r="C51" s="28">
        <v>17361.150000000001</v>
      </c>
      <c r="D51" s="28">
        <v>5000</v>
      </c>
      <c r="E51" s="28">
        <v>123.61</v>
      </c>
      <c r="F51" s="28">
        <f>C51-D51+E51</f>
        <v>12484.760000000002</v>
      </c>
      <c r="G51" s="28">
        <v>0</v>
      </c>
      <c r="H51" s="28">
        <f>F51+G51</f>
        <v>12484.760000000002</v>
      </c>
      <c r="I51" s="3" t="s">
        <v>8</v>
      </c>
    </row>
    <row r="52" spans="1:9" x14ac:dyDescent="0.25">
      <c r="A52" s="10">
        <v>44682</v>
      </c>
      <c r="B52" s="16" t="s">
        <v>33</v>
      </c>
      <c r="C52" s="28">
        <v>10554.09</v>
      </c>
      <c r="D52" s="28">
        <v>5000</v>
      </c>
      <c r="E52" s="28">
        <f>55.54+0.37</f>
        <v>55.91</v>
      </c>
      <c r="F52" s="28">
        <f>C52-D52+E52</f>
        <v>5610</v>
      </c>
      <c r="G52" s="28">
        <v>0</v>
      </c>
      <c r="H52" s="28">
        <f>F52+G52</f>
        <v>5610</v>
      </c>
      <c r="I52" s="3" t="s">
        <v>8</v>
      </c>
    </row>
    <row r="53" spans="1:9" x14ac:dyDescent="0.25">
      <c r="A53" s="10">
        <v>44824</v>
      </c>
      <c r="B53" s="16" t="s">
        <v>34</v>
      </c>
      <c r="C53" s="28">
        <v>29309.81</v>
      </c>
      <c r="D53" s="28">
        <v>5000</v>
      </c>
      <c r="E53" s="28">
        <f>2486.32+761.86+243.1+0.23</f>
        <v>3491.51</v>
      </c>
      <c r="F53" s="28">
        <f>C53+D53+E53</f>
        <v>37801.32</v>
      </c>
      <c r="G53" s="28">
        <v>0</v>
      </c>
      <c r="H53" s="28">
        <f>F53+G53</f>
        <v>37801.32</v>
      </c>
      <c r="I53" s="3" t="s">
        <v>8</v>
      </c>
    </row>
    <row r="54" spans="1:9" ht="15.75" thickBot="1" x14ac:dyDescent="0.3">
      <c r="A54" s="10">
        <v>44910</v>
      </c>
      <c r="B54" s="16" t="s">
        <v>35</v>
      </c>
      <c r="C54" s="28">
        <v>8691.31</v>
      </c>
      <c r="D54" s="28">
        <v>5000</v>
      </c>
      <c r="E54" s="28">
        <v>0</v>
      </c>
      <c r="F54" s="28">
        <f>C54-D54</f>
        <v>3691.3099999999995</v>
      </c>
      <c r="G54" s="28">
        <v>0</v>
      </c>
      <c r="H54" s="28">
        <f>F54+G54</f>
        <v>3691.3099999999995</v>
      </c>
      <c r="I54" s="33" t="s">
        <v>8</v>
      </c>
    </row>
    <row r="55" spans="1:9" ht="15.75" thickBot="1" x14ac:dyDescent="0.3">
      <c r="A55" s="27" t="s">
        <v>7</v>
      </c>
      <c r="B55" s="26"/>
      <c r="C55" s="30">
        <f>SUM(C50:C54)</f>
        <v>783686.52000000014</v>
      </c>
      <c r="D55" s="30">
        <f>SUM(D50:D54)</f>
        <v>25000</v>
      </c>
      <c r="E55" s="30">
        <f>SUM(E50:E54)</f>
        <v>27682.17</v>
      </c>
      <c r="F55" s="30">
        <f>SUM(F50:F53)</f>
        <v>792677.38</v>
      </c>
      <c r="G55" s="30">
        <f>SUM(G50:G54)</f>
        <v>0</v>
      </c>
      <c r="H55" s="31">
        <f>SUM(H50:H54)</f>
        <v>796368.69000000006</v>
      </c>
    </row>
    <row r="57" spans="1:9" x14ac:dyDescent="0.25">
      <c r="A57" s="19">
        <v>2023</v>
      </c>
    </row>
    <row r="58" spans="1:9" x14ac:dyDescent="0.25">
      <c r="A58" s="7" t="s">
        <v>0</v>
      </c>
      <c r="B58" s="8" t="s">
        <v>1</v>
      </c>
      <c r="C58" s="9" t="s">
        <v>2</v>
      </c>
      <c r="D58" s="9" t="s">
        <v>3</v>
      </c>
      <c r="E58" s="9" t="s">
        <v>4</v>
      </c>
      <c r="F58" s="9" t="s">
        <v>5</v>
      </c>
      <c r="G58" s="9" t="s">
        <v>6</v>
      </c>
      <c r="H58" s="9" t="s">
        <v>7</v>
      </c>
    </row>
    <row r="59" spans="1:9" x14ac:dyDescent="0.25">
      <c r="A59" s="10">
        <v>44995</v>
      </c>
      <c r="B59" s="11" t="s">
        <v>36</v>
      </c>
      <c r="C59" s="28">
        <v>7448.52</v>
      </c>
      <c r="D59" s="28">
        <v>5000</v>
      </c>
      <c r="E59" s="28">
        <f>39.2+872.68</f>
        <v>911.88</v>
      </c>
      <c r="F59" s="28">
        <f>C59-D59+E59</f>
        <v>3360.4000000000005</v>
      </c>
      <c r="G59" s="28">
        <v>0</v>
      </c>
      <c r="H59" s="28">
        <v>911.88</v>
      </c>
      <c r="I59" t="s">
        <v>9</v>
      </c>
    </row>
    <row r="60" spans="1:9" x14ac:dyDescent="0.25">
      <c r="A60" s="10">
        <v>45116</v>
      </c>
      <c r="B60" s="11" t="s">
        <v>37</v>
      </c>
      <c r="C60" s="28">
        <f>70001.22+3495</f>
        <v>73496.22</v>
      </c>
      <c r="D60" s="28">
        <v>10000</v>
      </c>
      <c r="E60" s="28">
        <f>4908+4314.28+600.01+34.95</f>
        <v>9857.24</v>
      </c>
      <c r="F60" s="28">
        <f>C60-D60+E60</f>
        <v>73353.460000000006</v>
      </c>
      <c r="G60" s="28">
        <v>0</v>
      </c>
      <c r="H60" s="28">
        <f>F60-G60</f>
        <v>73353.460000000006</v>
      </c>
      <c r="I60" s="33" t="s">
        <v>8</v>
      </c>
    </row>
    <row r="61" spans="1:9" x14ac:dyDescent="0.25">
      <c r="A61" s="10">
        <v>45078</v>
      </c>
      <c r="B61" s="16" t="s">
        <v>38</v>
      </c>
      <c r="C61" s="28">
        <v>9902.4</v>
      </c>
      <c r="D61" s="28">
        <v>5000</v>
      </c>
      <c r="E61" s="28">
        <f>49.02+1174.22</f>
        <v>1223.24</v>
      </c>
      <c r="F61" s="28">
        <f>C61-D61+E61</f>
        <v>6125.6399999999994</v>
      </c>
      <c r="G61" s="28">
        <v>0</v>
      </c>
      <c r="H61" s="28">
        <f>F61+G61</f>
        <v>6125.6399999999994</v>
      </c>
      <c r="I61" s="33" t="s">
        <v>8</v>
      </c>
    </row>
    <row r="62" spans="1:9" x14ac:dyDescent="0.25">
      <c r="A62" s="10">
        <v>45047</v>
      </c>
      <c r="B62" s="16" t="s">
        <v>39</v>
      </c>
      <c r="C62" s="28">
        <v>5914.61</v>
      </c>
      <c r="D62" s="28">
        <v>5000</v>
      </c>
      <c r="E62" s="28">
        <v>9.15</v>
      </c>
      <c r="F62" s="28">
        <f>C62-D62+E62</f>
        <v>923.75999999999965</v>
      </c>
      <c r="G62" s="28">
        <v>0</v>
      </c>
      <c r="H62" s="28">
        <f>F62+G62</f>
        <v>923.75999999999965</v>
      </c>
      <c r="I62" s="3" t="s">
        <v>8</v>
      </c>
    </row>
    <row r="63" spans="1:9" ht="15.75" thickBot="1" x14ac:dyDescent="0.3">
      <c r="A63" s="10">
        <v>45287</v>
      </c>
      <c r="B63" s="16" t="s">
        <v>40</v>
      </c>
      <c r="C63" s="28">
        <f>125000+32916.62</f>
        <v>157916.62</v>
      </c>
      <c r="D63" s="28">
        <v>5000</v>
      </c>
      <c r="E63" s="28">
        <f>6161.61+5842.88+1616.08+279.17</f>
        <v>13899.74</v>
      </c>
      <c r="F63" s="28">
        <v>27916.62</v>
      </c>
      <c r="G63" s="28">
        <f>C63-D63+E63-F63</f>
        <v>138899.74</v>
      </c>
      <c r="H63" s="28">
        <f>E63+F63+G63</f>
        <v>180716.09999999998</v>
      </c>
      <c r="I63" s="3" t="s">
        <v>8</v>
      </c>
    </row>
    <row r="64" spans="1:9" ht="15.75" thickBot="1" x14ac:dyDescent="0.3">
      <c r="A64" s="27" t="s">
        <v>7</v>
      </c>
      <c r="B64" s="26"/>
      <c r="C64" s="30">
        <f>SUM(C59:C63)</f>
        <v>254678.37</v>
      </c>
      <c r="D64" s="30">
        <f>SUM(D59:D63)</f>
        <v>30000</v>
      </c>
      <c r="E64" s="30">
        <f>SUM(E60:E63)</f>
        <v>24989.37</v>
      </c>
      <c r="F64" s="30">
        <f>SUM(F60:F62)</f>
        <v>80402.86</v>
      </c>
      <c r="G64" s="30">
        <f>SUM(G60:G63)</f>
        <v>138899.74</v>
      </c>
      <c r="H64" s="31">
        <f>SUM(H60:H63)</f>
        <v>261118.95999999996</v>
      </c>
      <c r="I64" s="3" t="s">
        <v>8</v>
      </c>
    </row>
    <row r="65" spans="1:9" x14ac:dyDescent="0.25">
      <c r="I65" s="3" t="s">
        <v>8</v>
      </c>
    </row>
    <row r="66" spans="1:9" x14ac:dyDescent="0.25">
      <c r="A66" s="19">
        <v>2024</v>
      </c>
      <c r="I66" s="3" t="s">
        <v>8</v>
      </c>
    </row>
    <row r="67" spans="1:9" x14ac:dyDescent="0.25">
      <c r="A67" s="7" t="s">
        <v>0</v>
      </c>
      <c r="B67" s="8" t="s">
        <v>1</v>
      </c>
      <c r="C67" s="9" t="s">
        <v>2</v>
      </c>
      <c r="D67" s="9" t="s">
        <v>3</v>
      </c>
      <c r="E67" s="9" t="s">
        <v>4</v>
      </c>
      <c r="F67" s="9" t="s">
        <v>5</v>
      </c>
      <c r="G67" s="9" t="s">
        <v>6</v>
      </c>
      <c r="H67" s="9" t="s">
        <v>7</v>
      </c>
      <c r="I67" s="3" t="s">
        <v>8</v>
      </c>
    </row>
    <row r="68" spans="1:9" x14ac:dyDescent="0.25">
      <c r="A68" s="10">
        <v>45358</v>
      </c>
      <c r="B68" s="11" t="s">
        <v>41</v>
      </c>
      <c r="C68" s="28">
        <v>219706.32</v>
      </c>
      <c r="D68" s="28">
        <v>5000</v>
      </c>
      <c r="E68" s="28">
        <f>2147.06+1.91+9361.31+4119.71</f>
        <v>15629.989999999998</v>
      </c>
      <c r="F68" s="28">
        <v>9361.31</v>
      </c>
      <c r="G68" s="28">
        <f>C68-D68+E68</f>
        <v>230336.31</v>
      </c>
      <c r="H68" s="28">
        <f>F68+G68</f>
        <v>239697.62</v>
      </c>
      <c r="I68" s="33" t="s">
        <v>8</v>
      </c>
    </row>
    <row r="69" spans="1:9" x14ac:dyDescent="0.25">
      <c r="A69" s="10">
        <v>45300</v>
      </c>
      <c r="B69" s="11" t="s">
        <v>42</v>
      </c>
      <c r="C69" s="28">
        <v>10211.57</v>
      </c>
      <c r="D69" s="28">
        <v>5000</v>
      </c>
      <c r="E69" s="28">
        <f>52.12+1319.8</f>
        <v>1371.9199999999998</v>
      </c>
      <c r="F69" s="28">
        <f>C69-D69+E69</f>
        <v>6583.49</v>
      </c>
      <c r="G69" s="28">
        <v>0</v>
      </c>
      <c r="H69" s="28">
        <f>F69-G69</f>
        <v>6583.49</v>
      </c>
      <c r="I69" s="33" t="s">
        <v>8</v>
      </c>
    </row>
    <row r="70" spans="1:9" x14ac:dyDescent="0.25">
      <c r="A70" s="10">
        <v>45515</v>
      </c>
      <c r="B70" s="16" t="s">
        <v>43</v>
      </c>
      <c r="C70" s="28">
        <v>120000</v>
      </c>
      <c r="D70" s="28">
        <v>5000</v>
      </c>
      <c r="E70" s="28">
        <v>7500</v>
      </c>
      <c r="F70" s="28">
        <v>0</v>
      </c>
      <c r="G70" s="28">
        <f>C70-D70+E70</f>
        <v>122500</v>
      </c>
      <c r="H70" s="28">
        <f>F70+G70</f>
        <v>122500</v>
      </c>
      <c r="I70" s="3" t="s">
        <v>8</v>
      </c>
    </row>
    <row r="71" spans="1:9" ht="15.75" thickBot="1" x14ac:dyDescent="0.3">
      <c r="A71" s="12"/>
      <c r="B71" s="17"/>
      <c r="C71" s="29"/>
      <c r="D71" s="29"/>
      <c r="E71" s="29"/>
      <c r="F71" s="29"/>
      <c r="G71" s="29"/>
      <c r="H71" s="29"/>
      <c r="I71" s="3" t="s">
        <v>8</v>
      </c>
    </row>
    <row r="72" spans="1:9" ht="15.75" thickBot="1" x14ac:dyDescent="0.3">
      <c r="A72" s="27" t="s">
        <v>7</v>
      </c>
      <c r="B72" s="39"/>
      <c r="C72" s="40">
        <f>SUM(C68:C71)</f>
        <v>349917.89</v>
      </c>
      <c r="D72" s="40">
        <f>SUM(D68:D71)</f>
        <v>15000</v>
      </c>
      <c r="E72" s="40">
        <f>SUM(E68:E71)</f>
        <v>24501.909999999996</v>
      </c>
      <c r="F72" s="40">
        <f>SUM(F68:F71)</f>
        <v>15944.8</v>
      </c>
      <c r="G72" s="40">
        <f>SUM(G68:G71)</f>
        <v>352836.31</v>
      </c>
      <c r="H72" s="40">
        <f>SUM(H68:H71)</f>
        <v>368781.11</v>
      </c>
    </row>
    <row r="75" spans="1:9" ht="15.75" thickBot="1" x14ac:dyDescent="0.3"/>
    <row r="76" spans="1:9" x14ac:dyDescent="0.25">
      <c r="B76" s="44"/>
      <c r="C76" s="41" t="s">
        <v>2</v>
      </c>
      <c r="D76" s="41" t="s">
        <v>3</v>
      </c>
      <c r="E76" s="41" t="s">
        <v>4</v>
      </c>
      <c r="F76" s="41" t="s">
        <v>5</v>
      </c>
      <c r="G76" s="41" t="s">
        <v>6</v>
      </c>
      <c r="H76" s="42" t="s">
        <v>7</v>
      </c>
    </row>
    <row r="77" spans="1:9" x14ac:dyDescent="0.25">
      <c r="B77" s="45" t="s">
        <v>49</v>
      </c>
      <c r="C77" s="43">
        <f>C11+C23+C29+C36+C46+C55+C64+C72</f>
        <v>1659841.7100000004</v>
      </c>
      <c r="D77" s="43">
        <f>D11+D23+D29+D36+D46+D55+D64+D72</f>
        <v>180000</v>
      </c>
      <c r="E77" s="43">
        <f>E11+E23+E29+E36+E46+E55+E64+E72</f>
        <v>97871.5</v>
      </c>
      <c r="F77" s="43">
        <f>F11+F23+F29+F36+F46+F55+F64+F72</f>
        <v>1096282.02</v>
      </c>
      <c r="G77" s="43">
        <f>G11+G23+G29+G36+G46+G55+G64+G72</f>
        <v>491736.05</v>
      </c>
      <c r="H77" s="46">
        <f>H11+H23+H29+H36+H46+H55+H64+H72</f>
        <v>1630964.83</v>
      </c>
    </row>
    <row r="78" spans="1:9" x14ac:dyDescent="0.25">
      <c r="B78" s="45" t="s">
        <v>48</v>
      </c>
      <c r="C78" s="43">
        <f>C77/8</f>
        <v>207480.21375000005</v>
      </c>
      <c r="D78" s="43">
        <f>D77/8</f>
        <v>22500</v>
      </c>
      <c r="E78" s="43">
        <f>E77/8</f>
        <v>12233.9375</v>
      </c>
      <c r="F78" s="43">
        <f>F77/8</f>
        <v>137035.2525</v>
      </c>
      <c r="G78" s="43">
        <f>G77/8</f>
        <v>61467.006249999999</v>
      </c>
      <c r="H78" s="46">
        <f>H77/8</f>
        <v>203870.60375000001</v>
      </c>
    </row>
    <row r="79" spans="1:9" ht="15.75" thickBot="1" x14ac:dyDescent="0.3">
      <c r="B79" s="47"/>
      <c r="C79" s="48"/>
      <c r="D79" s="48"/>
      <c r="E79" s="48"/>
      <c r="F79" s="48"/>
      <c r="G79" s="48"/>
      <c r="H79" s="49"/>
    </row>
    <row r="81" spans="8:8" x14ac:dyDescent="0.25">
      <c r="H81" s="2" t="s">
        <v>8</v>
      </c>
    </row>
    <row r="82" spans="8:8" x14ac:dyDescent="0.25">
      <c r="H82" s="2" t="s">
        <v>8</v>
      </c>
    </row>
    <row r="83" spans="8:8" x14ac:dyDescent="0.25">
      <c r="H83" s="2" t="s">
        <v>8</v>
      </c>
    </row>
  </sheetData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2024-09-05T12:55:43Z</dcterms:created>
  <dcterms:modified xsi:type="dcterms:W3CDTF">2024-09-05T13:06:12Z</dcterms:modified>
</cp:coreProperties>
</file>