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oetermeer\02) Brand\04) Definitieve aanbestedingsstukken\"/>
    </mc:Choice>
  </mc:AlternateContent>
  <bookViews>
    <workbookView xWindow="0" yWindow="0" windowWidth="28800" windowHeight="12300"/>
  </bookViews>
  <sheets>
    <sheet name="Eigendommen" sheetId="1" r:id="rId1"/>
    <sheet name="Onderwij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G85" i="1" l="1"/>
  <c r="F85" i="1"/>
  <c r="E85" i="1"/>
  <c r="E86" i="1" s="1"/>
  <c r="D85" i="1"/>
  <c r="C85" i="1"/>
  <c r="C86" i="1" s="1"/>
  <c r="F86" i="1"/>
  <c r="G86" i="1"/>
  <c r="D86" i="1"/>
  <c r="H81" i="1"/>
  <c r="H85" i="1" s="1"/>
  <c r="H86" i="1" s="1"/>
  <c r="G81" i="1"/>
  <c r="F81" i="1"/>
  <c r="E81" i="1"/>
  <c r="D81" i="1"/>
  <c r="C81" i="1"/>
  <c r="I75" i="1"/>
  <c r="H75" i="1"/>
  <c r="G75" i="1"/>
  <c r="F75" i="1"/>
  <c r="E75" i="1"/>
  <c r="D75" i="1"/>
  <c r="C75" i="1"/>
  <c r="I70" i="1"/>
  <c r="H70" i="1"/>
  <c r="G70" i="1"/>
  <c r="F70" i="1"/>
  <c r="E70" i="1"/>
  <c r="D70" i="1"/>
  <c r="C70" i="1"/>
  <c r="I62" i="1"/>
  <c r="H62" i="1"/>
  <c r="G62" i="1"/>
  <c r="F62" i="1"/>
  <c r="E62" i="1"/>
  <c r="D62" i="1"/>
  <c r="C62" i="1"/>
  <c r="I57" i="1"/>
  <c r="H57" i="1"/>
  <c r="G57" i="1"/>
  <c r="F57" i="1"/>
  <c r="E57" i="1"/>
  <c r="D57" i="1"/>
  <c r="C57" i="1"/>
  <c r="H118" i="2" l="1"/>
  <c r="G118" i="2"/>
  <c r="E118" i="2"/>
  <c r="D118" i="2"/>
  <c r="C118" i="2"/>
  <c r="H117" i="2"/>
  <c r="G117" i="2"/>
  <c r="E117" i="2"/>
  <c r="D117" i="2"/>
  <c r="C117" i="2"/>
  <c r="H112" i="2"/>
  <c r="G112" i="2"/>
  <c r="D112" i="2"/>
  <c r="C112" i="2"/>
  <c r="I106" i="2"/>
  <c r="H106" i="2"/>
  <c r="G106" i="2"/>
  <c r="E106" i="2"/>
  <c r="D106" i="2"/>
  <c r="C106" i="2"/>
  <c r="H100" i="2"/>
  <c r="G100" i="2"/>
  <c r="E100" i="2"/>
  <c r="D100" i="2"/>
  <c r="C100" i="2"/>
  <c r="H93" i="2"/>
  <c r="G93" i="2"/>
  <c r="D93" i="2"/>
  <c r="C93" i="2"/>
  <c r="E110" i="2"/>
  <c r="F110" i="2" s="1"/>
  <c r="I110" i="2" s="1"/>
  <c r="I112" i="2" s="1"/>
  <c r="F105" i="2"/>
  <c r="I105" i="2" s="1"/>
  <c r="F104" i="2"/>
  <c r="I104" i="2" s="1"/>
  <c r="F99" i="2"/>
  <c r="I99" i="2" s="1"/>
  <c r="I100" i="2" s="1"/>
  <c r="F98" i="2"/>
  <c r="I98" i="2" s="1"/>
  <c r="E97" i="2"/>
  <c r="F97" i="2" s="1"/>
  <c r="I97" i="2" s="1"/>
  <c r="F92" i="2"/>
  <c r="I92" i="2" s="1"/>
  <c r="F91" i="2"/>
  <c r="I91" i="2" s="1"/>
  <c r="E90" i="2"/>
  <c r="F90" i="2" s="1"/>
  <c r="I90" i="2" s="1"/>
  <c r="E89" i="2"/>
  <c r="F89" i="2" s="1"/>
  <c r="I89" i="2" s="1"/>
  <c r="I93" i="2" s="1"/>
  <c r="H85" i="2"/>
  <c r="G85" i="2"/>
  <c r="D85" i="2"/>
  <c r="C85" i="2"/>
  <c r="F84" i="2"/>
  <c r="I84" i="2" s="1"/>
  <c r="F83" i="2"/>
  <c r="I83" i="2" s="1"/>
  <c r="E82" i="2"/>
  <c r="F82" i="2" s="1"/>
  <c r="I82" i="2" s="1"/>
  <c r="E81" i="2"/>
  <c r="E85" i="2" s="1"/>
  <c r="H77" i="2"/>
  <c r="G77" i="2"/>
  <c r="D77" i="2"/>
  <c r="C77" i="2"/>
  <c r="E76" i="2"/>
  <c r="F76" i="2" s="1"/>
  <c r="I76" i="2" s="1"/>
  <c r="F75" i="2"/>
  <c r="I75" i="2" s="1"/>
  <c r="E74" i="2"/>
  <c r="F74" i="2" s="1"/>
  <c r="I74" i="2" s="1"/>
  <c r="E73" i="2"/>
  <c r="F73" i="2" s="1"/>
  <c r="I73" i="2" s="1"/>
  <c r="E72" i="2"/>
  <c r="F72" i="2" s="1"/>
  <c r="I72" i="2" s="1"/>
  <c r="E71" i="2"/>
  <c r="F71" i="2" s="1"/>
  <c r="I71" i="2" s="1"/>
  <c r="E70" i="2"/>
  <c r="F70" i="2" s="1"/>
  <c r="H66" i="2"/>
  <c r="G66" i="2"/>
  <c r="D66" i="2"/>
  <c r="E64" i="2"/>
  <c r="F64" i="2" s="1"/>
  <c r="I64" i="2" s="1"/>
  <c r="E63" i="2"/>
  <c r="F63" i="2" s="1"/>
  <c r="I63" i="2" s="1"/>
  <c r="F62" i="2"/>
  <c r="I62" i="2" s="1"/>
  <c r="E61" i="2"/>
  <c r="C61" i="2"/>
  <c r="E60" i="2"/>
  <c r="F60" i="2" s="1"/>
  <c r="I60" i="2" s="1"/>
  <c r="E59" i="2"/>
  <c r="C59" i="2"/>
  <c r="E58" i="2"/>
  <c r="F57" i="2"/>
  <c r="I57" i="2" s="1"/>
  <c r="H53" i="2"/>
  <c r="G53" i="2"/>
  <c r="D53" i="2"/>
  <c r="E52" i="2"/>
  <c r="F52" i="2" s="1"/>
  <c r="I52" i="2" s="1"/>
  <c r="E51" i="2"/>
  <c r="C51" i="2"/>
  <c r="C53" i="2" s="1"/>
  <c r="E50" i="2"/>
  <c r="F50" i="2" s="1"/>
  <c r="I50" i="2" s="1"/>
  <c r="E49" i="2"/>
  <c r="F49" i="2" s="1"/>
  <c r="I49" i="2" s="1"/>
  <c r="E48" i="2"/>
  <c r="F48" i="2" s="1"/>
  <c r="I48" i="2" s="1"/>
  <c r="E47" i="2"/>
  <c r="F47" i="2" s="1"/>
  <c r="I47" i="2" s="1"/>
  <c r="E46" i="2"/>
  <c r="E45" i="2"/>
  <c r="F45" i="2" s="1"/>
  <c r="I45" i="2" s="1"/>
  <c r="E44" i="2"/>
  <c r="F44" i="2" s="1"/>
  <c r="I44" i="2" s="1"/>
  <c r="E43" i="2"/>
  <c r="F43" i="2" s="1"/>
  <c r="I43" i="2" s="1"/>
  <c r="H39" i="2"/>
  <c r="D39" i="2"/>
  <c r="C39" i="2"/>
  <c r="E38" i="2"/>
  <c r="F38" i="2" s="1"/>
  <c r="I38" i="2" s="1"/>
  <c r="F37" i="2"/>
  <c r="I37" i="2" s="1"/>
  <c r="E36" i="2"/>
  <c r="F36" i="2" s="1"/>
  <c r="I36" i="2" s="1"/>
  <c r="E35" i="2"/>
  <c r="F35" i="2" s="1"/>
  <c r="I35" i="2" s="1"/>
  <c r="E34" i="2"/>
  <c r="F34" i="2" s="1"/>
  <c r="I34" i="2" s="1"/>
  <c r="G33" i="2"/>
  <c r="G39" i="2" s="1"/>
  <c r="E33" i="2"/>
  <c r="F33" i="2" s="1"/>
  <c r="E32" i="2"/>
  <c r="F32" i="2" s="1"/>
  <c r="I32" i="2" s="1"/>
  <c r="H28" i="2"/>
  <c r="G28" i="2"/>
  <c r="D28" i="2"/>
  <c r="C28" i="2"/>
  <c r="E27" i="2"/>
  <c r="F27" i="2" s="1"/>
  <c r="I27" i="2" s="1"/>
  <c r="E26" i="2"/>
  <c r="F26" i="2" s="1"/>
  <c r="I26" i="2" s="1"/>
  <c r="E25" i="2"/>
  <c r="F25" i="2" s="1"/>
  <c r="I25" i="2" s="1"/>
  <c r="E24" i="2"/>
  <c r="F24" i="2" s="1"/>
  <c r="I24" i="2" s="1"/>
  <c r="E23" i="2"/>
  <c r="F23" i="2" s="1"/>
  <c r="I23" i="2" s="1"/>
  <c r="E22" i="2"/>
  <c r="E21" i="2"/>
  <c r="F21" i="2" s="1"/>
  <c r="H17" i="2"/>
  <c r="G17" i="2"/>
  <c r="D17" i="2"/>
  <c r="E16" i="2"/>
  <c r="F16" i="2" s="1"/>
  <c r="I16" i="2" s="1"/>
  <c r="E15" i="2"/>
  <c r="F15" i="2" s="1"/>
  <c r="I15" i="2" s="1"/>
  <c r="E14" i="2"/>
  <c r="F14" i="2" s="1"/>
  <c r="I14" i="2" s="1"/>
  <c r="E13" i="2"/>
  <c r="F13" i="2" s="1"/>
  <c r="I13" i="2" s="1"/>
  <c r="E12" i="2"/>
  <c r="F12" i="2" s="1"/>
  <c r="I12" i="2" s="1"/>
  <c r="E11" i="2"/>
  <c r="F11" i="2" s="1"/>
  <c r="I11" i="2" s="1"/>
  <c r="E10" i="2"/>
  <c r="F10" i="2" s="1"/>
  <c r="I10" i="2" s="1"/>
  <c r="E9" i="2"/>
  <c r="C9" i="2"/>
  <c r="C17" i="2" s="1"/>
  <c r="I81" i="1"/>
  <c r="I85" i="1" s="1"/>
  <c r="I86" i="1" s="1"/>
  <c r="I74" i="1"/>
  <c r="E69" i="1"/>
  <c r="F69" i="1" s="1"/>
  <c r="I69" i="1" s="1"/>
  <c r="E68" i="1"/>
  <c r="F68" i="1" s="1"/>
  <c r="I68" i="1" s="1"/>
  <c r="E67" i="1"/>
  <c r="F67" i="1" s="1"/>
  <c r="I67" i="1" s="1"/>
  <c r="E66" i="1"/>
  <c r="F66" i="1" s="1"/>
  <c r="I66" i="1" s="1"/>
  <c r="E61" i="1"/>
  <c r="F61" i="1" s="1"/>
  <c r="I61" i="1" s="1"/>
  <c r="E56" i="1"/>
  <c r="F56" i="1" s="1"/>
  <c r="I56" i="1" s="1"/>
  <c r="E55" i="1"/>
  <c r="F55" i="1" s="1"/>
  <c r="I55" i="1" s="1"/>
  <c r="E54" i="1"/>
  <c r="C54" i="1"/>
  <c r="F54" i="1" s="1"/>
  <c r="I54" i="1" s="1"/>
  <c r="H49" i="1"/>
  <c r="G49" i="1"/>
  <c r="D49" i="1"/>
  <c r="C49" i="1"/>
  <c r="E48" i="1"/>
  <c r="F48" i="1" s="1"/>
  <c r="I48" i="1" s="1"/>
  <c r="F47" i="1"/>
  <c r="I46" i="1"/>
  <c r="H40" i="1"/>
  <c r="G40" i="1"/>
  <c r="D40" i="1"/>
  <c r="C40" i="1"/>
  <c r="E39" i="1"/>
  <c r="F39" i="1" s="1"/>
  <c r="E38" i="1"/>
  <c r="F38" i="1" s="1"/>
  <c r="I38" i="1" s="1"/>
  <c r="E36" i="1"/>
  <c r="H32" i="1"/>
  <c r="G32" i="1"/>
  <c r="E32" i="1"/>
  <c r="D32" i="1"/>
  <c r="C32" i="1"/>
  <c r="F31" i="1"/>
  <c r="F32" i="1" s="1"/>
  <c r="H27" i="1"/>
  <c r="G27" i="1"/>
  <c r="D27" i="1"/>
  <c r="C27" i="1"/>
  <c r="E26" i="1"/>
  <c r="F26" i="1" s="1"/>
  <c r="I26" i="1" s="1"/>
  <c r="E25" i="1"/>
  <c r="F25" i="1" s="1"/>
  <c r="H21" i="1"/>
  <c r="G21" i="1"/>
  <c r="D21" i="1"/>
  <c r="C21" i="1"/>
  <c r="E20" i="1"/>
  <c r="F20" i="1" s="1"/>
  <c r="I20" i="1" s="1"/>
  <c r="E19" i="1"/>
  <c r="F19" i="1" s="1"/>
  <c r="I19" i="1" s="1"/>
  <c r="E18" i="1"/>
  <c r="H14" i="1"/>
  <c r="G14" i="1"/>
  <c r="D14" i="1"/>
  <c r="C14" i="1"/>
  <c r="E13" i="1"/>
  <c r="F13" i="1" s="1"/>
  <c r="I13" i="1" s="1"/>
  <c r="E12" i="1"/>
  <c r="F12" i="1" s="1"/>
  <c r="I12" i="1" s="1"/>
  <c r="E11" i="1"/>
  <c r="F11" i="1" s="1"/>
  <c r="I11" i="1" s="1"/>
  <c r="F10" i="1"/>
  <c r="I10" i="1" s="1"/>
  <c r="E9" i="1"/>
  <c r="F9" i="1" s="1"/>
  <c r="E49" i="1" l="1"/>
  <c r="E40" i="1"/>
  <c r="F49" i="1"/>
  <c r="F36" i="1"/>
  <c r="F40" i="1" s="1"/>
  <c r="I47" i="1"/>
  <c r="I49" i="1"/>
  <c r="E21" i="1"/>
  <c r="E112" i="2"/>
  <c r="F112" i="2"/>
  <c r="F59" i="2"/>
  <c r="I59" i="2" s="1"/>
  <c r="F106" i="2"/>
  <c r="E93" i="2"/>
  <c r="F100" i="2"/>
  <c r="F93" i="2"/>
  <c r="F61" i="2"/>
  <c r="I61" i="2" s="1"/>
  <c r="I33" i="2"/>
  <c r="F9" i="2"/>
  <c r="E28" i="2"/>
  <c r="F22" i="2"/>
  <c r="I22" i="2" s="1"/>
  <c r="F51" i="2"/>
  <c r="I51" i="2" s="1"/>
  <c r="E66" i="2"/>
  <c r="F28" i="2"/>
  <c r="E53" i="2"/>
  <c r="F58" i="2"/>
  <c r="I58" i="2" s="1"/>
  <c r="F81" i="2"/>
  <c r="F85" i="2" s="1"/>
  <c r="C66" i="2"/>
  <c r="E39" i="2"/>
  <c r="F17" i="2"/>
  <c r="I9" i="2"/>
  <c r="I17" i="2" s="1"/>
  <c r="I39" i="2"/>
  <c r="I70" i="2"/>
  <c r="I77" i="2" s="1"/>
  <c r="F77" i="2"/>
  <c r="F46" i="2"/>
  <c r="I46" i="2" s="1"/>
  <c r="I81" i="2"/>
  <c r="I85" i="2" s="1"/>
  <c r="E17" i="2"/>
  <c r="E77" i="2"/>
  <c r="F39" i="2"/>
  <c r="I21" i="2"/>
  <c r="F14" i="1"/>
  <c r="I9" i="1"/>
  <c r="I14" i="1" s="1"/>
  <c r="I25" i="1"/>
  <c r="I27" i="1" s="1"/>
  <c r="F27" i="1"/>
  <c r="I31" i="1"/>
  <c r="I32" i="1" s="1"/>
  <c r="E27" i="1"/>
  <c r="I36" i="1"/>
  <c r="I40" i="1" s="1"/>
  <c r="F18" i="1"/>
  <c r="E14" i="1"/>
  <c r="I66" i="2" l="1"/>
  <c r="I53" i="2"/>
  <c r="F66" i="2"/>
  <c r="I28" i="2"/>
  <c r="I117" i="2" s="1"/>
  <c r="I118" i="2" s="1"/>
  <c r="F53" i="2"/>
  <c r="F117" i="2" s="1"/>
  <c r="F118" i="2" s="1"/>
  <c r="F21" i="1"/>
  <c r="I18" i="1"/>
  <c r="I21" i="1" s="1"/>
</calcChain>
</file>

<file path=xl/sharedStrings.xml><?xml version="1.0" encoding="utf-8"?>
<sst xmlns="http://schemas.openxmlformats.org/spreadsheetml/2006/main" count="341" uniqueCount="107">
  <si>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</si>
  <si>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</si>
  <si>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</si>
  <si>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</si>
  <si>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</si>
  <si>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</si>
  <si>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</si>
  <si>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</si>
  <si>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</si>
  <si>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Inbraakschade Hildamlaan 1 te Benthuizen</t>
  </si>
  <si>
    <t>Inbraak materiaalgebouw begraafplaats Hoflaan 2</t>
  </si>
  <si>
    <t>Brandschade buitenschoolse opvang, Duikerpad 1</t>
  </si>
  <si>
    <t>Aanrijdingsschade Stadhuisplein 1 te Zoetermeer</t>
  </si>
  <si>
    <t>Brandschade kantine Real</t>
  </si>
  <si>
    <t xml:space="preserve">Totaal </t>
  </si>
  <si>
    <t>Stormschade Voorweg 155</t>
  </si>
  <si>
    <t>Brand Heuvelweg 7</t>
  </si>
  <si>
    <t>Aanrijding Markt 10</t>
  </si>
  <si>
    <t>Vandalismeschade Hodenpijlstraat 12</t>
  </si>
  <si>
    <t>Ontploffing Florasingel t.o. 1 t/m 28</t>
  </si>
  <si>
    <t>Brand en roetschade fietsenstalling</t>
  </si>
  <si>
    <t xml:space="preserve">Waterleiding gesprongen Stadhuisplein 1 (schade ook in behandeling onder CAR polis aannemer) </t>
  </si>
  <si>
    <t xml:space="preserve"> </t>
  </si>
  <si>
    <t>Aanrijdingschade Stadhuisplein 1</t>
  </si>
  <si>
    <t>schade verhaald voor klant</t>
  </si>
  <si>
    <t>Brand Stadstheater</t>
  </si>
  <si>
    <t>Aanrijding deur cultureel centrum</t>
  </si>
  <si>
    <t xml:space="preserve">Waterschade Markt 2 </t>
  </si>
  <si>
    <t>Ontploffing Folly, Florasingel t/o nr 1-28</t>
  </si>
  <si>
    <t>Brandschade Heuvelweg 5a</t>
  </si>
  <si>
    <t>Brandschade Lijnbaan 311</t>
  </si>
  <si>
    <t>Waterschade stadhuisplein 1 Zoetermeer</t>
  </si>
  <si>
    <t>brandschade De Veur, Prismalaan</t>
  </si>
  <si>
    <t>Aanrijding fietsenstalling Nathaliegang 79-81 of andere oorzaak</t>
  </si>
  <si>
    <t>Stormschade diverse adressen</t>
  </si>
  <si>
    <t>Brandschade Voorweg 131</t>
  </si>
  <si>
    <t>Waterschade CKC Leidsewallen 80</t>
  </si>
  <si>
    <t>Aanrijding brandweerkazerne Brusselstraat 4</t>
  </si>
  <si>
    <t>Aanrijding onderdoorgang Stadhuisplein 1</t>
  </si>
  <si>
    <t>nnb</t>
  </si>
  <si>
    <t>Waterschade Stadhuis Zoetermeer</t>
  </si>
  <si>
    <t>Diefstal lood Irisvaart 2-8</t>
  </si>
  <si>
    <t>Brandschade Wedekindzijde 1-3/Broekwegzijde 192-194</t>
  </si>
  <si>
    <t>Diefstal lood Broekwegzijde 192-194</t>
  </si>
  <si>
    <t>Waterschade Paltelaan 5</t>
  </si>
  <si>
    <t>Looddiefstal Chaplinstrook 2-4</t>
  </si>
  <si>
    <t>Brandschade zonnescherm Overwater 3</t>
  </si>
  <si>
    <t>Waterschade Antigoneschouw 12-14</t>
  </si>
  <si>
    <t>Waterschade Fivelingo 84-86</t>
  </si>
  <si>
    <t>Diefstal lood Kadelaan 208</t>
  </si>
  <si>
    <t>Diefstal lood Wedekindzijde 1-3</t>
  </si>
  <si>
    <t>Inbraak/diefstal Picasso Lyceum</t>
  </si>
  <si>
    <t>Stormschade Alfrink College</t>
  </si>
  <si>
    <t>Waterschade Carrie van Bruggenhove 2-4</t>
  </si>
  <si>
    <t>Vuurwerkbomschade Velddreef 326-328</t>
  </si>
  <si>
    <t>Inbraakschade Meerzichtlaan 300</t>
  </si>
  <si>
    <t>Brandschade Van Doornenplantsoen 31</t>
  </si>
  <si>
    <t>Inbraakschade Forelsloot 1-2</t>
  </si>
  <si>
    <t>Waterschade Schansbos 5-6</t>
  </si>
  <si>
    <t>Waterschade Willem Alexanderplantsoen 2</t>
  </si>
  <si>
    <t>Brand Saturnusgeel 64</t>
  </si>
  <si>
    <t>Waterschade Spitsbergen 15</t>
  </si>
  <si>
    <t>Diefstalschade OBS De Watersnip</t>
  </si>
  <si>
    <t>Waterschade Werflaan 45</t>
  </si>
  <si>
    <t>Vandalismeschade aan ballenvanger , Cesar Franckrode 70-72</t>
  </si>
  <si>
    <t>Inbraak en diefstal Kerkenbos 24-26</t>
  </si>
  <si>
    <t>Stormschade Alfrinkcollege, Werflaan 45</t>
  </si>
  <si>
    <t>Vandalismeschade W.A. Plantsoen</t>
  </si>
  <si>
    <t>Waterschade Alfrinkcollege</t>
  </si>
  <si>
    <t>Diefstal tablets kerkenbos 28</t>
  </si>
  <si>
    <t>Vandalismeschade Bokkenweide 1-3</t>
  </si>
  <si>
    <t>Vandalismeschade Cesar Franckrode 70-72</t>
  </si>
  <si>
    <t>Vandalismeschade Busken Huethove 6</t>
  </si>
  <si>
    <t>Inbraakschade Cesar Frankrode 70-72</t>
  </si>
  <si>
    <t>Waterschade kinderopvang Electrablauw 5</t>
  </si>
  <si>
    <t>Waterschade Oranje Nassau College</t>
  </si>
  <si>
    <t>Vandalismeschade De Vuurvogel</t>
  </si>
  <si>
    <t>waterschade Elektrablauw 5</t>
  </si>
  <si>
    <t>Brandschade deuren gymzaal Nesciohove 115</t>
  </si>
  <si>
    <t>Vandalismeschade tkbs De Elzenhoek</t>
  </si>
  <si>
    <t>Vandalismeschade bs Het Zwanenbos</t>
  </si>
  <si>
    <t>Waterschade IKC Piramide</t>
  </si>
  <si>
    <t>Waterschade De Spelevaert, Irisvaart 2-4</t>
  </si>
  <si>
    <t>Vandalismeschade Carry van Bruggenhove 2-4</t>
  </si>
  <si>
    <t>Waterschade Spitsbergen 5-7</t>
  </si>
  <si>
    <t>Brand ONC Clauslaan 4</t>
  </si>
  <si>
    <t>Inbraakschade ONC Clauslaan 4</t>
  </si>
  <si>
    <t>Brandschade speelelement Irisvaart 6</t>
  </si>
  <si>
    <t>Brandschade De Touwladder, Velddreef</t>
  </si>
  <si>
    <t>Dak van school gewaaid, 't Plankier</t>
  </si>
  <si>
    <t>Waterschade diverse locaties</t>
  </si>
  <si>
    <t>Vandalismeschade sporthal Hodenpijlstraat 12</t>
  </si>
  <si>
    <t>Waterschade bs De Springplank</t>
  </si>
  <si>
    <t>Waterschade Erasmus College, Van Doorneplantsoen 31</t>
  </si>
  <si>
    <t>Vandalismeschade dak berging Spitsbergen 5</t>
  </si>
  <si>
    <t xml:space="preserve">Cesar Franckrode 70 waterschade (schade&lt;ER) </t>
  </si>
  <si>
    <t>Verstopping Spitsbergen 5</t>
  </si>
  <si>
    <t>Waterschade De Hofvijver, Forelsloot 3</t>
  </si>
  <si>
    <t>Gemeente Zoetermeer</t>
  </si>
  <si>
    <t>Totaal over de periode 01-01-2014 tot 22-08-2024</t>
  </si>
  <si>
    <r>
      <t>Gemiddelde gerekend over 11 jaar (</t>
    </r>
    <r>
      <rPr>
        <b/>
        <i/>
        <sz val="11"/>
        <color theme="1"/>
        <rFont val="Calibri"/>
        <family val="2"/>
        <scheme val="minor"/>
      </rPr>
      <t>excl. extrapolatie 2024</t>
    </r>
    <r>
      <rPr>
        <b/>
        <sz val="11"/>
        <color theme="1"/>
        <rFont val="Calibri"/>
        <family val="2"/>
        <scheme val="minor"/>
      </rPr>
      <t>)</t>
    </r>
  </si>
  <si>
    <t>Onderwijs (PO/VO)</t>
  </si>
  <si>
    <t>Bijlage C.4</t>
  </si>
  <si>
    <t>Gemeentelijke bezit</t>
  </si>
  <si>
    <t>Schadeoverzichten - 2 tabbladen</t>
  </si>
  <si>
    <t>Recap</t>
  </si>
  <si>
    <t>Periode 01-01-2014 tot 09-09-2024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</si>
</sst>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/>
    <xf numFmtId="0" fontId="0" fillId="0" borderId="0" xfId="0" applyAlignment="1"/>
    <xf numFmtId="3" fontId="0" fillId="0" borderId="0" xfId="0" applyNumberFormat="1"/>
    <xf numFmtId="0" fontId="0" fillId="0" borderId="0" xfId="0" applyAlignment="1"/>
    <xf numFmtId="0" fontId="3" fillId="0" borderId="1" xfId="0" applyFont="1" applyBorder="1"/>
    <xf numFmtId="0" fontId="3" fillId="0" borderId="2" xfId="0" applyFont="1" applyBorder="1"/>
    <xf numFmtId="3" fontId="3" fillId="0" borderId="2" xfId="0" applyNumberFormat="1" applyFont="1" applyBorder="1"/>
    <xf numFmtId="3" fontId="3" fillId="0" borderId="2" xfId="0" applyNumberFormat="1" applyFont="1" applyFill="1" applyBorder="1"/>
    <xf numFmtId="3" fontId="3" fillId="0" borderId="2" xfId="1" applyNumberFormat="1" applyFont="1" applyBorder="1"/>
    <xf numFmtId="3" fontId="3" fillId="0" borderId="3" xfId="1" applyNumberFormat="1" applyFont="1" applyBorder="1"/>
    <xf numFmtId="14" fontId="0" fillId="0" borderId="4" xfId="0" applyNumberFormat="1" applyBorder="1"/>
    <xf numFmtId="0" fontId="0" fillId="0" borderId="5" xfId="0" applyBorder="1"/>
    <xf numFmtId="0" fontId="4" fillId="0" borderId="5" xfId="0" applyFont="1" applyBorder="1"/>
    <xf numFmtId="44" fontId="0" fillId="0" borderId="5" xfId="1" applyFont="1" applyBorder="1"/>
    <xf numFmtId="44" fontId="0" fillId="0" borderId="6" xfId="1" applyFont="1" applyBorder="1"/>
    <xf numFmtId="14" fontId="0" fillId="0" borderId="7" xfId="0" applyNumberFormat="1" applyBorder="1"/>
    <xf numFmtId="0" fontId="0" fillId="0" borderId="8" xfId="0" applyBorder="1"/>
    <xf numFmtId="44" fontId="0" fillId="0" borderId="8" xfId="1" applyFont="1" applyBorder="1"/>
    <xf numFmtId="44" fontId="0" fillId="0" borderId="9" xfId="1" applyFont="1" applyBorder="1"/>
    <xf numFmtId="44" fontId="3" fillId="0" borderId="11" xfId="1" applyFont="1" applyBorder="1"/>
    <xf numFmtId="44" fontId="3" fillId="0" borderId="12" xfId="1" applyFont="1" applyBorder="1"/>
    <xf numFmtId="3" fontId="0" fillId="0" borderId="0" xfId="1" applyNumberFormat="1" applyFont="1" applyBorder="1"/>
    <xf numFmtId="14" fontId="4" fillId="0" borderId="4" xfId="0" applyNumberFormat="1" applyFont="1" applyBorder="1"/>
    <xf numFmtId="44" fontId="4" fillId="0" borderId="5" xfId="1" applyFont="1" applyBorder="1"/>
    <xf numFmtId="0" fontId="3" fillId="0" borderId="10" xfId="0" applyFont="1" applyBorder="1"/>
    <xf numFmtId="0" fontId="0" fillId="0" borderId="0" xfId="0" applyBorder="1"/>
    <xf numFmtId="0" fontId="0" fillId="0" borderId="8" xfId="0" applyFill="1" applyBorder="1"/>
    <xf numFmtId="0" fontId="3" fillId="0" borderId="0" xfId="0" applyFont="1"/>
    <xf numFmtId="14" fontId="0" fillId="0" borderId="5" xfId="0" applyNumberFormat="1" applyBorder="1"/>
    <xf numFmtId="0" fontId="0" fillId="0" borderId="5" xfId="0" applyFill="1" applyBorder="1"/>
    <xf numFmtId="44" fontId="0" fillId="0" borderId="5" xfId="0" applyNumberFormat="1" applyBorder="1"/>
    <xf numFmtId="44" fontId="0" fillId="0" borderId="5" xfId="1" applyNumberFormat="1" applyFont="1" applyBorder="1"/>
    <xf numFmtId="165" fontId="4" fillId="0" borderId="5" xfId="0" applyNumberFormat="1" applyFont="1" applyBorder="1"/>
    <xf numFmtId="165" fontId="0" fillId="0" borderId="5" xfId="0" applyNumberForma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5" xfId="0" applyNumberFormat="1" applyFont="1" applyFill="1" applyBorder="1"/>
    <xf numFmtId="3" fontId="3" fillId="0" borderId="5" xfId="1" applyNumberFormat="1" applyFont="1" applyBorder="1"/>
    <xf numFmtId="0" fontId="4" fillId="0" borderId="0" xfId="0" applyFont="1"/>
    <xf numFmtId="14" fontId="3" fillId="0" borderId="10" xfId="0" applyNumberFormat="1" applyFont="1" applyBorder="1" applyAlignment="1">
      <alignment horizontal="left"/>
    </xf>
    <xf numFmtId="0" fontId="3" fillId="0" borderId="0" xfId="0" applyFont="1" applyBorder="1"/>
    <xf numFmtId="3" fontId="3" fillId="0" borderId="0" xfId="1" applyNumberFormat="1" applyFont="1" applyBorder="1"/>
    <xf numFmtId="14" fontId="0" fillId="0" borderId="0" xfId="0" applyNumberFormat="1" applyBorder="1" applyAlignment="1">
      <alignment horizontal="right"/>
    </xf>
    <xf numFmtId="44" fontId="4" fillId="0" borderId="5" xfId="1" applyFont="1" applyFill="1" applyBorder="1"/>
    <xf numFmtId="0" fontId="4" fillId="0" borderId="5" xfId="0" applyFont="1" applyFill="1" applyBorder="1"/>
    <xf numFmtId="44" fontId="3" fillId="0" borderId="0" xfId="1" applyFont="1" applyBorder="1"/>
    <xf numFmtId="164" fontId="0" fillId="0" borderId="5" xfId="1" applyNumberFormat="1" applyFont="1" applyBorder="1"/>
    <xf numFmtId="164" fontId="0" fillId="0" borderId="8" xfId="0" applyNumberFormat="1" applyBorder="1"/>
    <xf numFmtId="14" fontId="3" fillId="0" borderId="10" xfId="0" applyNumberFormat="1" applyFont="1" applyFill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4" fontId="0" fillId="0" borderId="5" xfId="0" applyNumberFormat="1" applyFill="1" applyBorder="1"/>
    <xf numFmtId="0" fontId="5" fillId="0" borderId="0" xfId="0" applyFont="1" applyAlignment="1"/>
    <xf numFmtId="0" fontId="6" fillId="0" borderId="0" xfId="0" applyFont="1" applyAlignment="1"/>
    <xf numFmtId="0" fontId="4" fillId="0" borderId="15" xfId="0" applyFont="1" applyBorder="1"/>
    <xf numFmtId="0" fontId="4" fillId="0" borderId="15" xfId="0" applyFont="1" applyFill="1" applyBorder="1"/>
    <xf numFmtId="0" fontId="4" fillId="0" borderId="16" xfId="0" applyFont="1" applyFill="1" applyBorder="1"/>
    <xf numFmtId="14" fontId="3" fillId="0" borderId="11" xfId="0" applyNumberFormat="1" applyFont="1" applyBorder="1" applyAlignment="1">
      <alignment horizontal="left"/>
    </xf>
    <xf numFmtId="14" fontId="4" fillId="0" borderId="5" xfId="0" applyNumberFormat="1" applyFont="1" applyBorder="1"/>
    <xf numFmtId="0" fontId="0" fillId="0" borderId="17" xfId="0" applyBorder="1"/>
    <xf numFmtId="14" fontId="4" fillId="0" borderId="18" xfId="0" applyNumberFormat="1" applyFont="1" applyBorder="1"/>
    <xf numFmtId="0" fontId="4" fillId="0" borderId="19" xfId="0" applyFont="1" applyBorder="1"/>
    <xf numFmtId="44" fontId="4" fillId="0" borderId="18" xfId="1" applyFont="1" applyBorder="1"/>
    <xf numFmtId="44" fontId="4" fillId="0" borderId="18" xfId="1" applyFont="1" applyFill="1" applyBorder="1"/>
    <xf numFmtId="44" fontId="0" fillId="0" borderId="18" xfId="1" applyFont="1" applyBorder="1"/>
    <xf numFmtId="44" fontId="4" fillId="0" borderId="20" xfId="1" applyFont="1" applyBorder="1"/>
    <xf numFmtId="0" fontId="3" fillId="0" borderId="21" xfId="0" applyFont="1" applyBorder="1"/>
    <xf numFmtId="0" fontId="3" fillId="0" borderId="22" xfId="0" applyFont="1" applyBorder="1"/>
    <xf numFmtId="3" fontId="3" fillId="0" borderId="22" xfId="0" applyNumberFormat="1" applyFont="1" applyBorder="1"/>
    <xf numFmtId="3" fontId="3" fillId="0" borderId="22" xfId="0" applyNumberFormat="1" applyFont="1" applyFill="1" applyBorder="1"/>
    <xf numFmtId="3" fontId="3" fillId="0" borderId="22" xfId="1" applyNumberFormat="1" applyFont="1" applyBorder="1"/>
    <xf numFmtId="3" fontId="3" fillId="0" borderId="23" xfId="1" applyNumberFormat="1" applyFont="1" applyBorder="1"/>
    <xf numFmtId="14" fontId="0" fillId="0" borderId="18" xfId="0" applyNumberFormat="1" applyBorder="1"/>
    <xf numFmtId="44" fontId="0" fillId="0" borderId="20" xfId="1" applyFont="1" applyBorder="1"/>
    <xf numFmtId="0" fontId="2" fillId="2" borderId="14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0" borderId="15" xfId="0" applyFill="1" applyBorder="1"/>
    <xf numFmtId="0" fontId="0" fillId="0" borderId="16" xfId="0" applyFill="1" applyBorder="1"/>
    <xf numFmtId="44" fontId="0" fillId="0" borderId="21" xfId="1" applyFont="1" applyBorder="1"/>
    <xf numFmtId="44" fontId="0" fillId="0" borderId="22" xfId="1" applyFont="1" applyBorder="1"/>
    <xf numFmtId="0" fontId="7" fillId="2" borderId="14" xfId="0" applyFont="1" applyFill="1" applyBorder="1" applyAlignment="1">
      <alignment horizontal="left"/>
    </xf>
    <xf numFmtId="0" fontId="10" fillId="0" borderId="0" xfId="0" applyFont="1" applyAlignment="1"/>
    <xf numFmtId="14" fontId="0" fillId="0" borderId="17" xfId="0" applyNumberFormat="1" applyFill="1" applyBorder="1"/>
    <xf numFmtId="14" fontId="8" fillId="0" borderId="21" xfId="0" applyNumberFormat="1" applyFont="1" applyFill="1" applyBorder="1"/>
    <xf numFmtId="44" fontId="9" fillId="0" borderId="22" xfId="1" applyFont="1" applyBorder="1"/>
    <xf numFmtId="3" fontId="3" fillId="0" borderId="0" xfId="0" applyNumberFormat="1" applyFont="1" applyBorder="1"/>
    <xf numFmtId="3" fontId="3" fillId="0" borderId="0" xfId="0" applyNumberFormat="1" applyFont="1" applyFill="1" applyBorder="1"/>
    <xf numFmtId="0" fontId="2" fillId="2" borderId="10" xfId="0" applyFont="1" applyFill="1" applyBorder="1"/>
    <xf numFmtId="44" fontId="0" fillId="0" borderId="5" xfId="1" applyFont="1" applyBorder="1" applyAlignment="1">
      <alignment horizontal="center"/>
    </xf>
    <xf numFmtId="44" fontId="0" fillId="2" borderId="5" xfId="1" applyFont="1" applyFill="1" applyBorder="1"/>
    <xf numFmtId="44" fontId="0" fillId="2" borderId="17" xfId="1" applyFont="1" applyFill="1" applyBorder="1"/>
    <xf numFmtId="44" fontId="0" fillId="0" borderId="8" xfId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6" xfId="0" applyBorder="1"/>
    <xf numFmtId="44" fontId="0" fillId="0" borderId="13" xfId="1" applyFont="1" applyBorder="1"/>
    <xf numFmtId="44" fontId="0" fillId="0" borderId="24" xfId="1" applyFont="1" applyBorder="1"/>
    <xf numFmtId="0" fontId="2" fillId="2" borderId="25" xfId="0" applyFont="1" applyFill="1" applyBorder="1" applyAlignment="1">
      <alignment horizontal="left"/>
    </xf>
    <xf numFmtId="44" fontId="0" fillId="0" borderId="18" xfId="0" applyNumberFormat="1" applyBorder="1"/>
    <xf numFmtId="0" fontId="0" fillId="0" borderId="16" xfId="0" applyFont="1" applyFill="1" applyBorder="1"/>
    <xf numFmtId="44" fontId="0" fillId="0" borderId="8" xfId="0" applyNumberFormat="1" applyBorder="1"/>
    <xf numFmtId="44" fontId="3" fillId="0" borderId="11" xfId="1" applyNumberFormat="1" applyFont="1" applyBorder="1"/>
    <xf numFmtId="44" fontId="3" fillId="0" borderId="12" xfId="1" applyNumberFormat="1" applyFont="1" applyBorder="1"/>
    <xf numFmtId="44" fontId="0" fillId="0" borderId="8" xfId="1" applyNumberFormat="1" applyFont="1" applyBorder="1"/>
    <xf numFmtId="0" fontId="2" fillId="0" borderId="21" xfId="0" applyFont="1" applyBorder="1"/>
    <xf numFmtId="0" fontId="4" fillId="0" borderId="18" xfId="0" applyFont="1" applyBorder="1"/>
    <xf numFmtId="165" fontId="4" fillId="0" borderId="18" xfId="0" applyNumberFormat="1" applyFont="1" applyBorder="1"/>
    <xf numFmtId="165" fontId="0" fillId="0" borderId="18" xfId="0" applyNumberFormat="1" applyBorder="1"/>
    <xf numFmtId="44" fontId="0" fillId="0" borderId="18" xfId="1" applyNumberFormat="1" applyFont="1" applyBorder="1"/>
    <xf numFmtId="14" fontId="0" fillId="0" borderId="26" xfId="0" applyNumberFormat="1" applyBorder="1"/>
    <xf numFmtId="3" fontId="0" fillId="0" borderId="8" xfId="0" applyNumberFormat="1" applyBorder="1"/>
    <xf numFmtId="0" fontId="7" fillId="0" borderId="10" xfId="0" applyFont="1" applyBorder="1"/>
    <xf numFmtId="44" fontId="0" fillId="0" borderId="11" xfId="1" applyFont="1" applyBorder="1"/>
    <xf numFmtId="0" fontId="2" fillId="3" borderId="14" xfId="0" applyFont="1" applyFill="1" applyBorder="1"/>
    <xf numFmtId="44" fontId="2" fillId="3" borderId="14" xfId="1" applyFont="1" applyFill="1" applyBorder="1"/>
    <xf numFmtId="44" fontId="2" fillId="0" borderId="22" xfId="1" applyFont="1" applyBorder="1"/>
    <xf numFmtId="44" fontId="2" fillId="0" borderId="23" xfId="1" applyFont="1" applyBorder="1"/>
    <xf numFmtId="44" fontId="2" fillId="0" borderId="11" xfId="1" applyFont="1" applyBorder="1"/>
    <xf numFmtId="44" fontId="7" fillId="0" borderId="23" xfId="1" applyFont="1" applyBorder="1"/>
    <xf numFmtId="0" fontId="5" fillId="0" borderId="0" xfId="0" applyFont="1" applyAlignment="1"/>
    <xf numFmtId="0" fontId="6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86"/>
  <sheetViews>
    <sheetView tabSelected="1" workbookViewId="0">
      <selection activeCell="B3" sqref="B3"/>
    </sheetView>
  </sheetViews>
  <sheetFormatPr defaultRowHeight="15" x14ac:dyDescent="0.25"/>
  <cols>
    <col min="1" max="1" width="10.28515625" bestFit="1" customWidth="1"/>
    <col min="2" max="2" width="82.140625" customWidth="1"/>
    <col min="3" max="9" width="15.7109375" style="3" customWidth="1"/>
    <col min="10" max="10" width="25" bestFit="1" customWidth="1"/>
  </cols>
  <sheetData>
    <row r="1" spans="1:9" ht="15.75" x14ac:dyDescent="0.25">
      <c r="A1" s="53" t="s">
        <v>102</v>
      </c>
      <c r="B1" s="4"/>
    </row>
    <row r="2" spans="1:9" ht="15.75" x14ac:dyDescent="0.25">
      <c r="A2" s="53" t="s">
        <v>98</v>
      </c>
      <c r="B2" s="4"/>
    </row>
    <row r="3" spans="1:9" ht="15.75" x14ac:dyDescent="0.25">
      <c r="A3" s="53" t="s">
        <v>104</v>
      </c>
      <c r="B3" s="4"/>
    </row>
    <row r="4" spans="1:9" ht="15.75" x14ac:dyDescent="0.25">
      <c r="A4" s="53" t="s">
        <v>106</v>
      </c>
      <c r="B4" s="4"/>
    </row>
    <row r="5" spans="1:9" ht="15.75" x14ac:dyDescent="0.25">
      <c r="A5" s="84" t="s">
        <v>103</v>
      </c>
      <c r="B5" s="4"/>
    </row>
    <row r="6" spans="1:9" ht="15.75" thickBot="1" x14ac:dyDescent="0.3">
      <c r="A6" s="1"/>
      <c r="B6" s="2"/>
    </row>
    <row r="7" spans="1:9" ht="15.75" thickBot="1" x14ac:dyDescent="0.3">
      <c r="A7" s="75">
        <v>2014</v>
      </c>
    </row>
    <row r="8" spans="1:9" ht="15.75" thickBot="1" x14ac:dyDescent="0.3">
      <c r="A8" s="67" t="s">
        <v>0</v>
      </c>
      <c r="B8" s="68" t="s">
        <v>1</v>
      </c>
      <c r="C8" s="69" t="s">
        <v>2</v>
      </c>
      <c r="D8" s="70" t="s">
        <v>3</v>
      </c>
      <c r="E8" s="70" t="s">
        <v>4</v>
      </c>
      <c r="F8" s="71" t="s">
        <v>5</v>
      </c>
      <c r="G8" s="70" t="s">
        <v>6</v>
      </c>
      <c r="H8" s="70" t="s">
        <v>7</v>
      </c>
      <c r="I8" s="72" t="s">
        <v>8</v>
      </c>
    </row>
    <row r="9" spans="1:9" x14ac:dyDescent="0.25">
      <c r="A9" s="73">
        <v>41771</v>
      </c>
      <c r="B9" s="77" t="s">
        <v>9</v>
      </c>
      <c r="C9" s="65">
        <v>13135.76</v>
      </c>
      <c r="D9" s="65">
        <v>5000</v>
      </c>
      <c r="E9" s="65">
        <f>868.05+81.36+1.83</f>
        <v>951.24</v>
      </c>
      <c r="F9" s="65">
        <f t="shared" ref="F9:F10" si="0">C9-D9+E9</f>
        <v>9087</v>
      </c>
      <c r="G9" s="65">
        <v>0</v>
      </c>
      <c r="H9" s="65">
        <v>0</v>
      </c>
      <c r="I9" s="74">
        <f t="shared" ref="I9:I13" si="1">+F9-G9+H9</f>
        <v>9087</v>
      </c>
    </row>
    <row r="10" spans="1:9" x14ac:dyDescent="0.25">
      <c r="A10" s="29">
        <v>41777</v>
      </c>
      <c r="B10" s="78" t="s">
        <v>10</v>
      </c>
      <c r="C10" s="14">
        <v>0</v>
      </c>
      <c r="D10" s="14">
        <v>0</v>
      </c>
      <c r="E10" s="14">
        <v>284.35000000000002</v>
      </c>
      <c r="F10" s="14">
        <f t="shared" si="0"/>
        <v>284.35000000000002</v>
      </c>
      <c r="G10" s="14">
        <v>0</v>
      </c>
      <c r="H10" s="14">
        <v>0</v>
      </c>
      <c r="I10" s="15">
        <f t="shared" si="1"/>
        <v>284.35000000000002</v>
      </c>
    </row>
    <row r="11" spans="1:9" x14ac:dyDescent="0.25">
      <c r="A11" s="29">
        <v>41837</v>
      </c>
      <c r="B11" s="96" t="s">
        <v>11</v>
      </c>
      <c r="C11" s="18">
        <v>20305.57</v>
      </c>
      <c r="D11" s="18">
        <v>5000</v>
      </c>
      <c r="E11" s="18">
        <f>1396.82+492.47+313.39+153.06+1.98</f>
        <v>2357.7199999999998</v>
      </c>
      <c r="F11" s="18">
        <f>C11-D11+E11</f>
        <v>17663.29</v>
      </c>
      <c r="G11" s="18">
        <v>0</v>
      </c>
      <c r="H11" s="18">
        <v>0</v>
      </c>
      <c r="I11" s="15">
        <f t="shared" si="1"/>
        <v>17663.29</v>
      </c>
    </row>
    <row r="12" spans="1:9" x14ac:dyDescent="0.25">
      <c r="A12" s="29">
        <v>41864</v>
      </c>
      <c r="B12" s="80" t="s">
        <v>12</v>
      </c>
      <c r="C12" s="18">
        <v>2670</v>
      </c>
      <c r="D12" s="18">
        <v>2670</v>
      </c>
      <c r="E12" s="18">
        <f>284.35+1.65</f>
        <v>286</v>
      </c>
      <c r="F12" s="18">
        <f t="shared" ref="F12:F13" si="2">C12-D12+E12</f>
        <v>286</v>
      </c>
      <c r="G12" s="18">
        <v>0</v>
      </c>
      <c r="H12" s="18">
        <v>0</v>
      </c>
      <c r="I12" s="19">
        <f t="shared" si="1"/>
        <v>286</v>
      </c>
    </row>
    <row r="13" spans="1:9" ht="15.75" thickBot="1" x14ac:dyDescent="0.3">
      <c r="A13" s="29">
        <v>42004</v>
      </c>
      <c r="B13" s="80" t="s">
        <v>13</v>
      </c>
      <c r="C13" s="18">
        <v>12831.4</v>
      </c>
      <c r="D13" s="18">
        <v>5000</v>
      </c>
      <c r="E13" s="18">
        <f>78.31+496.7+1.59</f>
        <v>576.6</v>
      </c>
      <c r="F13" s="18">
        <f t="shared" si="2"/>
        <v>8408</v>
      </c>
      <c r="G13" s="18">
        <v>0</v>
      </c>
      <c r="H13" s="18">
        <v>0</v>
      </c>
      <c r="I13" s="19">
        <f t="shared" si="1"/>
        <v>8408</v>
      </c>
    </row>
    <row r="14" spans="1:9" ht="15.75" thickBot="1" x14ac:dyDescent="0.3">
      <c r="A14" s="60"/>
      <c r="B14" s="25" t="s">
        <v>14</v>
      </c>
      <c r="C14" s="20">
        <f>SUM(C9:C13)</f>
        <v>48942.73</v>
      </c>
      <c r="D14" s="20">
        <f t="shared" ref="D14:I14" si="3">SUM(D9:D13)</f>
        <v>17670</v>
      </c>
      <c r="E14" s="20">
        <f t="shared" si="3"/>
        <v>4455.91</v>
      </c>
      <c r="F14" s="20">
        <f t="shared" si="3"/>
        <v>35728.639999999999</v>
      </c>
      <c r="G14" s="20">
        <f t="shared" si="3"/>
        <v>0</v>
      </c>
      <c r="H14" s="20">
        <f t="shared" si="3"/>
        <v>0</v>
      </c>
      <c r="I14" s="21">
        <f t="shared" si="3"/>
        <v>35728.639999999999</v>
      </c>
    </row>
    <row r="15" spans="1:9" ht="15.75" thickBot="1" x14ac:dyDescent="0.3">
      <c r="A15" s="41"/>
      <c r="B15" s="41"/>
      <c r="C15" s="46"/>
      <c r="D15" s="46"/>
      <c r="E15" s="46"/>
      <c r="F15" s="46"/>
      <c r="G15" s="46"/>
      <c r="H15" s="46"/>
      <c r="I15" s="46"/>
    </row>
    <row r="16" spans="1:9" ht="15.75" thickBot="1" x14ac:dyDescent="0.3">
      <c r="A16" s="75">
        <v>2015</v>
      </c>
    </row>
    <row r="17" spans="1:9" ht="15.75" thickBot="1" x14ac:dyDescent="0.3">
      <c r="A17" s="67" t="s">
        <v>0</v>
      </c>
      <c r="B17" s="68" t="s">
        <v>1</v>
      </c>
      <c r="C17" s="69" t="s">
        <v>2</v>
      </c>
      <c r="D17" s="70" t="s">
        <v>3</v>
      </c>
      <c r="E17" s="70" t="s">
        <v>4</v>
      </c>
      <c r="F17" s="71" t="s">
        <v>5</v>
      </c>
      <c r="G17" s="70" t="s">
        <v>6</v>
      </c>
      <c r="H17" s="70" t="s">
        <v>7</v>
      </c>
      <c r="I17" s="72" t="s">
        <v>8</v>
      </c>
    </row>
    <row r="18" spans="1:9" x14ac:dyDescent="0.25">
      <c r="A18" s="73">
        <v>42095</v>
      </c>
      <c r="B18" s="77" t="s">
        <v>15</v>
      </c>
      <c r="C18" s="65">
        <v>5754.45</v>
      </c>
      <c r="D18" s="65">
        <v>5000</v>
      </c>
      <c r="E18" s="65">
        <f>7.54+1.01</f>
        <v>8.5500000000000007</v>
      </c>
      <c r="F18" s="97">
        <f t="shared" ref="F18:F20" si="4">C18-D18+E18</f>
        <v>762.99999999999977</v>
      </c>
      <c r="G18" s="65">
        <v>0</v>
      </c>
      <c r="H18" s="65">
        <v>0</v>
      </c>
      <c r="I18" s="98">
        <f t="shared" ref="I18:I20" si="5">+F18-G18+H18</f>
        <v>762.99999999999977</v>
      </c>
    </row>
    <row r="19" spans="1:9" x14ac:dyDescent="0.25">
      <c r="A19" s="29">
        <v>42202</v>
      </c>
      <c r="B19" s="78" t="s">
        <v>16</v>
      </c>
      <c r="C19" s="14">
        <v>0</v>
      </c>
      <c r="D19" s="14">
        <v>0</v>
      </c>
      <c r="E19" s="14">
        <f>725.27+1.73</f>
        <v>727</v>
      </c>
      <c r="F19" s="18">
        <f t="shared" si="4"/>
        <v>727</v>
      </c>
      <c r="G19" s="14">
        <v>0</v>
      </c>
      <c r="H19" s="14">
        <v>0</v>
      </c>
      <c r="I19" s="19">
        <f t="shared" si="5"/>
        <v>727</v>
      </c>
    </row>
    <row r="20" spans="1:9" ht="15.75" thickBot="1" x14ac:dyDescent="0.3">
      <c r="A20" s="29">
        <v>42262</v>
      </c>
      <c r="B20" s="96" t="s">
        <v>17</v>
      </c>
      <c r="C20" s="18">
        <v>7944.07</v>
      </c>
      <c r="D20" s="18">
        <v>5000</v>
      </c>
      <c r="E20" s="18">
        <f>1128.2+29.44+1.29</f>
        <v>1158.93</v>
      </c>
      <c r="F20" s="18">
        <f t="shared" si="4"/>
        <v>4103</v>
      </c>
      <c r="G20" s="14">
        <v>3900</v>
      </c>
      <c r="H20" s="14">
        <v>0</v>
      </c>
      <c r="I20" s="19">
        <f t="shared" si="5"/>
        <v>203</v>
      </c>
    </row>
    <row r="21" spans="1:9" ht="15.75" thickBot="1" x14ac:dyDescent="0.3">
      <c r="A21" s="60"/>
      <c r="B21" s="25" t="s">
        <v>14</v>
      </c>
      <c r="C21" s="20">
        <f t="shared" ref="C21:I21" si="6">SUM(C18:C20)</f>
        <v>13698.52</v>
      </c>
      <c r="D21" s="20">
        <f t="shared" si="6"/>
        <v>10000</v>
      </c>
      <c r="E21" s="20">
        <f t="shared" si="6"/>
        <v>1894.48</v>
      </c>
      <c r="F21" s="20">
        <f t="shared" si="6"/>
        <v>5593</v>
      </c>
      <c r="G21" s="20">
        <f t="shared" si="6"/>
        <v>3900</v>
      </c>
      <c r="H21" s="20">
        <f t="shared" si="6"/>
        <v>0</v>
      </c>
      <c r="I21" s="21">
        <f t="shared" si="6"/>
        <v>1692.9999999999998</v>
      </c>
    </row>
    <row r="22" spans="1:9" ht="15.75" thickBot="1" x14ac:dyDescent="0.3"/>
    <row r="23" spans="1:9" ht="15.75" thickBot="1" x14ac:dyDescent="0.3">
      <c r="A23" s="75">
        <v>2016</v>
      </c>
      <c r="B23" s="28"/>
    </row>
    <row r="24" spans="1:9" ht="15.75" thickBot="1" x14ac:dyDescent="0.3">
      <c r="A24" s="67" t="s">
        <v>0</v>
      </c>
      <c r="B24" s="68" t="s">
        <v>1</v>
      </c>
      <c r="C24" s="69" t="s">
        <v>2</v>
      </c>
      <c r="D24" s="70" t="s">
        <v>3</v>
      </c>
      <c r="E24" s="70" t="s">
        <v>4</v>
      </c>
      <c r="F24" s="71" t="s">
        <v>5</v>
      </c>
      <c r="G24" s="70" t="s">
        <v>6</v>
      </c>
      <c r="H24" s="70" t="s">
        <v>7</v>
      </c>
      <c r="I24" s="72" t="s">
        <v>8</v>
      </c>
    </row>
    <row r="25" spans="1:9" x14ac:dyDescent="0.25">
      <c r="A25" s="73">
        <v>42615</v>
      </c>
      <c r="B25" s="62" t="s">
        <v>18</v>
      </c>
      <c r="C25" s="65">
        <v>11893.73</v>
      </c>
      <c r="D25" s="65">
        <v>5000</v>
      </c>
      <c r="E25" s="65">
        <f>68.94+1.33</f>
        <v>70.27</v>
      </c>
      <c r="F25" s="97">
        <f t="shared" ref="F25:F26" si="7">C25-D25+E25</f>
        <v>6964</v>
      </c>
      <c r="G25" s="65">
        <v>0</v>
      </c>
      <c r="H25" s="65">
        <v>0</v>
      </c>
      <c r="I25" s="98">
        <f t="shared" ref="I25:I26" si="8">+F25-G25+H25</f>
        <v>6964</v>
      </c>
    </row>
    <row r="26" spans="1:9" ht="15.75" thickBot="1" x14ac:dyDescent="0.3">
      <c r="A26" s="29">
        <v>42726</v>
      </c>
      <c r="B26" s="78" t="s">
        <v>19</v>
      </c>
      <c r="C26" s="14">
        <v>9151.23</v>
      </c>
      <c r="D26" s="14">
        <v>5000</v>
      </c>
      <c r="E26" s="14">
        <f>41.51+1.26</f>
        <v>42.769999999999996</v>
      </c>
      <c r="F26" s="18">
        <f t="shared" si="7"/>
        <v>4194</v>
      </c>
      <c r="G26" s="14">
        <v>0</v>
      </c>
      <c r="H26" s="14">
        <v>0</v>
      </c>
      <c r="I26" s="19">
        <f t="shared" si="8"/>
        <v>4194</v>
      </c>
    </row>
    <row r="27" spans="1:9" ht="15.75" thickBot="1" x14ac:dyDescent="0.3">
      <c r="A27" s="60"/>
      <c r="B27" s="25" t="s">
        <v>14</v>
      </c>
      <c r="C27" s="20">
        <f t="shared" ref="C27:I27" si="9">SUM(C25:C26)</f>
        <v>21044.959999999999</v>
      </c>
      <c r="D27" s="20">
        <f t="shared" si="9"/>
        <v>10000</v>
      </c>
      <c r="E27" s="20">
        <f t="shared" si="9"/>
        <v>113.03999999999999</v>
      </c>
      <c r="F27" s="20">
        <f t="shared" si="9"/>
        <v>11158</v>
      </c>
      <c r="G27" s="20">
        <f t="shared" si="9"/>
        <v>0</v>
      </c>
      <c r="H27" s="20">
        <f t="shared" si="9"/>
        <v>0</v>
      </c>
      <c r="I27" s="21">
        <f t="shared" si="9"/>
        <v>11158</v>
      </c>
    </row>
    <row r="28" spans="1:9" ht="15.75" thickBot="1" x14ac:dyDescent="0.3">
      <c r="A28" s="41"/>
      <c r="B28" s="41"/>
      <c r="C28" s="46"/>
      <c r="D28" s="46"/>
      <c r="E28" s="46"/>
      <c r="F28" s="46"/>
      <c r="G28" s="46"/>
      <c r="H28" s="46"/>
      <c r="I28" s="46"/>
    </row>
    <row r="29" spans="1:9" ht="15.75" thickBot="1" x14ac:dyDescent="0.3">
      <c r="A29" s="99">
        <v>2017</v>
      </c>
    </row>
    <row r="30" spans="1:9" ht="15.75" thickBot="1" x14ac:dyDescent="0.3">
      <c r="A30" s="67" t="s">
        <v>0</v>
      </c>
      <c r="B30" s="68" t="s">
        <v>1</v>
      </c>
      <c r="C30" s="69" t="s">
        <v>2</v>
      </c>
      <c r="D30" s="70" t="s">
        <v>3</v>
      </c>
      <c r="E30" s="70" t="s">
        <v>4</v>
      </c>
      <c r="F30" s="71" t="s">
        <v>5</v>
      </c>
      <c r="G30" s="70" t="s">
        <v>6</v>
      </c>
      <c r="H30" s="70" t="s">
        <v>7</v>
      </c>
      <c r="I30" s="72" t="s">
        <v>8</v>
      </c>
    </row>
    <row r="31" spans="1:9" ht="15.75" thickBot="1" x14ac:dyDescent="0.3">
      <c r="A31" s="73">
        <v>43041</v>
      </c>
      <c r="B31" s="77" t="s">
        <v>20</v>
      </c>
      <c r="C31" s="65">
        <v>35911.629999999997</v>
      </c>
      <c r="D31" s="65">
        <v>5000</v>
      </c>
      <c r="E31" s="65">
        <v>4043.04</v>
      </c>
      <c r="F31" s="97">
        <f t="shared" ref="F31" si="10">C31-D31+E31</f>
        <v>34954.67</v>
      </c>
      <c r="G31" s="65">
        <v>0</v>
      </c>
      <c r="H31" s="65">
        <v>0</v>
      </c>
      <c r="I31" s="98">
        <f t="shared" ref="I31" si="11">+F31-G31+H31</f>
        <v>34954.67</v>
      </c>
    </row>
    <row r="32" spans="1:9" ht="15.75" thickBot="1" x14ac:dyDescent="0.3">
      <c r="A32" s="60"/>
      <c r="B32" s="25" t="s">
        <v>14</v>
      </c>
      <c r="C32" s="20">
        <f t="shared" ref="C32:I32" si="12">SUM(C31:C31)</f>
        <v>35911.629999999997</v>
      </c>
      <c r="D32" s="20">
        <f t="shared" si="12"/>
        <v>5000</v>
      </c>
      <c r="E32" s="20">
        <f t="shared" si="12"/>
        <v>4043.04</v>
      </c>
      <c r="F32" s="20">
        <f t="shared" si="12"/>
        <v>34954.67</v>
      </c>
      <c r="G32" s="20">
        <f t="shared" si="12"/>
        <v>0</v>
      </c>
      <c r="H32" s="20">
        <f t="shared" si="12"/>
        <v>0</v>
      </c>
      <c r="I32" s="21">
        <f t="shared" si="12"/>
        <v>34954.67</v>
      </c>
    </row>
    <row r="33" spans="1:10" ht="15.75" thickBot="1" x14ac:dyDescent="0.3"/>
    <row r="34" spans="1:10" ht="15.75" thickBot="1" x14ac:dyDescent="0.3">
      <c r="A34" s="99">
        <v>2018</v>
      </c>
    </row>
    <row r="35" spans="1:10" ht="15.75" thickBot="1" x14ac:dyDescent="0.3">
      <c r="A35" s="67" t="s">
        <v>0</v>
      </c>
      <c r="B35" s="68" t="s">
        <v>1</v>
      </c>
      <c r="C35" s="69" t="s">
        <v>2</v>
      </c>
      <c r="D35" s="70" t="s">
        <v>3</v>
      </c>
      <c r="E35" s="70" t="s">
        <v>4</v>
      </c>
      <c r="F35" s="71" t="s">
        <v>5</v>
      </c>
      <c r="G35" s="70" t="s">
        <v>6</v>
      </c>
      <c r="H35" s="70" t="s">
        <v>7</v>
      </c>
      <c r="I35" s="72" t="s">
        <v>8</v>
      </c>
    </row>
    <row r="36" spans="1:10" x14ac:dyDescent="0.25">
      <c r="A36" s="73">
        <v>43160</v>
      </c>
      <c r="B36" s="62" t="s">
        <v>21</v>
      </c>
      <c r="C36" s="65" t="s">
        <v>22</v>
      </c>
      <c r="D36" s="65">
        <v>5000</v>
      </c>
      <c r="E36" s="65">
        <f>8729.85+2691.68</f>
        <v>11421.53</v>
      </c>
      <c r="F36" s="97">
        <f>E36</f>
        <v>11421.53</v>
      </c>
      <c r="G36" s="65">
        <v>0</v>
      </c>
      <c r="H36" s="65">
        <v>0</v>
      </c>
      <c r="I36" s="98">
        <f>F36-G36+H36</f>
        <v>11421.53</v>
      </c>
    </row>
    <row r="37" spans="1:10" x14ac:dyDescent="0.25">
      <c r="A37" s="29">
        <v>43224</v>
      </c>
      <c r="B37" s="78" t="s">
        <v>23</v>
      </c>
      <c r="C37" s="14">
        <v>5000</v>
      </c>
      <c r="D37" s="14">
        <v>5000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t="s">
        <v>24</v>
      </c>
    </row>
    <row r="38" spans="1:10" x14ac:dyDescent="0.25">
      <c r="A38" s="29">
        <v>43404</v>
      </c>
      <c r="B38" s="79" t="s">
        <v>25</v>
      </c>
      <c r="C38" s="14">
        <v>7898.57</v>
      </c>
      <c r="D38" s="14">
        <v>5000</v>
      </c>
      <c r="E38" s="14">
        <f>2292.27+28.99+1.17</f>
        <v>2322.4299999999998</v>
      </c>
      <c r="F38" s="14">
        <f>C38-D38+E38</f>
        <v>5221</v>
      </c>
      <c r="G38" s="14">
        <v>0</v>
      </c>
      <c r="H38" s="14">
        <v>0</v>
      </c>
      <c r="I38" s="14">
        <f>F38-G38+H38</f>
        <v>5221</v>
      </c>
    </row>
    <row r="39" spans="1:10" ht="15.75" thickBot="1" x14ac:dyDescent="0.3">
      <c r="A39" s="29">
        <v>43449</v>
      </c>
      <c r="B39" s="79" t="s">
        <v>26</v>
      </c>
      <c r="C39" s="14">
        <v>7898.57</v>
      </c>
      <c r="D39" s="14">
        <v>5000</v>
      </c>
      <c r="E39" s="14">
        <f>2292.27+365.11+460.27+134.98+772.94</f>
        <v>4025.57</v>
      </c>
      <c r="F39" s="14">
        <f>C39-D39+E39</f>
        <v>6924.1399999999994</v>
      </c>
      <c r="G39" s="14">
        <v>9477.1</v>
      </c>
      <c r="H39" s="14">
        <v>0</v>
      </c>
      <c r="I39" s="14">
        <v>2447.04</v>
      </c>
    </row>
    <row r="40" spans="1:10" ht="15.75" thickBot="1" x14ac:dyDescent="0.3">
      <c r="A40" s="60"/>
      <c r="B40" s="25" t="s">
        <v>14</v>
      </c>
      <c r="C40" s="20">
        <f t="shared" ref="C40:I40" si="13">SUM(C36:C39)</f>
        <v>20797.14</v>
      </c>
      <c r="D40" s="20">
        <f t="shared" si="13"/>
        <v>20000</v>
      </c>
      <c r="E40" s="20">
        <f t="shared" si="13"/>
        <v>17769.530000000002</v>
      </c>
      <c r="F40" s="20">
        <f t="shared" si="13"/>
        <v>23566.67</v>
      </c>
      <c r="G40" s="20">
        <f t="shared" si="13"/>
        <v>9477.1</v>
      </c>
      <c r="H40" s="20">
        <f t="shared" si="13"/>
        <v>0</v>
      </c>
      <c r="I40" s="21">
        <f t="shared" si="13"/>
        <v>19089.57</v>
      </c>
    </row>
    <row r="41" spans="1:10" ht="15.75" thickBot="1" x14ac:dyDescent="0.3">
      <c r="A41" s="41"/>
      <c r="B41" s="41"/>
      <c r="C41" s="46"/>
      <c r="D41" s="46"/>
      <c r="E41" s="46"/>
      <c r="F41" s="46"/>
      <c r="G41" s="46"/>
      <c r="H41" s="46"/>
      <c r="I41" s="46"/>
    </row>
    <row r="42" spans="1:10" ht="15.75" thickBot="1" x14ac:dyDescent="0.3">
      <c r="A42" s="99">
        <v>2019</v>
      </c>
    </row>
    <row r="43" spans="1:10" ht="15.75" thickBot="1" x14ac:dyDescent="0.3">
      <c r="A43" s="67" t="s">
        <v>0</v>
      </c>
      <c r="B43" s="68" t="s">
        <v>1</v>
      </c>
      <c r="C43" s="69" t="s">
        <v>2</v>
      </c>
      <c r="D43" s="70" t="s">
        <v>3</v>
      </c>
      <c r="E43" s="70" t="s">
        <v>4</v>
      </c>
      <c r="F43" s="71" t="s">
        <v>5</v>
      </c>
      <c r="G43" s="70" t="s">
        <v>6</v>
      </c>
      <c r="H43" s="70" t="s">
        <v>7</v>
      </c>
      <c r="I43" s="72" t="s">
        <v>8</v>
      </c>
    </row>
    <row r="44" spans="1:10" x14ac:dyDescent="0.25">
      <c r="A44" s="73">
        <v>43509</v>
      </c>
      <c r="B44" s="77" t="s">
        <v>23</v>
      </c>
      <c r="C44" s="100">
        <v>5000</v>
      </c>
      <c r="D44" s="100">
        <v>5000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t="s">
        <v>24</v>
      </c>
    </row>
    <row r="45" spans="1:10" x14ac:dyDescent="0.25">
      <c r="A45" s="29">
        <v>43622</v>
      </c>
      <c r="B45" s="79" t="s">
        <v>23</v>
      </c>
      <c r="C45" s="31">
        <v>5000</v>
      </c>
      <c r="D45" s="31">
        <v>5000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t="s">
        <v>24</v>
      </c>
    </row>
    <row r="46" spans="1:10" x14ac:dyDescent="0.25">
      <c r="A46" s="29">
        <v>43760</v>
      </c>
      <c r="B46" s="79" t="s">
        <v>27</v>
      </c>
      <c r="C46" s="31" t="s">
        <v>22</v>
      </c>
      <c r="D46" s="31">
        <v>5000</v>
      </c>
      <c r="E46" s="31">
        <v>3001.89</v>
      </c>
      <c r="F46" s="31">
        <v>3001.89</v>
      </c>
      <c r="G46" s="31">
        <v>0</v>
      </c>
      <c r="H46" s="31">
        <v>0</v>
      </c>
      <c r="I46" s="31">
        <f>F46-G46+H46</f>
        <v>3001.89</v>
      </c>
    </row>
    <row r="47" spans="1:10" x14ac:dyDescent="0.25">
      <c r="A47" s="29">
        <v>43829</v>
      </c>
      <c r="B47" s="79" t="s">
        <v>28</v>
      </c>
      <c r="C47" s="32">
        <v>7182.56</v>
      </c>
      <c r="D47" s="32">
        <v>5000</v>
      </c>
      <c r="E47" s="32">
        <v>21.83</v>
      </c>
      <c r="F47" s="32">
        <f>+C47-D47+E47</f>
        <v>2204.3900000000003</v>
      </c>
      <c r="G47" s="32">
        <v>0</v>
      </c>
      <c r="H47" s="32">
        <v>0</v>
      </c>
      <c r="I47" s="32">
        <f>+F47-G47+H47</f>
        <v>2204.3900000000003</v>
      </c>
    </row>
    <row r="48" spans="1:10" ht="15.75" thickBot="1" x14ac:dyDescent="0.3">
      <c r="A48" s="29">
        <v>43830</v>
      </c>
      <c r="B48" s="101" t="s">
        <v>29</v>
      </c>
      <c r="C48" s="102">
        <v>102475.14</v>
      </c>
      <c r="D48" s="102">
        <v>5000</v>
      </c>
      <c r="E48" s="102">
        <f>5590.67+974.75</f>
        <v>6565.42</v>
      </c>
      <c r="F48" s="102">
        <f>+C48-D48+E48</f>
        <v>104040.56</v>
      </c>
      <c r="G48" s="102">
        <v>0</v>
      </c>
      <c r="H48" s="102">
        <v>0</v>
      </c>
      <c r="I48" s="102">
        <f>+F48-G48+H48</f>
        <v>104040.56</v>
      </c>
    </row>
    <row r="49" spans="1:9" ht="15.75" thickBot="1" x14ac:dyDescent="0.3">
      <c r="A49" s="60"/>
      <c r="B49" s="25" t="s">
        <v>14</v>
      </c>
      <c r="C49" s="103">
        <f t="shared" ref="C49:I49" si="14">SUM(C44:C48)</f>
        <v>119657.7</v>
      </c>
      <c r="D49" s="103">
        <f t="shared" si="14"/>
        <v>25000</v>
      </c>
      <c r="E49" s="103">
        <f t="shared" si="14"/>
        <v>9589.14</v>
      </c>
      <c r="F49" s="103">
        <f t="shared" si="14"/>
        <v>109246.84</v>
      </c>
      <c r="G49" s="103">
        <f t="shared" si="14"/>
        <v>0</v>
      </c>
      <c r="H49" s="103">
        <f t="shared" si="14"/>
        <v>0</v>
      </c>
      <c r="I49" s="104">
        <f t="shared" si="14"/>
        <v>109246.84</v>
      </c>
    </row>
    <row r="51" spans="1:9" ht="15.75" thickBot="1" x14ac:dyDescent="0.3"/>
    <row r="52" spans="1:9" ht="15.75" thickBot="1" x14ac:dyDescent="0.3">
      <c r="A52" s="99">
        <v>2020</v>
      </c>
    </row>
    <row r="53" spans="1:9" ht="15.75" thickBot="1" x14ac:dyDescent="0.3">
      <c r="A53" s="67" t="s">
        <v>0</v>
      </c>
      <c r="B53" s="68" t="s">
        <v>1</v>
      </c>
      <c r="C53" s="69" t="s">
        <v>2</v>
      </c>
      <c r="D53" s="70" t="s">
        <v>3</v>
      </c>
      <c r="E53" s="70" t="s">
        <v>4</v>
      </c>
      <c r="F53" s="71" t="s">
        <v>5</v>
      </c>
      <c r="G53" s="70" t="s">
        <v>6</v>
      </c>
      <c r="H53" s="70" t="s">
        <v>7</v>
      </c>
      <c r="I53" s="72" t="s">
        <v>8</v>
      </c>
    </row>
    <row r="54" spans="1:9" x14ac:dyDescent="0.25">
      <c r="A54" s="73">
        <v>43831</v>
      </c>
      <c r="B54" s="107" t="s">
        <v>30</v>
      </c>
      <c r="C54" s="108">
        <f>12964.04+820.66</f>
        <v>13784.7</v>
      </c>
      <c r="D54" s="109">
        <v>5000</v>
      </c>
      <c r="E54" s="109">
        <f>79.64+8.21</f>
        <v>87.85</v>
      </c>
      <c r="F54" s="110">
        <f>+C54-D54+E54</f>
        <v>8872.5500000000011</v>
      </c>
      <c r="G54" s="110">
        <v>0</v>
      </c>
      <c r="H54" s="110">
        <v>0</v>
      </c>
      <c r="I54" s="110">
        <f>+F54-G54+H54</f>
        <v>8872.5500000000011</v>
      </c>
    </row>
    <row r="55" spans="1:9" x14ac:dyDescent="0.25">
      <c r="A55" s="29">
        <v>43890</v>
      </c>
      <c r="B55" s="12" t="s">
        <v>31</v>
      </c>
      <c r="C55" s="14">
        <v>0</v>
      </c>
      <c r="D55" s="14">
        <v>0</v>
      </c>
      <c r="E55" s="14">
        <f>502.21+388.41</f>
        <v>890.62</v>
      </c>
      <c r="F55" s="14">
        <f>+E55</f>
        <v>890.62</v>
      </c>
      <c r="G55" s="14">
        <v>0</v>
      </c>
      <c r="H55" s="14">
        <v>0</v>
      </c>
      <c r="I55" s="14">
        <f>+F55</f>
        <v>890.62</v>
      </c>
    </row>
    <row r="56" spans="1:9" ht="15.75" thickBot="1" x14ac:dyDescent="0.3">
      <c r="A56" s="29">
        <v>44103</v>
      </c>
      <c r="B56" s="17" t="s">
        <v>32</v>
      </c>
      <c r="C56" s="18">
        <v>22811.99</v>
      </c>
      <c r="D56" s="18">
        <v>5000</v>
      </c>
      <c r="E56" s="18">
        <f>178.12+2074.85</f>
        <v>2252.9699999999998</v>
      </c>
      <c r="F56" s="105">
        <f>+C56-D56+E56</f>
        <v>20064.960000000003</v>
      </c>
      <c r="G56" s="105">
        <v>0</v>
      </c>
      <c r="H56" s="105">
        <v>0</v>
      </c>
      <c r="I56" s="105">
        <f>+F56-G56+H56</f>
        <v>20064.960000000003</v>
      </c>
    </row>
    <row r="57" spans="1:9" ht="15.75" thickBot="1" x14ac:dyDescent="0.3">
      <c r="A57" s="60"/>
      <c r="B57" s="106" t="s">
        <v>8</v>
      </c>
      <c r="C57" s="82">
        <f t="shared" ref="C57:I57" si="15">SUM(C54:C56)</f>
        <v>36596.69</v>
      </c>
      <c r="D57" s="82">
        <f t="shared" si="15"/>
        <v>10000</v>
      </c>
      <c r="E57" s="82">
        <f t="shared" si="15"/>
        <v>3231.4399999999996</v>
      </c>
      <c r="F57" s="82">
        <f t="shared" si="15"/>
        <v>29828.130000000005</v>
      </c>
      <c r="G57" s="82">
        <f t="shared" si="15"/>
        <v>0</v>
      </c>
      <c r="H57" s="82">
        <f t="shared" si="15"/>
        <v>0</v>
      </c>
      <c r="I57" s="117">
        <f t="shared" si="15"/>
        <v>29828.130000000005</v>
      </c>
    </row>
    <row r="58" spans="1:9" ht="15.75" thickBot="1" x14ac:dyDescent="0.3"/>
    <row r="59" spans="1:9" ht="15.75" thickBot="1" x14ac:dyDescent="0.3">
      <c r="A59" s="99">
        <v>2021</v>
      </c>
    </row>
    <row r="60" spans="1:9" x14ac:dyDescent="0.25">
      <c r="A60" s="5" t="s">
        <v>0</v>
      </c>
      <c r="B60" s="6" t="s">
        <v>1</v>
      </c>
      <c r="C60" s="7" t="s">
        <v>2</v>
      </c>
      <c r="D60" s="8" t="s">
        <v>3</v>
      </c>
      <c r="E60" s="8" t="s">
        <v>4</v>
      </c>
      <c r="F60" s="9" t="s">
        <v>5</v>
      </c>
      <c r="G60" s="8" t="s">
        <v>6</v>
      </c>
      <c r="H60" s="8" t="s">
        <v>7</v>
      </c>
      <c r="I60" s="10" t="s">
        <v>8</v>
      </c>
    </row>
    <row r="61" spans="1:9" ht="15.75" thickBot="1" x14ac:dyDescent="0.3">
      <c r="A61" s="16">
        <v>44242</v>
      </c>
      <c r="B61" s="13" t="s">
        <v>33</v>
      </c>
      <c r="C61" s="33">
        <v>16303.62</v>
      </c>
      <c r="D61" s="34">
        <v>5000</v>
      </c>
      <c r="E61" s="34">
        <f>113.04+2735.71</f>
        <v>2848.75</v>
      </c>
      <c r="F61" s="32">
        <f>C61-D61+E61</f>
        <v>14152.37</v>
      </c>
      <c r="G61" s="32">
        <v>4023.71</v>
      </c>
      <c r="H61" s="32">
        <v>0</v>
      </c>
      <c r="I61" s="32">
        <f>+F61-G61+H61</f>
        <v>10128.66</v>
      </c>
    </row>
    <row r="62" spans="1:9" ht="15.75" thickBot="1" x14ac:dyDescent="0.3">
      <c r="A62" s="60"/>
      <c r="B62" s="106" t="s">
        <v>8</v>
      </c>
      <c r="C62" s="82">
        <f t="shared" ref="C62:I62" si="16">SUM(C59:C61)</f>
        <v>16303.62</v>
      </c>
      <c r="D62" s="82">
        <f t="shared" si="16"/>
        <v>5000</v>
      </c>
      <c r="E62" s="82">
        <f t="shared" si="16"/>
        <v>2848.75</v>
      </c>
      <c r="F62" s="82">
        <f t="shared" si="16"/>
        <v>14152.37</v>
      </c>
      <c r="G62" s="82">
        <f t="shared" si="16"/>
        <v>4023.71</v>
      </c>
      <c r="H62" s="82">
        <f t="shared" si="16"/>
        <v>0</v>
      </c>
      <c r="I62" s="118">
        <f t="shared" si="16"/>
        <v>10128.66</v>
      </c>
    </row>
    <row r="63" spans="1:9" ht="15.75" thickBot="1" x14ac:dyDescent="0.3"/>
    <row r="64" spans="1:9" x14ac:dyDescent="0.25">
      <c r="A64" s="99">
        <v>2022</v>
      </c>
    </row>
    <row r="65" spans="1:9" x14ac:dyDescent="0.25">
      <c r="A65" s="35" t="s">
        <v>0</v>
      </c>
      <c r="B65" s="35" t="s">
        <v>1</v>
      </c>
      <c r="C65" s="36" t="s">
        <v>2</v>
      </c>
      <c r="D65" s="37" t="s">
        <v>3</v>
      </c>
      <c r="E65" s="37" t="s">
        <v>4</v>
      </c>
      <c r="F65" s="38" t="s">
        <v>5</v>
      </c>
      <c r="G65" s="37" t="s">
        <v>6</v>
      </c>
      <c r="H65" s="37" t="s">
        <v>7</v>
      </c>
      <c r="I65" s="38" t="s">
        <v>8</v>
      </c>
    </row>
    <row r="66" spans="1:9" x14ac:dyDescent="0.25">
      <c r="A66" s="29">
        <v>44610</v>
      </c>
      <c r="B66" s="12" t="s">
        <v>34</v>
      </c>
      <c r="C66" s="14">
        <v>26762.54</v>
      </c>
      <c r="D66" s="14">
        <v>5000</v>
      </c>
      <c r="E66" s="14">
        <f>2117.83+2561.97+217.63</f>
        <v>4897.4299999999994</v>
      </c>
      <c r="F66" s="32">
        <f>C66-D66+E66</f>
        <v>26659.97</v>
      </c>
      <c r="G66" s="32">
        <v>0</v>
      </c>
      <c r="H66" s="32">
        <v>0</v>
      </c>
      <c r="I66" s="32">
        <f>+F66-G66+H66</f>
        <v>26659.97</v>
      </c>
    </row>
    <row r="67" spans="1:9" x14ac:dyDescent="0.25">
      <c r="A67" s="29">
        <v>44700</v>
      </c>
      <c r="B67" s="12" t="s">
        <v>35</v>
      </c>
      <c r="C67" s="14">
        <v>60000</v>
      </c>
      <c r="D67" s="14">
        <v>5000</v>
      </c>
      <c r="E67" s="14">
        <f>3183.92+2476.57+550</f>
        <v>6210.49</v>
      </c>
      <c r="F67" s="32">
        <f>C67-D67+E67</f>
        <v>61210.49</v>
      </c>
      <c r="G67" s="32">
        <v>0</v>
      </c>
      <c r="H67" s="32">
        <v>0</v>
      </c>
      <c r="I67" s="32">
        <f>+F67-G67+H67</f>
        <v>61210.49</v>
      </c>
    </row>
    <row r="68" spans="1:9" x14ac:dyDescent="0.25">
      <c r="A68" s="29">
        <v>44832</v>
      </c>
      <c r="B68" s="30" t="s">
        <v>36</v>
      </c>
      <c r="C68" s="14">
        <v>5789.82</v>
      </c>
      <c r="D68" s="14">
        <v>5000</v>
      </c>
      <c r="E68" s="14">
        <f>2625.95+7.9</f>
        <v>2633.85</v>
      </c>
      <c r="F68" s="14">
        <f>C68-D68+E68</f>
        <v>3423.6699999999996</v>
      </c>
      <c r="G68" s="14">
        <v>0</v>
      </c>
      <c r="H68" s="14">
        <v>0</v>
      </c>
      <c r="I68" s="14">
        <f>+F68-G68+H68</f>
        <v>3423.6699999999996</v>
      </c>
    </row>
    <row r="69" spans="1:9" ht="15.75" thickBot="1" x14ac:dyDescent="0.3">
      <c r="A69" s="29">
        <v>44915</v>
      </c>
      <c r="B69" s="17" t="s">
        <v>37</v>
      </c>
      <c r="C69" s="18">
        <v>16742.580000000002</v>
      </c>
      <c r="D69" s="18">
        <v>5000</v>
      </c>
      <c r="E69" s="18">
        <f>1833.86+117.43</f>
        <v>1951.29</v>
      </c>
      <c r="F69" s="18">
        <f>C69-D69+E69</f>
        <v>13693.870000000003</v>
      </c>
      <c r="G69" s="18">
        <v>13200</v>
      </c>
      <c r="H69" s="18">
        <v>0</v>
      </c>
      <c r="I69" s="18">
        <f>+F69-G69+H69</f>
        <v>493.87000000000262</v>
      </c>
    </row>
    <row r="70" spans="1:9" ht="15.75" thickBot="1" x14ac:dyDescent="0.3">
      <c r="A70" s="60"/>
      <c r="B70" s="106" t="s">
        <v>8</v>
      </c>
      <c r="C70" s="82">
        <f t="shared" ref="C70:I70" si="17">SUM(C66:C69)</f>
        <v>109294.94000000002</v>
      </c>
      <c r="D70" s="82">
        <f t="shared" si="17"/>
        <v>20000</v>
      </c>
      <c r="E70" s="82">
        <f t="shared" si="17"/>
        <v>15693.059999999998</v>
      </c>
      <c r="F70" s="82">
        <f t="shared" si="17"/>
        <v>104988</v>
      </c>
      <c r="G70" s="82">
        <f t="shared" si="17"/>
        <v>13200</v>
      </c>
      <c r="H70" s="82">
        <f t="shared" si="17"/>
        <v>0</v>
      </c>
      <c r="I70" s="117">
        <f t="shared" si="17"/>
        <v>91788</v>
      </c>
    </row>
    <row r="71" spans="1:9" ht="15.75" thickBot="1" x14ac:dyDescent="0.3"/>
    <row r="72" spans="1:9" ht="15.75" thickBot="1" x14ac:dyDescent="0.3">
      <c r="A72" s="99">
        <v>2023</v>
      </c>
    </row>
    <row r="73" spans="1:9" ht="15.75" thickBot="1" x14ac:dyDescent="0.3">
      <c r="A73" s="67" t="s">
        <v>0</v>
      </c>
      <c r="B73" s="68" t="s">
        <v>1</v>
      </c>
      <c r="C73" s="69" t="s">
        <v>2</v>
      </c>
      <c r="D73" s="70" t="s">
        <v>3</v>
      </c>
      <c r="E73" s="70" t="s">
        <v>4</v>
      </c>
      <c r="F73" s="71" t="s">
        <v>5</v>
      </c>
      <c r="G73" s="70" t="s">
        <v>6</v>
      </c>
      <c r="H73" s="70" t="s">
        <v>7</v>
      </c>
      <c r="I73" s="72" t="s">
        <v>8</v>
      </c>
    </row>
    <row r="74" spans="1:9" ht="15.75" thickBot="1" x14ac:dyDescent="0.3">
      <c r="A74" s="111">
        <v>45254</v>
      </c>
      <c r="B74" s="107" t="s">
        <v>38</v>
      </c>
      <c r="C74" s="108" t="s">
        <v>39</v>
      </c>
      <c r="D74" s="109">
        <v>5000</v>
      </c>
      <c r="E74" s="109">
        <v>0</v>
      </c>
      <c r="F74" s="110">
        <v>0</v>
      </c>
      <c r="G74" s="110">
        <v>0</v>
      </c>
      <c r="H74" s="110">
        <v>0</v>
      </c>
      <c r="I74" s="110">
        <f>+F74-G74+H74</f>
        <v>0</v>
      </c>
    </row>
    <row r="75" spans="1:9" ht="15.75" thickBot="1" x14ac:dyDescent="0.3">
      <c r="A75" s="12"/>
      <c r="B75" s="106" t="s">
        <v>8</v>
      </c>
      <c r="C75" s="82">
        <f t="shared" ref="C75:I75" si="18">SUM(C71:C74)</f>
        <v>0</v>
      </c>
      <c r="D75" s="82">
        <f t="shared" si="18"/>
        <v>5000</v>
      </c>
      <c r="E75" s="82">
        <f t="shared" si="18"/>
        <v>0</v>
      </c>
      <c r="F75" s="82">
        <f t="shared" si="18"/>
        <v>0</v>
      </c>
      <c r="G75" s="82">
        <f t="shared" si="18"/>
        <v>0</v>
      </c>
      <c r="H75" s="82">
        <f t="shared" si="18"/>
        <v>0</v>
      </c>
      <c r="I75" s="82">
        <f t="shared" si="18"/>
        <v>0</v>
      </c>
    </row>
    <row r="76" spans="1:9" ht="15.75" thickBot="1" x14ac:dyDescent="0.3"/>
    <row r="77" spans="1:9" ht="15.75" thickBot="1" x14ac:dyDescent="0.3">
      <c r="A77" s="99">
        <v>2024</v>
      </c>
    </row>
    <row r="78" spans="1:9" ht="15.75" thickBot="1" x14ac:dyDescent="0.3">
      <c r="A78" s="67" t="s">
        <v>0</v>
      </c>
      <c r="B78" s="68" t="s">
        <v>1</v>
      </c>
      <c r="C78" s="69" t="s">
        <v>2</v>
      </c>
      <c r="D78" s="70" t="s">
        <v>3</v>
      </c>
      <c r="E78" s="70" t="s">
        <v>4</v>
      </c>
      <c r="F78" s="71" t="s">
        <v>5</v>
      </c>
      <c r="G78" s="70" t="s">
        <v>6</v>
      </c>
      <c r="H78" s="70" t="s">
        <v>7</v>
      </c>
      <c r="I78" s="72" t="s">
        <v>8</v>
      </c>
    </row>
    <row r="79" spans="1:9" x14ac:dyDescent="0.25">
      <c r="A79" s="111">
        <v>45446</v>
      </c>
      <c r="B79" s="107" t="s">
        <v>40</v>
      </c>
      <c r="C79" s="108">
        <v>10000</v>
      </c>
      <c r="D79" s="109">
        <v>5000</v>
      </c>
      <c r="E79" s="109">
        <v>1500</v>
      </c>
      <c r="F79" s="110">
        <v>0</v>
      </c>
      <c r="G79" s="110">
        <v>0</v>
      </c>
      <c r="H79" s="110">
        <v>6500</v>
      </c>
      <c r="I79" s="110">
        <f>+F79-G79+H79</f>
        <v>6500</v>
      </c>
    </row>
    <row r="80" spans="1:9" ht="15.75" thickBot="1" x14ac:dyDescent="0.3">
      <c r="A80" s="12"/>
      <c r="B80" s="17"/>
      <c r="C80" s="112"/>
      <c r="D80" s="112"/>
      <c r="E80" s="112"/>
      <c r="F80" s="112"/>
      <c r="G80" s="112"/>
      <c r="H80" s="112"/>
      <c r="I80" s="112"/>
    </row>
    <row r="81" spans="1:9" ht="15.75" thickBot="1" x14ac:dyDescent="0.3">
      <c r="A81" s="60"/>
      <c r="B81" s="113" t="s">
        <v>8</v>
      </c>
      <c r="C81" s="114">
        <f t="shared" ref="C81:I81" si="19">SUM(C79:C80)</f>
        <v>10000</v>
      </c>
      <c r="D81" s="114">
        <f t="shared" si="19"/>
        <v>5000</v>
      </c>
      <c r="E81" s="114">
        <f t="shared" si="19"/>
        <v>1500</v>
      </c>
      <c r="F81" s="114">
        <f t="shared" si="19"/>
        <v>0</v>
      </c>
      <c r="G81" s="114">
        <f t="shared" si="19"/>
        <v>0</v>
      </c>
      <c r="H81" s="114">
        <f t="shared" si="19"/>
        <v>6500</v>
      </c>
      <c r="I81" s="119">
        <f t="shared" si="19"/>
        <v>6500</v>
      </c>
    </row>
    <row r="83" spans="1:9" ht="15.75" thickBot="1" x14ac:dyDescent="0.3"/>
    <row r="84" spans="1:9" ht="15.75" thickBot="1" x14ac:dyDescent="0.3">
      <c r="B84" s="115" t="s">
        <v>105</v>
      </c>
      <c r="C84" s="88"/>
      <c r="D84" s="89"/>
      <c r="E84" s="89"/>
      <c r="F84" s="42"/>
      <c r="G84" s="89"/>
      <c r="H84" s="89"/>
      <c r="I84" s="42"/>
    </row>
    <row r="85" spans="1:9" ht="15.75" thickBot="1" x14ac:dyDescent="0.3">
      <c r="B85" t="s">
        <v>99</v>
      </c>
      <c r="C85" s="91">
        <f t="shared" ref="C85:I85" si="20">C14+C21+C27+C32+C40+C49+C57+C62+C70+C75+C81</f>
        <v>432247.93</v>
      </c>
      <c r="D85" s="91">
        <f t="shared" si="20"/>
        <v>132670</v>
      </c>
      <c r="E85" s="91">
        <f t="shared" si="20"/>
        <v>61138.39</v>
      </c>
      <c r="F85" s="91">
        <f t="shared" si="20"/>
        <v>369216.32</v>
      </c>
      <c r="G85" s="91">
        <f t="shared" si="20"/>
        <v>30600.81</v>
      </c>
      <c r="H85" s="91">
        <f t="shared" si="20"/>
        <v>6500</v>
      </c>
      <c r="I85" s="91">
        <f t="shared" si="20"/>
        <v>350115.51</v>
      </c>
    </row>
    <row r="86" spans="1:9" ht="15.75" thickBot="1" x14ac:dyDescent="0.3">
      <c r="B86" s="90" t="s">
        <v>100</v>
      </c>
      <c r="C86" s="92">
        <f>C85/11</f>
        <v>39295.266363636365</v>
      </c>
      <c r="D86" s="92">
        <f t="shared" ref="D86:I86" si="21">D85/11</f>
        <v>12060.90909090909</v>
      </c>
      <c r="E86" s="92">
        <f t="shared" si="21"/>
        <v>5558.0354545454547</v>
      </c>
      <c r="F86" s="92">
        <f t="shared" si="21"/>
        <v>33565.120000000003</v>
      </c>
      <c r="G86" s="92">
        <f t="shared" si="21"/>
        <v>2781.8918181818185</v>
      </c>
      <c r="H86" s="93">
        <f t="shared" si="21"/>
        <v>590.90909090909088</v>
      </c>
      <c r="I86" s="116">
        <f t="shared" si="21"/>
        <v>31828.682727272728</v>
      </c>
    </row>
  </sheetData>
  <pageMargins left="0.7" right="0.7" top="0.75" bottom="0.75" header="0.3" footer="0.3"/>
  <pageSetup paperSize="9" orientation="portrait" horizontalDpi="30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121"/>
  <sheetViews>
    <sheetView topLeftCell="A88" workbookViewId="0">
      <selection activeCell="A5" sqref="A5"/>
    </sheetView>
  </sheetViews>
  <sheetFormatPr defaultRowHeight="15" x14ac:dyDescent="0.25"/>
  <cols>
    <col min="1" max="1" width="11" customWidth="1"/>
    <col min="2" max="2" width="54" customWidth="1"/>
    <col min="3" max="9" width="15.7109375" style="3" customWidth="1"/>
  </cols>
  <sheetData>
    <row r="1" spans="1:10" ht="15.75" x14ac:dyDescent="0.25">
      <c r="A1" s="121" t="s">
        <v>102</v>
      </c>
      <c r="B1" s="122"/>
    </row>
    <row r="2" spans="1:10" ht="15.75" x14ac:dyDescent="0.25">
      <c r="A2" s="121" t="s">
        <v>98</v>
      </c>
      <c r="B2" s="122"/>
    </row>
    <row r="3" spans="1:10" ht="15.75" x14ac:dyDescent="0.25">
      <c r="A3" s="53" t="s">
        <v>104</v>
      </c>
      <c r="B3" s="54"/>
    </row>
    <row r="4" spans="1:10" ht="15.75" x14ac:dyDescent="0.25">
      <c r="A4" s="53" t="s">
        <v>106</v>
      </c>
      <c r="B4" s="54"/>
    </row>
    <row r="5" spans="1:10" ht="15.75" x14ac:dyDescent="0.25">
      <c r="A5" s="84" t="s">
        <v>101</v>
      </c>
      <c r="B5" s="54"/>
    </row>
    <row r="6" spans="1:10" ht="15.75" thickBot="1" x14ac:dyDescent="0.3">
      <c r="A6" s="43"/>
      <c r="B6" s="26"/>
      <c r="C6" s="22"/>
      <c r="D6" s="22"/>
      <c r="E6" s="22"/>
      <c r="F6" s="22"/>
      <c r="G6" s="22"/>
      <c r="H6" s="22"/>
      <c r="I6" s="42"/>
    </row>
    <row r="7" spans="1:10" ht="15.75" thickBot="1" x14ac:dyDescent="0.3">
      <c r="A7" s="75">
        <v>2014</v>
      </c>
    </row>
    <row r="8" spans="1:10" ht="15.75" thickBot="1" x14ac:dyDescent="0.3">
      <c r="A8" s="67" t="s">
        <v>0</v>
      </c>
      <c r="B8" s="68" t="s">
        <v>1</v>
      </c>
      <c r="C8" s="69" t="s">
        <v>2</v>
      </c>
      <c r="D8" s="70" t="s">
        <v>3</v>
      </c>
      <c r="E8" s="70" t="s">
        <v>4</v>
      </c>
      <c r="F8" s="71" t="s">
        <v>5</v>
      </c>
      <c r="G8" s="70" t="s">
        <v>6</v>
      </c>
      <c r="H8" s="70" t="s">
        <v>7</v>
      </c>
      <c r="I8" s="72" t="s">
        <v>8</v>
      </c>
    </row>
    <row r="9" spans="1:10" x14ac:dyDescent="0.25">
      <c r="A9" s="61">
        <v>41640</v>
      </c>
      <c r="B9" s="62" t="s">
        <v>42</v>
      </c>
      <c r="C9" s="63">
        <f>14290.97+201.89</f>
        <v>14492.859999999999</v>
      </c>
      <c r="D9" s="64">
        <v>1000</v>
      </c>
      <c r="E9" s="64">
        <f>1169.02+1.19+134.93</f>
        <v>1305.1400000000001</v>
      </c>
      <c r="F9" s="65">
        <f t="shared" ref="F9:F16" si="0">+C9-D9+E9</f>
        <v>14797.999999999998</v>
      </c>
      <c r="G9" s="64">
        <v>0</v>
      </c>
      <c r="H9" s="64">
        <v>0</v>
      </c>
      <c r="I9" s="66">
        <f t="shared" ref="I9:I16" si="1">F9-G9+H9</f>
        <v>14797.999999999998</v>
      </c>
    </row>
    <row r="10" spans="1:10" x14ac:dyDescent="0.25">
      <c r="A10" s="29">
        <v>41660</v>
      </c>
      <c r="B10" s="55" t="s">
        <v>43</v>
      </c>
      <c r="C10" s="14">
        <v>4486.9399999999996</v>
      </c>
      <c r="D10" s="14">
        <v>1000</v>
      </c>
      <c r="E10" s="14">
        <f>34.87+1.19</f>
        <v>36.059999999999995</v>
      </c>
      <c r="F10" s="14">
        <f t="shared" si="0"/>
        <v>3522.9999999999995</v>
      </c>
      <c r="G10" s="14">
        <v>0</v>
      </c>
      <c r="H10" s="14">
        <v>0</v>
      </c>
      <c r="I10" s="15">
        <f t="shared" si="1"/>
        <v>3522.9999999999995</v>
      </c>
    </row>
    <row r="11" spans="1:10" x14ac:dyDescent="0.25">
      <c r="A11" s="29">
        <v>41751</v>
      </c>
      <c r="B11" s="55" t="s">
        <v>44</v>
      </c>
      <c r="C11" s="14">
        <v>4479.8500000000004</v>
      </c>
      <c r="D11" s="14">
        <v>1000</v>
      </c>
      <c r="E11" s="14">
        <f>901.3+34.8+1.06</f>
        <v>937.15999999999985</v>
      </c>
      <c r="F11" s="14">
        <f t="shared" si="0"/>
        <v>4417.01</v>
      </c>
      <c r="G11" s="14">
        <v>0</v>
      </c>
      <c r="H11" s="14">
        <v>0</v>
      </c>
      <c r="I11" s="15">
        <f t="shared" si="1"/>
        <v>4417.01</v>
      </c>
      <c r="J11" s="39"/>
    </row>
    <row r="12" spans="1:10" x14ac:dyDescent="0.25">
      <c r="A12" s="29">
        <v>41729</v>
      </c>
      <c r="B12" s="56" t="s">
        <v>45</v>
      </c>
      <c r="C12" s="14">
        <v>2220.23</v>
      </c>
      <c r="D12" s="14">
        <v>1000</v>
      </c>
      <c r="E12" s="14">
        <f>12.2+1.57</f>
        <v>13.77</v>
      </c>
      <c r="F12" s="14">
        <f t="shared" si="0"/>
        <v>1234</v>
      </c>
      <c r="G12" s="14">
        <v>0</v>
      </c>
      <c r="H12" s="14">
        <v>0</v>
      </c>
      <c r="I12" s="15">
        <f t="shared" si="1"/>
        <v>1234</v>
      </c>
      <c r="J12" s="39"/>
    </row>
    <row r="13" spans="1:10" x14ac:dyDescent="0.25">
      <c r="A13" s="29">
        <v>41891</v>
      </c>
      <c r="B13" s="57" t="s">
        <v>46</v>
      </c>
      <c r="C13" s="18">
        <v>3316.06</v>
      </c>
      <c r="D13" s="18">
        <v>1000</v>
      </c>
      <c r="E13" s="18">
        <f>23.16+1.78</f>
        <v>24.94</v>
      </c>
      <c r="F13" s="14">
        <f t="shared" si="0"/>
        <v>2341</v>
      </c>
      <c r="G13" s="14">
        <v>0</v>
      </c>
      <c r="H13" s="14">
        <v>0</v>
      </c>
      <c r="I13" s="15">
        <f t="shared" si="1"/>
        <v>2341</v>
      </c>
      <c r="J13" s="39"/>
    </row>
    <row r="14" spans="1:10" x14ac:dyDescent="0.25">
      <c r="A14" s="29">
        <v>41863</v>
      </c>
      <c r="B14" s="56" t="s">
        <v>47</v>
      </c>
      <c r="C14" s="14">
        <v>6744.98</v>
      </c>
      <c r="D14" s="14">
        <v>2000</v>
      </c>
      <c r="E14" s="14">
        <f>635.73+47.45+1.84</f>
        <v>685.0200000000001</v>
      </c>
      <c r="F14" s="14">
        <f t="shared" si="0"/>
        <v>5430</v>
      </c>
      <c r="G14" s="14">
        <v>0</v>
      </c>
      <c r="H14" s="14">
        <v>0</v>
      </c>
      <c r="I14" s="15">
        <f t="shared" si="1"/>
        <v>5430</v>
      </c>
      <c r="J14" s="39"/>
    </row>
    <row r="15" spans="1:10" x14ac:dyDescent="0.25">
      <c r="A15" s="29">
        <v>41942</v>
      </c>
      <c r="B15" s="56" t="s">
        <v>48</v>
      </c>
      <c r="C15" s="14">
        <v>4053.98</v>
      </c>
      <c r="D15" s="14">
        <v>1000</v>
      </c>
      <c r="E15" s="14">
        <f>30.54+1.48</f>
        <v>32.019999999999996</v>
      </c>
      <c r="F15" s="14">
        <f t="shared" si="0"/>
        <v>3086</v>
      </c>
      <c r="G15" s="14">
        <v>0</v>
      </c>
      <c r="H15" s="14">
        <v>0</v>
      </c>
      <c r="I15" s="15">
        <f t="shared" si="1"/>
        <v>3086</v>
      </c>
      <c r="J15" s="39"/>
    </row>
    <row r="16" spans="1:10" ht="15.75" thickBot="1" x14ac:dyDescent="0.3">
      <c r="A16" s="29">
        <v>41950</v>
      </c>
      <c r="B16" s="57" t="s">
        <v>49</v>
      </c>
      <c r="C16" s="18">
        <v>2713.43</v>
      </c>
      <c r="D16" s="18">
        <v>1000</v>
      </c>
      <c r="E16" s="18">
        <f>17.13+1.44</f>
        <v>18.57</v>
      </c>
      <c r="F16" s="14">
        <f t="shared" si="0"/>
        <v>1731.9999999999998</v>
      </c>
      <c r="G16" s="14">
        <v>0</v>
      </c>
      <c r="H16" s="14">
        <v>0</v>
      </c>
      <c r="I16" s="15">
        <f t="shared" si="1"/>
        <v>1731.9999999999998</v>
      </c>
      <c r="J16" s="39"/>
    </row>
    <row r="17" spans="1:9" ht="15.75" thickBot="1" x14ac:dyDescent="0.3">
      <c r="A17" s="60"/>
      <c r="B17" s="40" t="s">
        <v>8</v>
      </c>
      <c r="C17" s="20">
        <f t="shared" ref="C17:I17" si="2">SUM(C9:C16)</f>
        <v>42508.33</v>
      </c>
      <c r="D17" s="20">
        <f t="shared" si="2"/>
        <v>9000</v>
      </c>
      <c r="E17" s="20">
        <f t="shared" si="2"/>
        <v>3052.68</v>
      </c>
      <c r="F17" s="20">
        <f t="shared" si="2"/>
        <v>36561.009999999995</v>
      </c>
      <c r="G17" s="20">
        <f t="shared" si="2"/>
        <v>0</v>
      </c>
      <c r="H17" s="20">
        <f t="shared" si="2"/>
        <v>0</v>
      </c>
      <c r="I17" s="21">
        <f t="shared" si="2"/>
        <v>36561.009999999995</v>
      </c>
    </row>
    <row r="18" spans="1:9" ht="15.75" thickBot="1" x14ac:dyDescent="0.3"/>
    <row r="19" spans="1:9" ht="15.75" thickBot="1" x14ac:dyDescent="0.3">
      <c r="A19" s="75">
        <v>2015</v>
      </c>
    </row>
    <row r="20" spans="1:9" ht="15.75" thickBot="1" x14ac:dyDescent="0.3">
      <c r="A20" s="67" t="s">
        <v>0</v>
      </c>
      <c r="B20" s="68" t="s">
        <v>1</v>
      </c>
      <c r="C20" s="69" t="s">
        <v>2</v>
      </c>
      <c r="D20" s="70" t="s">
        <v>3</v>
      </c>
      <c r="E20" s="70" t="s">
        <v>4</v>
      </c>
      <c r="F20" s="71" t="s">
        <v>5</v>
      </c>
      <c r="G20" s="70" t="s">
        <v>6</v>
      </c>
      <c r="H20" s="70" t="s">
        <v>7</v>
      </c>
      <c r="I20" s="72" t="s">
        <v>8</v>
      </c>
    </row>
    <row r="21" spans="1:9" x14ac:dyDescent="0.25">
      <c r="A21" s="73">
        <v>42019</v>
      </c>
      <c r="B21" s="62" t="s">
        <v>41</v>
      </c>
      <c r="C21" s="65">
        <v>3820.58</v>
      </c>
      <c r="D21" s="65">
        <v>1000</v>
      </c>
      <c r="E21" s="65">
        <f>28.21+1.21</f>
        <v>29.42</v>
      </c>
      <c r="F21" s="65">
        <f t="shared" ref="F21:F27" si="3">+C21-D21+E21</f>
        <v>2850</v>
      </c>
      <c r="G21" s="65">
        <v>0</v>
      </c>
      <c r="H21" s="65">
        <v>0</v>
      </c>
      <c r="I21" s="74">
        <f t="shared" ref="I21:I27" si="4">F21-G21+H21</f>
        <v>2850</v>
      </c>
    </row>
    <row r="22" spans="1:9" x14ac:dyDescent="0.25">
      <c r="A22" s="29">
        <v>42027</v>
      </c>
      <c r="B22" s="55" t="s">
        <v>50</v>
      </c>
      <c r="C22" s="14">
        <v>2743.68</v>
      </c>
      <c r="D22" s="14">
        <v>1000</v>
      </c>
      <c r="E22" s="14">
        <f>17.44+1.88</f>
        <v>19.32</v>
      </c>
      <c r="F22" s="14">
        <f t="shared" si="3"/>
        <v>1762.9999999999998</v>
      </c>
      <c r="G22" s="14">
        <v>0</v>
      </c>
      <c r="H22" s="14">
        <v>0</v>
      </c>
      <c r="I22" s="15">
        <f t="shared" si="4"/>
        <v>1762.9999999999998</v>
      </c>
    </row>
    <row r="23" spans="1:9" x14ac:dyDescent="0.25">
      <c r="A23" s="29">
        <v>42032</v>
      </c>
      <c r="B23" s="56" t="s">
        <v>43</v>
      </c>
      <c r="C23" s="14">
        <v>1382.43</v>
      </c>
      <c r="D23" s="14">
        <v>1000</v>
      </c>
      <c r="E23" s="14">
        <f>3.82+1.75</f>
        <v>5.57</v>
      </c>
      <c r="F23" s="14">
        <f t="shared" si="3"/>
        <v>388.00000000000006</v>
      </c>
      <c r="G23" s="14">
        <v>0</v>
      </c>
      <c r="H23" s="14">
        <v>0</v>
      </c>
      <c r="I23" s="15">
        <f t="shared" si="4"/>
        <v>388.00000000000006</v>
      </c>
    </row>
    <row r="24" spans="1:9" x14ac:dyDescent="0.25">
      <c r="A24" s="29">
        <v>42143</v>
      </c>
      <c r="B24" s="56" t="s">
        <v>51</v>
      </c>
      <c r="C24" s="14">
        <v>0</v>
      </c>
      <c r="D24" s="14">
        <v>0</v>
      </c>
      <c r="E24" s="14">
        <f>990.54+1.46</f>
        <v>992</v>
      </c>
      <c r="F24" s="14">
        <f t="shared" si="3"/>
        <v>992</v>
      </c>
      <c r="G24" s="14">
        <v>0</v>
      </c>
      <c r="H24" s="14">
        <v>0</v>
      </c>
      <c r="I24" s="15">
        <f t="shared" si="4"/>
        <v>992</v>
      </c>
    </row>
    <row r="25" spans="1:9" x14ac:dyDescent="0.25">
      <c r="A25" s="29">
        <v>42094</v>
      </c>
      <c r="B25" s="56" t="s">
        <v>52</v>
      </c>
      <c r="C25" s="14">
        <v>2761.22</v>
      </c>
      <c r="D25" s="14">
        <v>1000</v>
      </c>
      <c r="E25" s="14">
        <f>17.61+1.17</f>
        <v>18.78</v>
      </c>
      <c r="F25" s="14">
        <f t="shared" si="3"/>
        <v>1779.9999999999998</v>
      </c>
      <c r="G25" s="14">
        <v>0</v>
      </c>
      <c r="H25" s="14">
        <v>0</v>
      </c>
      <c r="I25" s="15">
        <f t="shared" si="4"/>
        <v>1779.9999999999998</v>
      </c>
    </row>
    <row r="26" spans="1:9" x14ac:dyDescent="0.25">
      <c r="A26" s="29">
        <v>42233</v>
      </c>
      <c r="B26" s="56" t="s">
        <v>53</v>
      </c>
      <c r="C26" s="14">
        <v>3119.5</v>
      </c>
      <c r="D26" s="14">
        <v>1000</v>
      </c>
      <c r="E26" s="14">
        <f>633.59+21.2+1.71</f>
        <v>656.50000000000011</v>
      </c>
      <c r="F26" s="14">
        <f t="shared" si="3"/>
        <v>2776</v>
      </c>
      <c r="G26" s="14">
        <v>0</v>
      </c>
      <c r="H26" s="14">
        <v>0</v>
      </c>
      <c r="I26" s="15">
        <f t="shared" si="4"/>
        <v>2776</v>
      </c>
    </row>
    <row r="27" spans="1:9" ht="15.75" thickBot="1" x14ac:dyDescent="0.3">
      <c r="A27" s="29">
        <v>42369</v>
      </c>
      <c r="B27" s="57" t="s">
        <v>54</v>
      </c>
      <c r="C27" s="18">
        <v>4331.93</v>
      </c>
      <c r="D27" s="18">
        <v>1000</v>
      </c>
      <c r="E27" s="18">
        <f>33.32+1.75</f>
        <v>35.07</v>
      </c>
      <c r="F27" s="18">
        <f t="shared" si="3"/>
        <v>3367.0000000000005</v>
      </c>
      <c r="G27" s="18">
        <v>0</v>
      </c>
      <c r="H27" s="18">
        <v>0</v>
      </c>
      <c r="I27" s="19">
        <f t="shared" si="4"/>
        <v>3367.0000000000005</v>
      </c>
    </row>
    <row r="28" spans="1:9" ht="15.75" thickBot="1" x14ac:dyDescent="0.3">
      <c r="A28" s="60"/>
      <c r="B28" s="40" t="s">
        <v>8</v>
      </c>
      <c r="C28" s="20">
        <f>SUM(C21:C27)</f>
        <v>18159.34</v>
      </c>
      <c r="D28" s="20">
        <f>SUM(D21:D27)</f>
        <v>6000</v>
      </c>
      <c r="E28" s="20">
        <f>SUM(E21:E27)</f>
        <v>1756.66</v>
      </c>
      <c r="F28" s="20">
        <f>SUM(F21:F27)</f>
        <v>13916</v>
      </c>
      <c r="G28" s="20">
        <f>SUM(G21:G27)</f>
        <v>0</v>
      </c>
      <c r="H28" s="20">
        <f t="shared" ref="H28:I28" si="5">SUM(H21:H27)</f>
        <v>0</v>
      </c>
      <c r="I28" s="21">
        <f t="shared" si="5"/>
        <v>13916</v>
      </c>
    </row>
    <row r="29" spans="1:9" ht="15.75" thickBot="1" x14ac:dyDescent="0.3"/>
    <row r="30" spans="1:9" ht="15.75" thickBot="1" x14ac:dyDescent="0.3">
      <c r="A30" s="75">
        <v>2016</v>
      </c>
      <c r="B30" s="28"/>
    </row>
    <row r="31" spans="1:9" x14ac:dyDescent="0.25">
      <c r="A31" s="5" t="s">
        <v>0</v>
      </c>
      <c r="B31" s="6" t="s">
        <v>1</v>
      </c>
      <c r="C31" s="7" t="s">
        <v>2</v>
      </c>
      <c r="D31" s="8" t="s">
        <v>3</v>
      </c>
      <c r="E31" s="8" t="s">
        <v>4</v>
      </c>
      <c r="F31" s="9" t="s">
        <v>5</v>
      </c>
      <c r="G31" s="8" t="s">
        <v>6</v>
      </c>
      <c r="H31" s="8" t="s">
        <v>7</v>
      </c>
      <c r="I31" s="10" t="s">
        <v>8</v>
      </c>
    </row>
    <row r="32" spans="1:9" x14ac:dyDescent="0.25">
      <c r="A32" s="23">
        <v>42393</v>
      </c>
      <c r="B32" s="13" t="s">
        <v>55</v>
      </c>
      <c r="C32" s="24">
        <v>4289.45</v>
      </c>
      <c r="D32" s="44">
        <v>1000</v>
      </c>
      <c r="E32" s="44">
        <f>32.89+1.66</f>
        <v>34.549999999999997</v>
      </c>
      <c r="F32" s="14">
        <f t="shared" ref="F32:F38" si="6">+C32-D32+E32</f>
        <v>3324</v>
      </c>
      <c r="G32" s="14">
        <v>0</v>
      </c>
      <c r="H32" s="14">
        <v>0</v>
      </c>
      <c r="I32" s="15">
        <f t="shared" ref="I32:I38" si="7">F32-G32+H32</f>
        <v>3324</v>
      </c>
    </row>
    <row r="33" spans="1:9" x14ac:dyDescent="0.25">
      <c r="A33" s="23">
        <v>42478</v>
      </c>
      <c r="B33" s="13" t="s">
        <v>56</v>
      </c>
      <c r="C33" s="24">
        <v>33672.79</v>
      </c>
      <c r="D33" s="44">
        <v>1000</v>
      </c>
      <c r="E33" s="44">
        <f>1277.52+326.73+2.96+1497.38+635.25</f>
        <v>3739.84</v>
      </c>
      <c r="F33" s="14">
        <f t="shared" si="6"/>
        <v>36412.630000000005</v>
      </c>
      <c r="G33" s="14">
        <f>32172.79+635.25</f>
        <v>32808.04</v>
      </c>
      <c r="H33" s="14">
        <v>0</v>
      </c>
      <c r="I33" s="15">
        <f t="shared" si="7"/>
        <v>3604.5900000000038</v>
      </c>
    </row>
    <row r="34" spans="1:9" x14ac:dyDescent="0.25">
      <c r="A34" s="23">
        <v>42494</v>
      </c>
      <c r="B34" s="13" t="s">
        <v>57</v>
      </c>
      <c r="C34" s="24">
        <v>2358.1</v>
      </c>
      <c r="D34" s="44">
        <v>1000</v>
      </c>
      <c r="E34" s="44">
        <f>13.58+1.32</f>
        <v>14.9</v>
      </c>
      <c r="F34" s="14">
        <f t="shared" si="6"/>
        <v>1373</v>
      </c>
      <c r="G34" s="14">
        <v>0</v>
      </c>
      <c r="H34" s="14">
        <v>0</v>
      </c>
      <c r="I34" s="15">
        <f t="shared" si="7"/>
        <v>1373</v>
      </c>
    </row>
    <row r="35" spans="1:9" x14ac:dyDescent="0.25">
      <c r="A35" s="23">
        <v>42538</v>
      </c>
      <c r="B35" s="13" t="s">
        <v>47</v>
      </c>
      <c r="C35" s="24">
        <v>4890.92</v>
      </c>
      <c r="D35" s="44">
        <v>1000</v>
      </c>
      <c r="E35" s="44">
        <f>38.91+1.28+579.89</f>
        <v>620.07999999999993</v>
      </c>
      <c r="F35" s="14">
        <f t="shared" si="6"/>
        <v>4511</v>
      </c>
      <c r="G35" s="14">
        <v>0</v>
      </c>
      <c r="H35" s="14">
        <v>0</v>
      </c>
      <c r="I35" s="15">
        <f t="shared" si="7"/>
        <v>4511</v>
      </c>
    </row>
    <row r="36" spans="1:9" x14ac:dyDescent="0.25">
      <c r="A36" s="11">
        <v>42541</v>
      </c>
      <c r="B36" s="13" t="s">
        <v>58</v>
      </c>
      <c r="C36" s="14">
        <v>3587.5</v>
      </c>
      <c r="D36" s="14">
        <v>1000</v>
      </c>
      <c r="E36" s="14">
        <f>25.88+1.62</f>
        <v>27.5</v>
      </c>
      <c r="F36" s="14">
        <f t="shared" si="6"/>
        <v>2615</v>
      </c>
      <c r="G36" s="14">
        <v>0</v>
      </c>
      <c r="H36" s="14">
        <v>0</v>
      </c>
      <c r="I36" s="15">
        <f t="shared" si="7"/>
        <v>2615</v>
      </c>
    </row>
    <row r="37" spans="1:9" x14ac:dyDescent="0.25">
      <c r="A37" s="11">
        <v>42576</v>
      </c>
      <c r="B37" s="13" t="s">
        <v>59</v>
      </c>
      <c r="C37" s="14">
        <v>0</v>
      </c>
      <c r="D37" s="14">
        <v>0</v>
      </c>
      <c r="E37" s="14">
        <v>1172.97</v>
      </c>
      <c r="F37" s="14">
        <f t="shared" si="6"/>
        <v>1172.97</v>
      </c>
      <c r="G37" s="14">
        <v>0</v>
      </c>
      <c r="H37" s="14">
        <v>0</v>
      </c>
      <c r="I37" s="15">
        <f t="shared" si="7"/>
        <v>1172.97</v>
      </c>
    </row>
    <row r="38" spans="1:9" ht="15.75" thickBot="1" x14ac:dyDescent="0.3">
      <c r="A38" s="11">
        <v>42608</v>
      </c>
      <c r="B38" s="45" t="s">
        <v>60</v>
      </c>
      <c r="C38" s="14">
        <v>4210.8</v>
      </c>
      <c r="D38" s="14">
        <v>1000</v>
      </c>
      <c r="E38" s="14">
        <f>32.11+2.09</f>
        <v>34.200000000000003</v>
      </c>
      <c r="F38" s="14">
        <f t="shared" si="6"/>
        <v>3245</v>
      </c>
      <c r="G38" s="14">
        <v>0</v>
      </c>
      <c r="H38" s="14">
        <v>0</v>
      </c>
      <c r="I38" s="15">
        <f t="shared" si="7"/>
        <v>3245</v>
      </c>
    </row>
    <row r="39" spans="1:9" ht="15.75" thickBot="1" x14ac:dyDescent="0.3">
      <c r="B39" s="40" t="s">
        <v>8</v>
      </c>
      <c r="C39" s="20">
        <f t="shared" ref="C39:I39" si="8">SUM(C32:C38)</f>
        <v>53009.56</v>
      </c>
      <c r="D39" s="20">
        <f t="shared" si="8"/>
        <v>6000</v>
      </c>
      <c r="E39" s="20">
        <f t="shared" si="8"/>
        <v>5644.0400000000009</v>
      </c>
      <c r="F39" s="20">
        <f t="shared" si="8"/>
        <v>52653.600000000006</v>
      </c>
      <c r="G39" s="20">
        <f t="shared" si="8"/>
        <v>32808.04</v>
      </c>
      <c r="H39" s="20">
        <f t="shared" si="8"/>
        <v>0</v>
      </c>
      <c r="I39" s="21">
        <f t="shared" si="8"/>
        <v>19845.560000000005</v>
      </c>
    </row>
    <row r="40" spans="1:9" ht="15.75" thickBot="1" x14ac:dyDescent="0.3"/>
    <row r="41" spans="1:9" ht="15.75" thickBot="1" x14ac:dyDescent="0.3">
      <c r="A41" s="75">
        <v>2017</v>
      </c>
    </row>
    <row r="42" spans="1:9" ht="15.75" thickBot="1" x14ac:dyDescent="0.3">
      <c r="A42" s="67" t="s">
        <v>0</v>
      </c>
      <c r="B42" s="68" t="s">
        <v>1</v>
      </c>
      <c r="C42" s="69" t="s">
        <v>2</v>
      </c>
      <c r="D42" s="70" t="s">
        <v>3</v>
      </c>
      <c r="E42" s="70" t="s">
        <v>4</v>
      </c>
      <c r="F42" s="71" t="s">
        <v>5</v>
      </c>
      <c r="G42" s="70" t="s">
        <v>6</v>
      </c>
      <c r="H42" s="70" t="s">
        <v>7</v>
      </c>
      <c r="I42" s="72" t="s">
        <v>8</v>
      </c>
    </row>
    <row r="43" spans="1:9" x14ac:dyDescent="0.25">
      <c r="A43" s="61">
        <v>42736</v>
      </c>
      <c r="B43" s="62" t="s">
        <v>61</v>
      </c>
      <c r="C43" s="63">
        <v>1538.88</v>
      </c>
      <c r="D43" s="64">
        <v>1000</v>
      </c>
      <c r="E43" s="64">
        <f>5.39+1.73</f>
        <v>7.1199999999999992</v>
      </c>
      <c r="F43" s="65">
        <f t="shared" ref="F43:F48" si="9">+C43-D43+E43</f>
        <v>546.00000000000011</v>
      </c>
      <c r="G43" s="65">
        <v>0</v>
      </c>
      <c r="H43" s="65">
        <v>0</v>
      </c>
      <c r="I43" s="74">
        <f t="shared" ref="I43:I48" si="10">F43-G43+H43</f>
        <v>546.00000000000011</v>
      </c>
    </row>
    <row r="44" spans="1:9" x14ac:dyDescent="0.25">
      <c r="A44" s="59">
        <v>42737</v>
      </c>
      <c r="B44" s="55" t="s">
        <v>62</v>
      </c>
      <c r="C44" s="24">
        <v>8149.35</v>
      </c>
      <c r="D44" s="44">
        <v>1000</v>
      </c>
      <c r="E44" s="44">
        <f>71.49+1.16</f>
        <v>72.649999999999991</v>
      </c>
      <c r="F44" s="14">
        <f t="shared" si="9"/>
        <v>7222</v>
      </c>
      <c r="G44" s="14">
        <v>0</v>
      </c>
      <c r="H44" s="14">
        <v>0</v>
      </c>
      <c r="I44" s="15">
        <f t="shared" si="10"/>
        <v>7222</v>
      </c>
    </row>
    <row r="45" spans="1:9" x14ac:dyDescent="0.25">
      <c r="A45" s="59">
        <v>42745</v>
      </c>
      <c r="B45" s="55" t="s">
        <v>63</v>
      </c>
      <c r="C45" s="24">
        <v>1423.02</v>
      </c>
      <c r="D45" s="44">
        <v>1000</v>
      </c>
      <c r="E45" s="44">
        <f>4.23+0.35</f>
        <v>4.58</v>
      </c>
      <c r="F45" s="14">
        <f t="shared" si="9"/>
        <v>427.59999999999997</v>
      </c>
      <c r="G45" s="14">
        <v>0</v>
      </c>
      <c r="H45" s="14">
        <v>0</v>
      </c>
      <c r="I45" s="15">
        <f t="shared" si="10"/>
        <v>427.59999999999997</v>
      </c>
    </row>
    <row r="46" spans="1:9" x14ac:dyDescent="0.25">
      <c r="A46" s="59">
        <v>42812</v>
      </c>
      <c r="B46" s="55" t="s">
        <v>64</v>
      </c>
      <c r="C46" s="24">
        <v>1166.44</v>
      </c>
      <c r="D46" s="44">
        <v>1000</v>
      </c>
      <c r="E46" s="44">
        <f>1.66+1.9</f>
        <v>3.5599999999999996</v>
      </c>
      <c r="F46" s="14">
        <f t="shared" si="9"/>
        <v>170.00000000000006</v>
      </c>
      <c r="G46" s="14">
        <v>0</v>
      </c>
      <c r="H46" s="14">
        <v>0</v>
      </c>
      <c r="I46" s="15">
        <f t="shared" si="10"/>
        <v>170.00000000000006</v>
      </c>
    </row>
    <row r="47" spans="1:9" x14ac:dyDescent="0.25">
      <c r="A47" s="59">
        <v>42826</v>
      </c>
      <c r="B47" s="55" t="s">
        <v>65</v>
      </c>
      <c r="C47" s="24">
        <v>9151.6200000000008</v>
      </c>
      <c r="D47" s="44">
        <v>1000</v>
      </c>
      <c r="E47" s="44">
        <f>81.52+1.86</f>
        <v>83.38</v>
      </c>
      <c r="F47" s="14">
        <f t="shared" si="9"/>
        <v>8235</v>
      </c>
      <c r="G47" s="14">
        <v>0</v>
      </c>
      <c r="H47" s="14">
        <v>0</v>
      </c>
      <c r="I47" s="15">
        <f t="shared" si="10"/>
        <v>8235</v>
      </c>
    </row>
    <row r="48" spans="1:9" x14ac:dyDescent="0.25">
      <c r="A48" s="29">
        <v>42789</v>
      </c>
      <c r="B48" s="55" t="s">
        <v>66</v>
      </c>
      <c r="C48" s="14">
        <v>1488.3</v>
      </c>
      <c r="D48" s="14">
        <v>1000</v>
      </c>
      <c r="E48" s="14">
        <f>4.88+0.82</f>
        <v>5.7</v>
      </c>
      <c r="F48" s="14">
        <f t="shared" si="9"/>
        <v>493.99999999999994</v>
      </c>
      <c r="G48" s="14">
        <v>0</v>
      </c>
      <c r="H48" s="14">
        <v>0</v>
      </c>
      <c r="I48" s="15">
        <f t="shared" si="10"/>
        <v>493.99999999999994</v>
      </c>
    </row>
    <row r="49" spans="1:9" x14ac:dyDescent="0.25">
      <c r="A49" s="29">
        <v>42915</v>
      </c>
      <c r="B49" s="55" t="s">
        <v>67</v>
      </c>
      <c r="C49" s="14">
        <v>2038.85</v>
      </c>
      <c r="D49" s="14">
        <v>1000</v>
      </c>
      <c r="E49" s="14">
        <f>10.39+0.76</f>
        <v>11.15</v>
      </c>
      <c r="F49" s="14">
        <f>C49-D49+E49</f>
        <v>1050</v>
      </c>
      <c r="G49" s="14">
        <v>0</v>
      </c>
      <c r="H49" s="14">
        <v>0</v>
      </c>
      <c r="I49" s="15">
        <f>F49-G49+H49</f>
        <v>1050</v>
      </c>
    </row>
    <row r="50" spans="1:9" x14ac:dyDescent="0.25">
      <c r="A50" s="29">
        <v>42917</v>
      </c>
      <c r="B50" s="55" t="s">
        <v>68</v>
      </c>
      <c r="C50" s="14">
        <v>31500</v>
      </c>
      <c r="D50" s="14">
        <v>4000</v>
      </c>
      <c r="E50" s="14">
        <f>1559.99+2327.74+275+1.26+750</f>
        <v>4913.99</v>
      </c>
      <c r="F50" s="14">
        <f>C50-D50+E50</f>
        <v>32413.989999999998</v>
      </c>
      <c r="G50" s="14">
        <v>27500</v>
      </c>
      <c r="H50" s="14">
        <v>0</v>
      </c>
      <c r="I50" s="15">
        <f>F50-G50-H50</f>
        <v>4913.989999999998</v>
      </c>
    </row>
    <row r="51" spans="1:9" x14ac:dyDescent="0.25">
      <c r="A51" s="29">
        <v>42946</v>
      </c>
      <c r="B51" s="56" t="s">
        <v>69</v>
      </c>
      <c r="C51" s="14">
        <f>2850+287.96</f>
        <v>3137.96</v>
      </c>
      <c r="D51" s="14">
        <v>1000</v>
      </c>
      <c r="E51" s="14">
        <f>21.38+0.66</f>
        <v>22.04</v>
      </c>
      <c r="F51" s="14">
        <f>C51-D51+E51</f>
        <v>2160</v>
      </c>
      <c r="G51" s="14">
        <v>0</v>
      </c>
      <c r="H51" s="14">
        <v>0</v>
      </c>
      <c r="I51" s="15">
        <f>F51-G51+H51</f>
        <v>2160</v>
      </c>
    </row>
    <row r="52" spans="1:9" ht="15.75" thickBot="1" x14ac:dyDescent="0.3">
      <c r="A52" s="29">
        <v>43048</v>
      </c>
      <c r="B52" s="56" t="s">
        <v>70</v>
      </c>
      <c r="C52" s="14">
        <v>2250.6</v>
      </c>
      <c r="D52" s="14">
        <v>1000</v>
      </c>
      <c r="E52" s="14">
        <f>12.51+1.89</f>
        <v>14.4</v>
      </c>
      <c r="F52" s="14">
        <f>C52-D52+E52</f>
        <v>1265</v>
      </c>
      <c r="G52" s="14">
        <v>0</v>
      </c>
      <c r="H52" s="14">
        <v>0</v>
      </c>
      <c r="I52" s="15">
        <f>F52-G52+H52</f>
        <v>1265</v>
      </c>
    </row>
    <row r="53" spans="1:9" ht="15.75" thickBot="1" x14ac:dyDescent="0.3">
      <c r="A53" s="60"/>
      <c r="B53" s="40" t="s">
        <v>8</v>
      </c>
      <c r="C53" s="20">
        <f t="shared" ref="C53:I53" si="11">SUM(C43:C52)</f>
        <v>61845.02</v>
      </c>
      <c r="D53" s="20">
        <f t="shared" si="11"/>
        <v>13000</v>
      </c>
      <c r="E53" s="20">
        <f t="shared" si="11"/>
        <v>5138.57</v>
      </c>
      <c r="F53" s="20">
        <f t="shared" si="11"/>
        <v>53983.59</v>
      </c>
      <c r="G53" s="20">
        <f t="shared" si="11"/>
        <v>27500</v>
      </c>
      <c r="H53" s="20">
        <f t="shared" si="11"/>
        <v>0</v>
      </c>
      <c r="I53" s="21">
        <f t="shared" si="11"/>
        <v>26483.589999999997</v>
      </c>
    </row>
    <row r="54" spans="1:9" ht="15.75" thickBot="1" x14ac:dyDescent="0.3"/>
    <row r="55" spans="1:9" ht="15.75" thickBot="1" x14ac:dyDescent="0.3">
      <c r="A55" s="75">
        <v>2018</v>
      </c>
    </row>
    <row r="56" spans="1:9" ht="15.75" thickBot="1" x14ac:dyDescent="0.3">
      <c r="A56" s="67" t="s">
        <v>0</v>
      </c>
      <c r="B56" s="68" t="s">
        <v>1</v>
      </c>
      <c r="C56" s="69" t="s">
        <v>2</v>
      </c>
      <c r="D56" s="70" t="s">
        <v>3</v>
      </c>
      <c r="E56" s="70" t="s">
        <v>4</v>
      </c>
      <c r="F56" s="71" t="s">
        <v>5</v>
      </c>
      <c r="G56" s="70" t="s">
        <v>6</v>
      </c>
      <c r="H56" s="70" t="s">
        <v>7</v>
      </c>
      <c r="I56" s="72" t="s">
        <v>8</v>
      </c>
    </row>
    <row r="57" spans="1:9" x14ac:dyDescent="0.25">
      <c r="A57" s="61">
        <v>43101</v>
      </c>
      <c r="B57" s="62" t="s">
        <v>71</v>
      </c>
      <c r="C57" s="63">
        <v>3609.16</v>
      </c>
      <c r="D57" s="64">
        <v>1000</v>
      </c>
      <c r="E57" s="64">
        <v>26.09</v>
      </c>
      <c r="F57" s="65">
        <f>C57-D57+E57</f>
        <v>2635.25</v>
      </c>
      <c r="G57" s="65">
        <v>0</v>
      </c>
      <c r="H57" s="65">
        <v>0</v>
      </c>
      <c r="I57" s="74">
        <f>F57-G57+H57</f>
        <v>2635.25</v>
      </c>
    </row>
    <row r="58" spans="1:9" x14ac:dyDescent="0.25">
      <c r="A58" s="59">
        <v>43101</v>
      </c>
      <c r="B58" s="55" t="s">
        <v>72</v>
      </c>
      <c r="C58" s="24">
        <v>3418.46</v>
      </c>
      <c r="D58" s="44">
        <v>1000</v>
      </c>
      <c r="E58" s="44">
        <f>24.18+1.36</f>
        <v>25.54</v>
      </c>
      <c r="F58" s="14">
        <f>C58-D58+E58</f>
        <v>2444</v>
      </c>
      <c r="G58" s="14">
        <v>0</v>
      </c>
      <c r="H58" s="14">
        <v>0</v>
      </c>
      <c r="I58" s="15">
        <f>F58-G58+H58</f>
        <v>2444</v>
      </c>
    </row>
    <row r="59" spans="1:9" x14ac:dyDescent="0.25">
      <c r="A59" s="59">
        <v>43118</v>
      </c>
      <c r="B59" s="55" t="s">
        <v>34</v>
      </c>
      <c r="C59" s="24">
        <f>2261.55+4422.55+958.32</f>
        <v>7642.42</v>
      </c>
      <c r="D59" s="44">
        <v>1000</v>
      </c>
      <c r="E59" s="44">
        <f>12.62+1.83+44.23+1.22+9.58+1.1</f>
        <v>70.579999999999984</v>
      </c>
      <c r="F59" s="14">
        <f t="shared" ref="F59:F61" si="12">+C59-D59+E59</f>
        <v>6713</v>
      </c>
      <c r="G59" s="14">
        <v>0</v>
      </c>
      <c r="H59" s="14">
        <v>0</v>
      </c>
      <c r="I59" s="15">
        <f t="shared" ref="I59:I61" si="13">F59-G59+H59</f>
        <v>6713</v>
      </c>
    </row>
    <row r="60" spans="1:9" x14ac:dyDescent="0.25">
      <c r="A60" s="59">
        <v>43164</v>
      </c>
      <c r="B60" s="55" t="s">
        <v>58</v>
      </c>
      <c r="C60" s="24">
        <v>3303.3</v>
      </c>
      <c r="D60" s="44">
        <v>1000</v>
      </c>
      <c r="E60" s="44">
        <f>23.03+1.67</f>
        <v>24.700000000000003</v>
      </c>
      <c r="F60" s="14">
        <f t="shared" si="12"/>
        <v>2328</v>
      </c>
      <c r="G60" s="14">
        <v>0</v>
      </c>
      <c r="H60" s="14">
        <v>0</v>
      </c>
      <c r="I60" s="15">
        <f t="shared" si="13"/>
        <v>2328</v>
      </c>
    </row>
    <row r="61" spans="1:9" x14ac:dyDescent="0.25">
      <c r="A61" s="59">
        <v>43212</v>
      </c>
      <c r="B61" s="55" t="s">
        <v>73</v>
      </c>
      <c r="C61" s="24">
        <f>17117.87+516.57</f>
        <v>17634.439999999999</v>
      </c>
      <c r="D61" s="44">
        <v>1000</v>
      </c>
      <c r="E61" s="44">
        <f>161.18+1.95+5.17+1.26</f>
        <v>169.55999999999997</v>
      </c>
      <c r="F61" s="14">
        <f t="shared" si="12"/>
        <v>16804</v>
      </c>
      <c r="G61" s="14">
        <v>0</v>
      </c>
      <c r="H61" s="14">
        <v>0</v>
      </c>
      <c r="I61" s="15">
        <f t="shared" si="13"/>
        <v>16804</v>
      </c>
    </row>
    <row r="62" spans="1:9" x14ac:dyDescent="0.25">
      <c r="A62" s="29">
        <v>43349</v>
      </c>
      <c r="B62" s="55" t="s">
        <v>74</v>
      </c>
      <c r="C62" s="14">
        <v>0</v>
      </c>
      <c r="D62" s="14">
        <v>1000</v>
      </c>
      <c r="E62" s="14">
        <v>784.08</v>
      </c>
      <c r="F62" s="14">
        <f>E62</f>
        <v>784.08</v>
      </c>
      <c r="G62" s="14">
        <v>0</v>
      </c>
      <c r="H62" s="14">
        <v>0</v>
      </c>
      <c r="I62" s="15">
        <f>F62-G62+H62</f>
        <v>784.08</v>
      </c>
    </row>
    <row r="63" spans="1:9" x14ac:dyDescent="0.25">
      <c r="A63" s="29">
        <v>43332</v>
      </c>
      <c r="B63" s="55" t="s">
        <v>75</v>
      </c>
      <c r="C63" s="14">
        <v>2631.76</v>
      </c>
      <c r="D63" s="14">
        <v>1000</v>
      </c>
      <c r="E63" s="14">
        <f>16.32+1.92</f>
        <v>18.240000000000002</v>
      </c>
      <c r="F63" s="14">
        <f>C63-D63+E63</f>
        <v>1650.0000000000002</v>
      </c>
      <c r="G63" s="14">
        <v>0</v>
      </c>
      <c r="H63" s="14">
        <v>0</v>
      </c>
      <c r="I63" s="15">
        <f>F63-G63+H63</f>
        <v>1650.0000000000002</v>
      </c>
    </row>
    <row r="64" spans="1:9" x14ac:dyDescent="0.25">
      <c r="A64" s="29">
        <v>43308</v>
      </c>
      <c r="B64" s="55" t="s">
        <v>76</v>
      </c>
      <c r="C64" s="14">
        <v>3598.55</v>
      </c>
      <c r="D64" s="14">
        <v>1000</v>
      </c>
      <c r="E64" s="14">
        <f>25.99+0.46</f>
        <v>26.45</v>
      </c>
      <c r="F64" s="14">
        <f>C64-D64+E64</f>
        <v>2625</v>
      </c>
      <c r="G64" s="14">
        <v>0</v>
      </c>
      <c r="H64" s="14">
        <v>0</v>
      </c>
      <c r="I64" s="15">
        <f>F64-G64+H64</f>
        <v>2625</v>
      </c>
    </row>
    <row r="65" spans="1:9" ht="15.75" thickBot="1" x14ac:dyDescent="0.3">
      <c r="A65" s="29">
        <v>43349</v>
      </c>
      <c r="B65" s="55" t="s">
        <v>77</v>
      </c>
      <c r="C65" s="14">
        <v>432.64</v>
      </c>
      <c r="D65" s="14">
        <v>1000</v>
      </c>
      <c r="E65" s="14">
        <v>784.08</v>
      </c>
      <c r="F65" s="14">
        <v>784.04</v>
      </c>
      <c r="G65" s="14">
        <v>0</v>
      </c>
      <c r="H65" s="14">
        <v>0</v>
      </c>
      <c r="I65" s="15">
        <v>784.08</v>
      </c>
    </row>
    <row r="66" spans="1:9" ht="15.75" thickBot="1" x14ac:dyDescent="0.3">
      <c r="A66" s="12"/>
      <c r="B66" s="58" t="s">
        <v>8</v>
      </c>
      <c r="C66" s="20">
        <f t="shared" ref="C66:I66" si="14">SUM(C57:C65)</f>
        <v>42270.73</v>
      </c>
      <c r="D66" s="20">
        <f t="shared" si="14"/>
        <v>9000</v>
      </c>
      <c r="E66" s="20">
        <f t="shared" si="14"/>
        <v>1929.3200000000002</v>
      </c>
      <c r="F66" s="20">
        <f t="shared" si="14"/>
        <v>36767.370000000003</v>
      </c>
      <c r="G66" s="20">
        <f t="shared" si="14"/>
        <v>0</v>
      </c>
      <c r="H66" s="20">
        <f t="shared" si="14"/>
        <v>0</v>
      </c>
      <c r="I66" s="21">
        <f t="shared" si="14"/>
        <v>36767.410000000003</v>
      </c>
    </row>
    <row r="67" spans="1:9" ht="15.75" thickBot="1" x14ac:dyDescent="0.3"/>
    <row r="68" spans="1:9" ht="15.75" thickBot="1" x14ac:dyDescent="0.3">
      <c r="A68" s="75">
        <v>2019</v>
      </c>
    </row>
    <row r="69" spans="1:9" ht="15.75" thickBot="1" x14ac:dyDescent="0.3">
      <c r="A69" s="67" t="s">
        <v>0</v>
      </c>
      <c r="B69" s="68" t="s">
        <v>1</v>
      </c>
      <c r="C69" s="69" t="s">
        <v>2</v>
      </c>
      <c r="D69" s="70" t="s">
        <v>3</v>
      </c>
      <c r="E69" s="70" t="s">
        <v>4</v>
      </c>
      <c r="F69" s="71" t="s">
        <v>5</v>
      </c>
      <c r="G69" s="70" t="s">
        <v>6</v>
      </c>
      <c r="H69" s="70" t="s">
        <v>7</v>
      </c>
      <c r="I69" s="72" t="s">
        <v>8</v>
      </c>
    </row>
    <row r="70" spans="1:9" x14ac:dyDescent="0.25">
      <c r="A70" s="73">
        <v>43466</v>
      </c>
      <c r="B70" s="77" t="s">
        <v>78</v>
      </c>
      <c r="C70" s="65">
        <v>7867.05</v>
      </c>
      <c r="D70" s="65">
        <v>1000</v>
      </c>
      <c r="E70" s="65">
        <f>68.67+1.88+702.4</f>
        <v>772.94999999999993</v>
      </c>
      <c r="F70" s="65">
        <f t="shared" ref="F70:F76" si="15">C70-D70+E70</f>
        <v>7640</v>
      </c>
      <c r="G70" s="65">
        <v>0</v>
      </c>
      <c r="H70" s="65">
        <v>0</v>
      </c>
      <c r="I70" s="65">
        <f>F70-G70+H70</f>
        <v>7640</v>
      </c>
    </row>
    <row r="71" spans="1:9" x14ac:dyDescent="0.25">
      <c r="A71" s="29">
        <v>43523</v>
      </c>
      <c r="B71" s="78" t="s">
        <v>79</v>
      </c>
      <c r="C71" s="14">
        <v>3442.98</v>
      </c>
      <c r="D71" s="14">
        <v>1000</v>
      </c>
      <c r="E71" s="14">
        <f>24.43+0.59</f>
        <v>25.02</v>
      </c>
      <c r="F71" s="14">
        <f t="shared" si="15"/>
        <v>2468</v>
      </c>
      <c r="G71" s="14">
        <v>0</v>
      </c>
      <c r="H71" s="14">
        <v>0</v>
      </c>
      <c r="I71" s="14">
        <f>+F71</f>
        <v>2468</v>
      </c>
    </row>
    <row r="72" spans="1:9" x14ac:dyDescent="0.25">
      <c r="A72" s="29">
        <v>43536</v>
      </c>
      <c r="B72" s="79" t="s">
        <v>80</v>
      </c>
      <c r="C72" s="14">
        <v>6285.65</v>
      </c>
      <c r="D72" s="14">
        <v>1000</v>
      </c>
      <c r="E72" s="14">
        <f>52.86+1.49</f>
        <v>54.35</v>
      </c>
      <c r="F72" s="14">
        <f t="shared" si="15"/>
        <v>5340</v>
      </c>
      <c r="G72" s="14">
        <v>0</v>
      </c>
      <c r="H72" s="14">
        <v>0</v>
      </c>
      <c r="I72" s="14">
        <f>F72-G72+E72</f>
        <v>5394.35</v>
      </c>
    </row>
    <row r="73" spans="1:9" x14ac:dyDescent="0.25">
      <c r="A73" s="29">
        <v>43805</v>
      </c>
      <c r="B73" s="79" t="s">
        <v>81</v>
      </c>
      <c r="C73" s="14">
        <v>11840.55</v>
      </c>
      <c r="D73" s="14">
        <v>1000</v>
      </c>
      <c r="E73" s="14">
        <f>108.41+982.52+1.52</f>
        <v>1092.45</v>
      </c>
      <c r="F73" s="14">
        <f t="shared" si="15"/>
        <v>11933</v>
      </c>
      <c r="G73" s="14">
        <v>0</v>
      </c>
      <c r="H73" s="14">
        <v>0</v>
      </c>
      <c r="I73" s="14">
        <f>+F73-G73+H73</f>
        <v>11933</v>
      </c>
    </row>
    <row r="74" spans="1:9" x14ac:dyDescent="0.25">
      <c r="A74" s="29">
        <v>43494</v>
      </c>
      <c r="B74" s="79" t="s">
        <v>82</v>
      </c>
      <c r="C74" s="14">
        <v>2572.64</v>
      </c>
      <c r="D74" s="14">
        <v>1000</v>
      </c>
      <c r="E74" s="14">
        <f>15.73+0.63</f>
        <v>16.36</v>
      </c>
      <c r="F74" s="14">
        <f t="shared" si="15"/>
        <v>1588.9999999999998</v>
      </c>
      <c r="G74" s="14">
        <v>0</v>
      </c>
      <c r="H74" s="14">
        <v>0</v>
      </c>
      <c r="I74" s="14">
        <f>+F74-G74+H74</f>
        <v>1588.9999999999998</v>
      </c>
    </row>
    <row r="75" spans="1:9" x14ac:dyDescent="0.25">
      <c r="A75" s="29">
        <v>43779</v>
      </c>
      <c r="B75" s="79" t="s">
        <v>83</v>
      </c>
      <c r="C75" s="14">
        <v>2700.98</v>
      </c>
      <c r="D75" s="14">
        <v>1000</v>
      </c>
      <c r="E75" s="14">
        <v>17.010000000000002</v>
      </c>
      <c r="F75" s="14">
        <f t="shared" si="15"/>
        <v>1717.99</v>
      </c>
      <c r="G75" s="14">
        <v>0</v>
      </c>
      <c r="H75" s="14">
        <v>0</v>
      </c>
      <c r="I75" s="14">
        <f>+F75-G75+H75</f>
        <v>1717.99</v>
      </c>
    </row>
    <row r="76" spans="1:9" ht="15.75" thickBot="1" x14ac:dyDescent="0.3">
      <c r="A76" s="29">
        <v>43822</v>
      </c>
      <c r="B76" s="80" t="s">
        <v>84</v>
      </c>
      <c r="C76" s="18">
        <v>2612.46</v>
      </c>
      <c r="D76" s="18">
        <v>1000</v>
      </c>
      <c r="E76" s="18">
        <f>16.12+1.42</f>
        <v>17.54</v>
      </c>
      <c r="F76" s="18">
        <f t="shared" si="15"/>
        <v>1630</v>
      </c>
      <c r="G76" s="18">
        <v>0</v>
      </c>
      <c r="H76" s="18">
        <v>0</v>
      </c>
      <c r="I76" s="18">
        <f>+F76-G76+H76</f>
        <v>1630</v>
      </c>
    </row>
    <row r="77" spans="1:9" ht="15.75" thickBot="1" x14ac:dyDescent="0.3">
      <c r="A77" s="60"/>
      <c r="B77" s="25" t="s">
        <v>8</v>
      </c>
      <c r="C77" s="20">
        <f>SUM(C70:C76)</f>
        <v>37322.31</v>
      </c>
      <c r="D77" s="20">
        <f>SUM(D70:D76)</f>
        <v>7000</v>
      </c>
      <c r="E77" s="20">
        <f t="shared" ref="E77:G77" si="16">SUM(E70:E76)</f>
        <v>1995.6799999999998</v>
      </c>
      <c r="F77" s="20">
        <f t="shared" si="16"/>
        <v>32317.99</v>
      </c>
      <c r="G77" s="20">
        <f t="shared" si="16"/>
        <v>0</v>
      </c>
      <c r="H77" s="20">
        <f>SUM(H70:H76)</f>
        <v>0</v>
      </c>
      <c r="I77" s="21">
        <f>SUM(I70:I76)</f>
        <v>32372.34</v>
      </c>
    </row>
    <row r="78" spans="1:9" ht="15.75" thickBot="1" x14ac:dyDescent="0.3">
      <c r="A78" s="41"/>
      <c r="B78" s="41"/>
      <c r="C78" s="46"/>
      <c r="D78" s="46"/>
      <c r="E78" s="46"/>
      <c r="F78" s="46"/>
      <c r="G78" s="46"/>
      <c r="H78" s="46"/>
      <c r="I78" s="46"/>
    </row>
    <row r="79" spans="1:9" ht="15.75" thickBot="1" x14ac:dyDescent="0.3">
      <c r="A79" s="75">
        <v>2020</v>
      </c>
    </row>
    <row r="80" spans="1:9" ht="15.75" thickBot="1" x14ac:dyDescent="0.3">
      <c r="A80" s="67" t="s">
        <v>0</v>
      </c>
      <c r="B80" s="68" t="s">
        <v>1</v>
      </c>
      <c r="C80" s="69" t="s">
        <v>2</v>
      </c>
      <c r="D80" s="70" t="s">
        <v>3</v>
      </c>
      <c r="E80" s="70" t="s">
        <v>4</v>
      </c>
      <c r="F80" s="71" t="s">
        <v>5</v>
      </c>
      <c r="G80" s="70" t="s">
        <v>6</v>
      </c>
      <c r="H80" s="70" t="s">
        <v>7</v>
      </c>
      <c r="I80" s="72" t="s">
        <v>8</v>
      </c>
    </row>
    <row r="81" spans="1:9" x14ac:dyDescent="0.25">
      <c r="A81" s="73">
        <v>43999</v>
      </c>
      <c r="B81" s="77" t="s">
        <v>85</v>
      </c>
      <c r="C81" s="65">
        <v>12258.94</v>
      </c>
      <c r="D81" s="65">
        <v>5000</v>
      </c>
      <c r="E81" s="65">
        <f>1606.3+440.85+72.59</f>
        <v>2119.7400000000002</v>
      </c>
      <c r="F81" s="65">
        <f>+C81-D81+E81</f>
        <v>9378.68</v>
      </c>
      <c r="G81" s="65">
        <v>0</v>
      </c>
      <c r="H81" s="65">
        <v>0</v>
      </c>
      <c r="I81" s="65">
        <f>+F81-G81+H81</f>
        <v>9378.68</v>
      </c>
    </row>
    <row r="82" spans="1:9" x14ac:dyDescent="0.25">
      <c r="A82" s="29">
        <v>44024</v>
      </c>
      <c r="B82" s="78" t="s">
        <v>86</v>
      </c>
      <c r="C82" s="14">
        <v>6060.09</v>
      </c>
      <c r="D82" s="14">
        <v>5000</v>
      </c>
      <c r="E82" s="14">
        <f>1675.68+10.6</f>
        <v>1686.28</v>
      </c>
      <c r="F82" s="14">
        <f>+C82-D82+E82</f>
        <v>2746.37</v>
      </c>
      <c r="G82" s="14">
        <v>0</v>
      </c>
      <c r="H82" s="14">
        <v>0</v>
      </c>
      <c r="I82" s="14">
        <f>+F82-G82+H82</f>
        <v>2746.37</v>
      </c>
    </row>
    <row r="83" spans="1:9" x14ac:dyDescent="0.25">
      <c r="A83" s="29">
        <v>44035</v>
      </c>
      <c r="B83" s="79" t="s">
        <v>87</v>
      </c>
      <c r="C83" s="47">
        <v>12902.23</v>
      </c>
      <c r="D83" s="47">
        <v>5000</v>
      </c>
      <c r="E83" s="47">
        <v>79.02</v>
      </c>
      <c r="F83" s="47">
        <f>+C83-D83+E83</f>
        <v>7981.25</v>
      </c>
      <c r="G83" s="47">
        <v>0</v>
      </c>
      <c r="H83" s="47">
        <v>0</v>
      </c>
      <c r="I83" s="47">
        <f>+F83-G83+H83</f>
        <v>7981.25</v>
      </c>
    </row>
    <row r="84" spans="1:9" ht="15.75" thickBot="1" x14ac:dyDescent="0.3">
      <c r="A84" s="52">
        <v>44196</v>
      </c>
      <c r="B84" s="80" t="s">
        <v>88</v>
      </c>
      <c r="C84" s="48">
        <v>10012.27</v>
      </c>
      <c r="D84" s="48">
        <v>5000</v>
      </c>
      <c r="E84" s="48">
        <v>50.12</v>
      </c>
      <c r="F84" s="47">
        <f>+C84-D84+E84</f>
        <v>5062.3900000000003</v>
      </c>
      <c r="G84" s="47">
        <v>0</v>
      </c>
      <c r="H84" s="47">
        <v>0</v>
      </c>
      <c r="I84" s="47">
        <f>+F84-G84+H84</f>
        <v>5062.3900000000003</v>
      </c>
    </row>
    <row r="85" spans="1:9" ht="15.75" thickBot="1" x14ac:dyDescent="0.3">
      <c r="A85" s="60"/>
      <c r="B85" s="49" t="s">
        <v>8</v>
      </c>
      <c r="C85" s="50">
        <f t="shared" ref="C85:I85" si="17">SUM(C81:C84)</f>
        <v>41233.53</v>
      </c>
      <c r="D85" s="50">
        <f t="shared" si="17"/>
        <v>20000</v>
      </c>
      <c r="E85" s="50">
        <f t="shared" si="17"/>
        <v>3935.1600000000003</v>
      </c>
      <c r="F85" s="50">
        <f t="shared" si="17"/>
        <v>25168.69</v>
      </c>
      <c r="G85" s="50">
        <f t="shared" si="17"/>
        <v>0</v>
      </c>
      <c r="H85" s="50">
        <f t="shared" si="17"/>
        <v>0</v>
      </c>
      <c r="I85" s="51">
        <f t="shared" si="17"/>
        <v>25168.69</v>
      </c>
    </row>
    <row r="86" spans="1:9" ht="15.75" thickBot="1" x14ac:dyDescent="0.3"/>
    <row r="87" spans="1:9" ht="15.75" thickBot="1" x14ac:dyDescent="0.3">
      <c r="A87" s="75">
        <v>2021</v>
      </c>
    </row>
    <row r="88" spans="1:9" ht="15.75" thickBot="1" x14ac:dyDescent="0.3">
      <c r="A88" s="67" t="s">
        <v>0</v>
      </c>
      <c r="B88" s="68" t="s">
        <v>1</v>
      </c>
      <c r="C88" s="69" t="s">
        <v>2</v>
      </c>
      <c r="D88" s="70" t="s">
        <v>3</v>
      </c>
      <c r="E88" s="70" t="s">
        <v>4</v>
      </c>
      <c r="F88" s="71" t="s">
        <v>5</v>
      </c>
      <c r="G88" s="70" t="s">
        <v>6</v>
      </c>
      <c r="H88" s="70" t="s">
        <v>7</v>
      </c>
      <c r="I88" s="72" t="s">
        <v>8</v>
      </c>
    </row>
    <row r="89" spans="1:9" x14ac:dyDescent="0.25">
      <c r="A89" s="73">
        <v>44266</v>
      </c>
      <c r="B89" s="76" t="s">
        <v>89</v>
      </c>
      <c r="C89" s="65">
        <v>7960.44</v>
      </c>
      <c r="D89" s="65">
        <v>5000</v>
      </c>
      <c r="E89" s="65">
        <f>29.6+1904.12</f>
        <v>1933.7199999999998</v>
      </c>
      <c r="F89" s="65">
        <f>+C89-D89+E89</f>
        <v>4894.16</v>
      </c>
      <c r="G89" s="65">
        <v>0</v>
      </c>
      <c r="H89" s="65">
        <v>0</v>
      </c>
      <c r="I89" s="65">
        <f>+F89-G89+H89</f>
        <v>4894.16</v>
      </c>
    </row>
    <row r="90" spans="1:9" x14ac:dyDescent="0.25">
      <c r="A90" s="29">
        <v>44403</v>
      </c>
      <c r="B90" s="12" t="s">
        <v>90</v>
      </c>
      <c r="C90" s="14">
        <v>42924.49</v>
      </c>
      <c r="D90" s="14">
        <v>5000</v>
      </c>
      <c r="E90" s="14">
        <f>7608.71+2391.17+379.24</f>
        <v>10379.120000000001</v>
      </c>
      <c r="F90" s="14">
        <f>+C90-D90+E90</f>
        <v>48303.61</v>
      </c>
      <c r="G90" s="14">
        <v>0</v>
      </c>
      <c r="H90" s="14">
        <v>0</v>
      </c>
      <c r="I90" s="14">
        <f>+F90-G90+H90</f>
        <v>48303.61</v>
      </c>
    </row>
    <row r="91" spans="1:9" x14ac:dyDescent="0.25">
      <c r="A91" s="29">
        <v>44406</v>
      </c>
      <c r="B91" s="30" t="s">
        <v>91</v>
      </c>
      <c r="C91" s="14">
        <v>11832.58</v>
      </c>
      <c r="D91" s="14">
        <v>5000</v>
      </c>
      <c r="E91" s="14">
        <v>68.33</v>
      </c>
      <c r="F91" s="14">
        <f>+C91-D91+E91</f>
        <v>6900.91</v>
      </c>
      <c r="G91" s="14">
        <v>0</v>
      </c>
      <c r="H91" s="14">
        <v>0</v>
      </c>
      <c r="I91" s="14">
        <f>+F91-G91+H91</f>
        <v>6900.91</v>
      </c>
    </row>
    <row r="92" spans="1:9" ht="15.75" thickBot="1" x14ac:dyDescent="0.3">
      <c r="A92" s="29">
        <v>44475</v>
      </c>
      <c r="B92" s="30" t="s">
        <v>92</v>
      </c>
      <c r="C92" s="18">
        <v>0</v>
      </c>
      <c r="D92" s="18">
        <v>0</v>
      </c>
      <c r="E92" s="18">
        <v>1382.74</v>
      </c>
      <c r="F92" s="18">
        <f>+E92</f>
        <v>1382.74</v>
      </c>
      <c r="G92" s="18">
        <v>0</v>
      </c>
      <c r="H92" s="18">
        <v>0</v>
      </c>
      <c r="I92" s="18">
        <f>+F92</f>
        <v>1382.74</v>
      </c>
    </row>
    <row r="93" spans="1:9" ht="15.75" thickBot="1" x14ac:dyDescent="0.3">
      <c r="A93" s="52"/>
      <c r="B93" s="49" t="s">
        <v>8</v>
      </c>
      <c r="C93" s="81">
        <f t="shared" ref="C93:I93" si="18">SUM(C89:C92)</f>
        <v>62717.51</v>
      </c>
      <c r="D93" s="82">
        <f t="shared" si="18"/>
        <v>15000</v>
      </c>
      <c r="E93" s="82">
        <f t="shared" si="18"/>
        <v>13763.91</v>
      </c>
      <c r="F93" s="82">
        <f t="shared" si="18"/>
        <v>61481.420000000006</v>
      </c>
      <c r="G93" s="82">
        <f t="shared" si="18"/>
        <v>0</v>
      </c>
      <c r="H93" s="82">
        <f t="shared" si="18"/>
        <v>0</v>
      </c>
      <c r="I93" s="118">
        <f t="shared" si="18"/>
        <v>61481.420000000006</v>
      </c>
    </row>
    <row r="94" spans="1:9" ht="15.75" thickBot="1" x14ac:dyDescent="0.3"/>
    <row r="95" spans="1:9" ht="15.75" thickBot="1" x14ac:dyDescent="0.3">
      <c r="A95" s="75">
        <v>2022</v>
      </c>
    </row>
    <row r="96" spans="1:9" x14ac:dyDescent="0.25">
      <c r="A96" s="5" t="s">
        <v>0</v>
      </c>
      <c r="B96" s="6" t="s">
        <v>1</v>
      </c>
      <c r="C96" s="7" t="s">
        <v>2</v>
      </c>
      <c r="D96" s="8" t="s">
        <v>3</v>
      </c>
      <c r="E96" s="8" t="s">
        <v>4</v>
      </c>
      <c r="F96" s="9" t="s">
        <v>5</v>
      </c>
      <c r="G96" s="8" t="s">
        <v>6</v>
      </c>
      <c r="H96" s="8" t="s">
        <v>7</v>
      </c>
      <c r="I96" s="10" t="s">
        <v>8</v>
      </c>
    </row>
    <row r="97" spans="1:9" x14ac:dyDescent="0.25">
      <c r="A97" s="29">
        <v>44610</v>
      </c>
      <c r="B97" s="12" t="s">
        <v>34</v>
      </c>
      <c r="C97" s="14">
        <v>54077.14</v>
      </c>
      <c r="D97" s="14">
        <v>5000</v>
      </c>
      <c r="E97" s="14">
        <f>490.77+3612.47+5999.36</f>
        <v>10102.599999999999</v>
      </c>
      <c r="F97" s="14">
        <f>+C97-D97+E97</f>
        <v>59179.74</v>
      </c>
      <c r="G97" s="14">
        <v>0</v>
      </c>
      <c r="H97" s="14">
        <v>0</v>
      </c>
      <c r="I97" s="14">
        <f>+F97-G97+H97</f>
        <v>59179.74</v>
      </c>
    </row>
    <row r="98" spans="1:9" x14ac:dyDescent="0.25">
      <c r="A98" s="29">
        <v>44615</v>
      </c>
      <c r="B98" s="30" t="s">
        <v>93</v>
      </c>
      <c r="C98" s="14">
        <v>0</v>
      </c>
      <c r="D98" s="14">
        <v>0</v>
      </c>
      <c r="E98" s="14">
        <v>2708.81</v>
      </c>
      <c r="F98" s="14">
        <f>+C98-D98+E98</f>
        <v>2708.81</v>
      </c>
      <c r="G98" s="14">
        <v>0</v>
      </c>
      <c r="H98" s="14">
        <v>0</v>
      </c>
      <c r="I98" s="14">
        <f>+F98-G98+H98</f>
        <v>2708.81</v>
      </c>
    </row>
    <row r="99" spans="1:9" ht="15.75" thickBot="1" x14ac:dyDescent="0.3">
      <c r="A99" s="29">
        <v>44713</v>
      </c>
      <c r="B99" s="27" t="s">
        <v>94</v>
      </c>
      <c r="C99" s="18">
        <v>7020.37</v>
      </c>
      <c r="D99" s="18">
        <v>5000</v>
      </c>
      <c r="E99" s="18">
        <v>20.2</v>
      </c>
      <c r="F99" s="18">
        <f>+C99-D99+E99</f>
        <v>2040.57</v>
      </c>
      <c r="G99" s="18">
        <v>0</v>
      </c>
      <c r="H99" s="18">
        <v>0</v>
      </c>
      <c r="I99" s="18">
        <f>+F99-G99+H99</f>
        <v>2040.57</v>
      </c>
    </row>
    <row r="100" spans="1:9" ht="15.75" thickBot="1" x14ac:dyDescent="0.3">
      <c r="A100" s="52"/>
      <c r="B100" s="49" t="s">
        <v>8</v>
      </c>
      <c r="C100" s="82">
        <f t="shared" ref="C100:I100" si="19">SUM(C97:C99)</f>
        <v>61097.51</v>
      </c>
      <c r="D100" s="82">
        <f t="shared" si="19"/>
        <v>10000</v>
      </c>
      <c r="E100" s="82">
        <f t="shared" si="19"/>
        <v>12831.609999999999</v>
      </c>
      <c r="F100" s="82">
        <f t="shared" si="19"/>
        <v>63929.119999999995</v>
      </c>
      <c r="G100" s="82">
        <f t="shared" si="19"/>
        <v>0</v>
      </c>
      <c r="H100" s="82">
        <f t="shared" si="19"/>
        <v>0</v>
      </c>
      <c r="I100" s="118">
        <f t="shared" si="19"/>
        <v>63929.119999999995</v>
      </c>
    </row>
    <row r="101" spans="1:9" ht="15.75" thickBot="1" x14ac:dyDescent="0.3"/>
    <row r="102" spans="1:9" ht="15.75" thickBot="1" x14ac:dyDescent="0.3">
      <c r="A102" s="75">
        <v>2023</v>
      </c>
    </row>
    <row r="103" spans="1:9" x14ac:dyDescent="0.25">
      <c r="A103" s="5" t="s">
        <v>0</v>
      </c>
      <c r="B103" s="6" t="s">
        <v>1</v>
      </c>
      <c r="C103" s="7" t="s">
        <v>2</v>
      </c>
      <c r="D103" s="8" t="s">
        <v>3</v>
      </c>
      <c r="E103" s="8" t="s">
        <v>4</v>
      </c>
      <c r="F103" s="9" t="s">
        <v>5</v>
      </c>
      <c r="G103" s="8" t="s">
        <v>6</v>
      </c>
      <c r="H103" s="8" t="s">
        <v>7</v>
      </c>
      <c r="I103" s="10" t="s">
        <v>8</v>
      </c>
    </row>
    <row r="104" spans="1:9" x14ac:dyDescent="0.25">
      <c r="A104" s="29">
        <v>45086</v>
      </c>
      <c r="B104" s="12" t="s">
        <v>95</v>
      </c>
      <c r="C104" s="14">
        <v>0</v>
      </c>
      <c r="D104" s="14">
        <v>0</v>
      </c>
      <c r="E104" s="14">
        <v>2049.5700000000002</v>
      </c>
      <c r="F104" s="14">
        <f>+C104-D104+E104</f>
        <v>2049.5700000000002</v>
      </c>
      <c r="G104" s="14">
        <v>0</v>
      </c>
      <c r="H104" s="14">
        <v>0</v>
      </c>
      <c r="I104" s="14">
        <f>+F104-G104+H104</f>
        <v>2049.5700000000002</v>
      </c>
    </row>
    <row r="105" spans="1:9" ht="15.75" thickBot="1" x14ac:dyDescent="0.3">
      <c r="A105" s="29">
        <v>45168</v>
      </c>
      <c r="B105" s="27" t="s">
        <v>96</v>
      </c>
      <c r="C105" s="18">
        <v>5718.99</v>
      </c>
      <c r="D105" s="18">
        <v>5000</v>
      </c>
      <c r="E105" s="18">
        <v>7.19</v>
      </c>
      <c r="F105" s="18">
        <f>+C105-D105+E105</f>
        <v>726.17999999999984</v>
      </c>
      <c r="G105" s="18">
        <v>0</v>
      </c>
      <c r="H105" s="18">
        <v>0</v>
      </c>
      <c r="I105" s="18">
        <f>+F105-G105+H105</f>
        <v>726.17999999999984</v>
      </c>
    </row>
    <row r="106" spans="1:9" ht="15.75" thickBot="1" x14ac:dyDescent="0.3">
      <c r="A106" s="52"/>
      <c r="B106" s="49" t="s">
        <v>8</v>
      </c>
      <c r="C106" s="82">
        <f t="shared" ref="C106:I106" si="20">SUM(C104:C105)</f>
        <v>5718.99</v>
      </c>
      <c r="D106" s="82">
        <f t="shared" si="20"/>
        <v>5000</v>
      </c>
      <c r="E106" s="82">
        <f t="shared" si="20"/>
        <v>2056.7600000000002</v>
      </c>
      <c r="F106" s="82">
        <f t="shared" si="20"/>
        <v>2775.75</v>
      </c>
      <c r="G106" s="82">
        <f t="shared" si="20"/>
        <v>0</v>
      </c>
      <c r="H106" s="82">
        <f t="shared" si="20"/>
        <v>0</v>
      </c>
      <c r="I106" s="118">
        <f t="shared" si="20"/>
        <v>2775.75</v>
      </c>
    </row>
    <row r="107" spans="1:9" ht="15.75" thickBot="1" x14ac:dyDescent="0.3"/>
    <row r="108" spans="1:9" ht="15.75" thickBot="1" x14ac:dyDescent="0.3">
      <c r="A108" s="83">
        <v>2024</v>
      </c>
    </row>
    <row r="109" spans="1:9" x14ac:dyDescent="0.25">
      <c r="A109" s="5" t="s">
        <v>0</v>
      </c>
      <c r="B109" s="6" t="s">
        <v>1</v>
      </c>
      <c r="C109" s="7" t="s">
        <v>2</v>
      </c>
      <c r="D109" s="8" t="s">
        <v>3</v>
      </c>
      <c r="E109" s="8" t="s">
        <v>4</v>
      </c>
      <c r="F109" s="9" t="s">
        <v>5</v>
      </c>
      <c r="G109" s="8" t="s">
        <v>6</v>
      </c>
      <c r="H109" s="8" t="s">
        <v>7</v>
      </c>
      <c r="I109" s="10" t="s">
        <v>8</v>
      </c>
    </row>
    <row r="110" spans="1:9" x14ac:dyDescent="0.25">
      <c r="A110" s="29">
        <v>45434</v>
      </c>
      <c r="B110" s="12" t="s">
        <v>97</v>
      </c>
      <c r="C110" s="14">
        <v>11430.64</v>
      </c>
      <c r="D110" s="14">
        <v>5000</v>
      </c>
      <c r="E110" s="14">
        <f>1552.61+64.31</f>
        <v>1616.9199999999998</v>
      </c>
      <c r="F110" s="14">
        <f>+C110-D110+E110</f>
        <v>8047.5599999999995</v>
      </c>
      <c r="G110" s="14">
        <v>0</v>
      </c>
      <c r="H110" s="14">
        <v>0</v>
      </c>
      <c r="I110" s="14">
        <f>+F110-G110+H110</f>
        <v>8047.5599999999995</v>
      </c>
    </row>
    <row r="111" spans="1:9" ht="15.75" thickBot="1" x14ac:dyDescent="0.3">
      <c r="A111" s="29"/>
      <c r="B111" s="27"/>
      <c r="C111" s="18"/>
      <c r="D111" s="18"/>
      <c r="E111" s="18"/>
      <c r="F111" s="18"/>
      <c r="G111" s="18"/>
      <c r="H111" s="18"/>
      <c r="I111" s="18"/>
    </row>
    <row r="112" spans="1:9" ht="15.75" thickBot="1" x14ac:dyDescent="0.3">
      <c r="A112" s="85"/>
      <c r="B112" s="86" t="s">
        <v>8</v>
      </c>
      <c r="C112" s="87">
        <f t="shared" ref="C112:I112" si="21">SUM(C110:C111)</f>
        <v>11430.64</v>
      </c>
      <c r="D112" s="87">
        <f t="shared" si="21"/>
        <v>5000</v>
      </c>
      <c r="E112" s="87">
        <f t="shared" si="21"/>
        <v>1616.9199999999998</v>
      </c>
      <c r="F112" s="87">
        <f t="shared" si="21"/>
        <v>8047.5599999999995</v>
      </c>
      <c r="G112" s="87">
        <f t="shared" si="21"/>
        <v>0</v>
      </c>
      <c r="H112" s="87">
        <f t="shared" si="21"/>
        <v>0</v>
      </c>
      <c r="I112" s="120">
        <f t="shared" si="21"/>
        <v>8047.5599999999995</v>
      </c>
    </row>
    <row r="113" spans="2:9" ht="15.75" thickBot="1" x14ac:dyDescent="0.3"/>
    <row r="114" spans="2:9" x14ac:dyDescent="0.25">
      <c r="C114" s="7" t="s">
        <v>2</v>
      </c>
      <c r="D114" s="8" t="s">
        <v>3</v>
      </c>
      <c r="E114" s="8" t="s">
        <v>4</v>
      </c>
      <c r="F114" s="9" t="s">
        <v>5</v>
      </c>
      <c r="G114" s="8" t="s">
        <v>6</v>
      </c>
      <c r="H114" s="8" t="s">
        <v>7</v>
      </c>
      <c r="I114" s="10" t="s">
        <v>8</v>
      </c>
    </row>
    <row r="115" spans="2:9" ht="15.75" thickBot="1" x14ac:dyDescent="0.3">
      <c r="C115" s="88"/>
      <c r="D115" s="89"/>
      <c r="E115" s="89"/>
      <c r="F115" s="42"/>
      <c r="G115" s="89"/>
      <c r="H115" s="89"/>
      <c r="I115" s="42"/>
    </row>
    <row r="116" spans="2:9" ht="15.75" thickBot="1" x14ac:dyDescent="0.3">
      <c r="B116" s="115" t="s">
        <v>105</v>
      </c>
      <c r="C116" s="88"/>
      <c r="D116" s="89"/>
      <c r="E116" s="89"/>
      <c r="F116" s="42"/>
      <c r="G116" s="89"/>
      <c r="H116" s="89"/>
      <c r="I116" s="42"/>
    </row>
    <row r="117" spans="2:9" ht="15.75" thickBot="1" x14ac:dyDescent="0.3">
      <c r="B117" t="s">
        <v>99</v>
      </c>
      <c r="C117" s="91">
        <f t="shared" ref="C117:I117" si="22">C17+C28+C39+C53+C66+C77+C85+C93+C100+C106+C112</f>
        <v>437313.47000000003</v>
      </c>
      <c r="D117" s="91">
        <f t="shared" si="22"/>
        <v>105000</v>
      </c>
      <c r="E117" s="91">
        <f t="shared" si="22"/>
        <v>53721.310000000005</v>
      </c>
      <c r="F117" s="91">
        <f t="shared" si="22"/>
        <v>387602.1</v>
      </c>
      <c r="G117" s="91">
        <f t="shared" si="22"/>
        <v>60308.04</v>
      </c>
      <c r="H117" s="91">
        <f t="shared" si="22"/>
        <v>0</v>
      </c>
      <c r="I117" s="94">
        <f t="shared" si="22"/>
        <v>327348.45</v>
      </c>
    </row>
    <row r="118" spans="2:9" ht="15.75" thickBot="1" x14ac:dyDescent="0.3">
      <c r="B118" s="90" t="s">
        <v>100</v>
      </c>
      <c r="C118" s="92">
        <f t="shared" ref="C118:I118" si="23">C117/11</f>
        <v>39755.770000000004</v>
      </c>
      <c r="D118" s="92">
        <f t="shared" si="23"/>
        <v>9545.454545454546</v>
      </c>
      <c r="E118" s="92">
        <f t="shared" si="23"/>
        <v>4883.755454545455</v>
      </c>
      <c r="F118" s="92">
        <f t="shared" si="23"/>
        <v>35236.554545454543</v>
      </c>
      <c r="G118" s="92">
        <f t="shared" si="23"/>
        <v>5482.5490909090913</v>
      </c>
      <c r="H118" s="93">
        <f t="shared" si="23"/>
        <v>0</v>
      </c>
      <c r="I118" s="116">
        <f t="shared" si="23"/>
        <v>29758.95</v>
      </c>
    </row>
    <row r="120" spans="2:9" x14ac:dyDescent="0.25">
      <c r="C120" s="95"/>
    </row>
    <row r="121" spans="2:9" x14ac:dyDescent="0.25">
      <c r="C121" s="95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Eigendommen</vt:lpstr>
      <vt:lpstr>Onderwijs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2024-08-22T06:43:45Z</dcterms:created>
  <dcterms:modified xsi:type="dcterms:W3CDTF">2024-09-10T08:53:13Z</dcterms:modified>
</cp:coreProperties>
</file>