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hogesla\OneDrive - Aon\Desktop\Vizier\"/>
    </mc:Choice>
  </mc:AlternateContent>
  <xr:revisionPtr revIDLastSave="0" documentId="8_{5E0DBBE5-CB7C-425D-A4FF-285CA41017A0}" xr6:coauthVersionLast="47" xr6:coauthVersionMax="47" xr10:uidLastSave="{00000000-0000-0000-0000-000000000000}"/>
  <bookViews>
    <workbookView xWindow="-120" yWindow="-120" windowWidth="29040" windowHeight="15840" activeTab="1" xr2:uid="{61735FB4-A4DE-42E1-9588-60CFD9B13F09}"/>
  </bookViews>
  <sheets>
    <sheet name="Overzicht" sheetId="5" r:id="rId1"/>
    <sheet name="Specificatie" sheetId="1" r:id="rId2"/>
    <sheet name="Taxaties" sheetId="8" state="hidden" r:id="rId3"/>
    <sheet name="Mutaties" sheetId="7" r:id="rId4"/>
    <sheet name="Verrekening Jaarpremie" sheetId="2" r:id="rId5"/>
    <sheet name="Verrekening Pro Rata-CAD" sheetId="3" state="hidden" r:id="rId6"/>
    <sheet name="Data" sheetId="4" state="hidden" r:id="rId7"/>
  </sheets>
  <definedNames>
    <definedName name="_xlnm._FilterDatabase" localSheetId="1" hidden="1">Specificatie!$A$6:$W$6</definedName>
    <definedName name="_xlcn.WorksheetConnection_BIPARModuleversie6.2.xlsxTable31" hidden="1">Table3[]</definedName>
    <definedName name="_xlnm.Print_Area" localSheetId="1">Specificatie!$A$1:$W$41</definedName>
    <definedName name="Bouwaard">Data!$B$2:$B$6</definedName>
    <definedName name="CAD">Data!$C$2:$C$3</definedName>
    <definedName name="courtage">'Verrekening Jaarpremie'!#REF!</definedName>
    <definedName name="Interest">Data!$A$2:$A$16</definedName>
    <definedName name="Taxatie">Data!$D$2:$D$4</definedName>
  </definedNames>
  <calcPr calcId="191028"/>
  <pivotCaches>
    <pivotCache cacheId="0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3" name="Table3" connection="WorksheetConnection_BIPAR Module versie 6.2.xlsx!Table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3" i="1" l="1"/>
  <c r="N35" i="7"/>
  <c r="Q35" i="7" s="1"/>
  <c r="N34" i="7"/>
  <c r="Q34" i="7" s="1"/>
  <c r="N33" i="7"/>
  <c r="R33" i="7" s="1" a="1"/>
  <c r="R33" i="7" s="1"/>
  <c r="N32" i="7"/>
  <c r="R32" i="7" s="1" a="1"/>
  <c r="R32" i="7" s="1"/>
  <c r="N31" i="7"/>
  <c r="S31" i="7" s="1" a="1"/>
  <c r="S31" i="7" s="1"/>
  <c r="N30" i="7"/>
  <c r="R30" i="7" s="1" a="1"/>
  <c r="R30" i="7" s="1"/>
  <c r="N29" i="7"/>
  <c r="Q29" i="7" s="1"/>
  <c r="N28" i="7"/>
  <c r="Q28" i="7" s="1"/>
  <c r="N27" i="7"/>
  <c r="S27" i="7" s="1" a="1"/>
  <c r="S27" i="7" s="1"/>
  <c r="N26" i="7"/>
  <c r="T26" i="7" s="1"/>
  <c r="N25" i="7"/>
  <c r="R25" i="7" s="1" a="1"/>
  <c r="R25" i="7" s="1"/>
  <c r="N24" i="7"/>
  <c r="N23" i="7"/>
  <c r="Q23" i="7" s="1"/>
  <c r="N22" i="7"/>
  <c r="Q22" i="7" s="1"/>
  <c r="N21" i="7"/>
  <c r="A21" i="7"/>
  <c r="C21" i="7"/>
  <c r="E21" i="7"/>
  <c r="J21" i="7" s="1"/>
  <c r="K21" i="7" s="1"/>
  <c r="R16" i="1" s="1"/>
  <c r="P16" i="1" s="1"/>
  <c r="O16" i="1" s="1"/>
  <c r="Q21" i="7"/>
  <c r="R21" i="7" a="1"/>
  <c r="R21" i="7" s="1"/>
  <c r="S21" i="7" a="1"/>
  <c r="S21" i="7" s="1"/>
  <c r="T21" i="7"/>
  <c r="V21" i="7"/>
  <c r="A22" i="7"/>
  <c r="C22" i="7"/>
  <c r="E22" i="7"/>
  <c r="J22" i="7" s="1"/>
  <c r="K22" i="7" s="1"/>
  <c r="R24" i="1" s="1"/>
  <c r="P24" i="1" s="1"/>
  <c r="O24" i="1" s="1"/>
  <c r="V22" i="7"/>
  <c r="A23" i="7"/>
  <c r="C23" i="7"/>
  <c r="E23" i="7"/>
  <c r="J23" i="7" s="1"/>
  <c r="K23" i="7" s="1"/>
  <c r="R22" i="1" s="1"/>
  <c r="P22" i="1" s="1"/>
  <c r="O22" i="1" s="1"/>
  <c r="V23" i="7"/>
  <c r="A24" i="7"/>
  <c r="C24" i="7"/>
  <c r="E24" i="7"/>
  <c r="J24" i="7" s="1"/>
  <c r="K24" i="7" s="1"/>
  <c r="R12" i="1" s="1"/>
  <c r="P12" i="1" s="1"/>
  <c r="O12" i="1" s="1"/>
  <c r="Q24" i="7"/>
  <c r="R24" i="7" a="1"/>
  <c r="R24" i="7" s="1"/>
  <c r="S24" i="7" a="1"/>
  <c r="S24" i="7" s="1"/>
  <c r="T24" i="7"/>
  <c r="V24" i="7"/>
  <c r="A25" i="7"/>
  <c r="C25" i="7"/>
  <c r="E25" i="7"/>
  <c r="J25" i="7" s="1"/>
  <c r="K25" i="7" s="1"/>
  <c r="R14" i="1" s="1"/>
  <c r="P14" i="1" s="1"/>
  <c r="O14" i="1" s="1"/>
  <c r="V25" i="7"/>
  <c r="A26" i="7"/>
  <c r="C26" i="7"/>
  <c r="E26" i="7"/>
  <c r="J26" i="7" s="1"/>
  <c r="K26" i="7" s="1"/>
  <c r="R28" i="1" s="1"/>
  <c r="P28" i="1" s="1"/>
  <c r="O28" i="1" s="1"/>
  <c r="V26" i="7"/>
  <c r="A27" i="7"/>
  <c r="C27" i="7"/>
  <c r="E27" i="7"/>
  <c r="J27" i="7" s="1"/>
  <c r="K27" i="7" s="1"/>
  <c r="R26" i="1" s="1"/>
  <c r="P26" i="1" s="1"/>
  <c r="O26" i="1" s="1"/>
  <c r="V27" i="7"/>
  <c r="A28" i="7"/>
  <c r="C28" i="7"/>
  <c r="E28" i="7"/>
  <c r="J28" i="7" s="1"/>
  <c r="K28" i="7" s="1"/>
  <c r="R33" i="1" s="1"/>
  <c r="P33" i="1" s="1"/>
  <c r="O33" i="1" s="1"/>
  <c r="V28" i="7"/>
  <c r="A29" i="7"/>
  <c r="C29" i="7"/>
  <c r="E29" i="7"/>
  <c r="J29" i="7" s="1"/>
  <c r="K29" i="7" s="1"/>
  <c r="R38" i="1" s="1"/>
  <c r="P38" i="1" s="1"/>
  <c r="O38" i="1" s="1"/>
  <c r="T29" i="7"/>
  <c r="V29" i="7"/>
  <c r="A30" i="7"/>
  <c r="C30" i="7"/>
  <c r="E30" i="7"/>
  <c r="J30" i="7" s="1"/>
  <c r="K30" i="7" s="1"/>
  <c r="R40" i="1" s="1"/>
  <c r="P40" i="1" s="1"/>
  <c r="O40" i="1" s="1"/>
  <c r="V30" i="7"/>
  <c r="A31" i="7"/>
  <c r="C31" i="7"/>
  <c r="E31" i="7"/>
  <c r="J31" i="7" s="1"/>
  <c r="K31" i="7" s="1"/>
  <c r="R30" i="1" s="1"/>
  <c r="P30" i="1" s="1"/>
  <c r="O30" i="1" s="1"/>
  <c r="V31" i="7"/>
  <c r="A32" i="7"/>
  <c r="C32" i="7"/>
  <c r="E32" i="7"/>
  <c r="J32" i="7" s="1"/>
  <c r="K32" i="7" s="1"/>
  <c r="R31" i="1" s="1"/>
  <c r="P31" i="1" s="1"/>
  <c r="O31" i="1" s="1"/>
  <c r="V32" i="7"/>
  <c r="A33" i="7"/>
  <c r="C33" i="7"/>
  <c r="E33" i="7"/>
  <c r="J33" i="7" s="1"/>
  <c r="K33" i="7" s="1"/>
  <c r="R17" i="1" s="1"/>
  <c r="P17" i="1" s="1"/>
  <c r="O17" i="1" s="1"/>
  <c r="V33" i="7"/>
  <c r="A34" i="7"/>
  <c r="C34" i="7"/>
  <c r="E34" i="7"/>
  <c r="J34" i="7" s="1"/>
  <c r="K34" i="7" s="1"/>
  <c r="R18" i="1" s="1"/>
  <c r="P18" i="1" s="1"/>
  <c r="O18" i="1" s="1"/>
  <c r="V34" i="7"/>
  <c r="A35" i="7"/>
  <c r="C35" i="7"/>
  <c r="E35" i="7"/>
  <c r="J35" i="7" s="1"/>
  <c r="K35" i="7" s="1"/>
  <c r="V35" i="7"/>
  <c r="R35" i="1"/>
  <c r="P35" i="1" s="1"/>
  <c r="O35" i="1" s="1"/>
  <c r="R36" i="1"/>
  <c r="P36" i="1" s="1"/>
  <c r="O36" i="1" s="1"/>
  <c r="Q33" i="7" l="1"/>
  <c r="R31" i="7" a="1"/>
  <c r="R31" i="7" s="1"/>
  <c r="Q31" i="7"/>
  <c r="U24" i="7"/>
  <c r="T30" i="7"/>
  <c r="T32" i="7"/>
  <c r="S30" i="7" a="1"/>
  <c r="S30" i="7" s="1"/>
  <c r="Q30" i="7"/>
  <c r="R27" i="7" a="1"/>
  <c r="R27" i="7" s="1"/>
  <c r="R29" i="7" a="1"/>
  <c r="R29" i="7" s="1"/>
  <c r="S25" i="7" a="1"/>
  <c r="S25" i="7" s="1"/>
  <c r="S29" i="7" a="1"/>
  <c r="S29" i="7" s="1"/>
  <c r="Q25" i="7"/>
  <c r="R26" i="7" a="1"/>
  <c r="R26" i="7" s="1"/>
  <c r="T28" i="7"/>
  <c r="S26" i="7" a="1"/>
  <c r="S26" i="7" s="1"/>
  <c r="T25" i="7"/>
  <c r="Q27" i="7"/>
  <c r="Q26" i="7"/>
  <c r="T31" i="7"/>
  <c r="U21" i="7"/>
  <c r="S32" i="7" a="1"/>
  <c r="S32" i="7" s="1"/>
  <c r="Q32" i="7"/>
  <c r="T35" i="7"/>
  <c r="T23" i="7"/>
  <c r="S35" i="7" a="1"/>
  <c r="S35" i="7" s="1"/>
  <c r="U30" i="7"/>
  <c r="S23" i="7" a="1"/>
  <c r="S23" i="7" s="1"/>
  <c r="R35" i="7" a="1"/>
  <c r="R35" i="7" s="1"/>
  <c r="T34" i="7"/>
  <c r="R23" i="7" a="1"/>
  <c r="R23" i="7" s="1"/>
  <c r="S34" i="7" a="1"/>
  <c r="S34" i="7" s="1"/>
  <c r="T22" i="7"/>
  <c r="R34" i="7" a="1"/>
  <c r="R34" i="7" s="1"/>
  <c r="T33" i="7"/>
  <c r="S28" i="7" a="1"/>
  <c r="S28" i="7" s="1"/>
  <c r="S22" i="7" a="1"/>
  <c r="S22" i="7" s="1"/>
  <c r="S33" i="7" a="1"/>
  <c r="S33" i="7" s="1"/>
  <c r="R28" i="7" a="1"/>
  <c r="R28" i="7" s="1"/>
  <c r="T27" i="7"/>
  <c r="R22" i="7" a="1"/>
  <c r="R22" i="7" s="1"/>
  <c r="V18" i="1"/>
  <c r="V35" i="1"/>
  <c r="V14" i="1"/>
  <c r="V30" i="1"/>
  <c r="V16" i="1"/>
  <c r="V33" i="1"/>
  <c r="V31" i="1"/>
  <c r="V12" i="1"/>
  <c r="V36" i="1"/>
  <c r="V26" i="1"/>
  <c r="V24" i="1"/>
  <c r="V38" i="1"/>
  <c r="V17" i="1"/>
  <c r="V40" i="1"/>
  <c r="V28" i="1"/>
  <c r="V22" i="1"/>
  <c r="U29" i="7" l="1"/>
  <c r="U25" i="7"/>
  <c r="U31" i="7"/>
  <c r="U26" i="7"/>
  <c r="U34" i="7"/>
  <c r="U33" i="7"/>
  <c r="U35" i="7"/>
  <c r="U22" i="7"/>
  <c r="U27" i="7"/>
  <c r="U28" i="7"/>
  <c r="U23" i="7"/>
  <c r="U32" i="7"/>
  <c r="W18" i="1"/>
  <c r="W28" i="1"/>
  <c r="W40" i="1"/>
  <c r="W24" i="1"/>
  <c r="W22" i="1"/>
  <c r="W16" i="1"/>
  <c r="W38" i="1"/>
  <c r="W33" i="1"/>
  <c r="W30" i="1"/>
  <c r="W35" i="1"/>
  <c r="W17" i="1"/>
  <c r="W26" i="1"/>
  <c r="W12" i="1"/>
  <c r="W36" i="1"/>
  <c r="W31" i="1"/>
  <c r="W14" i="1"/>
  <c r="B4" i="8" l="1"/>
  <c r="B5" i="8"/>
  <c r="B6" i="8"/>
  <c r="B7" i="8"/>
  <c r="B8" i="8"/>
  <c r="B9" i="8"/>
  <c r="B3" i="8"/>
  <c r="V9" i="7"/>
  <c r="W7" i="7"/>
  <c r="V7" i="7"/>
  <c r="C13" i="3"/>
  <c r="B13" i="3"/>
  <c r="A13" i="3"/>
  <c r="A13" i="2"/>
  <c r="L5" i="1"/>
  <c r="J5" i="1"/>
  <c r="J4" i="1"/>
  <c r="J3" i="1"/>
  <c r="J2" i="1"/>
  <c r="W23" i="7" l="1"/>
  <c r="W33" i="7"/>
  <c r="W24" i="7"/>
  <c r="W29" i="7"/>
  <c r="W25" i="7"/>
  <c r="W21" i="7"/>
  <c r="W22" i="7"/>
  <c r="W28" i="7"/>
  <c r="W31" i="7"/>
  <c r="W26" i="7"/>
  <c r="W35" i="7"/>
  <c r="W34" i="7"/>
  <c r="W32" i="7"/>
  <c r="W30" i="7"/>
  <c r="W27" i="7"/>
  <c r="V10" i="7"/>
  <c r="V11" i="7"/>
  <c r="V12" i="7"/>
  <c r="V13" i="7"/>
  <c r="V14" i="7"/>
  <c r="V15" i="7"/>
  <c r="V16" i="7"/>
  <c r="V17" i="7"/>
  <c r="V18" i="7"/>
  <c r="V19" i="7"/>
  <c r="V20" i="7"/>
  <c r="E10" i="7"/>
  <c r="E11" i="7"/>
  <c r="E12" i="7"/>
  <c r="E13" i="7"/>
  <c r="E14" i="7"/>
  <c r="E15" i="7"/>
  <c r="E16" i="7"/>
  <c r="E17" i="7"/>
  <c r="E18" i="7"/>
  <c r="E19" i="7"/>
  <c r="E20" i="7"/>
  <c r="E9" i="7"/>
  <c r="C10" i="7"/>
  <c r="C11" i="7"/>
  <c r="C12" i="7"/>
  <c r="C13" i="7"/>
  <c r="C14" i="7"/>
  <c r="C15" i="7"/>
  <c r="C16" i="7"/>
  <c r="C17" i="7"/>
  <c r="C18" i="7"/>
  <c r="C19" i="7"/>
  <c r="C20" i="7"/>
  <c r="C9" i="7"/>
  <c r="A9" i="7"/>
  <c r="A10" i="7"/>
  <c r="A11" i="7"/>
  <c r="A13" i="7"/>
  <c r="A14" i="7"/>
  <c r="A15" i="7"/>
  <c r="A16" i="7"/>
  <c r="A17" i="7"/>
  <c r="A18" i="7"/>
  <c r="A19" i="7"/>
  <c r="A20" i="7"/>
  <c r="A12" i="7"/>
  <c r="R29" i="1"/>
  <c r="R13" i="1"/>
  <c r="C13" i="2"/>
  <c r="B13" i="2"/>
  <c r="X24" i="7" l="1"/>
  <c r="Y24" i="7" s="1" a="1"/>
  <c r="Y24" i="7" s="1"/>
  <c r="X26" i="7"/>
  <c r="Y26" i="7" s="1" a="1"/>
  <c r="Y26" i="7" s="1"/>
  <c r="X23" i="7"/>
  <c r="Y23" i="7" s="1" a="1"/>
  <c r="Y23" i="7" s="1"/>
  <c r="X28" i="7"/>
  <c r="Y28" i="7" s="1" a="1"/>
  <c r="Y28" i="7" s="1"/>
  <c r="X33" i="7"/>
  <c r="Y33" i="7" s="1" a="1"/>
  <c r="Y33" i="7" s="1"/>
  <c r="X35" i="7"/>
  <c r="Y35" i="7" s="1" a="1"/>
  <c r="Y35" i="7" s="1"/>
  <c r="X31" i="7"/>
  <c r="Y31" i="7" s="1" a="1"/>
  <c r="Y31" i="7" s="1"/>
  <c r="X22" i="7"/>
  <c r="Y22" i="7" s="1" a="1"/>
  <c r="Y22" i="7" s="1"/>
  <c r="X34" i="7"/>
  <c r="Y34" i="7" s="1" a="1"/>
  <c r="Y34" i="7" s="1"/>
  <c r="X27" i="7"/>
  <c r="Y27" i="7" s="1" a="1"/>
  <c r="Y27" i="7" s="1"/>
  <c r="X25" i="7"/>
  <c r="Y25" i="7" s="1" a="1"/>
  <c r="Y25" i="7" s="1"/>
  <c r="X30" i="7"/>
  <c r="Y30" i="7" s="1" a="1"/>
  <c r="Y30" i="7" s="1"/>
  <c r="X32" i="7"/>
  <c r="Y32" i="7" s="1" a="1"/>
  <c r="Y32" i="7" s="1"/>
  <c r="X29" i="7"/>
  <c r="Y29" i="7" s="1" a="1"/>
  <c r="Y29" i="7" s="1"/>
  <c r="X21" i="7"/>
  <c r="Y21" i="7" s="1" a="1"/>
  <c r="Y21" i="7" s="1"/>
  <c r="S41" i="1"/>
  <c r="N41" i="1"/>
  <c r="E14" i="2"/>
  <c r="I36" i="7"/>
  <c r="H36" i="7"/>
  <c r="G36" i="7"/>
  <c r="F36" i="7"/>
  <c r="N14" i="7"/>
  <c r="T14" i="7" s="1"/>
  <c r="W6" i="7"/>
  <c r="V6" i="7"/>
  <c r="S14" i="7" l="1" a="1"/>
  <c r="S14" i="7" s="1"/>
  <c r="R14" i="7" a="1"/>
  <c r="R14" i="7" s="1"/>
  <c r="Q14" i="7"/>
  <c r="B9" i="2"/>
  <c r="B8" i="2"/>
  <c r="A4" i="7"/>
  <c r="A3" i="7"/>
  <c r="A2" i="7"/>
  <c r="A4" i="3"/>
  <c r="A3" i="3"/>
  <c r="A2" i="3"/>
  <c r="A4" i="2"/>
  <c r="A2" i="2"/>
  <c r="A3" i="2"/>
  <c r="B4" i="7"/>
  <c r="B3" i="7"/>
  <c r="B2" i="7"/>
  <c r="N20" i="7"/>
  <c r="R20" i="7" s="1" a="1"/>
  <c r="R20" i="7" s="1"/>
  <c r="N19" i="7"/>
  <c r="R19" i="7" s="1" a="1"/>
  <c r="R19" i="7" s="1"/>
  <c r="N18" i="7"/>
  <c r="R18" i="7" s="1" a="1"/>
  <c r="R18" i="7" s="1"/>
  <c r="N17" i="7"/>
  <c r="R17" i="7" s="1" a="1"/>
  <c r="R17" i="7" s="1"/>
  <c r="N16" i="7"/>
  <c r="N15" i="7"/>
  <c r="N13" i="7"/>
  <c r="R13" i="7" s="1" a="1"/>
  <c r="R13" i="7" s="1"/>
  <c r="N12" i="7"/>
  <c r="R12" i="7" s="1" a="1"/>
  <c r="R12" i="7" s="1"/>
  <c r="N11" i="7"/>
  <c r="R11" i="7" s="1" a="1"/>
  <c r="R11" i="7" s="1"/>
  <c r="N10" i="7"/>
  <c r="N9" i="7"/>
  <c r="V7" i="1"/>
  <c r="V8" i="1"/>
  <c r="U14" i="7" l="1"/>
  <c r="C14" i="3"/>
  <c r="C14" i="2"/>
  <c r="J15" i="7"/>
  <c r="K15" i="7" s="1"/>
  <c r="R25" i="1" s="1"/>
  <c r="P25" i="1" s="1"/>
  <c r="O25" i="1" s="1"/>
  <c r="J16" i="7"/>
  <c r="K16" i="7" s="1"/>
  <c r="R32" i="1" s="1"/>
  <c r="P32" i="1" s="1"/>
  <c r="O32" i="1" s="1"/>
  <c r="J17" i="7"/>
  <c r="K17" i="7" s="1"/>
  <c r="R37" i="1" s="1"/>
  <c r="P37" i="1" s="1"/>
  <c r="O37" i="1" s="1"/>
  <c r="J10" i="7"/>
  <c r="K10" i="7" s="1"/>
  <c r="J18" i="7"/>
  <c r="K18" i="7" s="1"/>
  <c r="R39" i="1" s="1"/>
  <c r="P39" i="1" s="1"/>
  <c r="O39" i="1" s="1"/>
  <c r="J11" i="7"/>
  <c r="K11" i="7" s="1"/>
  <c r="J19" i="7"/>
  <c r="K19" i="7" s="1"/>
  <c r="J14" i="7"/>
  <c r="K14" i="7" s="1"/>
  <c r="R27" i="1" s="1"/>
  <c r="P27" i="1" s="1"/>
  <c r="O27" i="1" s="1"/>
  <c r="J12" i="7"/>
  <c r="K12" i="7" s="1"/>
  <c r="R21" i="1" s="1"/>
  <c r="J20" i="7"/>
  <c r="K20" i="7" s="1"/>
  <c r="J13" i="7"/>
  <c r="K13" i="7" s="1"/>
  <c r="R11" i="1" s="1"/>
  <c r="Q15" i="7"/>
  <c r="R15" i="7" a="1"/>
  <c r="R15" i="7" s="1"/>
  <c r="Q16" i="7"/>
  <c r="R16" i="7" a="1"/>
  <c r="R16" i="7" s="1"/>
  <c r="Q9" i="7"/>
  <c r="R9" i="7" a="1"/>
  <c r="R9" i="7" s="1"/>
  <c r="Q10" i="7"/>
  <c r="R10" i="7" a="1"/>
  <c r="R10" i="7" s="1"/>
  <c r="T20" i="7"/>
  <c r="T17" i="7"/>
  <c r="T16" i="7"/>
  <c r="T19" i="7"/>
  <c r="T15" i="7"/>
  <c r="T9" i="7"/>
  <c r="T18" i="7"/>
  <c r="T13" i="7"/>
  <c r="T12" i="7"/>
  <c r="T11" i="7"/>
  <c r="T10" i="7"/>
  <c r="S9" i="7" a="1"/>
  <c r="S9" i="7" s="1"/>
  <c r="S13" i="7" a="1"/>
  <c r="S13" i="7" s="1"/>
  <c r="S19" i="7" a="1"/>
  <c r="S19" i="7" s="1"/>
  <c r="S16" i="7" a="1"/>
  <c r="S16" i="7" s="1"/>
  <c r="S12" i="7" a="1"/>
  <c r="S12" i="7" s="1"/>
  <c r="S11" i="7" a="1"/>
  <c r="S11" i="7" s="1"/>
  <c r="S18" i="7" a="1"/>
  <c r="S18" i="7" s="1"/>
  <c r="S15" i="7" a="1"/>
  <c r="S15" i="7" s="1"/>
  <c r="S10" i="7" a="1"/>
  <c r="S10" i="7" s="1"/>
  <c r="S20" i="7" a="1"/>
  <c r="S20" i="7" s="1"/>
  <c r="S17" i="7" a="1"/>
  <c r="S17" i="7" s="1"/>
  <c r="Q18" i="7"/>
  <c r="Q13" i="7"/>
  <c r="Q17" i="7"/>
  <c r="Q12" i="7"/>
  <c r="Q20" i="7"/>
  <c r="Q11" i="7"/>
  <c r="Q19" i="7"/>
  <c r="R20" i="1" l="1"/>
  <c r="P20" i="1" s="1"/>
  <c r="O20" i="1" s="1"/>
  <c r="R34" i="1"/>
  <c r="P34" i="1" s="1"/>
  <c r="O34" i="1" s="1"/>
  <c r="V39" i="1"/>
  <c r="V37" i="1"/>
  <c r="V32" i="1"/>
  <c r="V25" i="1"/>
  <c r="V27" i="1"/>
  <c r="W14" i="7"/>
  <c r="R23" i="1"/>
  <c r="P23" i="1" s="1"/>
  <c r="O23" i="1" s="1"/>
  <c r="R15" i="1"/>
  <c r="P15" i="1" s="1"/>
  <c r="O15" i="1" s="1"/>
  <c r="T36" i="7"/>
  <c r="R36" i="7"/>
  <c r="S36" i="7"/>
  <c r="Q36" i="7"/>
  <c r="J9" i="7"/>
  <c r="J36" i="7" s="1"/>
  <c r="E36" i="7"/>
  <c r="U13" i="7"/>
  <c r="U18" i="7"/>
  <c r="U20" i="7"/>
  <c r="U17" i="7"/>
  <c r="U16" i="7"/>
  <c r="U9" i="7"/>
  <c r="U12" i="7"/>
  <c r="U19" i="7"/>
  <c r="U15" i="7"/>
  <c r="U11" i="7"/>
  <c r="U10" i="7"/>
  <c r="V20" i="1" l="1"/>
  <c r="V34" i="1"/>
  <c r="W39" i="1"/>
  <c r="W37" i="1"/>
  <c r="W32" i="1"/>
  <c r="W25" i="1"/>
  <c r="W27" i="1"/>
  <c r="W10" i="7"/>
  <c r="V15" i="1"/>
  <c r="V23" i="1"/>
  <c r="X14" i="7"/>
  <c r="Y14" i="7" s="1" a="1"/>
  <c r="Y14" i="7" s="1"/>
  <c r="U36" i="7"/>
  <c r="W13" i="7"/>
  <c r="W18" i="7"/>
  <c r="W20" i="7"/>
  <c r="W11" i="7"/>
  <c r="W12" i="7"/>
  <c r="W16" i="7"/>
  <c r="W17" i="7"/>
  <c r="W19" i="7"/>
  <c r="W15" i="7"/>
  <c r="W20" i="1" l="1"/>
  <c r="W34" i="1"/>
  <c r="W23" i="1"/>
  <c r="W15" i="1"/>
  <c r="X12" i="7"/>
  <c r="Y12" i="7" s="1" a="1"/>
  <c r="Y12" i="7" s="1"/>
  <c r="X13" i="7"/>
  <c r="Y13" i="7" s="1" a="1"/>
  <c r="Y13" i="7" s="1"/>
  <c r="X16" i="7"/>
  <c r="Y16" i="7" s="1" a="1"/>
  <c r="Y16" i="7" s="1"/>
  <c r="X10" i="7"/>
  <c r="Y10" i="7" s="1" a="1"/>
  <c r="Y10" i="7" s="1"/>
  <c r="X17" i="7"/>
  <c r="Y17" i="7" s="1" a="1"/>
  <c r="Y17" i="7" s="1"/>
  <c r="X15" i="7"/>
  <c r="Y15" i="7" s="1" a="1"/>
  <c r="Y15" i="7" s="1"/>
  <c r="X20" i="7"/>
  <c r="Y20" i="7" s="1" a="1"/>
  <c r="Y20" i="7" s="1"/>
  <c r="X19" i="7"/>
  <c r="Y19" i="7" s="1" a="1"/>
  <c r="Y19" i="7" s="1"/>
  <c r="X11" i="7"/>
  <c r="Y11" i="7" s="1" a="1"/>
  <c r="Y11" i="7" s="1"/>
  <c r="X18" i="7"/>
  <c r="Y18" i="7" s="1" a="1"/>
  <c r="Y18" i="7" s="1"/>
  <c r="W9" i="7"/>
  <c r="D13" i="3" s="1"/>
  <c r="P29" i="1"/>
  <c r="O29" i="1" s="1"/>
  <c r="P13" i="1"/>
  <c r="O13" i="1" s="1"/>
  <c r="P11" i="1"/>
  <c r="O11" i="1" s="1"/>
  <c r="P21" i="1"/>
  <c r="O21" i="1" s="1"/>
  <c r="V29" i="1" l="1"/>
  <c r="V13" i="1"/>
  <c r="V21" i="1"/>
  <c r="V11" i="1"/>
  <c r="W36" i="7"/>
  <c r="X9" i="7"/>
  <c r="X36" i="7" s="1"/>
  <c r="D14" i="3" l="1"/>
  <c r="W29" i="1"/>
  <c r="W21" i="1"/>
  <c r="K9" i="7"/>
  <c r="Y9" i="7" a="1"/>
  <c r="Y9" i="7" s="1"/>
  <c r="W11" i="1"/>
  <c r="W13" i="1"/>
  <c r="R19" i="1" l="1"/>
  <c r="K36" i="7"/>
  <c r="P19" i="1" l="1"/>
  <c r="P41" i="1" s="1"/>
  <c r="R41" i="1"/>
  <c r="O19" i="1" l="1"/>
  <c r="O41" i="1" l="1"/>
  <c r="V19" i="1"/>
  <c r="V41" i="1" s="1"/>
  <c r="D13" i="2" l="1"/>
  <c r="W19" i="1"/>
  <c r="W41" i="1" s="1"/>
  <c r="D14" i="2" l="1"/>
  <c r="F13" i="2"/>
  <c r="F14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294AD82-1CCC-4272-9C90-6885E1568426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3D965654-08E2-41BF-86A8-D2F494745BAB}" name="WorksheetConnection_BIPAR Module versie 6.2.xlsx!Table3" type="102" refreshedVersion="8" minRefreshableVersion="5">
    <extLst>
      <ext xmlns:x15="http://schemas.microsoft.com/office/spreadsheetml/2010/11/main" uri="{DE250136-89BD-433C-8126-D09CA5730AF9}">
        <x15:connection id="Table3" autoDelete="1">
          <x15:rangePr sourceName="_xlcn.WorksheetConnection_BIPARModuleversie6.2.xlsxTable3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<sst xmlns="http://schemas.openxmlformats.org/spreadsheetml/2006/main" count="516" uniqueCount="176">
  <si>
    <t>Totaaloverzicht</t>
  </si>
  <si>
    <t>Polisnummer</t>
  </si>
  <si>
    <t>Verzekeringsnemer</t>
  </si>
  <si>
    <t>VNAB-nummer</t>
  </si>
  <si>
    <t>Behorende bij</t>
  </si>
  <si>
    <t>Van</t>
  </si>
  <si>
    <t>Tot</t>
  </si>
  <si>
    <t>Periode</t>
  </si>
  <si>
    <t>Row Labels</t>
  </si>
  <si>
    <t>Verzekerde waarde</t>
  </si>
  <si>
    <t>Jaarpremie</t>
  </si>
  <si>
    <t>Grand Total</t>
  </si>
  <si>
    <t>Specificatie</t>
  </si>
  <si>
    <t>Mutaties</t>
  </si>
  <si>
    <t>Situatie voorgaande polis</t>
  </si>
  <si>
    <t>TOTAAL AANDEEL</t>
  </si>
  <si>
    <t>VERZEKERAARS:</t>
  </si>
  <si>
    <t>Verzekerde</t>
  </si>
  <si>
    <t>Certificaat</t>
  </si>
  <si>
    <t>Sub</t>
  </si>
  <si>
    <t>Verzekerde interest</t>
  </si>
  <si>
    <t>Bestemming</t>
  </si>
  <si>
    <t>Omschrijving</t>
  </si>
  <si>
    <t>Schadevergoedingstermijn</t>
  </si>
  <si>
    <t>Bouwaard</t>
  </si>
  <si>
    <t>Getaxeerd?</t>
  </si>
  <si>
    <t>Adres</t>
  </si>
  <si>
    <t>Postcode</t>
  </si>
  <si>
    <t>Plaats</t>
  </si>
  <si>
    <t>Land</t>
  </si>
  <si>
    <t>Vorkbedrag</t>
  </si>
  <si>
    <t>Premiegrondslag</t>
  </si>
  <si>
    <t>Index nieuw</t>
  </si>
  <si>
    <t>Verz. Waarde Oud:</t>
  </si>
  <si>
    <t>Index oud</t>
  </si>
  <si>
    <t>Verzekeraar 1</t>
  </si>
  <si>
    <t>Totale jaarpremie:</t>
  </si>
  <si>
    <t>Ja/Nee</t>
  </si>
  <si>
    <t>inclusief mutaties</t>
  </si>
  <si>
    <t>Aandeel:</t>
  </si>
  <si>
    <t>Getaxeerd</t>
  </si>
  <si>
    <t>Verzekerde Waarde</t>
  </si>
  <si>
    <t>Promillage 1</t>
  </si>
  <si>
    <t>Jaarpremie 1</t>
  </si>
  <si>
    <t>Gebouwen</t>
  </si>
  <si>
    <t>-</t>
  </si>
  <si>
    <t>Total</t>
  </si>
  <si>
    <t>Hide</t>
  </si>
  <si>
    <t>Getaxeerde objecten</t>
  </si>
  <si>
    <t>Soort interest</t>
  </si>
  <si>
    <t>Taxateur</t>
  </si>
  <si>
    <t>Taxatiedatum</t>
  </si>
  <si>
    <t>Rapportnummer</t>
  </si>
  <si>
    <t>Vervalt op</t>
  </si>
  <si>
    <t>Mutatielijst</t>
  </si>
  <si>
    <t>Klant</t>
  </si>
  <si>
    <t>Omschrijving mutatie:</t>
  </si>
  <si>
    <t>Verzekerd bedrag</t>
  </si>
  <si>
    <t>Mutatiedatum</t>
  </si>
  <si>
    <t>Vervaldatum</t>
  </si>
  <si>
    <t>Dagen</t>
  </si>
  <si>
    <t>Dagen per jaar</t>
  </si>
  <si>
    <t>Sprake van CAD?</t>
  </si>
  <si>
    <t>Verrekeningen</t>
  </si>
  <si>
    <t>Aandelen</t>
  </si>
  <si>
    <t>Premieverrekening</t>
  </si>
  <si>
    <t>Totaal</t>
  </si>
  <si>
    <t>Omschrijving mutatie</t>
  </si>
  <si>
    <t>Subnummer</t>
  </si>
  <si>
    <t>Oud</t>
  </si>
  <si>
    <t>Investering Nieuw</t>
  </si>
  <si>
    <t>Investering bestaand</t>
  </si>
  <si>
    <t>Verlaging</t>
  </si>
  <si>
    <t>Afvoer</t>
  </si>
  <si>
    <t>Inclusief mutatie</t>
  </si>
  <si>
    <t>Som mutaties</t>
  </si>
  <si>
    <t>Investering nieuw2</t>
  </si>
  <si>
    <t>Investering bestaand2</t>
  </si>
  <si>
    <t>Verlaging2</t>
  </si>
  <si>
    <t>Afvoer2</t>
  </si>
  <si>
    <t>Verzekeraar 12</t>
  </si>
  <si>
    <t>Totaal2</t>
  </si>
  <si>
    <t>Boeking</t>
  </si>
  <si>
    <t>Nee</t>
  </si>
  <si>
    <t>Verrekening Jaarpremie</t>
  </si>
  <si>
    <t xml:space="preserve">Termijn: </t>
  </si>
  <si>
    <t>Datum</t>
  </si>
  <si>
    <t xml:space="preserve">Van </t>
  </si>
  <si>
    <t>Verzekeraar</t>
  </si>
  <si>
    <t>Relatienummer</t>
  </si>
  <si>
    <t>Aandeel</t>
  </si>
  <si>
    <t>Al geboekt met nota</t>
  </si>
  <si>
    <t>Nog te boeken</t>
  </si>
  <si>
    <t>Verrekening Mutaties</t>
  </si>
  <si>
    <t>Boeking/restitutie</t>
  </si>
  <si>
    <t>Interest</t>
  </si>
  <si>
    <t>CAD</t>
  </si>
  <si>
    <t>Taxatie</t>
  </si>
  <si>
    <t>Ja</t>
  </si>
  <si>
    <t>Bedrijfsschade</t>
  </si>
  <si>
    <t>Hout, harde dekking</t>
  </si>
  <si>
    <t>Hout, rieten dekking</t>
  </si>
  <si>
    <t>Bijzondere kosten</t>
  </si>
  <si>
    <t>Steen, harde dekking</t>
  </si>
  <si>
    <t>Exploitatiekosten</t>
  </si>
  <si>
    <t>Steen, rieten dekking</t>
  </si>
  <si>
    <t>Extra kosten</t>
  </si>
  <si>
    <t>Goederen</t>
  </si>
  <si>
    <t>Goederen van derden</t>
  </si>
  <si>
    <t>Huurdersbelang</t>
  </si>
  <si>
    <t>Huurderving</t>
  </si>
  <si>
    <t>Opruimingskosten</t>
  </si>
  <si>
    <t>Overig</t>
  </si>
  <si>
    <t>Reconstructiekosten</t>
  </si>
  <si>
    <t>Woningverbetering</t>
  </si>
  <si>
    <t xml:space="preserve">Hereweg 99 </t>
  </si>
  <si>
    <t>Hamrik 4A</t>
  </si>
  <si>
    <t>Molenstraat 12</t>
  </si>
  <si>
    <t>Stichtinglaan 26</t>
  </si>
  <si>
    <t>Huizingsbrinkweg 9</t>
  </si>
  <si>
    <t xml:space="preserve">Burg. J.G. Legroweg 29 </t>
  </si>
  <si>
    <t>Burg. J.G. Legroweg 33</t>
  </si>
  <si>
    <t>Paulus Potterstraat 33</t>
  </si>
  <si>
    <t>Onderdendamsterweg 43A</t>
  </si>
  <si>
    <t>Vredeveldseweg 55</t>
  </si>
  <si>
    <t>Werkhorst 56</t>
  </si>
  <si>
    <t>Werkhorst 58</t>
  </si>
  <si>
    <t>Werkhorst 36</t>
  </si>
  <si>
    <t>Vredeveldseweg 57</t>
  </si>
  <si>
    <t>Groningen</t>
  </si>
  <si>
    <t>Winsum</t>
  </si>
  <si>
    <t>Oldekerk</t>
  </si>
  <si>
    <t>Slochteren</t>
  </si>
  <si>
    <t>Emmen</t>
  </si>
  <si>
    <t>Eelde</t>
  </si>
  <si>
    <t>Wolvega</t>
  </si>
  <si>
    <t>Assen</t>
  </si>
  <si>
    <t>Meppel</t>
  </si>
  <si>
    <t>school</t>
  </si>
  <si>
    <t>praktijkgebouw</t>
  </si>
  <si>
    <t>school vmbo/mbo</t>
  </si>
  <si>
    <t>school mbo</t>
  </si>
  <si>
    <t>school vmbo en sporthal</t>
  </si>
  <si>
    <t>kantoorruimte (huur)</t>
  </si>
  <si>
    <t>praktijklocatie suikerunieterrein (huur)</t>
  </si>
  <si>
    <t>Inventaris</t>
  </si>
  <si>
    <t>Suikerlaan 51</t>
  </si>
  <si>
    <t>Terra Centraal</t>
  </si>
  <si>
    <t>divers</t>
  </si>
  <si>
    <t>Verhoging</t>
  </si>
  <si>
    <t>Alle Verzekeraars</t>
  </si>
  <si>
    <t>ondersteunende diensten ten behoeve van onderwijsinstelling</t>
  </si>
  <si>
    <t>Opstal</t>
  </si>
  <si>
    <t>Hereweg 101</t>
  </si>
  <si>
    <t>Stichting AOC Terra</t>
  </si>
  <si>
    <t>Inventaris zit bij MBO Groningen in.</t>
  </si>
  <si>
    <t>Betreft gehuurde kantoorruimte, alleen inventaris</t>
  </si>
  <si>
    <t>Bedrijfsinventaris en huurdersbelang</t>
  </si>
  <si>
    <t>Nederland</t>
  </si>
  <si>
    <t>Vervangende polis 2</t>
  </si>
  <si>
    <t>Opname</t>
  </si>
  <si>
    <t>B0100130233</t>
  </si>
  <si>
    <t>Aanhangsel 2.1</t>
  </si>
  <si>
    <t>9271 AA</t>
  </si>
  <si>
    <t>9951 JH</t>
  </si>
  <si>
    <t>9821 PG</t>
  </si>
  <si>
    <t>9621 BZ</t>
  </si>
  <si>
    <t>7812 BK</t>
  </si>
  <si>
    <t>9761 TA</t>
  </si>
  <si>
    <t>8471 VM</t>
  </si>
  <si>
    <t>9951 TD</t>
  </si>
  <si>
    <t>9404 CC</t>
  </si>
  <si>
    <t>7944 AV</t>
  </si>
  <si>
    <t xml:space="preserve">7944 AV </t>
  </si>
  <si>
    <t>9743 DA</t>
  </si>
  <si>
    <t>9721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</si>
</sst>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00"/>
    <numFmt numFmtId="165" formatCode="0.000\ \‰"/>
    <numFmt numFmtId="166" formatCode="_-* #,##0.00_-;\-* #,##0.00_-;_-* &quot;-&quot;??_-;_-@_-"/>
    <numFmt numFmtId="167" formatCode="_-[$€-2]* #,##0.00_-;\-[$€-2]* #,##0.00_-;_-[$€-2]* &quot;-&quot;??_-"/>
    <numFmt numFmtId="168" formatCode="0.0%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Century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Verdana Pro Cond"/>
      <family val="2"/>
    </font>
    <font>
      <sz val="11"/>
      <color theme="1"/>
      <name val="Verdana Pro Cond"/>
      <family val="2"/>
    </font>
    <font>
      <sz val="10"/>
      <name val="Arial"/>
      <family val="2"/>
    </font>
    <font>
      <b/>
      <i/>
      <sz val="10"/>
      <color theme="1"/>
      <name val="Verdana Pro Cond"/>
      <family val="2"/>
    </font>
    <font>
      <i/>
      <sz val="11"/>
      <color theme="1"/>
      <name val="Calibri"/>
      <family val="2"/>
      <scheme val="minor"/>
    </font>
    <font>
      <b/>
      <i/>
      <sz val="12"/>
      <color theme="1"/>
      <name val="Verdana Pro Cond"/>
      <family val="2"/>
    </font>
    <font>
      <sz val="10"/>
      <color theme="1"/>
      <name val="Verdana Pro Cond"/>
      <family val="2"/>
    </font>
    <font>
      <i/>
      <sz val="12"/>
      <color theme="1"/>
      <name val="Verdana Pro Cond"/>
      <family val="2"/>
    </font>
    <font>
      <i/>
      <sz val="11"/>
      <color theme="1"/>
      <name val="Verdana Pro Cond"/>
      <family val="2"/>
    </font>
    <font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7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2" fillId="0" borderId="0"/>
    <xf numFmtId="0" fontId="11" fillId="0" borderId="0"/>
    <xf numFmtId="166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34">
    <xf numFmtId="0" fontId="0" fillId="0" borderId="0" xfId="0"/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44" fontId="8" fillId="0" borderId="0" xfId="0" applyNumberFormat="1" applyFont="1" applyAlignment="1">
      <alignment vertical="top"/>
    </xf>
    <xf numFmtId="0" fontId="10" fillId="7" borderId="0" xfId="0" applyFont="1" applyFill="1"/>
    <xf numFmtId="0" fontId="9" fillId="7" borderId="11" xfId="0" applyFont="1" applyFill="1" applyBorder="1"/>
    <xf numFmtId="0" fontId="10" fillId="7" borderId="12" xfId="0" applyFont="1" applyFill="1" applyBorder="1"/>
    <xf numFmtId="0" fontId="10" fillId="7" borderId="13" xfId="0" applyFont="1" applyFill="1" applyBorder="1"/>
    <xf numFmtId="0" fontId="10" fillId="7" borderId="9" xfId="0" applyFont="1" applyFill="1" applyBorder="1"/>
    <xf numFmtId="0" fontId="10" fillId="7" borderId="10" xfId="0" applyFont="1" applyFill="1" applyBorder="1"/>
    <xf numFmtId="0" fontId="10" fillId="7" borderId="9" xfId="0" applyFont="1" applyFill="1" applyBorder="1" applyAlignment="1">
      <alignment horizontal="left" vertical="top"/>
    </xf>
    <xf numFmtId="0" fontId="14" fillId="2" borderId="0" xfId="0" applyFont="1" applyFill="1" applyAlignment="1">
      <alignment vertical="top"/>
    </xf>
    <xf numFmtId="0" fontId="14" fillId="2" borderId="10" xfId="0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4" borderId="3" xfId="0" applyFont="1" applyFill="1" applyBorder="1" applyAlignment="1">
      <alignment vertical="top"/>
    </xf>
    <xf numFmtId="0" fontId="12" fillId="4" borderId="3" xfId="0" applyFont="1" applyFill="1" applyBorder="1" applyAlignment="1">
      <alignment vertical="top" wrapText="1"/>
    </xf>
    <xf numFmtId="0" fontId="12" fillId="3" borderId="17" xfId="0" applyFont="1" applyFill="1" applyBorder="1" applyAlignment="1">
      <alignment vertical="top"/>
    </xf>
    <xf numFmtId="0" fontId="15" fillId="0" borderId="0" xfId="0" applyFont="1" applyAlignment="1">
      <alignment vertical="top" wrapText="1"/>
    </xf>
    <xf numFmtId="0" fontId="15" fillId="0" borderId="0" xfId="0" applyFont="1" applyAlignment="1">
      <alignment horizontal="center" vertical="top"/>
    </xf>
    <xf numFmtId="0" fontId="14" fillId="2" borderId="9" xfId="0" applyFont="1" applyFill="1" applyBorder="1"/>
    <xf numFmtId="0" fontId="14" fillId="2" borderId="0" xfId="0" applyFont="1" applyFill="1"/>
    <xf numFmtId="0" fontId="14" fillId="2" borderId="11" xfId="0" applyFont="1" applyFill="1" applyBorder="1"/>
    <xf numFmtId="0" fontId="14" fillId="2" borderId="12" xfId="0" applyFont="1" applyFill="1" applyBorder="1"/>
    <xf numFmtId="0" fontId="14" fillId="2" borderId="12" xfId="0" applyFont="1" applyFill="1" applyBorder="1" applyAlignment="1">
      <alignment vertical="top"/>
    </xf>
    <xf numFmtId="0" fontId="14" fillId="2" borderId="13" xfId="0" applyFont="1" applyFill="1" applyBorder="1" applyAlignment="1">
      <alignment vertical="top"/>
    </xf>
    <xf numFmtId="0" fontId="14" fillId="2" borderId="11" xfId="0" applyFont="1" applyFill="1" applyBorder="1" applyAlignment="1">
      <alignment vertical="top"/>
    </xf>
    <xf numFmtId="0" fontId="12" fillId="3" borderId="9" xfId="0" applyFont="1" applyFill="1" applyBorder="1" applyAlignment="1">
      <alignment vertical="top"/>
    </xf>
    <xf numFmtId="0" fontId="12" fillId="7" borderId="16" xfId="0" applyFont="1" applyFill="1" applyBorder="1" applyAlignment="1">
      <alignment horizontal="center" vertical="top"/>
    </xf>
    <xf numFmtId="0" fontId="12" fillId="7" borderId="17" xfId="0" applyFont="1" applyFill="1" applyBorder="1" applyAlignment="1">
      <alignment vertical="top"/>
    </xf>
    <xf numFmtId="0" fontId="0" fillId="0" borderId="0" xfId="0" quotePrefix="1"/>
    <xf numFmtId="14" fontId="3" fillId="0" borderId="0" xfId="0" applyNumberFormat="1" applyFont="1" applyAlignment="1">
      <alignment vertical="top"/>
    </xf>
    <xf numFmtId="0" fontId="7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vertical="top"/>
    </xf>
    <xf numFmtId="0" fontId="17" fillId="7" borderId="0" xfId="0" applyFont="1" applyFill="1" applyAlignment="1">
      <alignment horizontal="left" vertical="top"/>
    </xf>
    <xf numFmtId="0" fontId="17" fillId="7" borderId="10" xfId="0" applyFont="1" applyFill="1" applyBorder="1" applyAlignment="1">
      <alignment horizontal="left" vertical="top"/>
    </xf>
    <xf numFmtId="14" fontId="10" fillId="7" borderId="0" xfId="0" applyNumberFormat="1" applyFont="1" applyFill="1" applyAlignment="1">
      <alignment horizontal="left" vertical="top"/>
    </xf>
    <xf numFmtId="14" fontId="10" fillId="7" borderId="10" xfId="0" applyNumberFormat="1" applyFont="1" applyFill="1" applyBorder="1" applyAlignment="1">
      <alignment horizontal="left" vertical="top"/>
    </xf>
    <xf numFmtId="44" fontId="0" fillId="0" borderId="0" xfId="0" applyNumberFormat="1"/>
    <xf numFmtId="0" fontId="12" fillId="6" borderId="16" xfId="0" applyFont="1" applyFill="1" applyBorder="1" applyAlignment="1" applyProtection="1">
      <alignment horizontal="center" vertical="top"/>
      <protection locked="0"/>
    </xf>
    <xf numFmtId="0" fontId="12" fillId="4" borderId="16" xfId="0" applyFont="1" applyFill="1" applyBorder="1" applyAlignment="1" applyProtection="1">
      <alignment vertical="top"/>
      <protection locked="0"/>
    </xf>
    <xf numFmtId="0" fontId="14" fillId="2" borderId="9" xfId="0" applyFont="1" applyFill="1" applyBorder="1" applyAlignment="1" applyProtection="1">
      <alignment vertical="top"/>
      <protection locked="0"/>
    </xf>
    <xf numFmtId="0" fontId="12" fillId="4" borderId="24" xfId="0" applyFont="1" applyFill="1" applyBorder="1" applyAlignment="1" applyProtection="1">
      <alignment vertical="top"/>
      <protection locked="0"/>
    </xf>
    <xf numFmtId="0" fontId="9" fillId="7" borderId="11" xfId="0" applyFont="1" applyFill="1" applyBorder="1" applyAlignment="1">
      <alignment horizontal="left" vertical="top"/>
    </xf>
    <xf numFmtId="0" fontId="9" fillId="7" borderId="12" xfId="0" applyFont="1" applyFill="1" applyBorder="1" applyAlignment="1">
      <alignment horizontal="left" vertical="top"/>
    </xf>
    <xf numFmtId="0" fontId="10" fillId="7" borderId="12" xfId="0" applyFont="1" applyFill="1" applyBorder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0" fillId="7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9" fillId="9" borderId="30" xfId="0" applyFont="1" applyFill="1" applyBorder="1" applyAlignment="1">
      <alignment horizontal="left" vertical="top"/>
    </xf>
    <xf numFmtId="0" fontId="12" fillId="8" borderId="31" xfId="5" applyFont="1" applyFill="1" applyBorder="1" applyAlignment="1">
      <alignment horizontal="left" vertical="top"/>
    </xf>
    <xf numFmtId="0" fontId="6" fillId="9" borderId="31" xfId="0" applyFont="1" applyFill="1" applyBorder="1" applyAlignment="1">
      <alignment horizontal="left" vertical="top"/>
    </xf>
    <xf numFmtId="0" fontId="9" fillId="5" borderId="18" xfId="0" applyFont="1" applyFill="1" applyBorder="1" applyAlignment="1">
      <alignment horizontal="left" vertical="top"/>
    </xf>
    <xf numFmtId="0" fontId="12" fillId="5" borderId="4" xfId="5" applyFont="1" applyFill="1" applyBorder="1" applyAlignment="1">
      <alignment horizontal="left" vertical="top"/>
    </xf>
    <xf numFmtId="0" fontId="9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horizontal="left" vertical="top"/>
    </xf>
    <xf numFmtId="0" fontId="6" fillId="5" borderId="4" xfId="0" applyFont="1" applyFill="1" applyBorder="1" applyAlignment="1">
      <alignment horizontal="center" vertical="top"/>
    </xf>
    <xf numFmtId="0" fontId="6" fillId="5" borderId="22" xfId="0" applyFont="1" applyFill="1" applyBorder="1" applyAlignment="1">
      <alignment horizontal="center" vertical="top"/>
    </xf>
    <xf numFmtId="0" fontId="6" fillId="5" borderId="18" xfId="0" applyFont="1" applyFill="1" applyBorder="1" applyAlignment="1">
      <alignment horizontal="center" vertical="top"/>
    </xf>
    <xf numFmtId="0" fontId="6" fillId="5" borderId="19" xfId="0" applyFont="1" applyFill="1" applyBorder="1" applyAlignment="1">
      <alignment horizontal="center" vertical="top"/>
    </xf>
    <xf numFmtId="0" fontId="6" fillId="5" borderId="25" xfId="0" applyFont="1" applyFill="1" applyBorder="1" applyAlignment="1">
      <alignment horizontal="center" vertical="top"/>
    </xf>
    <xf numFmtId="0" fontId="0" fillId="5" borderId="7" xfId="0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/>
    </xf>
    <xf numFmtId="0" fontId="6" fillId="5" borderId="5" xfId="0" applyFont="1" applyFill="1" applyBorder="1" applyAlignment="1">
      <alignment horizontal="left" vertical="top"/>
    </xf>
    <xf numFmtId="10" fontId="0" fillId="5" borderId="7" xfId="0" applyNumberFormat="1" applyFill="1" applyBorder="1" applyAlignment="1">
      <alignment horizontal="center" vertical="top"/>
    </xf>
    <xf numFmtId="0" fontId="0" fillId="5" borderId="8" xfId="0" applyFill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0" fillId="0" borderId="21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0" fillId="0" borderId="9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7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44" fontId="0" fillId="0" borderId="27" xfId="0" applyNumberFormat="1" applyBorder="1" applyAlignment="1">
      <alignment horizontal="left" vertical="top"/>
    </xf>
    <xf numFmtId="0" fontId="1" fillId="0" borderId="27" xfId="0" applyFont="1" applyBorder="1" applyAlignment="1">
      <alignment horizontal="center" vertical="top"/>
    </xf>
    <xf numFmtId="44" fontId="0" fillId="0" borderId="28" xfId="0" applyNumberForma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18" fillId="0" borderId="0" xfId="0" applyFont="1" applyAlignment="1">
      <alignment horizontal="left" vertical="top"/>
    </xf>
    <xf numFmtId="0" fontId="0" fillId="0" borderId="0" xfId="0" pivotButton="1"/>
    <xf numFmtId="0" fontId="0" fillId="0" borderId="0" xfId="0" applyAlignment="1">
      <alignment horizontal="left"/>
    </xf>
    <xf numFmtId="0" fontId="12" fillId="7" borderId="33" xfId="0" applyFont="1" applyFill="1" applyBorder="1" applyAlignment="1">
      <alignment horizontal="center" vertical="top"/>
    </xf>
    <xf numFmtId="0" fontId="12" fillId="7" borderId="29" xfId="0" applyFont="1" applyFill="1" applyBorder="1" applyAlignment="1">
      <alignment vertical="top"/>
    </xf>
    <xf numFmtId="0" fontId="14" fillId="2" borderId="13" xfId="0" applyFont="1" applyFill="1" applyBorder="1" applyAlignment="1">
      <alignment horizontal="center" vertical="top"/>
    </xf>
    <xf numFmtId="0" fontId="14" fillId="2" borderId="10" xfId="0" applyFont="1" applyFill="1" applyBorder="1" applyAlignment="1">
      <alignment horizontal="center" vertical="top"/>
    </xf>
    <xf numFmtId="0" fontId="16" fillId="2" borderId="9" xfId="0" applyFont="1" applyFill="1" applyBorder="1" applyAlignment="1">
      <alignment vertical="top"/>
    </xf>
    <xf numFmtId="0" fontId="14" fillId="2" borderId="32" xfId="0" applyFont="1" applyFill="1" applyBorder="1" applyAlignment="1">
      <alignment vertical="top"/>
    </xf>
    <xf numFmtId="0" fontId="14" fillId="2" borderId="35" xfId="0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44" fontId="8" fillId="0" borderId="1" xfId="2" applyFont="1" applyFill="1" applyBorder="1" applyAlignment="1">
      <alignment vertical="top"/>
    </xf>
    <xf numFmtId="0" fontId="8" fillId="0" borderId="6" xfId="0" applyFont="1" applyBorder="1" applyAlignment="1">
      <alignment vertical="top"/>
    </xf>
    <xf numFmtId="44" fontId="8" fillId="0" borderId="5" xfId="2" applyFont="1" applyFill="1" applyBorder="1" applyAlignment="1">
      <alignment vertical="top"/>
    </xf>
    <xf numFmtId="0" fontId="7" fillId="0" borderId="25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15" fillId="4" borderId="16" xfId="0" applyFont="1" applyFill="1" applyBorder="1" applyAlignment="1" applyProtection="1">
      <alignment vertical="top"/>
      <protection locked="0"/>
    </xf>
    <xf numFmtId="0" fontId="15" fillId="4" borderId="24" xfId="0" applyFont="1" applyFill="1" applyBorder="1" applyAlignment="1" applyProtection="1">
      <alignment vertical="top"/>
      <protection locked="0"/>
    </xf>
    <xf numFmtId="0" fontId="15" fillId="4" borderId="3" xfId="0" applyFont="1" applyFill="1" applyBorder="1" applyAlignment="1">
      <alignment vertical="top"/>
    </xf>
    <xf numFmtId="0" fontId="15" fillId="4" borderId="3" xfId="0" applyFont="1" applyFill="1" applyBorder="1" applyAlignment="1">
      <alignment vertical="top" wrapText="1"/>
    </xf>
    <xf numFmtId="0" fontId="15" fillId="3" borderId="9" xfId="0" applyFont="1" applyFill="1" applyBorder="1" applyAlignment="1">
      <alignment vertical="top"/>
    </xf>
    <xf numFmtId="0" fontId="15" fillId="3" borderId="17" xfId="0" applyFont="1" applyFill="1" applyBorder="1" applyAlignment="1">
      <alignment vertical="top"/>
    </xf>
    <xf numFmtId="0" fontId="12" fillId="7" borderId="16" xfId="0" applyFont="1" applyFill="1" applyBorder="1" applyAlignment="1">
      <alignment vertical="top"/>
    </xf>
    <xf numFmtId="0" fontId="15" fillId="7" borderId="17" xfId="0" applyFont="1" applyFill="1" applyBorder="1" applyAlignment="1">
      <alignment vertical="top"/>
    </xf>
    <xf numFmtId="10" fontId="12" fillId="6" borderId="16" xfId="1" applyNumberFormat="1" applyFont="1" applyFill="1" applyBorder="1" applyAlignment="1" applyProtection="1">
      <alignment horizontal="center" vertical="top"/>
      <protection locked="0"/>
    </xf>
    <xf numFmtId="0" fontId="12" fillId="0" borderId="24" xfId="0" applyFont="1" applyBorder="1" applyAlignment="1" applyProtection="1">
      <alignment vertical="top"/>
      <protection locked="0"/>
    </xf>
    <xf numFmtId="0" fontId="12" fillId="0" borderId="3" xfId="0" applyFont="1" applyBorder="1" applyAlignment="1">
      <alignment vertical="top"/>
    </xf>
    <xf numFmtId="0" fontId="12" fillId="0" borderId="3" xfId="0" applyFont="1" applyBorder="1" applyAlignment="1">
      <alignment vertical="top" wrapText="1"/>
    </xf>
    <xf numFmtId="0" fontId="12" fillId="0" borderId="16" xfId="0" applyFont="1" applyBorder="1" applyAlignment="1">
      <alignment vertical="top"/>
    </xf>
    <xf numFmtId="0" fontId="12" fillId="0" borderId="17" xfId="0" applyFont="1" applyBorder="1" applyAlignment="1">
      <alignment vertical="top"/>
    </xf>
    <xf numFmtId="0" fontId="12" fillId="0" borderId="24" xfId="0" applyFont="1" applyBorder="1" applyAlignment="1">
      <alignment vertical="top"/>
    </xf>
    <xf numFmtId="0" fontId="15" fillId="0" borderId="9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10" fontId="12" fillId="0" borderId="24" xfId="1" applyNumberFormat="1" applyFont="1" applyFill="1" applyBorder="1" applyAlignment="1" applyProtection="1">
      <alignment horizontal="center" vertical="top"/>
      <protection locked="0"/>
    </xf>
    <xf numFmtId="0" fontId="12" fillId="2" borderId="13" xfId="0" applyFont="1" applyFill="1" applyBorder="1" applyAlignment="1">
      <alignment vertical="top"/>
    </xf>
    <xf numFmtId="0" fontId="12" fillId="2" borderId="10" xfId="0" applyFont="1" applyFill="1" applyBorder="1" applyAlignment="1">
      <alignment vertical="top"/>
    </xf>
    <xf numFmtId="10" fontId="14" fillId="2" borderId="10" xfId="0" applyNumberFormat="1" applyFont="1" applyFill="1" applyBorder="1" applyAlignment="1">
      <alignment vertical="top"/>
    </xf>
    <xf numFmtId="0" fontId="9" fillId="5" borderId="22" xfId="0" applyFont="1" applyFill="1" applyBorder="1" applyAlignment="1">
      <alignment horizontal="center" vertical="top"/>
    </xf>
    <xf numFmtId="0" fontId="10" fillId="5" borderId="5" xfId="0" applyFont="1" applyFill="1" applyBorder="1" applyAlignment="1">
      <alignment horizontal="left" vertical="top"/>
    </xf>
    <xf numFmtId="0" fontId="10" fillId="5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6" fillId="9" borderId="30" xfId="0" applyFont="1" applyFill="1" applyBorder="1" applyAlignment="1">
      <alignment horizontal="left" vertical="top"/>
    </xf>
    <xf numFmtId="0" fontId="6" fillId="9" borderId="26" xfId="0" applyFont="1" applyFill="1" applyBorder="1" applyAlignment="1">
      <alignment horizontal="left" vertical="top"/>
    </xf>
    <xf numFmtId="0" fontId="6" fillId="5" borderId="18" xfId="0" applyFont="1" applyFill="1" applyBorder="1" applyAlignment="1">
      <alignment horizontal="left" vertical="top"/>
    </xf>
    <xf numFmtId="0" fontId="6" fillId="5" borderId="19" xfId="0" applyFont="1" applyFill="1" applyBorder="1" applyAlignment="1">
      <alignment horizontal="left" vertical="top"/>
    </xf>
    <xf numFmtId="168" fontId="8" fillId="0" borderId="1" xfId="1" applyNumberFormat="1" applyFont="1" applyFill="1" applyBorder="1" applyAlignment="1">
      <alignment vertical="top"/>
    </xf>
    <xf numFmtId="0" fontId="7" fillId="0" borderId="23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44" fontId="7" fillId="0" borderId="20" xfId="0" applyNumberFormat="1" applyFont="1" applyBorder="1" applyAlignment="1">
      <alignment vertical="top"/>
    </xf>
    <xf numFmtId="168" fontId="7" fillId="0" borderId="2" xfId="0" applyNumberFormat="1" applyFont="1" applyBorder="1" applyAlignment="1">
      <alignment vertical="top"/>
    </xf>
    <xf numFmtId="44" fontId="7" fillId="0" borderId="2" xfId="0" applyNumberFormat="1" applyFont="1" applyBorder="1" applyAlignment="1">
      <alignment vertical="top"/>
    </xf>
    <xf numFmtId="0" fontId="12" fillId="4" borderId="0" xfId="0" applyFont="1" applyFill="1" applyAlignment="1">
      <alignment vertical="top"/>
    </xf>
    <xf numFmtId="0" fontId="15" fillId="4" borderId="0" xfId="0" applyFont="1" applyFill="1" applyAlignment="1">
      <alignment vertical="top"/>
    </xf>
    <xf numFmtId="0" fontId="12" fillId="4" borderId="34" xfId="0" applyFont="1" applyFill="1" applyBorder="1" applyAlignment="1">
      <alignment vertical="top"/>
    </xf>
    <xf numFmtId="0" fontId="12" fillId="10" borderId="16" xfId="0" applyFont="1" applyFill="1" applyBorder="1" applyAlignment="1">
      <alignment vertical="top"/>
    </xf>
    <xf numFmtId="0" fontId="12" fillId="10" borderId="17" xfId="0" applyFont="1" applyFill="1" applyBorder="1" applyAlignment="1">
      <alignment vertical="top"/>
    </xf>
    <xf numFmtId="0" fontId="12" fillId="10" borderId="24" xfId="0" applyFont="1" applyFill="1" applyBorder="1" applyAlignment="1">
      <alignment vertical="top"/>
    </xf>
    <xf numFmtId="0" fontId="15" fillId="10" borderId="16" xfId="0" applyFont="1" applyFill="1" applyBorder="1" applyAlignment="1">
      <alignment vertical="top"/>
    </xf>
    <xf numFmtId="0" fontId="15" fillId="10" borderId="17" xfId="0" applyFont="1" applyFill="1" applyBorder="1" applyAlignment="1">
      <alignment vertical="top"/>
    </xf>
    <xf numFmtId="0" fontId="15" fillId="10" borderId="24" xfId="0" applyFont="1" applyFill="1" applyBorder="1" applyAlignment="1">
      <alignment vertical="top"/>
    </xf>
    <xf numFmtId="0" fontId="15" fillId="0" borderId="1" xfId="0" applyFont="1" applyBorder="1" applyAlignment="1" applyProtection="1">
      <alignment vertical="top"/>
      <protection locked="0"/>
    </xf>
    <xf numFmtId="164" fontId="15" fillId="0" borderId="1" xfId="0" quotePrefix="1" applyNumberFormat="1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44" fontId="15" fillId="0" borderId="1" xfId="2" applyFont="1" applyFill="1" applyBorder="1" applyAlignment="1" applyProtection="1">
      <alignment vertical="top"/>
      <protection locked="0"/>
    </xf>
    <xf numFmtId="44" fontId="15" fillId="0" borderId="1" xfId="2" applyFont="1" applyFill="1" applyBorder="1" applyAlignment="1">
      <alignment vertical="top"/>
    </xf>
    <xf numFmtId="44" fontId="15" fillId="0" borderId="1" xfId="0" applyNumberFormat="1" applyFont="1" applyBorder="1" applyAlignment="1" applyProtection="1">
      <alignment vertical="top"/>
      <protection locked="0"/>
    </xf>
    <xf numFmtId="165" fontId="15" fillId="0" borderId="1" xfId="0" applyNumberFormat="1" applyFont="1" applyBorder="1" applyAlignment="1" applyProtection="1">
      <alignment horizontal="center" vertical="top"/>
      <protection locked="0"/>
    </xf>
    <xf numFmtId="164" fontId="0" fillId="0" borderId="0" xfId="0" applyNumberFormat="1"/>
    <xf numFmtId="14" fontId="0" fillId="0" borderId="0" xfId="0" applyNumberFormat="1"/>
    <xf numFmtId="0" fontId="10" fillId="0" borderId="20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4" fontId="0" fillId="0" borderId="1" xfId="2" applyFont="1" applyFill="1" applyBorder="1" applyAlignment="1" applyProtection="1">
      <alignment horizontal="left" vertical="top"/>
    </xf>
    <xf numFmtId="14" fontId="0" fillId="0" borderId="1" xfId="0" applyNumberFormat="1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44" fontId="0" fillId="0" borderId="38" xfId="2" applyFont="1" applyFill="1" applyBorder="1" applyAlignment="1" applyProtection="1">
      <alignment horizontal="left" vertical="top"/>
    </xf>
    <xf numFmtId="14" fontId="0" fillId="0" borderId="38" xfId="0" applyNumberFormat="1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164" fontId="0" fillId="0" borderId="40" xfId="0" applyNumberFormat="1" applyBorder="1" applyAlignment="1">
      <alignment horizontal="left" vertical="top"/>
    </xf>
    <xf numFmtId="164" fontId="0" fillId="0" borderId="5" xfId="0" applyNumberFormat="1" applyBorder="1" applyAlignment="1">
      <alignment horizontal="left" vertical="top"/>
    </xf>
    <xf numFmtId="44" fontId="0" fillId="0" borderId="37" xfId="2" applyFont="1" applyFill="1" applyBorder="1" applyAlignment="1" applyProtection="1">
      <alignment horizontal="left" vertical="top"/>
    </xf>
    <xf numFmtId="44" fontId="13" fillId="0" borderId="39" xfId="2" applyFont="1" applyFill="1" applyBorder="1" applyAlignment="1" applyProtection="1">
      <alignment horizontal="left" vertical="top"/>
    </xf>
    <xf numFmtId="44" fontId="0" fillId="0" borderId="7" xfId="2" applyFont="1" applyFill="1" applyBorder="1" applyAlignment="1" applyProtection="1">
      <alignment horizontal="left" vertical="top"/>
    </xf>
    <xf numFmtId="44" fontId="13" fillId="0" borderId="8" xfId="2" applyFont="1" applyFill="1" applyBorder="1" applyAlignment="1" applyProtection="1">
      <alignment horizontal="left" vertical="top"/>
    </xf>
    <xf numFmtId="14" fontId="0" fillId="0" borderId="37" xfId="0" applyNumberFormat="1" applyBorder="1" applyAlignment="1">
      <alignment horizontal="left" vertical="top"/>
    </xf>
    <xf numFmtId="14" fontId="0" fillId="0" borderId="7" xfId="0" applyNumberFormat="1" applyBorder="1" applyAlignment="1">
      <alignment horizontal="left" vertical="top"/>
    </xf>
    <xf numFmtId="44" fontId="0" fillId="0" borderId="37" xfId="0" applyNumberFormat="1" applyBorder="1" applyAlignment="1">
      <alignment horizontal="left" vertical="top"/>
    </xf>
    <xf numFmtId="44" fontId="13" fillId="0" borderId="39" xfId="0" applyNumberFormat="1" applyFont="1" applyBorder="1" applyAlignment="1">
      <alignment horizontal="left" vertical="top"/>
    </xf>
    <xf numFmtId="44" fontId="0" fillId="0" borderId="7" xfId="0" applyNumberFormat="1" applyBorder="1" applyAlignment="1">
      <alignment horizontal="left" vertical="top"/>
    </xf>
    <xf numFmtId="44" fontId="13" fillId="0" borderId="8" xfId="0" applyNumberFormat="1" applyFont="1" applyBorder="1" applyAlignment="1">
      <alignment horizontal="left" vertical="top"/>
    </xf>
    <xf numFmtId="44" fontId="0" fillId="0" borderId="41" xfId="2" applyFont="1" applyFill="1" applyBorder="1" applyAlignment="1" applyProtection="1">
      <alignment horizontal="left" vertical="top"/>
    </xf>
    <xf numFmtId="44" fontId="0" fillId="0" borderId="6" xfId="2" applyFont="1" applyFill="1" applyBorder="1" applyAlignment="1" applyProtection="1">
      <alignment horizontal="left" vertical="top"/>
    </xf>
    <xf numFmtId="165" fontId="1" fillId="0" borderId="37" xfId="0" applyNumberFormat="1" applyFont="1" applyBorder="1" applyAlignment="1">
      <alignment horizontal="center" vertical="top"/>
    </xf>
    <xf numFmtId="165" fontId="1" fillId="0" borderId="7" xfId="0" applyNumberFormat="1" applyFont="1" applyBorder="1" applyAlignment="1">
      <alignment horizontal="center" vertical="top"/>
    </xf>
    <xf numFmtId="14" fontId="14" fillId="2" borderId="0" xfId="0" applyNumberFormat="1" applyFont="1" applyFill="1"/>
    <xf numFmtId="14" fontId="14" fillId="2" borderId="0" xfId="0" applyNumberFormat="1" applyFont="1" applyFill="1" applyAlignment="1">
      <alignment vertical="top"/>
    </xf>
    <xf numFmtId="0" fontId="12" fillId="4" borderId="33" xfId="0" applyFont="1" applyFill="1" applyBorder="1" applyAlignment="1" applyProtection="1">
      <alignment vertical="top"/>
      <protection locked="0"/>
    </xf>
    <xf numFmtId="0" fontId="12" fillId="4" borderId="42" xfId="0" applyFont="1" applyFill="1" applyBorder="1" applyAlignment="1" applyProtection="1">
      <alignment vertical="top"/>
      <protection locked="0"/>
    </xf>
    <xf numFmtId="0" fontId="12" fillId="4" borderId="34" xfId="0" applyFont="1" applyFill="1" applyBorder="1" applyAlignment="1">
      <alignment vertical="top" wrapText="1"/>
    </xf>
    <xf numFmtId="0" fontId="12" fillId="4" borderId="12" xfId="0" applyFont="1" applyFill="1" applyBorder="1" applyAlignment="1">
      <alignment vertical="top"/>
    </xf>
    <xf numFmtId="0" fontId="12" fillId="10" borderId="33" xfId="0" applyFont="1" applyFill="1" applyBorder="1" applyAlignment="1">
      <alignment vertical="top"/>
    </xf>
    <xf numFmtId="0" fontId="12" fillId="10" borderId="29" xfId="0" applyFont="1" applyFill="1" applyBorder="1" applyAlignment="1">
      <alignment vertical="top"/>
    </xf>
    <xf numFmtId="0" fontId="12" fillId="10" borderId="42" xfId="0" applyFont="1" applyFill="1" applyBorder="1" applyAlignment="1">
      <alignment vertical="top"/>
    </xf>
    <xf numFmtId="0" fontId="12" fillId="3" borderId="11" xfId="0" applyFont="1" applyFill="1" applyBorder="1" applyAlignment="1">
      <alignment vertical="top"/>
    </xf>
    <xf numFmtId="0" fontId="12" fillId="3" borderId="29" xfId="0" applyFont="1" applyFill="1" applyBorder="1" applyAlignment="1">
      <alignment vertical="top"/>
    </xf>
    <xf numFmtId="0" fontId="12" fillId="6" borderId="33" xfId="0" applyFont="1" applyFill="1" applyBorder="1" applyAlignment="1" applyProtection="1">
      <alignment horizontal="center" vertical="top"/>
      <protection locked="0"/>
    </xf>
    <xf numFmtId="0" fontId="12" fillId="0" borderId="16" xfId="0" applyFont="1" applyBorder="1" applyAlignment="1" applyProtection="1">
      <alignment vertical="top"/>
      <protection locked="0"/>
    </xf>
    <xf numFmtId="0" fontId="12" fillId="0" borderId="29" xfId="0" applyFont="1" applyBorder="1" applyAlignment="1">
      <alignment vertical="top"/>
    </xf>
    <xf numFmtId="0" fontId="15" fillId="0" borderId="43" xfId="0" applyFont="1" applyBorder="1" applyAlignment="1" applyProtection="1">
      <alignment vertical="top"/>
      <protection locked="0"/>
    </xf>
    <xf numFmtId="0" fontId="15" fillId="0" borderId="44" xfId="0" applyFont="1" applyBorder="1" applyAlignment="1" applyProtection="1">
      <alignment vertical="top"/>
      <protection locked="0"/>
    </xf>
    <xf numFmtId="0" fontId="15" fillId="0" borderId="45" xfId="0" applyFont="1" applyBorder="1" applyAlignment="1" applyProtection="1">
      <alignment horizontal="center" vertical="top"/>
      <protection locked="0"/>
    </xf>
    <xf numFmtId="0" fontId="15" fillId="0" borderId="45" xfId="0" applyFont="1" applyBorder="1" applyAlignment="1" applyProtection="1">
      <alignment vertical="top"/>
      <protection locked="0"/>
    </xf>
    <xf numFmtId="0" fontId="15" fillId="0" borderId="45" xfId="0" applyFont="1" applyBorder="1" applyAlignment="1" applyProtection="1">
      <alignment vertical="top" wrapText="1"/>
      <protection locked="0"/>
    </xf>
    <xf numFmtId="0" fontId="15" fillId="0" borderId="28" xfId="0" applyFont="1" applyBorder="1" applyAlignment="1" applyProtection="1">
      <alignment vertical="top"/>
      <protection locked="0"/>
    </xf>
    <xf numFmtId="44" fontId="15" fillId="0" borderId="43" xfId="0" applyNumberFormat="1" applyFont="1" applyBorder="1" applyAlignment="1" applyProtection="1">
      <alignment vertical="top"/>
      <protection locked="0"/>
    </xf>
    <xf numFmtId="0" fontId="15" fillId="0" borderId="15" xfId="0" applyFont="1" applyBorder="1" applyAlignment="1" applyProtection="1">
      <alignment vertical="top"/>
      <protection locked="0"/>
    </xf>
    <xf numFmtId="44" fontId="15" fillId="0" borderId="27" xfId="0" applyNumberFormat="1" applyFont="1" applyBorder="1" applyAlignment="1">
      <alignment vertical="top"/>
    </xf>
    <xf numFmtId="44" fontId="15" fillId="0" borderId="43" xfId="0" applyNumberFormat="1" applyFont="1" applyBorder="1" applyAlignment="1">
      <alignment vertical="top"/>
    </xf>
    <xf numFmtId="44" fontId="15" fillId="0" borderId="36" xfId="0" applyNumberFormat="1" applyFont="1" applyBorder="1" applyAlignment="1">
      <alignment vertical="top"/>
    </xf>
    <xf numFmtId="3" fontId="14" fillId="2" borderId="0" xfId="0" applyNumberFormat="1" applyFont="1" applyFill="1" applyAlignment="1">
      <alignment vertical="top"/>
    </xf>
    <xf numFmtId="164" fontId="15" fillId="0" borderId="1" xfId="0" applyNumberFormat="1" applyFont="1" applyBorder="1" applyAlignment="1" applyProtection="1">
      <alignment vertical="top"/>
      <protection locked="0"/>
    </xf>
    <xf numFmtId="0" fontId="0" fillId="0" borderId="1" xfId="0" applyBorder="1"/>
    <xf numFmtId="44" fontId="15" fillId="0" borderId="1" xfId="2" quotePrefix="1" applyFont="1" applyBorder="1" applyAlignment="1">
      <alignment vertical="top"/>
    </xf>
    <xf numFmtId="44" fontId="15" fillId="0" borderId="1" xfId="2" applyFont="1" applyBorder="1" applyAlignment="1">
      <alignment vertical="top"/>
    </xf>
    <xf numFmtId="164" fontId="15" fillId="0" borderId="1" xfId="0" applyNumberFormat="1" applyFont="1" applyBorder="1" applyAlignment="1" applyProtection="1">
      <alignment horizontal="center" vertical="top"/>
      <protection locked="0"/>
    </xf>
    <xf numFmtId="10" fontId="0" fillId="5" borderId="6" xfId="0" applyNumberFormat="1" applyFill="1" applyBorder="1" applyAlignment="1">
      <alignment horizontal="center" vertical="top"/>
    </xf>
    <xf numFmtId="0" fontId="6" fillId="6" borderId="31" xfId="0" applyFont="1" applyFill="1" applyBorder="1" applyAlignment="1">
      <alignment horizontal="center" vertical="top"/>
    </xf>
    <xf numFmtId="0" fontId="0" fillId="0" borderId="46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44" fontId="0" fillId="0" borderId="46" xfId="2" applyFont="1" applyFill="1" applyBorder="1" applyAlignment="1" applyProtection="1">
      <alignment horizontal="left" vertical="top"/>
    </xf>
    <xf numFmtId="44" fontId="0" fillId="0" borderId="2" xfId="2" applyFont="1" applyFill="1" applyBorder="1" applyAlignment="1" applyProtection="1">
      <alignment horizontal="left" vertical="top"/>
    </xf>
    <xf numFmtId="44" fontId="13" fillId="0" borderId="47" xfId="2" applyFont="1" applyFill="1" applyBorder="1" applyAlignment="1" applyProtection="1">
      <alignment horizontal="left" vertical="top"/>
    </xf>
    <xf numFmtId="0" fontId="0" fillId="0" borderId="47" xfId="0" applyBorder="1" applyAlignment="1">
      <alignment horizontal="left" vertical="top"/>
    </xf>
    <xf numFmtId="44" fontId="0" fillId="0" borderId="46" xfId="0" applyNumberFormat="1" applyBorder="1" applyAlignment="1">
      <alignment horizontal="left" vertical="top"/>
    </xf>
    <xf numFmtId="44" fontId="13" fillId="0" borderId="47" xfId="0" applyNumberFormat="1" applyFont="1" applyBorder="1" applyAlignment="1">
      <alignment horizontal="left" vertical="top"/>
    </xf>
    <xf numFmtId="165" fontId="1" fillId="0" borderId="46" xfId="0" applyNumberFormat="1" applyFont="1" applyBorder="1" applyAlignment="1">
      <alignment horizontal="center" vertical="top"/>
    </xf>
    <xf numFmtId="44" fontId="0" fillId="0" borderId="23" xfId="2" applyFont="1" applyFill="1" applyBorder="1" applyAlignment="1" applyProtection="1">
      <alignment horizontal="left" vertical="top"/>
    </xf>
    <xf numFmtId="3" fontId="10" fillId="7" borderId="0" xfId="0" applyNumberFormat="1" applyFont="1" applyFill="1"/>
    <xf numFmtId="0" fontId="9" fillId="9" borderId="31" xfId="0" applyFont="1" applyFill="1" applyBorder="1" applyAlignment="1">
      <alignment horizontal="center" vertical="top"/>
    </xf>
    <xf numFmtId="0" fontId="6" fillId="9" borderId="30" xfId="0" applyFont="1" applyFill="1" applyBorder="1" applyAlignment="1">
      <alignment horizontal="center" vertical="top"/>
    </xf>
    <xf numFmtId="0" fontId="6" fillId="9" borderId="31" xfId="0" applyFont="1" applyFill="1" applyBorder="1" applyAlignment="1">
      <alignment horizontal="center" vertical="top"/>
    </xf>
    <xf numFmtId="0" fontId="6" fillId="9" borderId="26" xfId="0" applyFont="1" applyFill="1" applyBorder="1" applyAlignment="1">
      <alignment horizontal="center" vertical="top"/>
    </xf>
    <xf numFmtId="0" fontId="6" fillId="10" borderId="31" xfId="0" applyFont="1" applyFill="1" applyBorder="1" applyAlignment="1">
      <alignment horizontal="center" vertical="top"/>
    </xf>
    <xf numFmtId="0" fontId="6" fillId="10" borderId="26" xfId="0" applyFont="1" applyFill="1" applyBorder="1" applyAlignment="1">
      <alignment horizontal="center" vertical="top"/>
    </xf>
  </cellXfs>
  <cellStyles count="10">
    <cellStyle name="Comma 2" xfId="6" xr:uid="{0C31A5CA-2788-47F5-8595-86AF3D8D6340}"/>
    <cellStyle name="Euro" xfId="7" xr:uid="{FA1A5A95-47BA-426C-8BF7-4A2E768BBCC7}"/>
    <cellStyle name="Normal 2" xfId="3" xr:uid="{042D0CC4-8D3C-4DBD-B577-B57DA9BD067E}"/>
    <cellStyle name="Normal 3" xfId="5" xr:uid="{2CCB5DFE-C7B7-4BFF-AF96-2AC76775BF9A}"/>
    <cellStyle name="Normal 6" xfId="4" xr:uid="{C724D0DD-173B-44D7-8963-C379B248AB9A}"/>
    <cellStyle name="Percent 2" xfId="8" xr:uid="{79192040-C87C-4346-9B53-9BACCE0E6A89}"/>
    <cellStyle name="Procent" xfId="1" builtinId="5"/>
    <cellStyle name="Procent 2" xfId="9" xr:uid="{1489CFF9-A365-4C1F-8D3B-F1F5EF5090E9}"/>
    <cellStyle name="Standaard" xfId="0" builtinId="0"/>
    <cellStyle name="Valuta" xfId="2" builtinId="4"/>
  </cellStyles>
  <dxfs count="13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68" formatCode="0.0%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font>
        <b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alignment horizontal="center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"/>
        <family val="1"/>
        <scheme val="none"/>
      </font>
      <numFmt numFmtId="165" formatCode="0.000\ \‰"/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/yyyy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numFmt numFmtId="34" formatCode="_ &quot;€&quot;\ * #,##0.00_ ;_ &quot;€&quot;\ * \-#,##0.00_ ;_ &quot;€&quot;\ * &quot;-&quot;??_ ;_ @_ "/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left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protection locked="1" hidden="0"/>
    </dxf>
    <dxf>
      <border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protection locked="1" hidden="0"/>
    </dxf>
    <dxf>
      <numFmt numFmtId="164" formatCode="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5" formatCode="0.000\ \‰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34" formatCode="_ &quot;€&quot;\ * #,##0.00_ ;_ &quot;€&quot;\ * \-#,##0.00_ ;_ &quot;€&quot;\ * &quot;-&quot;??_ ;_ @_ "/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0" formatCode="General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alignment horizontal="general" vertical="top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numFmt numFmtId="164" formatCode="00"/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Verdana Pro Cond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numFmt numFmtId="34" formatCode="_ &quot;€&quot;\ * #,##0.00_ ;_ &quot;€&quot;\ * \-#,##0.00_ ;_ &quot;€&quot;\ * &quot;-&quot;??_ ;_ @_ "/>
    </dxf>
  </dxfs>
  <tableStyles count="0" defaultTableStyle="TableStyleMedium2" defaultPivotStyle="PivotStyleLight16"/>
  <colors>
    <mruColors>
      <color rgb="FF00CCFF"/>
      <color rgb="FFCCFFFF"/>
      <color rgb="FFBB9DDB"/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MD Ansari" refreshedDate="45327.54289016204" backgroundQuery="1" createdVersion="7" refreshedVersion="8" minRefreshableVersion="3" recordCount="0" supportSubquery="1" supportAdvancedDrill="1" xr:uid="{68A91284-7463-40FC-B611-A8F06F352F33}">
  <cacheSource type="external" connectionId="1"/>
  <cacheFields count="3">
    <cacheField name="[Measures].[Sum of Totale jaarpremie:]" caption="Sum of Totale jaarpremie:" numFmtId="0" hierarchy="25" level="32767"/>
    <cacheField name="[Measures].[Sum of Verzekerde Waarde]" caption="Sum of Verzekerde Waarde" numFmtId="0" hierarchy="26" level="32767"/>
    <cacheField name="[Table3].[Verzekerde interest].[Verzekerde interest]" caption="Verzekerde interest" numFmtId="0" hierarchy="3" level="1">
      <sharedItems count="2">
        <s v="Gebouwen"/>
        <s v="Inventaris"/>
      </sharedItems>
    </cacheField>
  </cacheFields>
  <cacheHierarchies count="27">
    <cacheHierarchy uniqueName="[Table3].[Verzekerde]" caption="Verzekerde" attribute="1" defaultMemberUniqueName="[Table3].[Verzekerde].[All]" allUniqueName="[Table3].[Verzekerde].[All]" dimensionUniqueName="[Table3]" displayFolder="" count="2" memberValueDatatype="130" unbalanced="0"/>
    <cacheHierarchy uniqueName="[Table3].[Certificaat]" caption="Certificaat" attribute="1" defaultMemberUniqueName="[Table3].[Certificaat].[All]" allUniqueName="[Table3].[Certificaat].[All]" dimensionUniqueName="[Table3]" displayFolder="" count="0" memberValueDatatype="20" unbalanced="0"/>
    <cacheHierarchy uniqueName="[Table3].[Sub]" caption="Sub" attribute="1" defaultMemberUniqueName="[Table3].[Sub].[All]" allUniqueName="[Table3].[Sub].[All]" dimensionUniqueName="[Table3]" displayFolder="" count="0" memberValueDatatype="20" unbalanced="0"/>
    <cacheHierarchy uniqueName="[Table3].[Verzekerde interest]" caption="Verzekerde interest" attribute="1" defaultMemberUniqueName="[Table3].[Verzekerde interest].[All]" allUniqueName="[Table3].[Verzekerde interest].[All]" dimensionUniqueName="[Table3]" displayFolder="" count="2" memberValueDatatype="130" unbalanced="0">
      <fieldsUsage count="2">
        <fieldUsage x="-1"/>
        <fieldUsage x="2"/>
      </fieldsUsage>
    </cacheHierarchy>
    <cacheHierarchy uniqueName="[Table3].[Bestemming]" caption="Bestemming" attribute="1" defaultMemberUniqueName="[Table3].[Bestemming].[All]" allUniqueName="[Table3].[Bestemming].[All]" dimensionUniqueName="[Table3]" displayFolder="" count="0" memberValueDatatype="130" unbalanced="0"/>
    <cacheHierarchy uniqueName="[Table3].[Omschrijving]" caption="Omschrijving" attribute="1" defaultMemberUniqueName="[Table3].[Omschrijving].[All]" allUniqueName="[Table3].[Omschrijving].[All]" dimensionUniqueName="[Table3]" displayFolder="" count="0" memberValueDatatype="130" unbalanced="0"/>
    <cacheHierarchy uniqueName="[Table3].[Schadevergoedingstermijn]" caption="Schadevergoedingstermijn" attribute="1" defaultMemberUniqueName="[Table3].[Schadevergoedingstermijn].[All]" allUniqueName="[Table3].[Schadevergoedingstermijn].[All]" dimensionUniqueName="[Table3]" displayFolder="" count="0" memberValueDatatype="130" unbalanced="0"/>
    <cacheHierarchy uniqueName="[Table3].[Bouwaard]" caption="Bouwaard" attribute="1" defaultMemberUniqueName="[Table3].[Bouwaard].[All]" allUniqueName="[Table3].[Bouwaard].[All]" dimensionUniqueName="[Table3]" displayFolder="" count="0" memberValueDatatype="130" unbalanced="0"/>
    <cacheHierarchy uniqueName="[Table3].[Getaxeerd]" caption="Getaxeerd" attribute="1" defaultMemberUniqueName="[Table3].[Getaxeerd].[All]" allUniqueName="[Table3].[Getaxeerd].[All]" dimensionUniqueName="[Table3]" displayFolder="" count="0" memberValueDatatype="130" unbalanced="0"/>
    <cacheHierarchy uniqueName="[Table3].[Adres]" caption="Adres" attribute="1" defaultMemberUniqueName="[Table3].[Adres].[All]" allUniqueName="[Table3].[Adres].[All]" dimensionUniqueName="[Table3]" displayFolder="" count="2" memberValueDatatype="130" unbalanced="0"/>
    <cacheHierarchy uniqueName="[Table3].[Postcode]" caption="Postcode" attribute="1" defaultMemberUniqueName="[Table3].[Postcode].[All]" allUniqueName="[Table3].[Postcode].[All]" dimensionUniqueName="[Table3]" displayFolder="" count="0" memberValueDatatype="130" unbalanced="0"/>
    <cacheHierarchy uniqueName="[Table3].[Plaats]" caption="Plaats" attribute="1" defaultMemberUniqueName="[Table3].[Plaats].[All]" allUniqueName="[Table3].[Plaats].[All]" dimensionUniqueName="[Table3]" displayFolder="" count="0" memberValueDatatype="130" unbalanced="0"/>
    <cacheHierarchy uniqueName="[Table3].[Land]" caption="Land" attribute="1" defaultMemberUniqueName="[Table3].[Land].[All]" allUniqueName="[Table3].[Land].[All]" dimensionUniqueName="[Table3]" displayFolder="" count="0" memberValueDatatype="130" unbalanced="0"/>
    <cacheHierarchy uniqueName="[Table3].[Vorkbedrag]" caption="Vorkbedrag" attribute="1" defaultMemberUniqueName="[Table3].[Vorkbedrag].[All]" allUniqueName="[Table3].[Vorkbedrag].[All]" dimensionUniqueName="[Table3]" displayFolder="" count="0" memberValueDatatype="20" unbalanced="0"/>
    <cacheHierarchy uniqueName="[Table3].[Premiegrondslag]" caption="Premiegrondslag" attribute="1" defaultMemberUniqueName="[Table3].[Premiegrondslag].[All]" allUniqueName="[Table3].[Premiegrondslag].[All]" dimensionUniqueName="[Table3]" displayFolder="" count="0" memberValueDatatype="20" unbalanced="0"/>
    <cacheHierarchy uniqueName="[Table3].[Verzekerde Waarde]" caption="Verzekerde Waarde" attribute="1" defaultMemberUniqueName="[Table3].[Verzekerde Waarde].[All]" allUniqueName="[Table3].[Verzekerde Waarde].[All]" dimensionUniqueName="[Table3]" displayFolder="" count="0" memberValueDatatype="20" unbalanced="0"/>
    <cacheHierarchy uniqueName="[Table3].[Index nieuw]" caption="Index nieuw" attribute="1" defaultMemberUniqueName="[Table3].[Index nieuw].[All]" allUniqueName="[Table3].[Index nieuw].[All]" dimensionUniqueName="[Table3]" displayFolder="" count="0" memberValueDatatype="5" unbalanced="0"/>
    <cacheHierarchy uniqueName="[Table3].[Mutaties]" caption="Mutaties" attribute="1" defaultMemberUniqueName="[Table3].[Mutaties].[All]" allUniqueName="[Table3].[Mutaties].[All]" dimensionUniqueName="[Table3]" displayFolder="" count="0" memberValueDatatype="20" unbalanced="0"/>
    <cacheHierarchy uniqueName="[Table3].[Verz. Waarde Oud:]" caption="Verz. Waarde Oud:" attribute="1" defaultMemberUniqueName="[Table3].[Verz. Waarde Oud:].[All]" allUniqueName="[Table3].[Verz. Waarde Oud:].[All]" dimensionUniqueName="[Table3]" displayFolder="" count="0" memberValueDatatype="20" unbalanced="0"/>
    <cacheHierarchy uniqueName="[Table3].[Index oud]" caption="Index oud" attribute="1" defaultMemberUniqueName="[Table3].[Index oud].[All]" allUniqueName="[Table3].[Index oud].[All]" dimensionUniqueName="[Table3]" displayFolder="" count="0" memberValueDatatype="5" unbalanced="0"/>
    <cacheHierarchy uniqueName="[Table3].[Promillage 1]" caption="Promillage 1" attribute="1" defaultMemberUniqueName="[Table3].[Promillage 1].[All]" allUniqueName="[Table3].[Promillage 1].[All]" dimensionUniqueName="[Table3]" displayFolder="" count="0" memberValueDatatype="5" unbalanced="0"/>
    <cacheHierarchy uniqueName="[Table3].[Jaarpremie 1]" caption="Jaarpremie 1" attribute="1" defaultMemberUniqueName="[Table3].[Jaarpremie 1].[All]" allUniqueName="[Table3].[Jaarpremie 1].[All]" dimensionUniqueName="[Table3]" displayFolder="" count="0" memberValueDatatype="5" unbalanced="0"/>
    <cacheHierarchy uniqueName="[Table3].[Totale jaarpremie:]" caption="Totale jaarpremie:" attribute="1" defaultMemberUniqueName="[Table3].[Totale jaarpremie:].[All]" allUniqueName="[Table3].[Totale jaarpremie:].[All]" dimensionUniqueName="[Table3]" displayFolder="" count="0" memberValueDatatype="5" unbalanced="0"/>
    <cacheHierarchy uniqueName="[Measures].[__XL_Count Table3]" caption="__XL_Count Table3" measure="1" displayFolder="" measureGroup="Table3" count="0" hidden="1"/>
    <cacheHierarchy uniqueName="[Measures].[__No measures defined]" caption="__No measures defined" measure="1" displayFolder="" count="0" hidden="1"/>
    <cacheHierarchy uniqueName="[Measures].[Sum of Totale jaarpremie:]" caption="Sum of Totale jaarpremie:" measure="1" displayFolder="" measureGroup="Table3" count="0" oneField="1" hidden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22"/>
        </ext>
      </extLst>
    </cacheHierarchy>
    <cacheHierarchy uniqueName="[Measures].[Sum of Verzekerde Waarde]" caption="Sum of Verzekerde Waarde" measure="1" displayFolder="" measureGroup="Table3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15"/>
        </ext>
      </extLst>
    </cacheHierarchy>
  </cacheHierarchies>
  <kpis count="0"/>
  <dimensions count="2">
    <dimension measure="1" name="Measures" uniqueName="[Measures]" caption="Measures"/>
    <dimension name="Table3" uniqueName="[Table3]" caption="Table3"/>
  </dimensions>
  <measureGroups count="1">
    <measureGroup name="Table3" caption="Table3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AB6038-E477-453D-B22B-2B363E924718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7" indent="0" outline="1" outlineData="1" multipleFieldFilters="0">
  <location ref="A10:C13" firstHeaderRow="0" firstDataRow="1" firstDataCol="1"/>
  <pivotFields count="3">
    <pivotField dataField="1" subtotalTop="0" showAll="0" defaultSubtotal="0"/>
    <pivotField dataField="1" subtotalTop="0" showAll="0" defaultSubtotal="0"/>
    <pivotField axis="axisRow" allDrilled="1" subtotalTop="0" showAll="0" dataSourceSort="1" defaultSubtotal="0" defaultAttributeDrillState="1">
      <items count="2">
        <item x="0"/>
        <item x="1"/>
      </items>
    </pivotField>
  </pivotFields>
  <rowFields count="1">
    <field x="2"/>
  </rowFields>
  <rowItems count="3">
    <i>
      <x/>
    </i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Verzekerde waarde" fld="1" baseField="0" baseItem="0"/>
    <dataField name="Jaarpremie" fld="0" baseField="0" baseItem="0"/>
  </dataFields>
  <formats count="1">
    <format dxfId="134">
      <pivotArea outline="0" collapsedLevelsAreSubtotals="1" fieldPosition="0"/>
    </format>
  </formats>
  <pivotHierarchies count="27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Jaarpremie"/>
    <pivotHierarchy dragToRow="0" dragToCol="0" dragToPage="0" dragToData="1" caption="Verzekerde waarde"/>
  </pivotHierarchies>
  <pivotTableStyleInfo name="PivotStyleLight16" showRowHeaders="1" showColHeaders="1" showRowStripes="0" showColStripes="0" showLastColumn="1"/>
  <rowHierarchiesUsage count="1">
    <rowHierarchyUsage hierarchyUsage="3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BIPAR Module versie 6.2.xlsx!Table3">
        <x15:activeTabTopLevelEntity name="[Table3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AF08A8D-44F3-42E9-86BB-A1C00B8314DE}" name="Table3" displayName="Table3" ref="A10:W41" totalsRowCount="1" headerRowDxfId="133" dataDxfId="132" tableBorderDxfId="131">
  <sortState xmlns:xlrd2="http://schemas.microsoft.com/office/spreadsheetml/2017/richdata2" ref="A11:W40">
    <sortCondition ref="J10:J40"/>
  </sortState>
  <tableColumns count="23">
    <tableColumn id="1" xr3:uid="{5DA535AD-6ED3-4B58-8975-8C5347AA9B78}" name="Verzekerde" totalsRowLabel="Total" dataDxfId="130" totalsRowDxfId="129"/>
    <tableColumn id="35" xr3:uid="{3D66882E-214F-4E51-B263-D2DDB4FF2D3B}" name="Certificaat" dataDxfId="128" totalsRowDxfId="127"/>
    <tableColumn id="3" xr3:uid="{46AEA6C0-3771-4B9F-84B0-D1E6E51ED86B}" name="Sub" dataDxfId="126" totalsRowDxfId="125"/>
    <tableColumn id="4" xr3:uid="{9A2B1A2F-6CEB-4F18-A492-54E11736E5C9}" name="Verzekerde interest" dataDxfId="124" totalsRowDxfId="123"/>
    <tableColumn id="5" xr3:uid="{9D760F86-9046-48BB-BD35-80C0CB1AAC94}" name="Bestemming" dataDxfId="122" totalsRowDxfId="121"/>
    <tableColumn id="6" xr3:uid="{AEF7AB71-63FB-4DF7-B373-C23684BDD59F}" name="Omschrijving" dataDxfId="120" totalsRowDxfId="119"/>
    <tableColumn id="2" xr3:uid="{C3F0919A-0C23-4F94-A553-C9326C2AE775}" name="Schadevergoedingstermijn" dataDxfId="118" totalsRowDxfId="117"/>
    <tableColumn id="7" xr3:uid="{80DF863E-C676-467C-9B7F-AEA9BF31EF53}" name="Bouwaard" dataDxfId="116" totalsRowDxfId="115"/>
    <tableColumn id="8" xr3:uid="{A5E447C2-3EF1-4784-8BC8-25520EDB2C61}" name="Getaxeerd" dataDxfId="114" totalsRowDxfId="113"/>
    <tableColumn id="11" xr3:uid="{C537EE58-8FE5-4DC9-B6BF-0D07D6D61AD7}" name="Adres" dataDxfId="112" totalsRowDxfId="111"/>
    <tableColumn id="12" xr3:uid="{339D09B0-2AF5-4303-A5A6-02DD7DB5395D}" name="Postcode" dataDxfId="110" totalsRowDxfId="109"/>
    <tableColumn id="13" xr3:uid="{2B053CF8-65C3-49C4-9661-3DB2CB0CC34A}" name="Plaats" dataDxfId="108" totalsRowDxfId="107"/>
    <tableColumn id="27" xr3:uid="{A0A1AC25-82A1-4637-B86F-C639D75A706C}" name="Land" dataDxfId="106" totalsRowDxfId="105"/>
    <tableColumn id="14" xr3:uid="{6CE5D940-A92A-4A0C-8BD6-B0E3A0EE3390}" name="Vorkbedrag" totalsRowFunction="sum" dataDxfId="104" totalsRowDxfId="103"/>
    <tableColumn id="15" xr3:uid="{2658B486-6155-457E-A473-050992C9D06B}" name="Premiegrondslag" totalsRowFunction="sum" dataDxfId="102" totalsRowDxfId="101"/>
    <tableColumn id="16" xr3:uid="{25E13C69-EE0B-496F-B0A6-615909375448}" name="Verzekerde Waarde" totalsRowFunction="sum" dataDxfId="100" totalsRowDxfId="99"/>
    <tableColumn id="17" xr3:uid="{04C7BDE1-9D3C-4EC4-ADBC-51DCF266AA22}" name="Index nieuw" dataDxfId="98" totalsRowDxfId="97"/>
    <tableColumn id="18" xr3:uid="{448DB753-00BC-43DE-A940-D7A40A6DC875}" name="Mutaties" totalsRowFunction="sum" dataDxfId="96" totalsRowDxfId="95">
      <calculatedColumnFormula>S11+SUMIF(Table4[Subnummer],Table3[[#This Row],[Sub]],Table4[Som mutaties])</calculatedColumnFormula>
    </tableColumn>
    <tableColumn id="19" xr3:uid="{E2C7CD13-246E-4279-9E08-71DF2DD4543D}" name="Verz. Waarde Oud:" totalsRowFunction="sum" dataDxfId="94" totalsRowDxfId="93"/>
    <tableColumn id="20" xr3:uid="{127805A0-511B-445D-9C56-BF76B0B74610}" name="Index oud" dataDxfId="92" totalsRowDxfId="91"/>
    <tableColumn id="21" xr3:uid="{9E8E3FFB-1F30-418F-8573-5B886C0C4A1F}" name="Promillage 1" dataDxfId="90" totalsRowDxfId="89"/>
    <tableColumn id="28" xr3:uid="{1A25B7F7-2715-4C4B-9AB3-4D065A95A249}" name="Jaarpremie 1" totalsRowFunction="sum" dataDxfId="88" totalsRowDxfId="87">
      <calculatedColumnFormula>$O11*U11/1000*U$9</calculatedColumnFormula>
    </tableColumn>
    <tableColumn id="34" xr3:uid="{F40F7D86-622C-4D2F-8912-EADB1C2B80F4}" name="Totale jaarpremie:" totalsRowFunction="sum" dataDxfId="86" totalsRowDxfId="85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E8E302D-FAA8-4860-A74C-9E0E501060A6}" name="Table8" displayName="Table8" ref="A2:F9" totalsRowShown="0">
  <autoFilter ref="A2:F9" xr:uid="{8E8E302D-FAA8-4860-A74C-9E0E501060A6}"/>
  <tableColumns count="6">
    <tableColumn id="1" xr3:uid="{425C3F9B-888C-41F2-B864-EC8453BCECCD}" name="Sub" dataDxfId="84"/>
    <tableColumn id="2" xr3:uid="{C808CC8C-B930-4060-8A04-348D8D6F41AE}" name="Soort interest">
      <calculatedColumnFormula>IFERROR(_xlfn.XLOOKUP(Table8[[#This Row],[Sub]],Table3[Sub],Table3[Verzekerde interest]),"-")</calculatedColumnFormula>
    </tableColumn>
    <tableColumn id="3" xr3:uid="{32421018-A694-46BE-AEAB-E4E993B915A5}" name="Taxateur"/>
    <tableColumn id="4" xr3:uid="{7D8C23E6-A111-4604-BE71-E81D202A5BD4}" name="Taxatiedatum"/>
    <tableColumn id="5" xr3:uid="{551951F5-8AC9-4CCF-BECF-1E59AB37760E}" name="Rapportnummer"/>
    <tableColumn id="6" xr3:uid="{9D13D5A9-22FF-40A4-9A6D-107489957FAC}" name="Vervalt op"/>
  </tableColumns>
  <tableStyleInfo name="TableStyleMedium2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7009779-FE40-4487-BE84-03FE442C5B8A}" name="Table4" displayName="Table4" ref="A8:Y36" totalsRowCount="1" headerRowDxfId="83" dataDxfId="82" totalsRowDxfId="80" tableBorderDxfId="81">
  <autoFilter ref="A8:Y35" xr:uid="{07009779-FE40-4487-BE84-03FE442C5B8A}"/>
  <tableColumns count="25">
    <tableColumn id="1" xr3:uid="{E829BB11-9544-46D3-83B7-C7220D3E6274}" name="Klant" totalsRowLabel="Totaal" dataDxfId="79" totalsRowDxfId="78">
      <calculatedColumnFormula>IFERROR(_xlfn.XLOOKUP(D9,Specificatie!C:C,Specificatie!A:A),"-")</calculatedColumnFormula>
    </tableColumn>
    <tableColumn id="2" xr3:uid="{667AAFC8-65C7-42B2-919F-E6B1E47706EF}" name="Omschrijving mutatie" dataDxfId="77" totalsRowDxfId="76"/>
    <tableColumn id="35" xr3:uid="{4AEE5333-4894-4B06-8579-37FFCF2525CB}" name="Certificaat" dataDxfId="75" totalsRowDxfId="74">
      <calculatedColumnFormula>IFERROR(_xlfn.XLOOKUP(Table4[[#This Row],[Subnummer]],Table3[Sub],Table3[Certificaat]),"-")</calculatedColumnFormula>
    </tableColumn>
    <tableColumn id="3" xr3:uid="{CF592FF5-35F6-4356-9CD5-06E54941D0B1}" name="Subnummer" dataDxfId="73" totalsRowDxfId="72"/>
    <tableColumn id="4" xr3:uid="{64034314-8866-41BA-99E8-4FF01689406B}" name="Oud" totalsRowFunction="sum" dataDxfId="71" totalsRowDxfId="70">
      <calculatedColumnFormula>IFERROR(_xlfn.XLOOKUP(Table4[[#This Row],[Subnummer]],Table3[Sub],Table3[Verz. Waarde Oud:]),0)</calculatedColumnFormula>
    </tableColumn>
    <tableColumn id="5" xr3:uid="{620AEE7D-66A2-4F1D-A607-E56478BDE8EB}" name="Investering Nieuw" totalsRowFunction="sum" dataDxfId="69" totalsRowDxfId="68"/>
    <tableColumn id="6" xr3:uid="{DE0DE46B-0DDE-437C-8E25-36B068E01C2B}" name="Investering bestaand" totalsRowFunction="sum" dataDxfId="67" totalsRowDxfId="66"/>
    <tableColumn id="7" xr3:uid="{9B36F1F2-A439-4500-896A-6E8BF6F81E51}" name="Verlaging" totalsRowFunction="sum" dataDxfId="65" totalsRowDxfId="64"/>
    <tableColumn id="8" xr3:uid="{FF81AF7B-0259-4E66-B5D9-ECFA30432652}" name="Afvoer" totalsRowFunction="sum" dataDxfId="63" totalsRowDxfId="62"/>
    <tableColumn id="9" xr3:uid="{B6BD1092-5404-4869-8C59-FC9AA463ED6A}" name="Inclusief mutatie" totalsRowFunction="sum" dataDxfId="61" totalsRowDxfId="60">
      <calculatedColumnFormula>E9+F9+G9-H9-I9</calculatedColumnFormula>
    </tableColumn>
    <tableColumn id="10" xr3:uid="{BD8E3966-13F7-42D4-993C-92FE1C430FF3}" name="Som mutaties" totalsRowFunction="sum" dataDxfId="59" totalsRowDxfId="58">
      <calculatedColumnFormula>J9-E9</calculatedColumnFormula>
    </tableColumn>
    <tableColumn id="11" xr3:uid="{20DEF141-CD88-4342-A537-AFDFB517EFA9}" name="Mutatiedatum" dataDxfId="57" totalsRowDxfId="56"/>
    <tableColumn id="12" xr3:uid="{AFB3C57F-C39F-4FD8-8562-9140F30501DB}" name="Vervaldatum" dataDxfId="55" totalsRowDxfId="54"/>
    <tableColumn id="13" xr3:uid="{A6204F43-A2A4-49F5-A101-26FA0846855E}" name="Dagen" dataDxfId="53" totalsRowDxfId="52">
      <calculatedColumnFormula>M9-L9</calculatedColumnFormula>
    </tableColumn>
    <tableColumn id="14" xr3:uid="{AC67BCCF-5297-4253-8212-7F5222B981DA}" name="Dagen per jaar" dataDxfId="51" totalsRowDxfId="50"/>
    <tableColumn id="15" xr3:uid="{A023D2D9-17D1-4E91-B3E7-8153A91C72EF}" name="Sprake van CAD?" dataDxfId="49" totalsRowDxfId="48"/>
    <tableColumn id="16" xr3:uid="{34FCD074-1758-40AA-B151-374A81777B00}" name="Investering nieuw2" totalsRowFunction="sum" dataDxfId="47" totalsRowDxfId="46">
      <calculatedColumnFormula>F9*N9/O9</calculatedColumnFormula>
    </tableColumn>
    <tableColumn id="17" xr3:uid="{361D6950-84B1-4A04-B31D-B79182F444F0}" name="Investering bestaand2" totalsRowFunction="sum" dataDxfId="45" totalsRowDxfId="44">
      <calculatedColumnFormula array="1">_xlfn.IFS($P9="Nee",G9*$N9/$O9,$P9="Ja",G9*0.5)</calculatedColumnFormula>
    </tableColumn>
    <tableColumn id="18" xr3:uid="{B89A019B-B2E3-40D5-A639-F666B76F86C3}" name="Verlaging2" totalsRowFunction="sum" dataDxfId="43" totalsRowDxfId="42">
      <calculatedColumnFormula array="1">_xlfn.IFS($P9="Nee",-(H9*$N9/$O9),$P9="Ja",-(H9*0.5))</calculatedColumnFormula>
    </tableColumn>
    <tableColumn id="19" xr3:uid="{E4087D8E-E10F-4D15-919A-7A90DFB337AD}" name="Afvoer2" totalsRowFunction="sum" dataDxfId="41" totalsRowDxfId="40">
      <calculatedColumnFormula>-I9*N9/O9</calculatedColumnFormula>
    </tableColumn>
    <tableColumn id="20" xr3:uid="{3A456E59-DB29-45F8-81D9-9E1D98E2BAFE}" name="Totaal" totalsRowFunction="sum" dataDxfId="39" totalsRowDxfId="38">
      <calculatedColumnFormula>SUM(Q9:T9)</calculatedColumnFormula>
    </tableColumn>
    <tableColumn id="21" xr3:uid="{7985DB21-C10E-4622-89F3-C390A05E27FF}" name="Verzekeraar 1" dataDxfId="37" totalsRowDxfId="36">
      <calculatedColumnFormula>IFERROR(_xlfn.XLOOKUP(Table4[[#This Row],[Subnummer]],Table3[Sub],Table3[Promillage 1]),0)</calculatedColumnFormula>
    </tableColumn>
    <tableColumn id="27" xr3:uid="{0A88460A-2961-435D-8B9A-0BEE7B410665}" name="Verzekeraar 12" totalsRowFunction="sum" dataDxfId="35" totalsRowDxfId="34">
      <calculatedColumnFormula>$U9*V9/1000*V$7</calculatedColumnFormula>
    </tableColumn>
    <tableColumn id="33" xr3:uid="{CD88B151-89E6-41D2-8A73-08D6256ACBAF}" name="Totaal2" totalsRowFunction="sum" dataDxfId="33" totalsRowDxfId="32">
      <calculatedColumnFormula>SUM(W9:W9)</calculatedColumnFormula>
    </tableColumn>
    <tableColumn id="34" xr3:uid="{E305A1B7-216A-4818-A0F4-60DA1A3E3DCB}" name="Boeking" dataDxfId="31" totalsRowDxfId="30">
      <calculatedColumnFormula array="1">_xlfn.IFS(X9=0,"Nihil",X9&gt;0,"Suppletie",X9&lt;0,"Restitutie")</calculatedColumnFormula>
    </tableColumn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AA2467-2CCA-4AC8-98AF-8599DE482937}" name="Table1" displayName="Table1" ref="A12:F14" totalsRowCount="1" headerRowDxfId="29" totalsRowDxfId="26" headerRowBorderDxfId="28" tableBorderDxfId="27" totalsRowBorderDxfId="25">
  <autoFilter ref="A12:F13" xr:uid="{9AAA2467-2CCA-4AC8-98AF-8599DE482937}"/>
  <tableColumns count="6">
    <tableColumn id="1" xr3:uid="{6686A93B-508A-4DCB-AAE3-4A9321E67559}" name="Verzekeraar" totalsRowLabel="Total" dataDxfId="24" totalsRowDxfId="23"/>
    <tableColumn id="2" xr3:uid="{97D40347-3AE7-4F1C-A7E9-4053C5E0ECFD}" name="Relatienummer" dataDxfId="22" totalsRowDxfId="21"/>
    <tableColumn id="3" xr3:uid="{E1D84ECA-B8DF-442A-9ED1-7EC144A6C221}" name="Aandeel" totalsRowFunction="sum" dataDxfId="20" totalsRowDxfId="19"/>
    <tableColumn id="4" xr3:uid="{9AE70F38-5F7F-4A1E-ADE9-B1F86CFFDB82}" name="Jaarpremie" totalsRowFunction="sum" dataDxfId="18" totalsRowDxfId="17">
      <calculatedColumnFormula>SUMIF(Table3[Certificaat],$B$11,#REF!)</calculatedColumnFormula>
    </tableColumn>
    <tableColumn id="5" xr3:uid="{C8DC530D-196F-4F06-AA42-3AEF531238CD}" name="Al geboekt met nota" totalsRowFunction="sum" dataDxfId="16" totalsRowDxfId="15"/>
    <tableColumn id="6" xr3:uid="{48EDC8E9-7E64-461B-9FAC-FB0E9553B711}" name="Nog te boeken" totalsRowFunction="sum" dataDxfId="14" totalsRowDxfId="13"/>
  </tableColumns>
  <tableStyleInfo name="TableStyleMedium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E40922-C02C-4F7D-92D7-106DDAF09DB4}" name="Table2" displayName="Table2" ref="A12:D14" totalsRowCount="1" headerRowDxfId="12" totalsRowDxfId="9" headerRowBorderDxfId="11" tableBorderDxfId="10" totalsRowBorderDxfId="8">
  <autoFilter ref="A12:D13" xr:uid="{A6E40922-C02C-4F7D-92D7-106DDAF09DB4}"/>
  <tableColumns count="4">
    <tableColumn id="1" xr3:uid="{1C2BDB45-46C6-4EEA-9AF3-34A4B3E43C0D}" name="Verzekeraar" totalsRowLabel="Total" dataDxfId="7" totalsRowDxfId="6"/>
    <tableColumn id="2" xr3:uid="{C9624625-27B1-4242-B58D-CD75E5449BFE}" name="Relatienummer" dataDxfId="5" totalsRowDxfId="4"/>
    <tableColumn id="3" xr3:uid="{A5E01D99-FB8F-4A17-8650-9A8A9486AAD1}" name="Aandeel" totalsRowFunction="sum" dataDxfId="3" totalsRowDxfId="2"/>
    <tableColumn id="4" xr3:uid="{A79BE9DE-9508-4B1D-BC2C-3FF3652F5C55}" name="Boeking/restitutie" totalsRowFunction="sum" dataDxfId="1" totalsRowDxfId="0">
      <calculatedColumnFormula>SUMIFS(Table4[Verzekeraar 12],Table4[Mutatiedatum],$B8,Table4[Certificaat],$B11)</calculatedColumnFormula>
    </tableColumn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0625-246A-43CC-89A4-DCF9BF06B965}">
  <sheetPr codeName="Sheet1"/>
  <dimension ref="A1:J13"/>
  <sheetViews>
    <sheetView workbookViewId="0">
      <selection activeCell="B15" sqref="B15"/>
    </sheetView>
  </sheetViews>
  <sheetFormatPr defaultRowHeight="15" x14ac:dyDescent="0.25"/>
  <cols>
    <col min="1" max="1" width="18.85546875" bestFit="1" customWidth="1"/>
    <col min="2" max="2" width="18.5703125" bestFit="1" customWidth="1"/>
    <col min="3" max="3" width="12.42578125" bestFit="1" customWidth="1"/>
    <col min="4" max="4" width="24.42578125" bestFit="1" customWidth="1"/>
    <col min="5" max="5" width="23.42578125" bestFit="1" customWidth="1"/>
    <col min="6" max="18" width="16" customWidth="1"/>
  </cols>
  <sheetData>
    <row r="1" spans="1:10" x14ac:dyDescent="0.25">
      <c r="A1" s="8" t="s">
        <v>0</v>
      </c>
      <c r="B1" s="9"/>
      <c r="C1" s="10"/>
      <c r="D1" s="2"/>
      <c r="E1" s="2"/>
      <c r="F1" s="2"/>
      <c r="G1" s="2"/>
      <c r="H1" s="2"/>
      <c r="I1" s="2"/>
      <c r="J1" s="2"/>
    </row>
    <row r="2" spans="1:10" x14ac:dyDescent="0.25">
      <c r="A2" s="11" t="s">
        <v>1</v>
      </c>
      <c r="B2" s="7" t="s">
        <v>161</v>
      </c>
      <c r="C2" s="12"/>
      <c r="D2" s="2"/>
      <c r="E2" s="2"/>
      <c r="F2" s="2"/>
      <c r="G2" s="2"/>
      <c r="H2" s="2"/>
      <c r="I2" s="2"/>
      <c r="J2" s="2"/>
    </row>
    <row r="3" spans="1:10" x14ac:dyDescent="0.25">
      <c r="A3" s="11" t="s">
        <v>2</v>
      </c>
      <c r="B3" s="7" t="s">
        <v>154</v>
      </c>
      <c r="C3" s="12"/>
      <c r="D3" s="2"/>
      <c r="E3" s="2"/>
      <c r="F3" s="2"/>
      <c r="G3" s="2"/>
      <c r="H3" s="2"/>
      <c r="I3" s="2"/>
      <c r="J3" s="2"/>
    </row>
    <row r="4" spans="1:10" x14ac:dyDescent="0.25">
      <c r="A4" s="11" t="s">
        <v>3</v>
      </c>
      <c r="B4" s="227">
        <v>638439110</v>
      </c>
      <c r="C4" s="12"/>
      <c r="D4" s="2"/>
      <c r="E4" s="2"/>
      <c r="F4" s="2"/>
      <c r="G4" s="2"/>
      <c r="H4" s="2"/>
      <c r="I4" s="2"/>
      <c r="J4" s="2"/>
    </row>
    <row r="5" spans="1:10" x14ac:dyDescent="0.25">
      <c r="A5" s="11" t="s">
        <v>4</v>
      </c>
      <c r="B5" s="7" t="s">
        <v>162</v>
      </c>
      <c r="C5" s="12"/>
      <c r="D5" s="2"/>
      <c r="E5" s="2"/>
      <c r="F5" s="2"/>
      <c r="G5" s="2"/>
      <c r="H5" s="2"/>
      <c r="I5" s="2"/>
      <c r="J5" s="2"/>
    </row>
    <row r="6" spans="1:10" x14ac:dyDescent="0.25">
      <c r="A6" s="13"/>
      <c r="B6" s="38" t="s">
        <v>5</v>
      </c>
      <c r="C6" s="39" t="s">
        <v>6</v>
      </c>
      <c r="D6" s="2"/>
      <c r="E6" s="2"/>
      <c r="F6" s="2"/>
      <c r="G6" s="2"/>
      <c r="H6" s="2"/>
      <c r="I6" s="2"/>
      <c r="J6" s="2"/>
    </row>
    <row r="7" spans="1:10" x14ac:dyDescent="0.25">
      <c r="A7" s="13" t="s">
        <v>7</v>
      </c>
      <c r="B7" s="40">
        <v>45292</v>
      </c>
      <c r="C7" s="41">
        <v>45658</v>
      </c>
      <c r="D7" s="2"/>
      <c r="E7" s="2"/>
      <c r="F7" s="2"/>
      <c r="G7" s="2"/>
      <c r="H7" s="2"/>
      <c r="I7" s="2"/>
      <c r="J7" s="2"/>
    </row>
    <row r="10" spans="1:10" x14ac:dyDescent="0.25">
      <c r="A10" s="88" t="s">
        <v>8</v>
      </c>
      <c r="B10" t="s">
        <v>9</v>
      </c>
      <c r="C10" t="s">
        <v>10</v>
      </c>
    </row>
    <row r="11" spans="1:10" x14ac:dyDescent="0.25">
      <c r="A11" s="89" t="s">
        <v>44</v>
      </c>
      <c r="B11" s="42">
        <v>169902000</v>
      </c>
      <c r="C11" s="42">
        <v>117911.98799999998</v>
      </c>
    </row>
    <row r="12" spans="1:10" x14ac:dyDescent="0.25">
      <c r="A12" s="89" t="s">
        <v>145</v>
      </c>
      <c r="B12" s="42">
        <v>43657000</v>
      </c>
      <c r="C12" s="42">
        <v>30297.958000000006</v>
      </c>
    </row>
    <row r="13" spans="1:10" x14ac:dyDescent="0.25">
      <c r="A13" s="89" t="s">
        <v>11</v>
      </c>
      <c r="B13" s="42">
        <v>213559000</v>
      </c>
      <c r="C13" s="42">
        <v>148209.94599999997</v>
      </c>
    </row>
  </sheetData>
  <sheetProtection pivotTables="0"/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2"/>
  <headerFooter>
    <oddFooter>&amp;L&amp;F
Uniek nr e-ABS XXXXXXXXXXXXXXXXXXX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B097-44BC-46C9-9D12-97A11A00B2C3}">
  <sheetPr codeName="Sheet2">
    <pageSetUpPr fitToPage="1"/>
  </sheetPr>
  <dimension ref="A1:W44"/>
  <sheetViews>
    <sheetView showGridLines="0" tabSelected="1" topLeftCell="C1" zoomScale="85" zoomScaleNormal="85" workbookViewId="0">
      <selection activeCell="J13" sqref="J13"/>
    </sheetView>
  </sheetViews>
  <sheetFormatPr defaultColWidth="16" defaultRowHeight="12.75" x14ac:dyDescent="0.25"/>
  <cols>
    <col min="1" max="1" width="17" style="17" hidden="1" customWidth="1"/>
    <col min="2" max="2" width="23.42578125" style="17" hidden="1" customWidth="1"/>
    <col min="3" max="3" width="7.5703125" style="22" bestFit="1" customWidth="1"/>
    <col min="4" max="4" width="18.28515625" style="22" customWidth="1"/>
    <col min="5" max="5" width="21.140625" style="22" hidden="1" customWidth="1"/>
    <col min="6" max="6" width="18.7109375" style="22" hidden="1" customWidth="1"/>
    <col min="7" max="7" width="28.42578125" style="22" hidden="1" customWidth="1"/>
    <col min="8" max="8" width="18.7109375" style="22" hidden="1" customWidth="1"/>
    <col min="9" max="9" width="13.28515625" style="22" bestFit="1" customWidth="1"/>
    <col min="10" max="10" width="18.7109375" style="17" customWidth="1"/>
    <col min="11" max="11" width="8.42578125" style="17" customWidth="1"/>
    <col min="12" max="12" width="14.42578125" style="17" customWidth="1"/>
    <col min="13" max="13" width="18.7109375" style="17" hidden="1" customWidth="1"/>
    <col min="14" max="14" width="15.28515625" style="17" hidden="1" customWidth="1"/>
    <col min="15" max="15" width="20.85546875" style="17" hidden="1" customWidth="1"/>
    <col min="16" max="16" width="23.7109375" style="17" bestFit="1" customWidth="1"/>
    <col min="17" max="17" width="16" style="17" bestFit="1" customWidth="1"/>
    <col min="18" max="18" width="18.42578125" style="17" hidden="1" customWidth="1"/>
    <col min="19" max="19" width="20.85546875" style="17" hidden="1" customWidth="1"/>
    <col min="20" max="20" width="15.140625" style="23" hidden="1" customWidth="1"/>
    <col min="21" max="21" width="17.85546875" style="23" bestFit="1" customWidth="1"/>
    <col min="22" max="22" width="16.5703125" style="17" bestFit="1" customWidth="1"/>
    <col min="23" max="23" width="20.85546875" style="17" bestFit="1" customWidth="1"/>
    <col min="24" max="16384" width="16" style="17"/>
  </cols>
  <sheetData>
    <row r="1" spans="1:23" s="16" customFormat="1" ht="15.75" customHeight="1" x14ac:dyDescent="0.2">
      <c r="A1" s="26"/>
      <c r="B1" s="27"/>
      <c r="C1" s="27"/>
      <c r="D1" s="27" t="s">
        <v>12</v>
      </c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9"/>
      <c r="R1" s="95" t="s">
        <v>13</v>
      </c>
      <c r="S1" s="30" t="s">
        <v>14</v>
      </c>
      <c r="T1" s="92"/>
      <c r="U1" s="122" t="s">
        <v>15</v>
      </c>
      <c r="V1" s="28"/>
      <c r="W1" s="29"/>
    </row>
    <row r="2" spans="1:23" s="16" customFormat="1" ht="15" x14ac:dyDescent="0.2">
      <c r="A2" s="24"/>
      <c r="B2" s="25"/>
      <c r="C2" s="14"/>
      <c r="D2" s="25" t="s">
        <v>1</v>
      </c>
      <c r="E2" s="14"/>
      <c r="F2" s="14"/>
      <c r="G2" s="14"/>
      <c r="H2" s="14"/>
      <c r="I2" s="14"/>
      <c r="J2" s="14" t="str">
        <f>Overzicht!B2</f>
        <v>B0100130233</v>
      </c>
      <c r="K2" s="14"/>
      <c r="L2" s="14"/>
      <c r="M2" s="14"/>
      <c r="N2" s="14"/>
      <c r="O2" s="14"/>
      <c r="P2" s="14"/>
      <c r="Q2" s="15"/>
      <c r="R2" s="96"/>
      <c r="S2" s="45" t="s">
        <v>159</v>
      </c>
      <c r="T2" s="93"/>
      <c r="U2" s="123" t="s">
        <v>16</v>
      </c>
      <c r="V2" s="14"/>
      <c r="W2" s="15"/>
    </row>
    <row r="3" spans="1:23" s="16" customFormat="1" ht="15" x14ac:dyDescent="0.2">
      <c r="A3" s="24"/>
      <c r="B3" s="25"/>
      <c r="C3" s="14"/>
      <c r="D3" s="25" t="s">
        <v>2</v>
      </c>
      <c r="E3" s="14"/>
      <c r="F3" s="14"/>
      <c r="G3" s="14"/>
      <c r="H3" s="14"/>
      <c r="I3" s="14"/>
      <c r="J3" s="14" t="str">
        <f>Overzicht!B3</f>
        <v>Stichting AOC Terra</v>
      </c>
      <c r="K3" s="14"/>
      <c r="L3" s="14"/>
      <c r="M3" s="14"/>
      <c r="N3" s="14"/>
      <c r="O3" s="14"/>
      <c r="P3" s="14"/>
      <c r="Q3" s="15"/>
      <c r="R3" s="96"/>
      <c r="S3" s="94"/>
      <c r="T3" s="93"/>
      <c r="U3" s="124">
        <f>SUM(L9:U9)</f>
        <v>1</v>
      </c>
      <c r="V3" s="14"/>
      <c r="W3" s="15"/>
    </row>
    <row r="4" spans="1:23" s="16" customFormat="1" ht="15" x14ac:dyDescent="0.2">
      <c r="A4" s="24"/>
      <c r="B4" s="25"/>
      <c r="C4" s="14"/>
      <c r="D4" s="25" t="s">
        <v>3</v>
      </c>
      <c r="E4" s="209"/>
      <c r="F4" s="14"/>
      <c r="G4" s="14"/>
      <c r="H4" s="14"/>
      <c r="I4" s="14"/>
      <c r="J4" s="14">
        <f>Overzicht!B4</f>
        <v>638439110</v>
      </c>
      <c r="K4" s="14"/>
      <c r="L4" s="14"/>
      <c r="M4" s="14"/>
      <c r="N4" s="14"/>
      <c r="O4" s="14"/>
      <c r="P4" s="14"/>
      <c r="Q4" s="15"/>
      <c r="R4" s="96"/>
      <c r="S4" s="94"/>
      <c r="T4" s="93"/>
      <c r="U4" s="15"/>
      <c r="V4" s="14"/>
      <c r="W4" s="15"/>
    </row>
    <row r="5" spans="1:23" s="16" customFormat="1" ht="15.75" thickBot="1" x14ac:dyDescent="0.25">
      <c r="A5" s="24"/>
      <c r="B5" s="184"/>
      <c r="C5" s="185"/>
      <c r="D5" s="184" t="s">
        <v>7</v>
      </c>
      <c r="E5" s="185"/>
      <c r="F5" s="185"/>
      <c r="G5" s="185"/>
      <c r="H5" s="185"/>
      <c r="I5" s="14"/>
      <c r="J5" s="185">
        <f>Overzicht!B7</f>
        <v>45292</v>
      </c>
      <c r="K5" s="185" t="s">
        <v>6</v>
      </c>
      <c r="L5" s="185">
        <f>Overzicht!C7</f>
        <v>45658</v>
      </c>
      <c r="M5" s="14"/>
      <c r="N5" s="14"/>
      <c r="O5" s="14"/>
      <c r="P5" s="14"/>
      <c r="Q5" s="15"/>
      <c r="R5" s="96"/>
      <c r="S5" s="94"/>
      <c r="T5" s="93"/>
      <c r="U5" s="15"/>
      <c r="V5" s="14"/>
      <c r="W5" s="15"/>
    </row>
    <row r="6" spans="1:23" s="18" customFormat="1" x14ac:dyDescent="0.25">
      <c r="A6" s="186" t="s">
        <v>17</v>
      </c>
      <c r="B6" s="187" t="s">
        <v>18</v>
      </c>
      <c r="C6" s="141" t="s">
        <v>19</v>
      </c>
      <c r="D6" s="141" t="s">
        <v>20</v>
      </c>
      <c r="E6" s="141" t="s">
        <v>21</v>
      </c>
      <c r="F6" s="188" t="s">
        <v>22</v>
      </c>
      <c r="G6" s="188" t="s">
        <v>23</v>
      </c>
      <c r="H6" s="188" t="s">
        <v>24</v>
      </c>
      <c r="I6" s="188" t="s">
        <v>25</v>
      </c>
      <c r="J6" s="188" t="s">
        <v>26</v>
      </c>
      <c r="K6" s="141" t="s">
        <v>27</v>
      </c>
      <c r="L6" s="141" t="s">
        <v>28</v>
      </c>
      <c r="M6" s="189" t="s">
        <v>29</v>
      </c>
      <c r="N6" s="190" t="s">
        <v>30</v>
      </c>
      <c r="O6" s="191" t="s">
        <v>31</v>
      </c>
      <c r="P6" s="192" t="s">
        <v>9</v>
      </c>
      <c r="Q6" s="191" t="s">
        <v>32</v>
      </c>
      <c r="R6" s="193" t="s">
        <v>9</v>
      </c>
      <c r="S6" s="193" t="s">
        <v>33</v>
      </c>
      <c r="T6" s="194" t="s">
        <v>34</v>
      </c>
      <c r="U6" s="195" t="s">
        <v>150</v>
      </c>
      <c r="V6" s="90" t="s">
        <v>10</v>
      </c>
      <c r="W6" s="91" t="s">
        <v>36</v>
      </c>
    </row>
    <row r="7" spans="1:23" s="18" customFormat="1" x14ac:dyDescent="0.25">
      <c r="A7" s="44"/>
      <c r="B7" s="46"/>
      <c r="C7" s="19"/>
      <c r="D7" s="19"/>
      <c r="E7" s="19"/>
      <c r="F7" s="20"/>
      <c r="G7" s="20"/>
      <c r="H7" s="20"/>
      <c r="I7" s="20" t="s">
        <v>37</v>
      </c>
      <c r="J7" s="20"/>
      <c r="K7" s="19"/>
      <c r="L7" s="19"/>
      <c r="M7" s="139"/>
      <c r="N7" s="142"/>
      <c r="O7" s="143"/>
      <c r="P7" s="144"/>
      <c r="Q7" s="143"/>
      <c r="R7" s="31" t="s">
        <v>38</v>
      </c>
      <c r="S7" s="31"/>
      <c r="T7" s="21"/>
      <c r="U7" s="43"/>
      <c r="V7" s="32" t="str">
        <f>U6</f>
        <v>Alle Verzekeraars</v>
      </c>
      <c r="W7" s="33"/>
    </row>
    <row r="8" spans="1:23" s="18" customFormat="1" x14ac:dyDescent="0.25">
      <c r="A8" s="44"/>
      <c r="B8" s="46"/>
      <c r="C8" s="19"/>
      <c r="D8" s="19"/>
      <c r="E8" s="19"/>
      <c r="F8" s="20"/>
      <c r="G8" s="20"/>
      <c r="H8" s="20"/>
      <c r="I8" s="20"/>
      <c r="J8" s="20"/>
      <c r="K8" s="19"/>
      <c r="L8" s="19"/>
      <c r="M8" s="139"/>
      <c r="N8" s="142"/>
      <c r="O8" s="143"/>
      <c r="P8" s="144"/>
      <c r="Q8" s="143"/>
      <c r="R8" s="31"/>
      <c r="S8" s="31"/>
      <c r="T8" s="21"/>
      <c r="U8" s="43" t="s">
        <v>39</v>
      </c>
      <c r="V8" s="32">
        <f>U7</f>
        <v>0</v>
      </c>
      <c r="W8" s="33"/>
    </row>
    <row r="9" spans="1:23" ht="13.5" thickBot="1" x14ac:dyDescent="0.3">
      <c r="A9" s="104"/>
      <c r="B9" s="105"/>
      <c r="C9" s="106"/>
      <c r="D9" s="106"/>
      <c r="E9" s="106"/>
      <c r="F9" s="107"/>
      <c r="G9" s="107"/>
      <c r="H9" s="107"/>
      <c r="I9" s="107"/>
      <c r="J9" s="107"/>
      <c r="K9" s="106"/>
      <c r="L9" s="106"/>
      <c r="M9" s="140"/>
      <c r="N9" s="145"/>
      <c r="O9" s="146"/>
      <c r="P9" s="147"/>
      <c r="Q9" s="146"/>
      <c r="R9" s="108"/>
      <c r="S9" s="108"/>
      <c r="T9" s="109"/>
      <c r="U9" s="112">
        <v>1</v>
      </c>
      <c r="V9" s="110"/>
      <c r="W9" s="111"/>
    </row>
    <row r="10" spans="1:23" ht="13.5" customHeight="1" x14ac:dyDescent="0.25">
      <c r="A10" s="196" t="s">
        <v>17</v>
      </c>
      <c r="B10" s="113" t="s">
        <v>18</v>
      </c>
      <c r="C10" s="114" t="s">
        <v>19</v>
      </c>
      <c r="D10" s="114" t="s">
        <v>20</v>
      </c>
      <c r="E10" s="114" t="s">
        <v>21</v>
      </c>
      <c r="F10" s="115" t="s">
        <v>22</v>
      </c>
      <c r="G10" s="115" t="s">
        <v>23</v>
      </c>
      <c r="H10" s="115" t="s">
        <v>24</v>
      </c>
      <c r="I10" s="115" t="s">
        <v>40</v>
      </c>
      <c r="J10" s="115" t="s">
        <v>26</v>
      </c>
      <c r="K10" s="114" t="s">
        <v>27</v>
      </c>
      <c r="L10" s="114" t="s">
        <v>28</v>
      </c>
      <c r="M10" s="18" t="s">
        <v>29</v>
      </c>
      <c r="N10" s="116" t="s">
        <v>30</v>
      </c>
      <c r="O10" s="117" t="s">
        <v>31</v>
      </c>
      <c r="P10" s="118" t="s">
        <v>41</v>
      </c>
      <c r="Q10" s="117" t="s">
        <v>32</v>
      </c>
      <c r="R10" s="119" t="s">
        <v>13</v>
      </c>
      <c r="S10" s="120" t="s">
        <v>33</v>
      </c>
      <c r="T10" s="117" t="s">
        <v>34</v>
      </c>
      <c r="U10" s="121" t="s">
        <v>42</v>
      </c>
      <c r="V10" s="116" t="s">
        <v>43</v>
      </c>
      <c r="W10" s="197" t="s">
        <v>36</v>
      </c>
    </row>
    <row r="11" spans="1:23" ht="13.5" customHeight="1" x14ac:dyDescent="0.25">
      <c r="A11" s="210" t="s">
        <v>154</v>
      </c>
      <c r="B11" s="148">
        <v>0</v>
      </c>
      <c r="C11" s="149">
        <v>6</v>
      </c>
      <c r="D11" s="148" t="s">
        <v>44</v>
      </c>
      <c r="E11" s="148" t="s">
        <v>138</v>
      </c>
      <c r="F11" s="150"/>
      <c r="G11" s="150"/>
      <c r="H11" s="150" t="s">
        <v>45</v>
      </c>
      <c r="I11" s="150" t="s">
        <v>98</v>
      </c>
      <c r="J11" s="150" t="s">
        <v>120</v>
      </c>
      <c r="K11" s="148" t="s">
        <v>168</v>
      </c>
      <c r="L11" s="148" t="s">
        <v>134</v>
      </c>
      <c r="M11" s="148" t="s">
        <v>158</v>
      </c>
      <c r="N11" s="151">
        <v>0</v>
      </c>
      <c r="O11" s="152">
        <f>IF(N11=0,P11,(P11+N11)/2)</f>
        <v>13008000</v>
      </c>
      <c r="P11" s="152">
        <f>IF(Q11=T11,R11,ROUNDUP(R11/T11*Q11,-3))</f>
        <v>13008000</v>
      </c>
      <c r="Q11" s="148">
        <v>128.4</v>
      </c>
      <c r="R11" s="152">
        <f>S11+SUMIF(Table4[Subnummer],Table3[[#This Row],[Sub]],Table4[Som mutaties])</f>
        <v>12561334</v>
      </c>
      <c r="S11" s="153">
        <v>12253000</v>
      </c>
      <c r="T11" s="148">
        <v>124</v>
      </c>
      <c r="U11" s="154">
        <v>0.69399999999999995</v>
      </c>
      <c r="V11" s="212">
        <f>$O11*U11/1000*U$9</f>
        <v>9027.5519999999997</v>
      </c>
      <c r="W11" s="213">
        <f>SUM(V11:V11)</f>
        <v>9027.5519999999997</v>
      </c>
    </row>
    <row r="12" spans="1:23" ht="13.5" customHeight="1" x14ac:dyDescent="0.25">
      <c r="A12" s="210" t="s">
        <v>154</v>
      </c>
      <c r="B12" s="148">
        <v>0</v>
      </c>
      <c r="C12" s="149">
        <v>18</v>
      </c>
      <c r="D12" s="148" t="s">
        <v>145</v>
      </c>
      <c r="E12" s="148" t="s">
        <v>138</v>
      </c>
      <c r="F12" s="150"/>
      <c r="G12" s="150"/>
      <c r="H12" s="150" t="s">
        <v>45</v>
      </c>
      <c r="I12" s="150" t="s">
        <v>98</v>
      </c>
      <c r="J12" s="150" t="s">
        <v>120</v>
      </c>
      <c r="K12" s="148" t="s">
        <v>167</v>
      </c>
      <c r="L12" s="148" t="s">
        <v>134</v>
      </c>
      <c r="M12" s="148" t="s">
        <v>158</v>
      </c>
      <c r="N12" s="151">
        <v>0</v>
      </c>
      <c r="O12" s="152">
        <f>IF(N12=0,P12,(P12+N12)/2)</f>
        <v>2502000</v>
      </c>
      <c r="P12" s="152">
        <f>IF(Q12=T12,R12,ROUNDUP(R12/T12*Q12,-3))</f>
        <v>2502000</v>
      </c>
      <c r="Q12" s="148">
        <v>124.4</v>
      </c>
      <c r="R12" s="152">
        <f>S12+SUMIF(Table4[Subnummer],Table3[[#This Row],[Sub]],Table4[Som mutaties])</f>
        <v>2453462</v>
      </c>
      <c r="S12" s="153">
        <v>2399000</v>
      </c>
      <c r="T12" s="148">
        <v>122</v>
      </c>
      <c r="U12" s="154">
        <v>0.69399999999999995</v>
      </c>
      <c r="V12" s="212">
        <f>$O12*U12/1000*U$9</f>
        <v>1736.3879999999997</v>
      </c>
      <c r="W12" s="213">
        <f>SUM(V12:V12)</f>
        <v>1736.3879999999997</v>
      </c>
    </row>
    <row r="13" spans="1:23" ht="13.5" customHeight="1" x14ac:dyDescent="0.25">
      <c r="A13" s="210" t="s">
        <v>154</v>
      </c>
      <c r="B13" s="148">
        <v>0</v>
      </c>
      <c r="C13" s="149">
        <v>7</v>
      </c>
      <c r="D13" s="148" t="s">
        <v>44</v>
      </c>
      <c r="E13" s="148" t="s">
        <v>138</v>
      </c>
      <c r="F13" s="150"/>
      <c r="G13" s="150"/>
      <c r="H13" s="150" t="s">
        <v>45</v>
      </c>
      <c r="I13" s="150" t="s">
        <v>98</v>
      </c>
      <c r="J13" s="150" t="s">
        <v>121</v>
      </c>
      <c r="K13" s="148" t="s">
        <v>168</v>
      </c>
      <c r="L13" s="148" t="s">
        <v>134</v>
      </c>
      <c r="M13" s="148" t="s">
        <v>158</v>
      </c>
      <c r="N13" s="151">
        <v>0</v>
      </c>
      <c r="O13" s="152">
        <f>IF(N13=0,P13,(P13+N13)/2)</f>
        <v>3335000</v>
      </c>
      <c r="P13" s="152">
        <f>IF(Q13=T13,R13,ROUNDUP(R13/T13*Q13,-3))</f>
        <v>3335000</v>
      </c>
      <c r="Q13" s="148">
        <v>128.4</v>
      </c>
      <c r="R13" s="152">
        <f>S13+SUMIF(Table4[Subnummer],Table3[[#This Row],[Sub]],Table4[Som mutaties])</f>
        <v>3220000</v>
      </c>
      <c r="S13" s="153">
        <v>3220000</v>
      </c>
      <c r="T13" s="148">
        <v>124</v>
      </c>
      <c r="U13" s="154">
        <v>0.69399999999999995</v>
      </c>
      <c r="V13" s="212">
        <f>$O13*U13/1000*U$9</f>
        <v>2314.4899999999998</v>
      </c>
      <c r="W13" s="213">
        <f>SUM(V13:V13)</f>
        <v>2314.4899999999998</v>
      </c>
    </row>
    <row r="14" spans="1:23" ht="13.5" customHeight="1" x14ac:dyDescent="0.25">
      <c r="A14" s="210" t="s">
        <v>154</v>
      </c>
      <c r="B14" s="148">
        <v>0</v>
      </c>
      <c r="C14" s="149">
        <v>19</v>
      </c>
      <c r="D14" s="148" t="s">
        <v>145</v>
      </c>
      <c r="E14" s="148" t="s">
        <v>138</v>
      </c>
      <c r="F14" s="150"/>
      <c r="G14" s="150"/>
      <c r="H14" s="150" t="s">
        <v>45</v>
      </c>
      <c r="I14" s="150" t="s">
        <v>98</v>
      </c>
      <c r="J14" s="150" t="s">
        <v>121</v>
      </c>
      <c r="K14" s="148" t="s">
        <v>168</v>
      </c>
      <c r="L14" s="148" t="s">
        <v>134</v>
      </c>
      <c r="M14" s="148" t="s">
        <v>158</v>
      </c>
      <c r="N14" s="151">
        <v>0</v>
      </c>
      <c r="O14" s="152">
        <f>IF(N14=0,P14,(P14+N14)/2)</f>
        <v>1128000</v>
      </c>
      <c r="P14" s="152">
        <f>IF(Q14=T14,R14,ROUNDUP(R14/T14*Q14,-3))</f>
        <v>1128000</v>
      </c>
      <c r="Q14" s="148">
        <v>124.4</v>
      </c>
      <c r="R14" s="152">
        <f>S14+SUMIF(Table4[Subnummer],Table3[[#This Row],[Sub]],Table4[Som mutaties])</f>
        <v>1106228</v>
      </c>
      <c r="S14" s="153">
        <v>1102000</v>
      </c>
      <c r="T14" s="148">
        <v>122</v>
      </c>
      <c r="U14" s="154">
        <v>0.69399999999999995</v>
      </c>
      <c r="V14" s="212">
        <f>$O14*U14/1000*U$9</f>
        <v>782.83199999999999</v>
      </c>
      <c r="W14" s="213">
        <f>SUM(V14:V14)</f>
        <v>782.83199999999999</v>
      </c>
    </row>
    <row r="15" spans="1:23" ht="13.5" customHeight="1" x14ac:dyDescent="0.25">
      <c r="A15" s="210" t="s">
        <v>154</v>
      </c>
      <c r="B15" s="148">
        <v>0</v>
      </c>
      <c r="C15" s="149">
        <v>2</v>
      </c>
      <c r="D15" s="148" t="s">
        <v>44</v>
      </c>
      <c r="E15" s="148" t="s">
        <v>138</v>
      </c>
      <c r="F15" s="150"/>
      <c r="G15" s="150"/>
      <c r="H15" s="150" t="s">
        <v>45</v>
      </c>
      <c r="I15" s="150" t="s">
        <v>98</v>
      </c>
      <c r="J15" s="150" t="s">
        <v>116</v>
      </c>
      <c r="K15" s="148" t="s">
        <v>164</v>
      </c>
      <c r="L15" s="148" t="s">
        <v>130</v>
      </c>
      <c r="M15" s="148" t="s">
        <v>158</v>
      </c>
      <c r="N15" s="151">
        <v>0</v>
      </c>
      <c r="O15" s="152">
        <f>IF(N15=0,P15,(P15+N15)/2)</f>
        <v>13734000</v>
      </c>
      <c r="P15" s="152">
        <f>IF(Q15=T15,R15,ROUNDUP(R15/T15*Q15,-3))</f>
        <v>13734000</v>
      </c>
      <c r="Q15" s="148">
        <v>128.4</v>
      </c>
      <c r="R15" s="152">
        <f>S15+SUMIF(Table4[Subnummer],Table3[[#This Row],[Sub]],Table4[Som mutaties])</f>
        <v>13262483</v>
      </c>
      <c r="S15" s="153">
        <v>12977000</v>
      </c>
      <c r="T15" s="148">
        <v>124</v>
      </c>
      <c r="U15" s="154">
        <v>0.69399999999999995</v>
      </c>
      <c r="V15" s="212">
        <f>$O15*U15/1000*U$9</f>
        <v>9531.3960000000006</v>
      </c>
      <c r="W15" s="213">
        <f>SUM(V15:V15)</f>
        <v>9531.3960000000006</v>
      </c>
    </row>
    <row r="16" spans="1:23" ht="13.5" customHeight="1" x14ac:dyDescent="0.25">
      <c r="A16" s="210" t="s">
        <v>154</v>
      </c>
      <c r="B16" s="148">
        <v>0</v>
      </c>
      <c r="C16" s="149">
        <v>15</v>
      </c>
      <c r="D16" s="148" t="s">
        <v>145</v>
      </c>
      <c r="E16" s="148" t="s">
        <v>138</v>
      </c>
      <c r="F16" s="150"/>
      <c r="G16" s="150"/>
      <c r="H16" s="150" t="s">
        <v>45</v>
      </c>
      <c r="I16" s="150" t="s">
        <v>98</v>
      </c>
      <c r="J16" s="150" t="s">
        <v>116</v>
      </c>
      <c r="K16" s="148" t="s">
        <v>164</v>
      </c>
      <c r="L16" s="148" t="s">
        <v>130</v>
      </c>
      <c r="M16" s="148" t="s">
        <v>158</v>
      </c>
      <c r="N16" s="151">
        <v>0</v>
      </c>
      <c r="O16" s="152">
        <f>IF(N16=0,P16,(P16+N16)/2)</f>
        <v>3553000</v>
      </c>
      <c r="P16" s="152">
        <f>IF(Q16=T16,R16,ROUNDUP(R16/T16*Q16,-3))</f>
        <v>3553000</v>
      </c>
      <c r="Q16" s="148">
        <v>124.4</v>
      </c>
      <c r="R16" s="152">
        <f>S16+SUMIF(Table4[Subnummer],Table3[[#This Row],[Sub]],Table4[Som mutaties])</f>
        <v>3484212</v>
      </c>
      <c r="S16" s="153">
        <v>3465000</v>
      </c>
      <c r="T16" s="148">
        <v>122</v>
      </c>
      <c r="U16" s="154">
        <v>0.69399999999999995</v>
      </c>
      <c r="V16" s="212">
        <f>$O16*U16/1000*U$9</f>
        <v>2465.7820000000002</v>
      </c>
      <c r="W16" s="213">
        <f>SUM(V16:V16)</f>
        <v>2465.7820000000002</v>
      </c>
    </row>
    <row r="17" spans="1:23" ht="13.5" customHeight="1" x14ac:dyDescent="0.25">
      <c r="A17" s="210" t="s">
        <v>154</v>
      </c>
      <c r="B17" s="148">
        <v>0</v>
      </c>
      <c r="C17" s="149">
        <v>29</v>
      </c>
      <c r="D17" s="148" t="s">
        <v>44</v>
      </c>
      <c r="E17" s="150" t="s">
        <v>151</v>
      </c>
      <c r="F17" s="150" t="s">
        <v>152</v>
      </c>
      <c r="G17" s="150"/>
      <c r="H17" s="150" t="s">
        <v>45</v>
      </c>
      <c r="I17" s="150" t="s">
        <v>98</v>
      </c>
      <c r="J17" s="150" t="s">
        <v>153</v>
      </c>
      <c r="K17" s="148" t="s">
        <v>175</v>
      </c>
      <c r="L17" s="148" t="s">
        <v>129</v>
      </c>
      <c r="M17" s="148" t="s">
        <v>158</v>
      </c>
      <c r="N17" s="151">
        <v>0</v>
      </c>
      <c r="O17" s="152">
        <f>IF(N17=0,P17,(P17+N17)/2)</f>
        <v>7855000</v>
      </c>
      <c r="P17" s="152">
        <f>IF(Q17=T17,R17,ROUNDUP(R17/T17*Q17,-3))</f>
        <v>7855000</v>
      </c>
      <c r="Q17" s="148">
        <v>128.4</v>
      </c>
      <c r="R17" s="152">
        <f>S17+SUMIF(Table4[Subnummer],Table3[[#This Row],[Sub]],Table4[Som mutaties])</f>
        <v>7659000</v>
      </c>
      <c r="S17" s="153">
        <v>0</v>
      </c>
      <c r="T17" s="148">
        <v>125.2</v>
      </c>
      <c r="U17" s="154">
        <v>0.69399999999999995</v>
      </c>
      <c r="V17" s="212">
        <f>$O17*U17/1000*U$9</f>
        <v>5451.37</v>
      </c>
      <c r="W17" s="213">
        <f>SUM(V17:V17)</f>
        <v>5451.37</v>
      </c>
    </row>
    <row r="18" spans="1:23" ht="13.5" customHeight="1" x14ac:dyDescent="0.25">
      <c r="A18" s="210" t="s">
        <v>154</v>
      </c>
      <c r="B18" s="148">
        <v>0</v>
      </c>
      <c r="C18" s="149">
        <v>30</v>
      </c>
      <c r="D18" s="148" t="s">
        <v>145</v>
      </c>
      <c r="E18" s="150" t="s">
        <v>151</v>
      </c>
      <c r="F18" s="150"/>
      <c r="G18" s="150"/>
      <c r="H18" s="150" t="s">
        <v>45</v>
      </c>
      <c r="I18" s="150" t="s">
        <v>98</v>
      </c>
      <c r="J18" s="150" t="s">
        <v>153</v>
      </c>
      <c r="K18" s="148" t="s">
        <v>175</v>
      </c>
      <c r="L18" s="148" t="s">
        <v>129</v>
      </c>
      <c r="M18" s="148" t="s">
        <v>158</v>
      </c>
      <c r="N18" s="151">
        <v>0</v>
      </c>
      <c r="O18" s="152">
        <f>IF(N18=0,P18,(P18+N18)/2)</f>
        <v>1960000</v>
      </c>
      <c r="P18" s="152">
        <f>IF(Q18=T18,R18,ROUNDUP(R18/T18*Q18,-3))</f>
        <v>1960000</v>
      </c>
      <c r="Q18" s="148">
        <v>124.4</v>
      </c>
      <c r="R18" s="152">
        <f>S18+SUMIF(Table4[Subnummer],Table3[[#This Row],[Sub]],Table4[Som mutaties])</f>
        <v>1942000</v>
      </c>
      <c r="S18" s="153">
        <v>0</v>
      </c>
      <c r="T18" s="148">
        <v>123.3</v>
      </c>
      <c r="U18" s="154">
        <v>0.69399999999999995</v>
      </c>
      <c r="V18" s="212">
        <f>$O18*U18/1000*U$9</f>
        <v>1360.24</v>
      </c>
      <c r="W18" s="213">
        <f>SUM(V18:V18)</f>
        <v>1360.24</v>
      </c>
    </row>
    <row r="19" spans="1:23" ht="13.5" customHeight="1" x14ac:dyDescent="0.25">
      <c r="A19" s="210" t="s">
        <v>154</v>
      </c>
      <c r="B19" s="148">
        <v>0</v>
      </c>
      <c r="C19" s="149">
        <v>1</v>
      </c>
      <c r="D19" s="148" t="s">
        <v>44</v>
      </c>
      <c r="E19" s="211" t="s">
        <v>138</v>
      </c>
      <c r="F19" s="211"/>
      <c r="G19" s="150"/>
      <c r="H19" s="150" t="s">
        <v>45</v>
      </c>
      <c r="I19" s="150" t="s">
        <v>98</v>
      </c>
      <c r="J19" s="150" t="s">
        <v>115</v>
      </c>
      <c r="K19" s="148" t="s">
        <v>163</v>
      </c>
      <c r="L19" s="148" t="s">
        <v>129</v>
      </c>
      <c r="M19" s="148" t="s">
        <v>158</v>
      </c>
      <c r="N19" s="151">
        <v>0</v>
      </c>
      <c r="O19" s="152">
        <f>IF(N19=0,P19,(P19+N19)/2)</f>
        <v>24688000</v>
      </c>
      <c r="P19" s="152">
        <f>IF(Q19=T19,R19,ROUNDUP(R19/T19*Q19,-3))</f>
        <v>24688000</v>
      </c>
      <c r="Q19" s="148">
        <v>128.4</v>
      </c>
      <c r="R19" s="152">
        <f>S19+SUMIF(Table4[Subnummer],Table3[[#This Row],[Sub]],Table4[Som mutaties])</f>
        <v>23841400</v>
      </c>
      <c r="S19" s="153">
        <v>23757000</v>
      </c>
      <c r="T19" s="148">
        <v>124</v>
      </c>
      <c r="U19" s="154">
        <v>0.69399999999999995</v>
      </c>
      <c r="V19" s="212">
        <f>$O19*U19/1000*U$9</f>
        <v>17133.472000000002</v>
      </c>
      <c r="W19" s="213">
        <f>SUM(V19:V19)</f>
        <v>17133.472000000002</v>
      </c>
    </row>
    <row r="20" spans="1:23" ht="13.5" customHeight="1" x14ac:dyDescent="0.25">
      <c r="A20" s="210" t="s">
        <v>154</v>
      </c>
      <c r="B20" s="148">
        <v>0</v>
      </c>
      <c r="C20" s="149">
        <v>14</v>
      </c>
      <c r="D20" s="148" t="s">
        <v>145</v>
      </c>
      <c r="E20" s="148" t="s">
        <v>138</v>
      </c>
      <c r="F20" s="150"/>
      <c r="G20" s="150"/>
      <c r="H20" s="150" t="s">
        <v>45</v>
      </c>
      <c r="I20" s="150" t="s">
        <v>98</v>
      </c>
      <c r="J20" s="150" t="s">
        <v>115</v>
      </c>
      <c r="K20" s="148" t="s">
        <v>163</v>
      </c>
      <c r="L20" s="148" t="s">
        <v>129</v>
      </c>
      <c r="M20" s="148" t="s">
        <v>158</v>
      </c>
      <c r="N20" s="151">
        <v>0</v>
      </c>
      <c r="O20" s="152">
        <f>IF(N20=0,P20,(P20+N20)/2)</f>
        <v>8382000</v>
      </c>
      <c r="P20" s="152">
        <f>IF(Q20=T20,R20,ROUNDUP(R20/T20*Q20,-3))</f>
        <v>8382000</v>
      </c>
      <c r="Q20" s="148">
        <v>124.4</v>
      </c>
      <c r="R20" s="152">
        <f>S20+SUMIF(Table4[Subnummer],Table3[[#This Row],[Sub]],Table4[Som mutaties])</f>
        <v>8220101</v>
      </c>
      <c r="S20" s="153">
        <v>8061000</v>
      </c>
      <c r="T20" s="148">
        <v>122</v>
      </c>
      <c r="U20" s="154">
        <v>0.69399999999999995</v>
      </c>
      <c r="V20" s="212">
        <f>$O20*U20/1000*U$9</f>
        <v>5817.1080000000002</v>
      </c>
      <c r="W20" s="213">
        <f>SUM(V20:V20)</f>
        <v>5817.1080000000002</v>
      </c>
    </row>
    <row r="21" spans="1:23" ht="13.5" customHeight="1" x14ac:dyDescent="0.25">
      <c r="A21" s="210" t="s">
        <v>154</v>
      </c>
      <c r="B21" s="148">
        <v>0</v>
      </c>
      <c r="C21" s="149">
        <v>5</v>
      </c>
      <c r="D21" s="148" t="s">
        <v>44</v>
      </c>
      <c r="E21" s="148" t="s">
        <v>140</v>
      </c>
      <c r="F21" s="150"/>
      <c r="G21" s="150"/>
      <c r="H21" s="150" t="s">
        <v>45</v>
      </c>
      <c r="I21" s="150" t="s">
        <v>98</v>
      </c>
      <c r="J21" s="150" t="s">
        <v>119</v>
      </c>
      <c r="K21" s="148" t="s">
        <v>167</v>
      </c>
      <c r="L21" s="148" t="s">
        <v>133</v>
      </c>
      <c r="M21" s="148" t="s">
        <v>158</v>
      </c>
      <c r="N21" s="151">
        <v>0</v>
      </c>
      <c r="O21" s="152">
        <f>IF(N21=0,P21,(P21+N21)/2)</f>
        <v>19376000</v>
      </c>
      <c r="P21" s="152">
        <f>IF(Q21=T21,R21,ROUNDUP(R21/T21*Q21,-3))</f>
        <v>19376000</v>
      </c>
      <c r="Q21" s="148">
        <v>128.4</v>
      </c>
      <c r="R21" s="152">
        <f>S21+SUMIF(Table4[Subnummer],Table3[[#This Row],[Sub]],Table4[Som mutaties])</f>
        <v>18711341</v>
      </c>
      <c r="S21" s="153">
        <v>18543000</v>
      </c>
      <c r="T21" s="148">
        <v>124</v>
      </c>
      <c r="U21" s="154">
        <v>0.69399999999999995</v>
      </c>
      <c r="V21" s="212">
        <f>$O21*U21/1000*U$9</f>
        <v>13446.943999999998</v>
      </c>
      <c r="W21" s="213">
        <f>SUM(V21:V21)</f>
        <v>13446.943999999998</v>
      </c>
    </row>
    <row r="22" spans="1:23" ht="13.5" customHeight="1" x14ac:dyDescent="0.25">
      <c r="A22" s="210" t="s">
        <v>154</v>
      </c>
      <c r="B22" s="148">
        <v>0</v>
      </c>
      <c r="C22" s="149">
        <v>17</v>
      </c>
      <c r="D22" s="148" t="s">
        <v>145</v>
      </c>
      <c r="E22" s="148" t="s">
        <v>140</v>
      </c>
      <c r="F22" s="150"/>
      <c r="G22" s="150"/>
      <c r="H22" s="150" t="s">
        <v>45</v>
      </c>
      <c r="I22" s="150" t="s">
        <v>98</v>
      </c>
      <c r="J22" s="150" t="s">
        <v>119</v>
      </c>
      <c r="K22" s="148" t="s">
        <v>166</v>
      </c>
      <c r="L22" s="148" t="s">
        <v>133</v>
      </c>
      <c r="M22" s="148" t="s">
        <v>158</v>
      </c>
      <c r="N22" s="151">
        <v>0</v>
      </c>
      <c r="O22" s="152">
        <f>IF(N22=0,P22,(P22+N22)/2)</f>
        <v>4426000</v>
      </c>
      <c r="P22" s="152">
        <f>IF(Q22=T22,R22,ROUNDUP(R22/T22*Q22,-3))</f>
        <v>4426000</v>
      </c>
      <c r="Q22" s="148">
        <v>124.4</v>
      </c>
      <c r="R22" s="152">
        <f>S22+SUMIF(Table4[Subnummer],Table3[[#This Row],[Sub]],Table4[Som mutaties])</f>
        <v>4339954</v>
      </c>
      <c r="S22" s="153">
        <v>4261000</v>
      </c>
      <c r="T22" s="148">
        <v>122</v>
      </c>
      <c r="U22" s="154">
        <v>0.69399999999999995</v>
      </c>
      <c r="V22" s="212">
        <f>$O22*U22/1000*U$9</f>
        <v>3071.6439999999998</v>
      </c>
      <c r="W22" s="213">
        <f>SUM(V22:V22)</f>
        <v>3071.6439999999998</v>
      </c>
    </row>
    <row r="23" spans="1:23" ht="13.5" customHeight="1" x14ac:dyDescent="0.25">
      <c r="A23" s="210" t="s">
        <v>154</v>
      </c>
      <c r="B23" s="148">
        <v>0</v>
      </c>
      <c r="C23" s="149">
        <v>3</v>
      </c>
      <c r="D23" s="148" t="s">
        <v>44</v>
      </c>
      <c r="E23" s="148" t="s">
        <v>138</v>
      </c>
      <c r="F23" s="150"/>
      <c r="G23" s="150"/>
      <c r="H23" s="150" t="s">
        <v>45</v>
      </c>
      <c r="I23" s="150" t="s">
        <v>98</v>
      </c>
      <c r="J23" s="150" t="s">
        <v>117</v>
      </c>
      <c r="K23" s="148" t="s">
        <v>165</v>
      </c>
      <c r="L23" s="148" t="s">
        <v>131</v>
      </c>
      <c r="M23" s="148" t="s">
        <v>158</v>
      </c>
      <c r="N23" s="151">
        <v>0</v>
      </c>
      <c r="O23" s="152">
        <f>IF(N23=0,P23,(P23+N23)/2)</f>
        <v>11267000</v>
      </c>
      <c r="P23" s="152">
        <f>IF(Q23=T23,R23,ROUNDUP(R23/T23*Q23,-3))</f>
        <v>11267000</v>
      </c>
      <c r="Q23" s="148">
        <v>128.4</v>
      </c>
      <c r="R23" s="152">
        <f>S23+SUMIF(Table4[Subnummer],Table3[[#This Row],[Sub]],Table4[Som mutaties])</f>
        <v>10879984</v>
      </c>
      <c r="S23" s="153">
        <v>10820000</v>
      </c>
      <c r="T23" s="148">
        <v>124</v>
      </c>
      <c r="U23" s="154">
        <v>0.69399999999999995</v>
      </c>
      <c r="V23" s="212">
        <f>$O23*U23/1000*U$9</f>
        <v>7819.2979999999989</v>
      </c>
      <c r="W23" s="213">
        <f>SUM(V23:V23)</f>
        <v>7819.2979999999989</v>
      </c>
    </row>
    <row r="24" spans="1:23" ht="13.5" customHeight="1" x14ac:dyDescent="0.25">
      <c r="A24" s="210" t="s">
        <v>154</v>
      </c>
      <c r="B24" s="148">
        <v>0</v>
      </c>
      <c r="C24" s="149">
        <v>16</v>
      </c>
      <c r="D24" s="148" t="s">
        <v>145</v>
      </c>
      <c r="E24" s="148" t="s">
        <v>138</v>
      </c>
      <c r="F24" s="150"/>
      <c r="G24" s="150"/>
      <c r="H24" s="150" t="s">
        <v>45</v>
      </c>
      <c r="I24" s="150" t="s">
        <v>98</v>
      </c>
      <c r="J24" s="150" t="s">
        <v>117</v>
      </c>
      <c r="K24" s="148" t="s">
        <v>165</v>
      </c>
      <c r="L24" s="148" t="s">
        <v>131</v>
      </c>
      <c r="M24" s="148" t="s">
        <v>158</v>
      </c>
      <c r="N24" s="151">
        <v>0</v>
      </c>
      <c r="O24" s="152">
        <f>IF(N24=0,P24,(P24+N24)/2)</f>
        <v>3129000</v>
      </c>
      <c r="P24" s="152">
        <f>IF(Q24=T24,R24,ROUNDUP(R24/T24*Q24,-3))</f>
        <v>3129000</v>
      </c>
      <c r="Q24" s="148">
        <v>124.4</v>
      </c>
      <c r="R24" s="152">
        <f>S24+SUMIF(Table4[Subnummer],Table3[[#This Row],[Sub]],Table4[Som mutaties])</f>
        <v>3068511</v>
      </c>
      <c r="S24" s="153">
        <v>3013000</v>
      </c>
      <c r="T24" s="148">
        <v>122</v>
      </c>
      <c r="U24" s="154">
        <v>0.69399999999999995</v>
      </c>
      <c r="V24" s="212">
        <f>$O24*U24/1000*U$9</f>
        <v>2171.5259999999998</v>
      </c>
      <c r="W24" s="213">
        <f>SUM(V24:V24)</f>
        <v>2171.5259999999998</v>
      </c>
    </row>
    <row r="25" spans="1:23" ht="13.5" customHeight="1" x14ac:dyDescent="0.25">
      <c r="A25" s="210" t="s">
        <v>154</v>
      </c>
      <c r="B25" s="148">
        <v>0</v>
      </c>
      <c r="C25" s="149">
        <v>9</v>
      </c>
      <c r="D25" s="148" t="s">
        <v>44</v>
      </c>
      <c r="E25" s="148" t="s">
        <v>138</v>
      </c>
      <c r="F25" s="150"/>
      <c r="G25" s="150"/>
      <c r="H25" s="150" t="s">
        <v>45</v>
      </c>
      <c r="I25" s="150" t="s">
        <v>98</v>
      </c>
      <c r="J25" s="150" t="s">
        <v>123</v>
      </c>
      <c r="K25" s="148" t="s">
        <v>170</v>
      </c>
      <c r="L25" s="148" t="s">
        <v>130</v>
      </c>
      <c r="M25" s="148" t="s">
        <v>158</v>
      </c>
      <c r="N25" s="151">
        <v>0</v>
      </c>
      <c r="O25" s="152">
        <f>IF(N25=0,P25,(P25+N25)/2)</f>
        <v>9613000</v>
      </c>
      <c r="P25" s="152">
        <f>IF(Q25=T25,R25,ROUNDUP(R25/T25*Q25,-3))</f>
        <v>9613000</v>
      </c>
      <c r="Q25" s="148">
        <v>128.4</v>
      </c>
      <c r="R25" s="152">
        <f>S25+SUMIF(Table4[Subnummer],Table3[[#This Row],[Sub]],Table4[Som mutaties])</f>
        <v>9283199</v>
      </c>
      <c r="S25" s="153">
        <v>9270000</v>
      </c>
      <c r="T25" s="148">
        <v>124</v>
      </c>
      <c r="U25" s="154">
        <v>0.69399999999999995</v>
      </c>
      <c r="V25" s="212">
        <f>$O25*U25/1000*U$9</f>
        <v>6671.4219999999987</v>
      </c>
      <c r="W25" s="213">
        <f>SUM(V25:V25)</f>
        <v>6671.4219999999987</v>
      </c>
    </row>
    <row r="26" spans="1:23" ht="13.5" customHeight="1" x14ac:dyDescent="0.25">
      <c r="A26" s="210" t="s">
        <v>154</v>
      </c>
      <c r="B26" s="148">
        <v>0</v>
      </c>
      <c r="C26" s="149">
        <v>21</v>
      </c>
      <c r="D26" s="148" t="s">
        <v>145</v>
      </c>
      <c r="E26" s="148" t="s">
        <v>138</v>
      </c>
      <c r="F26" s="150"/>
      <c r="G26" s="150"/>
      <c r="H26" s="150" t="s">
        <v>45</v>
      </c>
      <c r="I26" s="150" t="s">
        <v>98</v>
      </c>
      <c r="J26" s="150" t="s">
        <v>123</v>
      </c>
      <c r="K26" s="148" t="s">
        <v>169</v>
      </c>
      <c r="L26" s="148" t="s">
        <v>130</v>
      </c>
      <c r="M26" s="148" t="s">
        <v>158</v>
      </c>
      <c r="N26" s="151">
        <v>0</v>
      </c>
      <c r="O26" s="152">
        <f>IF(N26=0,P26,(P26+N26)/2)</f>
        <v>2333000</v>
      </c>
      <c r="P26" s="152">
        <f>IF(Q26=T26,R26,ROUNDUP(R26/T26*Q26,-3))</f>
        <v>2333000</v>
      </c>
      <c r="Q26" s="148">
        <v>124.4</v>
      </c>
      <c r="R26" s="152">
        <f>S26+SUMIF(Table4[Subnummer],Table3[[#This Row],[Sub]],Table4[Som mutaties])</f>
        <v>2287353</v>
      </c>
      <c r="S26" s="153">
        <v>2264000</v>
      </c>
      <c r="T26" s="148">
        <v>122</v>
      </c>
      <c r="U26" s="154">
        <v>0.69399999999999995</v>
      </c>
      <c r="V26" s="212">
        <f>$O26*U26/1000*U$9</f>
        <v>1619.1020000000001</v>
      </c>
      <c r="W26" s="213">
        <f>SUM(V26:V26)</f>
        <v>1619.1020000000001</v>
      </c>
    </row>
    <row r="27" spans="1:23" ht="13.5" customHeight="1" x14ac:dyDescent="0.25">
      <c r="A27" s="210" t="s">
        <v>154</v>
      </c>
      <c r="B27" s="148">
        <v>0</v>
      </c>
      <c r="C27" s="149">
        <v>8</v>
      </c>
      <c r="D27" s="148" t="s">
        <v>44</v>
      </c>
      <c r="E27" s="148" t="s">
        <v>138</v>
      </c>
      <c r="F27" s="150"/>
      <c r="G27" s="150"/>
      <c r="H27" s="150" t="s">
        <v>45</v>
      </c>
      <c r="I27" s="150" t="s">
        <v>98</v>
      </c>
      <c r="J27" s="150" t="s">
        <v>122</v>
      </c>
      <c r="K27" s="148" t="s">
        <v>169</v>
      </c>
      <c r="L27" s="148" t="s">
        <v>135</v>
      </c>
      <c r="M27" s="148" t="s">
        <v>158</v>
      </c>
      <c r="N27" s="151">
        <v>0</v>
      </c>
      <c r="O27" s="152">
        <f>IF(N27=0,P27,(P27+N27)/2)</f>
        <v>9021000</v>
      </c>
      <c r="P27" s="152">
        <f>IF(Q27=T27,R27,ROUNDUP(R27/T27*Q27,-3))</f>
        <v>9021000</v>
      </c>
      <c r="Q27" s="148">
        <v>128.4</v>
      </c>
      <c r="R27" s="152">
        <f>S27+SUMIF(Table4[Subnummer],Table3[[#This Row],[Sub]],Table4[Som mutaties])</f>
        <v>8710947</v>
      </c>
      <c r="S27" s="153">
        <v>8573000</v>
      </c>
      <c r="T27" s="148">
        <v>124</v>
      </c>
      <c r="U27" s="154">
        <v>0.69399999999999995</v>
      </c>
      <c r="V27" s="212">
        <f>$O27*U27/1000*U$9</f>
        <v>6260.5739999999996</v>
      </c>
      <c r="W27" s="213">
        <f>SUM(V27:V27)</f>
        <v>6260.5739999999996</v>
      </c>
    </row>
    <row r="28" spans="1:23" ht="13.5" customHeight="1" x14ac:dyDescent="0.25">
      <c r="A28" s="210" t="s">
        <v>154</v>
      </c>
      <c r="B28" s="148">
        <v>0</v>
      </c>
      <c r="C28" s="149">
        <v>20</v>
      </c>
      <c r="D28" s="148" t="s">
        <v>145</v>
      </c>
      <c r="E28" s="148" t="s">
        <v>138</v>
      </c>
      <c r="F28" s="150"/>
      <c r="G28" s="150"/>
      <c r="H28" s="150" t="s">
        <v>45</v>
      </c>
      <c r="I28" s="150" t="s">
        <v>98</v>
      </c>
      <c r="J28" s="150" t="s">
        <v>122</v>
      </c>
      <c r="K28" s="148" t="s">
        <v>168</v>
      </c>
      <c r="L28" s="148" t="s">
        <v>135</v>
      </c>
      <c r="M28" s="148" t="s">
        <v>158</v>
      </c>
      <c r="N28" s="151">
        <v>0</v>
      </c>
      <c r="O28" s="152">
        <f>IF(N28=0,P28,(P28+N28)/2)</f>
        <v>1822000</v>
      </c>
      <c r="P28" s="152">
        <f>IF(Q28=T28,R28,ROUNDUP(R28/T28*Q28,-3))</f>
        <v>1822000</v>
      </c>
      <c r="Q28" s="148">
        <v>124.4</v>
      </c>
      <c r="R28" s="152">
        <f>S28+SUMIF(Table4[Subnummer],Table3[[#This Row],[Sub]],Table4[Som mutaties])</f>
        <v>1785870</v>
      </c>
      <c r="S28" s="153">
        <v>1776000</v>
      </c>
      <c r="T28" s="148">
        <v>122</v>
      </c>
      <c r="U28" s="154">
        <v>0.69399999999999995</v>
      </c>
      <c r="V28" s="212">
        <f>$O28*U28/1000*U$9</f>
        <v>1264.4680000000001</v>
      </c>
      <c r="W28" s="213">
        <f>SUM(V28:V28)</f>
        <v>1264.4680000000001</v>
      </c>
    </row>
    <row r="29" spans="1:23" ht="13.5" customHeight="1" x14ac:dyDescent="0.25">
      <c r="A29" s="210" t="s">
        <v>154</v>
      </c>
      <c r="B29" s="148">
        <v>0</v>
      </c>
      <c r="C29" s="149">
        <v>4</v>
      </c>
      <c r="D29" s="148" t="s">
        <v>44</v>
      </c>
      <c r="E29" s="148" t="s">
        <v>139</v>
      </c>
      <c r="F29" s="150" t="s">
        <v>155</v>
      </c>
      <c r="G29" s="150"/>
      <c r="H29" s="150" t="s">
        <v>45</v>
      </c>
      <c r="I29" s="150" t="s">
        <v>98</v>
      </c>
      <c r="J29" s="150" t="s">
        <v>118</v>
      </c>
      <c r="K29" s="148" t="s">
        <v>166</v>
      </c>
      <c r="L29" s="148" t="s">
        <v>132</v>
      </c>
      <c r="M29" s="148" t="s">
        <v>158</v>
      </c>
      <c r="N29" s="151">
        <v>0</v>
      </c>
      <c r="O29" s="152">
        <f>IF(N29=0,P29,(P29+N29)/2)</f>
        <v>576000</v>
      </c>
      <c r="P29" s="152">
        <f>IF(Q29=T29,R29,ROUNDUP(R29/T29*Q29,-3))</f>
        <v>576000</v>
      </c>
      <c r="Q29" s="148">
        <v>128.4</v>
      </c>
      <c r="R29" s="152">
        <f>S29+SUMIF(Table4[Subnummer],Table3[[#This Row],[Sub]],Table4[Som mutaties])</f>
        <v>556000</v>
      </c>
      <c r="S29" s="153">
        <v>556000</v>
      </c>
      <c r="T29" s="148">
        <v>124</v>
      </c>
      <c r="U29" s="154">
        <v>0.69399999999999995</v>
      </c>
      <c r="V29" s="212">
        <f>$O29*U29/1000*U$9</f>
        <v>399.74400000000003</v>
      </c>
      <c r="W29" s="213">
        <f>SUM(V29:V29)</f>
        <v>399.74400000000003</v>
      </c>
    </row>
    <row r="30" spans="1:23" ht="13.5" customHeight="1" x14ac:dyDescent="0.25">
      <c r="A30" s="210" t="s">
        <v>154</v>
      </c>
      <c r="B30" s="148">
        <v>0</v>
      </c>
      <c r="C30" s="149">
        <v>27</v>
      </c>
      <c r="D30" s="148" t="s">
        <v>145</v>
      </c>
      <c r="E30" s="150" t="s">
        <v>144</v>
      </c>
      <c r="F30" s="150" t="s">
        <v>157</v>
      </c>
      <c r="G30" s="150"/>
      <c r="H30" s="150" t="s">
        <v>45</v>
      </c>
      <c r="I30" s="150" t="s">
        <v>98</v>
      </c>
      <c r="J30" s="150" t="s">
        <v>146</v>
      </c>
      <c r="K30" s="148" t="s">
        <v>174</v>
      </c>
      <c r="L30" s="148" t="s">
        <v>129</v>
      </c>
      <c r="M30" s="148" t="s">
        <v>158</v>
      </c>
      <c r="N30" s="151">
        <v>0</v>
      </c>
      <c r="O30" s="152">
        <f>IF(N30=0,P30,(P30+N30)/2)</f>
        <v>557000</v>
      </c>
      <c r="P30" s="152">
        <f>IF(Q30=T30,R30,ROUNDUP(R30/T30*Q30,-3))</f>
        <v>557000</v>
      </c>
      <c r="Q30" s="148">
        <v>124.4</v>
      </c>
      <c r="R30" s="152">
        <f>S30+SUMIF(Table4[Subnummer],Table3[[#This Row],[Sub]],Table4[Som mutaties])</f>
        <v>545280</v>
      </c>
      <c r="S30" s="153">
        <v>537000</v>
      </c>
      <c r="T30" s="148">
        <v>122</v>
      </c>
      <c r="U30" s="154">
        <v>0.69399999999999995</v>
      </c>
      <c r="V30" s="212">
        <f>$O30*U30/1000*U$9</f>
        <v>386.55799999999999</v>
      </c>
      <c r="W30" s="213">
        <f>SUM(V30:V30)</f>
        <v>386.55799999999999</v>
      </c>
    </row>
    <row r="31" spans="1:23" ht="13.5" customHeight="1" x14ac:dyDescent="0.25">
      <c r="A31" s="210" t="s">
        <v>154</v>
      </c>
      <c r="B31" s="148">
        <v>0</v>
      </c>
      <c r="C31" s="149">
        <v>28</v>
      </c>
      <c r="D31" s="148" t="s">
        <v>145</v>
      </c>
      <c r="E31" s="148"/>
      <c r="F31" s="150"/>
      <c r="G31" s="150"/>
      <c r="H31" s="150" t="s">
        <v>45</v>
      </c>
      <c r="I31" s="150" t="s">
        <v>98</v>
      </c>
      <c r="J31" s="150" t="s">
        <v>147</v>
      </c>
      <c r="K31" s="148"/>
      <c r="L31" s="148" t="s">
        <v>148</v>
      </c>
      <c r="M31" s="148" t="s">
        <v>158</v>
      </c>
      <c r="N31" s="151">
        <v>0</v>
      </c>
      <c r="O31" s="152">
        <f>IF(N31=0,P31,(P31+N31)/2)</f>
        <v>122000</v>
      </c>
      <c r="P31" s="152">
        <f>IF(Q31=T31,R31,ROUNDUP(R31/T31*Q31,-3))</f>
        <v>122000</v>
      </c>
      <c r="Q31" s="148">
        <v>124.4</v>
      </c>
      <c r="R31" s="152">
        <f>S31+SUMIF(Table4[Subnummer],Table3[[#This Row],[Sub]],Table4[Som mutaties])</f>
        <v>118732</v>
      </c>
      <c r="S31" s="153">
        <v>107000</v>
      </c>
      <c r="T31" s="148">
        <v>122</v>
      </c>
      <c r="U31" s="154">
        <v>0.69399999999999995</v>
      </c>
      <c r="V31" s="212">
        <f>$O31*U31/1000*U$9</f>
        <v>84.668000000000006</v>
      </c>
      <c r="W31" s="213">
        <f>SUM(V31:V31)</f>
        <v>84.668000000000006</v>
      </c>
    </row>
    <row r="32" spans="1:23" ht="13.5" customHeight="1" x14ac:dyDescent="0.25">
      <c r="A32" s="210" t="s">
        <v>154</v>
      </c>
      <c r="B32" s="148">
        <v>0</v>
      </c>
      <c r="C32" s="149">
        <v>10</v>
      </c>
      <c r="D32" s="148" t="s">
        <v>44</v>
      </c>
      <c r="E32" s="148" t="s">
        <v>140</v>
      </c>
      <c r="F32" s="150"/>
      <c r="G32" s="150"/>
      <c r="H32" s="150" t="s">
        <v>45</v>
      </c>
      <c r="I32" s="150" t="s">
        <v>98</v>
      </c>
      <c r="J32" s="150" t="s">
        <v>124</v>
      </c>
      <c r="K32" s="148" t="s">
        <v>171</v>
      </c>
      <c r="L32" s="148" t="s">
        <v>136</v>
      </c>
      <c r="M32" s="148" t="s">
        <v>158</v>
      </c>
      <c r="N32" s="151">
        <v>0</v>
      </c>
      <c r="O32" s="152">
        <f>IF(N32=0,P32,(P32+N32)/2)</f>
        <v>13691000</v>
      </c>
      <c r="P32" s="152">
        <f>IF(Q32=T32,R32,ROUNDUP(R32/T32*Q32,-3))</f>
        <v>13691000</v>
      </c>
      <c r="Q32" s="148">
        <v>128.4</v>
      </c>
      <c r="R32" s="152">
        <f>S32+SUMIF(Table4[Subnummer],Table3[[#This Row],[Sub]],Table4[Som mutaties])</f>
        <v>13221221</v>
      </c>
      <c r="S32" s="153">
        <v>13195000</v>
      </c>
      <c r="T32" s="148">
        <v>124</v>
      </c>
      <c r="U32" s="154">
        <v>0.69399999999999995</v>
      </c>
      <c r="V32" s="212">
        <f>$O32*U32/1000*U$9</f>
        <v>9501.5540000000001</v>
      </c>
      <c r="W32" s="213">
        <f>SUM(V32:V32)</f>
        <v>9501.5540000000001</v>
      </c>
    </row>
    <row r="33" spans="1:23" ht="13.5" customHeight="1" x14ac:dyDescent="0.25">
      <c r="A33" s="210" t="s">
        <v>154</v>
      </c>
      <c r="B33" s="148">
        <v>0</v>
      </c>
      <c r="C33" s="149">
        <v>22</v>
      </c>
      <c r="D33" s="148" t="s">
        <v>145</v>
      </c>
      <c r="E33" s="148" t="s">
        <v>140</v>
      </c>
      <c r="F33" s="150"/>
      <c r="G33" s="150"/>
      <c r="H33" s="150" t="s">
        <v>45</v>
      </c>
      <c r="I33" s="150" t="s">
        <v>98</v>
      </c>
      <c r="J33" s="150" t="s">
        <v>124</v>
      </c>
      <c r="K33" s="148" t="s">
        <v>170</v>
      </c>
      <c r="L33" s="148" t="s">
        <v>136</v>
      </c>
      <c r="M33" s="148" t="s">
        <v>158</v>
      </c>
      <c r="N33" s="151">
        <v>0</v>
      </c>
      <c r="O33" s="152">
        <f>IF(N33=0,P33,(P33+N33)/2)</f>
        <v>3505000</v>
      </c>
      <c r="P33" s="152">
        <f>IF(Q33=T33,R33,ROUNDUP(R33/T33*Q33,-3))</f>
        <v>3505000</v>
      </c>
      <c r="Q33" s="148">
        <v>124.4</v>
      </c>
      <c r="R33" s="152">
        <f>S33+SUMIF(Table4[Subnummer],Table3[[#This Row],[Sub]],Table4[Som mutaties])</f>
        <v>3436842</v>
      </c>
      <c r="S33" s="153">
        <v>3379000</v>
      </c>
      <c r="T33" s="148">
        <v>122</v>
      </c>
      <c r="U33" s="154">
        <v>0.69399999999999995</v>
      </c>
      <c r="V33" s="212">
        <f>$O33*U33/1000*U$9</f>
        <v>2432.4699999999998</v>
      </c>
      <c r="W33" s="213">
        <f>SUM(V33:V33)</f>
        <v>2432.4699999999998</v>
      </c>
    </row>
    <row r="34" spans="1:23" ht="13.5" customHeight="1" x14ac:dyDescent="0.25">
      <c r="A34" s="210" t="s">
        <v>154</v>
      </c>
      <c r="B34" s="148">
        <v>0</v>
      </c>
      <c r="C34" s="149">
        <v>13</v>
      </c>
      <c r="D34" s="148" t="s">
        <v>44</v>
      </c>
      <c r="E34" s="148" t="s">
        <v>142</v>
      </c>
      <c r="F34" s="150"/>
      <c r="G34" s="150"/>
      <c r="H34" s="150" t="s">
        <v>45</v>
      </c>
      <c r="I34" s="150" t="s">
        <v>98</v>
      </c>
      <c r="J34" s="150" t="s">
        <v>128</v>
      </c>
      <c r="K34" s="148" t="s">
        <v>171</v>
      </c>
      <c r="L34" s="148" t="s">
        <v>136</v>
      </c>
      <c r="M34" s="148" t="s">
        <v>158</v>
      </c>
      <c r="N34" s="151">
        <v>0</v>
      </c>
      <c r="O34" s="152">
        <f>IF(N34=0,P34,(P34+N34)/2)</f>
        <v>15892000</v>
      </c>
      <c r="P34" s="152">
        <f>IF(Q34=T34,R34,ROUNDUP(R34/T34*Q34,-3))</f>
        <v>15892000</v>
      </c>
      <c r="Q34" s="148">
        <v>128.4</v>
      </c>
      <c r="R34" s="152">
        <f>S34+SUMIF(Table4[Subnummer],Table3[[#This Row],[Sub]],Table4[Som mutaties])</f>
        <v>15347084</v>
      </c>
      <c r="S34" s="153">
        <v>15305000</v>
      </c>
      <c r="T34" s="148">
        <v>124</v>
      </c>
      <c r="U34" s="154">
        <v>0.69399999999999995</v>
      </c>
      <c r="V34" s="212">
        <f>$O34*U34/1000*U$9</f>
        <v>11029.048000000001</v>
      </c>
      <c r="W34" s="213">
        <f>SUM(V34:V34)</f>
        <v>11029.048000000001</v>
      </c>
    </row>
    <row r="35" spans="1:23" ht="13.5" customHeight="1" x14ac:dyDescent="0.25">
      <c r="A35" s="210" t="s">
        <v>154</v>
      </c>
      <c r="B35" s="148">
        <v>0</v>
      </c>
      <c r="C35" s="149">
        <v>26</v>
      </c>
      <c r="D35" s="148" t="s">
        <v>145</v>
      </c>
      <c r="E35" s="148" t="s">
        <v>142</v>
      </c>
      <c r="F35" s="150"/>
      <c r="G35" s="150"/>
      <c r="H35" s="150" t="s">
        <v>45</v>
      </c>
      <c r="I35" s="150" t="s">
        <v>98</v>
      </c>
      <c r="J35" s="150" t="s">
        <v>128</v>
      </c>
      <c r="K35" s="148" t="s">
        <v>171</v>
      </c>
      <c r="L35" s="148" t="s">
        <v>136</v>
      </c>
      <c r="M35" s="148" t="s">
        <v>158</v>
      </c>
      <c r="N35" s="151">
        <v>0</v>
      </c>
      <c r="O35" s="152">
        <f>IF(N35=0,P35,(P35+N35)/2)</f>
        <v>2236000</v>
      </c>
      <c r="P35" s="152">
        <f>IF(Q35=T35,R35,ROUNDUP(R35/T35*Q35,-3))</f>
        <v>2236000</v>
      </c>
      <c r="Q35" s="148">
        <v>124.4</v>
      </c>
      <c r="R35" s="152">
        <f>S35+SUMIF(Table4[Subnummer],Table3[[#This Row],[Sub]],Table4[Som mutaties])</f>
        <v>2192000</v>
      </c>
      <c r="S35" s="153">
        <v>2192000</v>
      </c>
      <c r="T35" s="148">
        <v>122</v>
      </c>
      <c r="U35" s="154">
        <v>0.69399999999999995</v>
      </c>
      <c r="V35" s="212">
        <f>$O35*U35/1000*U$9</f>
        <v>1551.7840000000001</v>
      </c>
      <c r="W35" s="213">
        <f>SUM(V35:V35)</f>
        <v>1551.7840000000001</v>
      </c>
    </row>
    <row r="36" spans="1:23" ht="13.5" customHeight="1" x14ac:dyDescent="0.25">
      <c r="A36" s="210" t="s">
        <v>154</v>
      </c>
      <c r="B36" s="148">
        <v>0</v>
      </c>
      <c r="C36" s="149">
        <v>25</v>
      </c>
      <c r="D36" s="148" t="s">
        <v>145</v>
      </c>
      <c r="E36" s="148" t="s">
        <v>143</v>
      </c>
      <c r="F36" s="150" t="s">
        <v>156</v>
      </c>
      <c r="G36" s="150"/>
      <c r="H36" s="150" t="s">
        <v>45</v>
      </c>
      <c r="I36" s="150" t="s">
        <v>98</v>
      </c>
      <c r="J36" s="150" t="s">
        <v>127</v>
      </c>
      <c r="K36" s="148" t="s">
        <v>173</v>
      </c>
      <c r="L36" s="148" t="s">
        <v>137</v>
      </c>
      <c r="M36" s="148" t="s">
        <v>158</v>
      </c>
      <c r="N36" s="151">
        <v>0</v>
      </c>
      <c r="O36" s="152">
        <f>IF(N36=0,P36,(P36+N36)/2)</f>
        <v>822000</v>
      </c>
      <c r="P36" s="152">
        <f>IF(Q36=T36,R36,ROUNDUP(R36/T36*Q36,-3))</f>
        <v>822000</v>
      </c>
      <c r="Q36" s="148">
        <v>124.4</v>
      </c>
      <c r="R36" s="152">
        <f>S36+SUMIF(Table4[Subnummer],Table3[[#This Row],[Sub]],Table4[Som mutaties])</f>
        <v>806000</v>
      </c>
      <c r="S36" s="153">
        <v>806000</v>
      </c>
      <c r="T36" s="148">
        <v>122</v>
      </c>
      <c r="U36" s="154">
        <v>0.69399999999999995</v>
      </c>
      <c r="V36" s="212">
        <f>$O36*U36/1000*U$9</f>
        <v>570.46799999999996</v>
      </c>
      <c r="W36" s="213">
        <f>SUM(V36:V36)</f>
        <v>570.46799999999996</v>
      </c>
    </row>
    <row r="37" spans="1:23" ht="13.5" customHeight="1" x14ac:dyDescent="0.25">
      <c r="A37" s="210" t="s">
        <v>154</v>
      </c>
      <c r="B37" s="148">
        <v>0</v>
      </c>
      <c r="C37" s="149">
        <v>11</v>
      </c>
      <c r="D37" s="148" t="s">
        <v>44</v>
      </c>
      <c r="E37" s="148" t="s">
        <v>141</v>
      </c>
      <c r="F37" s="150"/>
      <c r="G37" s="150"/>
      <c r="H37" s="150" t="s">
        <v>45</v>
      </c>
      <c r="I37" s="150" t="s">
        <v>98</v>
      </c>
      <c r="J37" s="150" t="s">
        <v>125</v>
      </c>
      <c r="K37" s="148" t="s">
        <v>172</v>
      </c>
      <c r="L37" s="148" t="s">
        <v>137</v>
      </c>
      <c r="M37" s="148" t="s">
        <v>158</v>
      </c>
      <c r="N37" s="151">
        <v>0</v>
      </c>
      <c r="O37" s="152">
        <f>IF(N37=0,P37,(P37+N37)/2)</f>
        <v>13165000</v>
      </c>
      <c r="P37" s="152">
        <f>IF(Q37=T37,R37,ROUNDUP(R37/T37*Q37,-3))</f>
        <v>13165000</v>
      </c>
      <c r="Q37" s="148">
        <v>128.4</v>
      </c>
      <c r="R37" s="152">
        <f>S37+SUMIF(Table4[Subnummer],Table3[[#This Row],[Sub]],Table4[Som mutaties])</f>
        <v>12713302</v>
      </c>
      <c r="S37" s="153">
        <v>12467000</v>
      </c>
      <c r="T37" s="148">
        <v>124</v>
      </c>
      <c r="U37" s="154">
        <v>0.69399999999999995</v>
      </c>
      <c r="V37" s="212">
        <f>$O37*U37/1000*U$9</f>
        <v>9136.51</v>
      </c>
      <c r="W37" s="213">
        <f>SUM(V37:V37)</f>
        <v>9136.51</v>
      </c>
    </row>
    <row r="38" spans="1:23" ht="13.5" customHeight="1" x14ac:dyDescent="0.25">
      <c r="A38" s="210" t="s">
        <v>154</v>
      </c>
      <c r="B38" s="148">
        <v>0</v>
      </c>
      <c r="C38" s="149">
        <v>23</v>
      </c>
      <c r="D38" s="148" t="s">
        <v>145</v>
      </c>
      <c r="E38" s="148" t="s">
        <v>141</v>
      </c>
      <c r="F38" s="150"/>
      <c r="G38" s="150"/>
      <c r="H38" s="150" t="s">
        <v>45</v>
      </c>
      <c r="I38" s="150" t="s">
        <v>98</v>
      </c>
      <c r="J38" s="150" t="s">
        <v>125</v>
      </c>
      <c r="K38" s="148" t="s">
        <v>171</v>
      </c>
      <c r="L38" s="148" t="s">
        <v>137</v>
      </c>
      <c r="M38" s="148" t="s">
        <v>158</v>
      </c>
      <c r="N38" s="151">
        <v>0</v>
      </c>
      <c r="O38" s="152">
        <f>IF(N38=0,P38,(P38+N38)/2)</f>
        <v>4769000</v>
      </c>
      <c r="P38" s="152">
        <f>IF(Q38=T38,R38,ROUNDUP(R38/T38*Q38,-3))</f>
        <v>4769000</v>
      </c>
      <c r="Q38" s="148">
        <v>124.4</v>
      </c>
      <c r="R38" s="152">
        <f>S38+SUMIF(Table4[Subnummer],Table3[[#This Row],[Sub]],Table4[Som mutaties])</f>
        <v>4676869</v>
      </c>
      <c r="S38" s="153">
        <v>4657000</v>
      </c>
      <c r="T38" s="148">
        <v>122</v>
      </c>
      <c r="U38" s="154">
        <v>0.69399999999999995</v>
      </c>
      <c r="V38" s="212">
        <f>$O38*U38/1000*U$9</f>
        <v>3309.6859999999997</v>
      </c>
      <c r="W38" s="213">
        <f>SUM(V38:V38)</f>
        <v>3309.6859999999997</v>
      </c>
    </row>
    <row r="39" spans="1:23" ht="13.5" customHeight="1" x14ac:dyDescent="0.25">
      <c r="A39" s="210" t="s">
        <v>154</v>
      </c>
      <c r="B39" s="148">
        <v>0</v>
      </c>
      <c r="C39" s="149">
        <v>12</v>
      </c>
      <c r="D39" s="148" t="s">
        <v>44</v>
      </c>
      <c r="E39" s="148" t="s">
        <v>142</v>
      </c>
      <c r="F39" s="150"/>
      <c r="G39" s="150"/>
      <c r="H39" s="150" t="s">
        <v>45</v>
      </c>
      <c r="I39" s="150" t="s">
        <v>98</v>
      </c>
      <c r="J39" s="150" t="s">
        <v>126</v>
      </c>
      <c r="K39" s="148" t="s">
        <v>173</v>
      </c>
      <c r="L39" s="148" t="s">
        <v>137</v>
      </c>
      <c r="M39" s="148" t="s">
        <v>158</v>
      </c>
      <c r="N39" s="151">
        <v>0</v>
      </c>
      <c r="O39" s="152">
        <f>IF(N39=0,P39,(P39+N39)/2)</f>
        <v>14681000</v>
      </c>
      <c r="P39" s="152">
        <f>IF(Q39=T39,R39,ROUNDUP(R39/T39*Q39,-3))</f>
        <v>14681000</v>
      </c>
      <c r="Q39" s="148">
        <v>128.4</v>
      </c>
      <c r="R39" s="152">
        <f>S39+SUMIF(Table4[Subnummer],Table3[[#This Row],[Sub]],Table4[Som mutaties])</f>
        <v>14177403</v>
      </c>
      <c r="S39" s="153">
        <v>14132000</v>
      </c>
      <c r="T39" s="148">
        <v>124</v>
      </c>
      <c r="U39" s="154">
        <v>0.69399999999999995</v>
      </c>
      <c r="V39" s="212">
        <f>$O39*U39/1000*U$9</f>
        <v>10188.614</v>
      </c>
      <c r="W39" s="213">
        <f>SUM(V39:V39)</f>
        <v>10188.614</v>
      </c>
    </row>
    <row r="40" spans="1:23" ht="13.5" customHeight="1" x14ac:dyDescent="0.25">
      <c r="A40" s="210" t="s">
        <v>154</v>
      </c>
      <c r="B40" s="148">
        <v>0</v>
      </c>
      <c r="C40" s="149">
        <v>24</v>
      </c>
      <c r="D40" s="148" t="s">
        <v>145</v>
      </c>
      <c r="E40" s="148" t="s">
        <v>142</v>
      </c>
      <c r="F40" s="150"/>
      <c r="G40" s="150"/>
      <c r="H40" s="150" t="s">
        <v>45</v>
      </c>
      <c r="I40" s="150" t="s">
        <v>98</v>
      </c>
      <c r="J40" s="150" t="s">
        <v>126</v>
      </c>
      <c r="K40" s="148" t="s">
        <v>172</v>
      </c>
      <c r="L40" s="148" t="s">
        <v>137</v>
      </c>
      <c r="M40" s="148" t="s">
        <v>158</v>
      </c>
      <c r="N40" s="151">
        <v>0</v>
      </c>
      <c r="O40" s="152">
        <f>IF(N40=0,P40,(P40+N40)/2)</f>
        <v>2411000</v>
      </c>
      <c r="P40" s="152">
        <f>IF(Q40=T40,R40,ROUNDUP(R40/T40*Q40,-3))</f>
        <v>2411000</v>
      </c>
      <c r="Q40" s="148">
        <v>124.4</v>
      </c>
      <c r="R40" s="152">
        <f>S40+SUMIF(Table4[Subnummer],Table3[[#This Row],[Sub]],Table4[Som mutaties])</f>
        <v>2363724</v>
      </c>
      <c r="S40" s="153">
        <v>2287000</v>
      </c>
      <c r="T40" s="148">
        <v>122</v>
      </c>
      <c r="U40" s="154">
        <v>0.69399999999999995</v>
      </c>
      <c r="V40" s="212">
        <f>$O40*U40/1000*U$9</f>
        <v>1673.2339999999997</v>
      </c>
      <c r="W40" s="213">
        <f>SUM(V40:V40)</f>
        <v>1673.2339999999997</v>
      </c>
    </row>
    <row r="41" spans="1:23" ht="13.5" customHeight="1" thickBot="1" x14ac:dyDescent="0.3">
      <c r="A41" s="198" t="s">
        <v>46</v>
      </c>
      <c r="B41" s="199"/>
      <c r="C41" s="200"/>
      <c r="D41" s="201"/>
      <c r="E41" s="201"/>
      <c r="F41" s="202"/>
      <c r="G41" s="202"/>
      <c r="H41" s="202"/>
      <c r="I41" s="202"/>
      <c r="J41" s="202"/>
      <c r="K41" s="201"/>
      <c r="L41" s="201"/>
      <c r="M41" s="203"/>
      <c r="N41" s="204">
        <f>SUBTOTAL(109,Table3[Vorkbedrag])</f>
        <v>0</v>
      </c>
      <c r="O41" s="204">
        <f>SUBTOTAL(109,Table3[Premiegrondslag])</f>
        <v>213559000</v>
      </c>
      <c r="P41" s="204">
        <f>SUBTOTAL(109,Table3[Verzekerde Waarde])</f>
        <v>213559000</v>
      </c>
      <c r="Q41" s="205"/>
      <c r="R41" s="206">
        <f>SUBTOTAL(109,Table3[Mutaties])</f>
        <v>206971836</v>
      </c>
      <c r="S41" s="204">
        <f>SUBTOTAL(109,Table3[Verz. Waarde Oud:])</f>
        <v>195374000</v>
      </c>
      <c r="T41" s="205"/>
      <c r="U41" s="200"/>
      <c r="V41" s="207">
        <f>SUBTOTAL(109,Table3[Jaarpremie 1])</f>
        <v>148209.94599999997</v>
      </c>
      <c r="W41" s="208">
        <f>SUBTOTAL(109,Table3[Totale jaarpremie:])</f>
        <v>148209.94599999997</v>
      </c>
    </row>
    <row r="44" spans="1:23" ht="13.5" customHeight="1" x14ac:dyDescent="0.25">
      <c r="A44" s="210" t="s">
        <v>47</v>
      </c>
      <c r="B44" s="148" t="s">
        <v>47</v>
      </c>
      <c r="C44" s="214"/>
      <c r="D44" s="148"/>
      <c r="E44" s="148" t="s">
        <v>47</v>
      </c>
      <c r="F44" s="150" t="s">
        <v>47</v>
      </c>
      <c r="G44" s="150" t="s">
        <v>47</v>
      </c>
      <c r="H44" s="150" t="s">
        <v>47</v>
      </c>
      <c r="I44" s="150"/>
      <c r="J44" s="150"/>
      <c r="K44" s="148"/>
      <c r="L44" s="148"/>
      <c r="M44" s="148" t="s">
        <v>47</v>
      </c>
      <c r="N44" s="151" t="s">
        <v>47</v>
      </c>
      <c r="O44" s="152" t="s">
        <v>47</v>
      </c>
      <c r="P44" s="152"/>
      <c r="Q44" s="148"/>
      <c r="R44" s="152" t="s">
        <v>47</v>
      </c>
      <c r="S44" s="153" t="s">
        <v>47</v>
      </c>
      <c r="T44" s="148" t="s">
        <v>47</v>
      </c>
      <c r="U44" s="154"/>
      <c r="V44" s="152"/>
      <c r="W44" s="152"/>
    </row>
  </sheetData>
  <sheetProtection formatCells="0" formatRows="0" insertRows="0" deleteRows="0"/>
  <autoFilter ref="A6:W6" xr:uid="{B4AEB097-44BC-46C9-9D12-97A11A00B2C3}"/>
  <phoneticPr fontId="5" type="noConversion"/>
  <dataValidations disablePrompts="1" count="3">
    <dataValidation type="list" allowBlank="1" showInputMessage="1" showErrorMessage="1" sqref="D44 D11:D40" xr:uid="{01120292-CFD5-4024-9285-AB3464112197}">
      <formula1>Interest</formula1>
    </dataValidation>
    <dataValidation type="list" allowBlank="1" showInputMessage="1" showErrorMessage="1" sqref="H44 H11:H40" xr:uid="{A46D4949-E34B-4AC6-B17A-C4158B4C1F1F}">
      <formula1>Bouwaard</formula1>
    </dataValidation>
    <dataValidation type="list" allowBlank="1" showInputMessage="1" showErrorMessage="1" sqref="I44 I11:I40" xr:uid="{A2AA30C1-EDD4-4BB8-9B89-7DAD80FA1F1F}">
      <formula1>Taxatie</formula1>
    </dataValidation>
  </dataValidations>
  <pageMargins left="0.70866141732283472" right="0.70866141732283472" top="0.74803149606299213" bottom="0.74803149606299213" header="0.31496062992125984" footer="0.31496062992125984"/>
  <pageSetup scale="71" orientation="landscape" horizontalDpi="1200" verticalDpi="1200" r:id="rId1"/>
  <headerFooter>
    <oddFooter>&amp;L&amp;F
Uniek nr e-ABS XXXXXXXXXXXXXXXXXXX</oddFooter>
  </headerFooter>
  <colBreaks count="3" manualBreakCount="3">
    <brk id="8" max="20" man="1"/>
    <brk id="17" max="20" man="1"/>
    <brk id="21" max="20" man="1"/>
  </col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5A77B-CA43-41E5-8C27-BBC72617EFE7}">
  <sheetPr codeName="Sheet3"/>
  <dimension ref="A1:F9"/>
  <sheetViews>
    <sheetView workbookViewId="0">
      <selection activeCell="A3" sqref="A3"/>
    </sheetView>
  </sheetViews>
  <sheetFormatPr defaultRowHeight="15" x14ac:dyDescent="0.25"/>
  <cols>
    <col min="1" max="1" width="8.5703125" customWidth="1"/>
    <col min="2" max="2" width="15.5703125" bestFit="1" customWidth="1"/>
    <col min="3" max="3" width="11" bestFit="1" customWidth="1"/>
    <col min="4" max="4" width="15.5703125" bestFit="1" customWidth="1"/>
    <col min="5" max="5" width="18" bestFit="1" customWidth="1"/>
    <col min="6" max="6" width="12.42578125" bestFit="1" customWidth="1"/>
  </cols>
  <sheetData>
    <row r="1" spans="1:6" x14ac:dyDescent="0.25">
      <c r="A1" t="s">
        <v>48</v>
      </c>
    </row>
    <row r="2" spans="1:6" x14ac:dyDescent="0.25">
      <c r="A2" t="s">
        <v>19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55">
        <v>0</v>
      </c>
      <c r="B3" t="str">
        <f>IFERROR(_xlfn.XLOOKUP(Table8[[#This Row],[Sub]],Table3[Sub],Table3[Verzekerde interest]),"-")</f>
        <v>-</v>
      </c>
      <c r="D3" s="156"/>
      <c r="F3" s="156"/>
    </row>
    <row r="4" spans="1:6" x14ac:dyDescent="0.25">
      <c r="A4" s="155">
        <v>0</v>
      </c>
      <c r="B4" t="str">
        <f>IFERROR(_xlfn.XLOOKUP(Table8[[#This Row],[Sub]],Table3[Sub],Table3[Verzekerde interest]),"-")</f>
        <v>-</v>
      </c>
      <c r="D4" s="156"/>
      <c r="F4" s="156"/>
    </row>
    <row r="5" spans="1:6" x14ac:dyDescent="0.25">
      <c r="A5" s="155">
        <v>0</v>
      </c>
      <c r="B5" t="str">
        <f>IFERROR(_xlfn.XLOOKUP(Table8[[#This Row],[Sub]],Table3[Sub],Table3[Verzekerde interest]),"-")</f>
        <v>-</v>
      </c>
      <c r="D5" s="156"/>
      <c r="F5" s="156"/>
    </row>
    <row r="6" spans="1:6" x14ac:dyDescent="0.25">
      <c r="A6" s="155">
        <v>0</v>
      </c>
      <c r="B6" t="str">
        <f>IFERROR(_xlfn.XLOOKUP(Table8[[#This Row],[Sub]],Table3[Sub],Table3[Verzekerde interest]),"-")</f>
        <v>-</v>
      </c>
    </row>
    <row r="7" spans="1:6" x14ac:dyDescent="0.25">
      <c r="A7" s="155">
        <v>0</v>
      </c>
      <c r="B7" t="str">
        <f>IFERROR(_xlfn.XLOOKUP(Table8[[#This Row],[Sub]],Table3[Sub],Table3[Verzekerde interest]),"-")</f>
        <v>-</v>
      </c>
    </row>
    <row r="8" spans="1:6" x14ac:dyDescent="0.25">
      <c r="A8" s="155">
        <v>0</v>
      </c>
      <c r="B8" t="str">
        <f>IFERROR(_xlfn.XLOOKUP(Table8[[#This Row],[Sub]],Table3[Sub],Table3[Verzekerde interest]),"-")</f>
        <v>-</v>
      </c>
    </row>
    <row r="9" spans="1:6" x14ac:dyDescent="0.25">
      <c r="A9" s="155">
        <v>0</v>
      </c>
      <c r="B9" t="str">
        <f>IFERROR(_xlfn.XLOOKUP(Table8[[#This Row],[Sub]],Table3[Sub],Table3[Verzekerde interest]),"-")</f>
        <v>-</v>
      </c>
    </row>
  </sheetData>
  <dataValidations count="1">
    <dataValidation type="list" allowBlank="1" showInputMessage="1" showErrorMessage="1" sqref="B3:B9" xr:uid="{35E0CAF5-70B5-4885-AD2B-3E90160A17FD}">
      <formula1>Interest</formula1>
    </dataValidation>
  </dataValidations>
  <pageMargins left="0.7" right="0.7" top="0.75" bottom="0.75" header="0.3" footer="0.3"/>
  <ignoredErrors>
    <ignoredError sqref="B3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9570-CFC6-457E-96CC-23459DF77E6F}">
  <sheetPr codeName="Sheet4">
    <pageSetUpPr fitToPage="1"/>
  </sheetPr>
  <dimension ref="A1:Y39"/>
  <sheetViews>
    <sheetView topLeftCell="A6" zoomScale="85" zoomScaleNormal="85" workbookViewId="0">
      <selection activeCell="AB18" sqref="AB18"/>
    </sheetView>
  </sheetViews>
  <sheetFormatPr defaultRowHeight="15" x14ac:dyDescent="0.25"/>
  <cols>
    <col min="1" max="1" width="18.85546875" style="52" bestFit="1" customWidth="1"/>
    <col min="2" max="2" width="21.28515625" style="52" customWidth="1"/>
    <col min="3" max="3" width="10.85546875" style="52" customWidth="1"/>
    <col min="4" max="4" width="12.85546875" style="52" customWidth="1"/>
    <col min="5" max="5" width="16.42578125" style="52" bestFit="1" customWidth="1"/>
    <col min="6" max="7" width="14.85546875" style="52" bestFit="1" customWidth="1"/>
    <col min="8" max="8" width="12.85546875" style="52" hidden="1" customWidth="1"/>
    <col min="9" max="9" width="12.7109375" style="52" hidden="1" customWidth="1"/>
    <col min="10" max="10" width="16.42578125" style="52" bestFit="1" customWidth="1"/>
    <col min="11" max="11" width="15.85546875" style="52" customWidth="1"/>
    <col min="12" max="12" width="14" style="52" bestFit="1" customWidth="1"/>
    <col min="13" max="13" width="12.42578125" style="52" bestFit="1" customWidth="1"/>
    <col min="14" max="14" width="12" style="52" hidden="1" customWidth="1"/>
    <col min="15" max="15" width="13.85546875" style="52" hidden="1" customWidth="1"/>
    <col min="16" max="16" width="15.85546875" style="52" hidden="1" customWidth="1"/>
    <col min="17" max="20" width="20.140625" style="52" hidden="1" customWidth="1"/>
    <col min="21" max="21" width="20.140625" hidden="1" customWidth="1"/>
    <col min="22" max="22" width="13.28515625" hidden="1" customWidth="1"/>
    <col min="23" max="23" width="13.28515625" style="52" hidden="1" customWidth="1"/>
    <col min="24" max="25" width="12" style="52" hidden="1" customWidth="1"/>
    <col min="26" max="26" width="0" style="52" hidden="1" customWidth="1"/>
    <col min="27" max="16384" width="9.140625" style="52"/>
  </cols>
  <sheetData>
    <row r="1" spans="1:25" x14ac:dyDescent="0.25">
      <c r="A1" s="47" t="s">
        <v>54</v>
      </c>
      <c r="B1" s="48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8"/>
      <c r="V1" s="48"/>
      <c r="W1" s="49"/>
      <c r="X1" s="50"/>
      <c r="Y1" s="51"/>
    </row>
    <row r="2" spans="1:25" x14ac:dyDescent="0.25">
      <c r="A2" s="13" t="str">
        <f>Overzicht!A2</f>
        <v>Polisnummer</v>
      </c>
      <c r="B2" s="50" t="str">
        <f>Overzicht!B2</f>
        <v>B0100130233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1"/>
    </row>
    <row r="3" spans="1:25" x14ac:dyDescent="0.25">
      <c r="A3" s="13" t="str">
        <f>Overzicht!A3</f>
        <v>Verzekeringsnemer</v>
      </c>
      <c r="B3" s="50" t="str">
        <f>Overzicht!B3</f>
        <v>Stichting AOC Terra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1"/>
    </row>
    <row r="4" spans="1:25" ht="15.75" thickBot="1" x14ac:dyDescent="0.3">
      <c r="A4" s="13" t="str">
        <f>Overzicht!A4</f>
        <v>VNAB-nummer</v>
      </c>
      <c r="B4" s="50">
        <f>Overzicht!B4</f>
        <v>638439110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1"/>
    </row>
    <row r="5" spans="1:25" ht="15.75" thickBot="1" x14ac:dyDescent="0.3">
      <c r="A5" s="53" t="s">
        <v>55</v>
      </c>
      <c r="B5" s="54" t="s">
        <v>56</v>
      </c>
      <c r="C5" s="54" t="s">
        <v>18</v>
      </c>
      <c r="D5" s="54" t="s">
        <v>19</v>
      </c>
      <c r="E5" s="228" t="s">
        <v>57</v>
      </c>
      <c r="F5" s="228"/>
      <c r="G5" s="228"/>
      <c r="H5" s="228"/>
      <c r="I5" s="228"/>
      <c r="J5" s="228"/>
      <c r="K5" s="228"/>
      <c r="L5" s="129" t="s">
        <v>58</v>
      </c>
      <c r="M5" s="55" t="s">
        <v>59</v>
      </c>
      <c r="N5" s="55" t="s">
        <v>60</v>
      </c>
      <c r="O5" s="55" t="s">
        <v>61</v>
      </c>
      <c r="P5" s="130" t="s">
        <v>62</v>
      </c>
      <c r="Q5" s="229" t="s">
        <v>63</v>
      </c>
      <c r="R5" s="230"/>
      <c r="S5" s="230"/>
      <c r="T5" s="230"/>
      <c r="U5" s="231"/>
      <c r="V5" s="216" t="s">
        <v>64</v>
      </c>
      <c r="W5" s="232" t="s">
        <v>65</v>
      </c>
      <c r="X5" s="232"/>
      <c r="Y5" s="233"/>
    </row>
    <row r="6" spans="1:25" x14ac:dyDescent="0.25">
      <c r="A6" s="56"/>
      <c r="B6" s="57"/>
      <c r="C6" s="57"/>
      <c r="D6" s="57"/>
      <c r="E6" s="58"/>
      <c r="F6" s="58"/>
      <c r="G6" s="58"/>
      <c r="H6" s="58"/>
      <c r="I6" s="58"/>
      <c r="J6" s="58"/>
      <c r="K6" s="125"/>
      <c r="L6" s="131"/>
      <c r="M6" s="59"/>
      <c r="N6" s="59"/>
      <c r="O6" s="59"/>
      <c r="P6" s="132"/>
      <c r="Q6" s="64"/>
      <c r="R6" s="60"/>
      <c r="S6" s="60"/>
      <c r="T6" s="60"/>
      <c r="U6" s="61"/>
      <c r="V6" s="62" t="str">
        <f>Specificatie!U6</f>
        <v>Alle Verzekeraars</v>
      </c>
      <c r="W6" s="64" t="str">
        <f>Specificatie!U6</f>
        <v>Alle Verzekeraars</v>
      </c>
      <c r="X6" s="60"/>
      <c r="Y6" s="63"/>
    </row>
    <row r="7" spans="1:25" x14ac:dyDescent="0.25">
      <c r="A7" s="65"/>
      <c r="B7" s="66"/>
      <c r="C7" s="66"/>
      <c r="D7" s="67"/>
      <c r="E7" s="66"/>
      <c r="F7" s="67"/>
      <c r="G7" s="67"/>
      <c r="H7" s="67"/>
      <c r="I7" s="67"/>
      <c r="J7" s="66"/>
      <c r="K7" s="126"/>
      <c r="L7" s="65"/>
      <c r="M7" s="68"/>
      <c r="N7" s="68"/>
      <c r="O7" s="68"/>
      <c r="P7" s="71"/>
      <c r="Q7" s="127"/>
      <c r="R7" s="67"/>
      <c r="S7" s="67"/>
      <c r="T7" s="67"/>
      <c r="U7" s="69"/>
      <c r="V7" s="70">
        <f>Specificatie!U$9</f>
        <v>1</v>
      </c>
      <c r="W7" s="215">
        <f>Specificatie!U$9</f>
        <v>1</v>
      </c>
      <c r="X7" s="68" t="s">
        <v>66</v>
      </c>
      <c r="Y7" s="71"/>
    </row>
    <row r="8" spans="1:25" ht="29.25" thickBot="1" x14ac:dyDescent="0.3">
      <c r="A8" s="72" t="s">
        <v>55</v>
      </c>
      <c r="B8" s="157" t="s">
        <v>67</v>
      </c>
      <c r="C8" s="157" t="s">
        <v>18</v>
      </c>
      <c r="D8" s="73" t="s">
        <v>68</v>
      </c>
      <c r="E8" s="74" t="s">
        <v>69</v>
      </c>
      <c r="F8" s="73" t="s">
        <v>70</v>
      </c>
      <c r="G8" s="73" t="s">
        <v>71</v>
      </c>
      <c r="H8" s="73" t="s">
        <v>72</v>
      </c>
      <c r="I8" s="73" t="s">
        <v>73</v>
      </c>
      <c r="J8" s="73" t="s">
        <v>74</v>
      </c>
      <c r="K8" s="75" t="s">
        <v>75</v>
      </c>
      <c r="L8" s="72" t="s">
        <v>58</v>
      </c>
      <c r="M8" s="76" t="s">
        <v>59</v>
      </c>
      <c r="N8" s="76" t="s">
        <v>60</v>
      </c>
      <c r="O8" s="76" t="s">
        <v>61</v>
      </c>
      <c r="P8" s="80" t="s">
        <v>62</v>
      </c>
      <c r="Q8" s="128" t="s">
        <v>76</v>
      </c>
      <c r="R8" s="73" t="s">
        <v>77</v>
      </c>
      <c r="S8" s="73" t="s">
        <v>78</v>
      </c>
      <c r="T8" s="73" t="s">
        <v>79</v>
      </c>
      <c r="U8" s="77" t="s">
        <v>66</v>
      </c>
      <c r="V8" s="78" t="s">
        <v>35</v>
      </c>
      <c r="W8" s="79" t="s">
        <v>80</v>
      </c>
      <c r="X8" s="76" t="s">
        <v>81</v>
      </c>
      <c r="Y8" s="80" t="s">
        <v>82</v>
      </c>
    </row>
    <row r="9" spans="1:25" x14ac:dyDescent="0.25">
      <c r="A9" s="161" t="str">
        <f>IFERROR(_xlfn.XLOOKUP(D9,Table3[Sub],Table3[Verzekerde]),"-")</f>
        <v>Stichting AOC Terra</v>
      </c>
      <c r="B9" s="162" t="s">
        <v>149</v>
      </c>
      <c r="C9" s="162">
        <f>IFERROR(_xlfn.XLOOKUP(Table4[[#This Row],[Subnummer]],Table3[Sub],Table3[Certificaat]),"-")</f>
        <v>0</v>
      </c>
      <c r="D9" s="168">
        <v>1</v>
      </c>
      <c r="E9" s="170">
        <f>IFERROR(_xlfn.XLOOKUP(Table4[[#This Row],[Subnummer]],Table3[Sub],Table3[Verz. Waarde Oud:]),0)</f>
        <v>23757000</v>
      </c>
      <c r="F9" s="163">
        <v>0</v>
      </c>
      <c r="G9" s="163">
        <v>84400</v>
      </c>
      <c r="H9" s="163">
        <v>0</v>
      </c>
      <c r="I9" s="163">
        <v>0</v>
      </c>
      <c r="J9" s="163">
        <f>E9+F9+G9-H9-I9</f>
        <v>23841400</v>
      </c>
      <c r="K9" s="171">
        <f t="shared" ref="K9:K20" si="0">J9-E9</f>
        <v>84400</v>
      </c>
      <c r="L9" s="174">
        <v>44927</v>
      </c>
      <c r="M9" s="164">
        <v>45292</v>
      </c>
      <c r="N9" s="162">
        <f t="shared" ref="N9:N20" si="1">M9-L9</f>
        <v>365</v>
      </c>
      <c r="O9" s="162">
        <v>365</v>
      </c>
      <c r="P9" s="165" t="s">
        <v>83</v>
      </c>
      <c r="Q9" s="176">
        <f t="shared" ref="Q9:Q20" si="2">F9*N9/O9</f>
        <v>0</v>
      </c>
      <c r="R9" s="163" cm="1">
        <f t="array" ref="R9">_xlfn.IFS($P9="Nee",G9*$N9/$O9,$P9="Ja",G9*0.5)</f>
        <v>84400</v>
      </c>
      <c r="S9" s="163" cm="1">
        <f t="array" ref="S9">_xlfn.IFS($P9="Nee",-(H9*$N9/$O9),$P9="Ja",-(H9*0.5))</f>
        <v>0</v>
      </c>
      <c r="T9" s="163">
        <f t="shared" ref="T9:T20" si="3">-I9*N9/O9</f>
        <v>0</v>
      </c>
      <c r="U9" s="177">
        <f t="shared" ref="U9:U20" si="4">SUM(Q9:T9)</f>
        <v>84400</v>
      </c>
      <c r="V9" s="182">
        <f>IFERROR(_xlfn.XLOOKUP(Table4[[#This Row],[Subnummer]],Table3[Sub],Table3[Promillage 1]),0)</f>
        <v>0.69399999999999995</v>
      </c>
      <c r="W9" s="180">
        <f>$U9*V9/1000*V$7</f>
        <v>58.573599999999999</v>
      </c>
      <c r="X9" s="163">
        <f t="shared" ref="X9:X35" si="5">SUM(W9:W9)</f>
        <v>58.573599999999999</v>
      </c>
      <c r="Y9" s="165" t="str" cm="1">
        <f t="array" ref="Y9">_xlfn.IFS(X9=0,"Nihil",X9&gt;0,"Suppletie",X9&lt;0,"Restitutie")</f>
        <v>Suppletie</v>
      </c>
    </row>
    <row r="10" spans="1:25" x14ac:dyDescent="0.25">
      <c r="A10" s="166" t="str">
        <f>IFERROR(_xlfn.XLOOKUP(D10,Table3[Sub],Table3[Verzekerde]),"-")</f>
        <v>Stichting AOC Terra</v>
      </c>
      <c r="B10" s="158" t="s">
        <v>149</v>
      </c>
      <c r="C10" s="158">
        <f>IFERROR(_xlfn.XLOOKUP(Table4[[#This Row],[Subnummer]],Table3[Sub],Table3[Certificaat]),"-")</f>
        <v>0</v>
      </c>
      <c r="D10" s="169">
        <v>2</v>
      </c>
      <c r="E10" s="172">
        <f>IFERROR(_xlfn.XLOOKUP(Table4[[#This Row],[Subnummer]],Table3[Sub],Table3[Verz. Waarde Oud:]),0)</f>
        <v>12977000</v>
      </c>
      <c r="F10" s="159">
        <v>0</v>
      </c>
      <c r="G10" s="159">
        <v>285483</v>
      </c>
      <c r="H10" s="159">
        <v>0</v>
      </c>
      <c r="I10" s="159">
        <v>0</v>
      </c>
      <c r="J10" s="159">
        <f t="shared" ref="J10:J20" si="6">E10+F10+G10-H10-I10</f>
        <v>13262483</v>
      </c>
      <c r="K10" s="173">
        <f t="shared" si="0"/>
        <v>285483</v>
      </c>
      <c r="L10" s="175">
        <v>44927</v>
      </c>
      <c r="M10" s="160">
        <v>45292</v>
      </c>
      <c r="N10" s="158">
        <f t="shared" si="1"/>
        <v>365</v>
      </c>
      <c r="O10" s="158">
        <v>365</v>
      </c>
      <c r="P10" s="167" t="s">
        <v>83</v>
      </c>
      <c r="Q10" s="178">
        <f t="shared" si="2"/>
        <v>0</v>
      </c>
      <c r="R10" s="159" cm="1">
        <f t="array" ref="R10">_xlfn.IFS($P10="Nee",G10*$N10/$O10,$P10="Ja",G10*0.5)</f>
        <v>285483</v>
      </c>
      <c r="S10" s="159" cm="1">
        <f t="array" ref="S10">_xlfn.IFS($P10="Nee",-(H10*$N10/$O10),$P10="Ja",-(H10*0.5))</f>
        <v>0</v>
      </c>
      <c r="T10" s="159">
        <f t="shared" si="3"/>
        <v>0</v>
      </c>
      <c r="U10" s="179">
        <f t="shared" si="4"/>
        <v>285483</v>
      </c>
      <c r="V10" s="183">
        <f>IFERROR(_xlfn.XLOOKUP(Table4[[#This Row],[Subnummer]],Table3[Sub],Table3[Promillage 1]),0)</f>
        <v>0.69399999999999995</v>
      </c>
      <c r="W10" s="181">
        <f>$U10*V10/1000*V$7</f>
        <v>198.125202</v>
      </c>
      <c r="X10" s="159">
        <f t="shared" si="5"/>
        <v>198.125202</v>
      </c>
      <c r="Y10" s="167" t="str" cm="1">
        <f t="array" ref="Y10">_xlfn.IFS(X10=0,"Nihil",X10&gt;0,"Suppletie",X10&lt;0,"Restitutie")</f>
        <v>Suppletie</v>
      </c>
    </row>
    <row r="11" spans="1:25" x14ac:dyDescent="0.25">
      <c r="A11" s="166" t="str">
        <f>IFERROR(_xlfn.XLOOKUP(D11,Table3[Sub],Table3[Verzekerde]),"-")</f>
        <v>Stichting AOC Terra</v>
      </c>
      <c r="B11" s="158" t="s">
        <v>149</v>
      </c>
      <c r="C11" s="158">
        <f>IFERROR(_xlfn.XLOOKUP(Table4[[#This Row],[Subnummer]],Table3[Sub],Table3[Certificaat]),"-")</f>
        <v>0</v>
      </c>
      <c r="D11" s="169">
        <v>3</v>
      </c>
      <c r="E11" s="172">
        <f>IFERROR(_xlfn.XLOOKUP(Table4[[#This Row],[Subnummer]],Table3[Sub],Table3[Verz. Waarde Oud:]),0)</f>
        <v>10820000</v>
      </c>
      <c r="F11" s="159">
        <v>0</v>
      </c>
      <c r="G11" s="159">
        <v>59984</v>
      </c>
      <c r="H11" s="159">
        <v>0</v>
      </c>
      <c r="I11" s="159">
        <v>0</v>
      </c>
      <c r="J11" s="159">
        <f t="shared" si="6"/>
        <v>10879984</v>
      </c>
      <c r="K11" s="173">
        <f t="shared" si="0"/>
        <v>59984</v>
      </c>
      <c r="L11" s="175">
        <v>44927</v>
      </c>
      <c r="M11" s="160">
        <v>45292</v>
      </c>
      <c r="N11" s="158">
        <f t="shared" si="1"/>
        <v>365</v>
      </c>
      <c r="O11" s="158">
        <v>365</v>
      </c>
      <c r="P11" s="167" t="s">
        <v>83</v>
      </c>
      <c r="Q11" s="178">
        <f t="shared" si="2"/>
        <v>0</v>
      </c>
      <c r="R11" s="159" cm="1">
        <f t="array" ref="R11">_xlfn.IFS($P11="Nee",G11*$N11/$O11,$P11="Ja",G11*0.5)</f>
        <v>59984</v>
      </c>
      <c r="S11" s="159" cm="1">
        <f t="array" ref="S11">_xlfn.IFS($P11="Nee",-(H11*$N11/$O11),$P11="Ja",-(H11*0.5))</f>
        <v>0</v>
      </c>
      <c r="T11" s="159">
        <f t="shared" si="3"/>
        <v>0</v>
      </c>
      <c r="U11" s="179">
        <f t="shared" si="4"/>
        <v>59984</v>
      </c>
      <c r="V11" s="183">
        <f>IFERROR(_xlfn.XLOOKUP(Table4[[#This Row],[Subnummer]],Table3[Sub],Table3[Promillage 1]),0)</f>
        <v>0.69399999999999995</v>
      </c>
      <c r="W11" s="181">
        <f t="shared" ref="W11:W20" si="7">$U11*V11/1000*V$7</f>
        <v>41.628895999999997</v>
      </c>
      <c r="X11" s="159">
        <f t="shared" si="5"/>
        <v>41.628895999999997</v>
      </c>
      <c r="Y11" s="167" t="str" cm="1">
        <f t="array" ref="Y11">_xlfn.IFS(X11=0,"Nihil",X11&gt;0,"Suppletie",X11&lt;0,"Restitutie")</f>
        <v>Suppletie</v>
      </c>
    </row>
    <row r="12" spans="1:25" x14ac:dyDescent="0.25">
      <c r="A12" s="166" t="str">
        <f>IFERROR(_xlfn.XLOOKUP(D12,Table3[Sub],Table3[Verzekerde]),"-")</f>
        <v>Stichting AOC Terra</v>
      </c>
      <c r="B12" s="158" t="s">
        <v>149</v>
      </c>
      <c r="C12" s="158">
        <f>IFERROR(_xlfn.XLOOKUP(Table4[[#This Row],[Subnummer]],Table3[Sub],Table3[Certificaat]),"-")</f>
        <v>0</v>
      </c>
      <c r="D12" s="169">
        <v>5</v>
      </c>
      <c r="E12" s="172">
        <f>IFERROR(_xlfn.XLOOKUP(Table4[[#This Row],[Subnummer]],Table3[Sub],Table3[Verz. Waarde Oud:]),0)</f>
        <v>18543000</v>
      </c>
      <c r="F12" s="159">
        <v>0</v>
      </c>
      <c r="G12" s="159">
        <v>168341</v>
      </c>
      <c r="H12" s="159">
        <v>0</v>
      </c>
      <c r="I12" s="159">
        <v>0</v>
      </c>
      <c r="J12" s="159">
        <f t="shared" si="6"/>
        <v>18711341</v>
      </c>
      <c r="K12" s="173">
        <f t="shared" si="0"/>
        <v>168341</v>
      </c>
      <c r="L12" s="175">
        <v>44927</v>
      </c>
      <c r="M12" s="160">
        <v>45292</v>
      </c>
      <c r="N12" s="158">
        <f t="shared" si="1"/>
        <v>365</v>
      </c>
      <c r="O12" s="158">
        <v>365</v>
      </c>
      <c r="P12" s="167" t="s">
        <v>83</v>
      </c>
      <c r="Q12" s="178">
        <f t="shared" si="2"/>
        <v>0</v>
      </c>
      <c r="R12" s="159" cm="1">
        <f t="array" ref="R12">_xlfn.IFS($P12="Nee",G12*$N12/$O12,$P12="Ja",G12*0.5)</f>
        <v>168341</v>
      </c>
      <c r="S12" s="159" cm="1">
        <f t="array" ref="S12">_xlfn.IFS($P12="Nee",-(H12*$N12/$O12),$P12="Ja",-(H12*0.5))</f>
        <v>0</v>
      </c>
      <c r="T12" s="159">
        <f>-I12*N12/O12</f>
        <v>0</v>
      </c>
      <c r="U12" s="179">
        <f t="shared" si="4"/>
        <v>168341</v>
      </c>
      <c r="V12" s="183">
        <f>IFERROR(_xlfn.XLOOKUP(Table4[[#This Row],[Subnummer]],Table3[Sub],Table3[Promillage 1]),0)</f>
        <v>0.69399999999999995</v>
      </c>
      <c r="W12" s="181">
        <f t="shared" si="7"/>
        <v>116.828654</v>
      </c>
      <c r="X12" s="159">
        <f t="shared" si="5"/>
        <v>116.828654</v>
      </c>
      <c r="Y12" s="167" t="str" cm="1">
        <f t="array" ref="Y12">_xlfn.IFS(X12=0,"Nihil",X12&gt;0,"Suppletie",X12&lt;0,"Restitutie")</f>
        <v>Suppletie</v>
      </c>
    </row>
    <row r="13" spans="1:25" x14ac:dyDescent="0.25">
      <c r="A13" s="166" t="str">
        <f>IFERROR(_xlfn.XLOOKUP(D13,Table3[Sub],Table3[Verzekerde]),"-")</f>
        <v>Stichting AOC Terra</v>
      </c>
      <c r="B13" s="158" t="s">
        <v>149</v>
      </c>
      <c r="C13" s="158">
        <f>IFERROR(_xlfn.XLOOKUP(Table4[[#This Row],[Subnummer]],Table3[Sub],Table3[Certificaat]),"-")</f>
        <v>0</v>
      </c>
      <c r="D13" s="169">
        <v>6</v>
      </c>
      <c r="E13" s="172">
        <f>IFERROR(_xlfn.XLOOKUP(Table4[[#This Row],[Subnummer]],Table3[Sub],Table3[Verz. Waarde Oud:]),0)</f>
        <v>12253000</v>
      </c>
      <c r="F13" s="159">
        <v>0</v>
      </c>
      <c r="G13" s="159">
        <v>308334</v>
      </c>
      <c r="H13" s="159">
        <v>0</v>
      </c>
      <c r="I13" s="159">
        <v>0</v>
      </c>
      <c r="J13" s="159">
        <f t="shared" si="6"/>
        <v>12561334</v>
      </c>
      <c r="K13" s="173">
        <f t="shared" si="0"/>
        <v>308334</v>
      </c>
      <c r="L13" s="175">
        <v>44927</v>
      </c>
      <c r="M13" s="160">
        <v>45292</v>
      </c>
      <c r="N13" s="158">
        <f t="shared" si="1"/>
        <v>365</v>
      </c>
      <c r="O13" s="158">
        <v>365</v>
      </c>
      <c r="P13" s="167" t="s">
        <v>83</v>
      </c>
      <c r="Q13" s="178">
        <f t="shared" si="2"/>
        <v>0</v>
      </c>
      <c r="R13" s="159" cm="1">
        <f t="array" ref="R13">_xlfn.IFS($P13="Nee",G13*$N13/$O13,$P13="Ja",G13*0.5)</f>
        <v>308334</v>
      </c>
      <c r="S13" s="159" cm="1">
        <f t="array" ref="S13">_xlfn.IFS($P13="Nee",-(H13*$N13/$O13),$P13="Ja",-(H13*0.5))</f>
        <v>0</v>
      </c>
      <c r="T13" s="159">
        <f t="shared" si="3"/>
        <v>0</v>
      </c>
      <c r="U13" s="179">
        <f t="shared" si="4"/>
        <v>308334</v>
      </c>
      <c r="V13" s="183">
        <f>IFERROR(_xlfn.XLOOKUP(Table4[[#This Row],[Subnummer]],Table3[Sub],Table3[Promillage 1]),0)</f>
        <v>0.69399999999999995</v>
      </c>
      <c r="W13" s="181">
        <f t="shared" si="7"/>
        <v>213.98379599999998</v>
      </c>
      <c r="X13" s="159">
        <f t="shared" si="5"/>
        <v>213.98379599999998</v>
      </c>
      <c r="Y13" s="167" t="str" cm="1">
        <f t="array" ref="Y13">_xlfn.IFS(X13=0,"Nihil",X13&gt;0,"Suppletie",X13&lt;0,"Restitutie")</f>
        <v>Suppletie</v>
      </c>
    </row>
    <row r="14" spans="1:25" x14ac:dyDescent="0.25">
      <c r="A14" s="166" t="str">
        <f>IFERROR(_xlfn.XLOOKUP(D14,Table3[Sub],Table3[Verzekerde]),"-")</f>
        <v>Stichting AOC Terra</v>
      </c>
      <c r="B14" s="158" t="s">
        <v>149</v>
      </c>
      <c r="C14" s="158">
        <f>IFERROR(_xlfn.XLOOKUP(Table4[[#This Row],[Subnummer]],Table3[Sub],Table3[Certificaat]),"-")</f>
        <v>0</v>
      </c>
      <c r="D14" s="169">
        <v>8</v>
      </c>
      <c r="E14" s="172">
        <f>IFERROR(_xlfn.XLOOKUP(Table4[[#This Row],[Subnummer]],Table3[Sub],Table3[Verz. Waarde Oud:]),0)</f>
        <v>8573000</v>
      </c>
      <c r="F14" s="159">
        <v>0</v>
      </c>
      <c r="G14" s="159">
        <v>137947</v>
      </c>
      <c r="H14" s="159">
        <v>0</v>
      </c>
      <c r="I14" s="159">
        <v>0</v>
      </c>
      <c r="J14" s="159">
        <f>E14+F14+G14-H14-I14</f>
        <v>8710947</v>
      </c>
      <c r="K14" s="173">
        <f>J14-E14</f>
        <v>137947</v>
      </c>
      <c r="L14" s="175">
        <v>44927</v>
      </c>
      <c r="M14" s="160">
        <v>45292</v>
      </c>
      <c r="N14" s="158">
        <f t="shared" ref="N14" si="8">M14-L14</f>
        <v>365</v>
      </c>
      <c r="O14" s="158">
        <v>365</v>
      </c>
      <c r="P14" s="167" t="s">
        <v>83</v>
      </c>
      <c r="Q14" s="178">
        <f>F14*N14/O14</f>
        <v>0</v>
      </c>
      <c r="R14" s="159" cm="1">
        <f t="array" ref="R14">_xlfn.IFS($P14="Nee",G14*$N14/$O14,$P14="Ja",G14*0.5)</f>
        <v>137947</v>
      </c>
      <c r="S14" s="159" cm="1">
        <f t="array" ref="S14">_xlfn.IFS($P14="Nee",-(H14*$N14/$O14),$P14="Ja",-(H14*0.5))</f>
        <v>0</v>
      </c>
      <c r="T14" s="159">
        <f>-I14*N14/O14</f>
        <v>0</v>
      </c>
      <c r="U14" s="179">
        <f>SUM(Q14:T14)</f>
        <v>137947</v>
      </c>
      <c r="V14" s="183">
        <f>IFERROR(_xlfn.XLOOKUP(Table4[[#This Row],[Subnummer]],Table3[Sub],Table3[Promillage 1]),0)</f>
        <v>0.69399999999999995</v>
      </c>
      <c r="W14" s="181">
        <f>$U14*V14/1000*V$7</f>
        <v>95.735217999999989</v>
      </c>
      <c r="X14" s="159">
        <f t="shared" si="5"/>
        <v>95.735217999999989</v>
      </c>
      <c r="Y14" s="167" t="str" cm="1">
        <f t="array" ref="Y14">_xlfn.IFS(X14=0,"Nihil",X14&gt;0,"Suppletie",X14&lt;0,"Restitutie")</f>
        <v>Suppletie</v>
      </c>
    </row>
    <row r="15" spans="1:25" x14ac:dyDescent="0.25">
      <c r="A15" s="166" t="str">
        <f>IFERROR(_xlfn.XLOOKUP(D15,Table3[Sub],Table3[Verzekerde]),"-")</f>
        <v>Stichting AOC Terra</v>
      </c>
      <c r="B15" s="158" t="s">
        <v>149</v>
      </c>
      <c r="C15" s="158">
        <f>IFERROR(_xlfn.XLOOKUP(Table4[[#This Row],[Subnummer]],Table3[Sub],Table3[Certificaat]),"-")</f>
        <v>0</v>
      </c>
      <c r="D15" s="169">
        <v>9</v>
      </c>
      <c r="E15" s="172">
        <f>IFERROR(_xlfn.XLOOKUP(Table4[[#This Row],[Subnummer]],Table3[Sub],Table3[Verz. Waarde Oud:]),0)</f>
        <v>9270000</v>
      </c>
      <c r="F15" s="159">
        <v>0</v>
      </c>
      <c r="G15" s="159">
        <v>13199</v>
      </c>
      <c r="H15" s="159">
        <v>0</v>
      </c>
      <c r="I15" s="159">
        <v>0</v>
      </c>
      <c r="J15" s="159">
        <f t="shared" si="6"/>
        <v>9283199</v>
      </c>
      <c r="K15" s="173">
        <f t="shared" si="0"/>
        <v>13199</v>
      </c>
      <c r="L15" s="175">
        <v>44927</v>
      </c>
      <c r="M15" s="160">
        <v>45292</v>
      </c>
      <c r="N15" s="158">
        <f t="shared" si="1"/>
        <v>365</v>
      </c>
      <c r="O15" s="158">
        <v>365</v>
      </c>
      <c r="P15" s="167" t="s">
        <v>83</v>
      </c>
      <c r="Q15" s="178">
        <f t="shared" si="2"/>
        <v>0</v>
      </c>
      <c r="R15" s="159" cm="1">
        <f t="array" ref="R15">_xlfn.IFS($P15="Nee",G15*$N15/$O15,$P15="Ja",G15*0.5)</f>
        <v>13199</v>
      </c>
      <c r="S15" s="159" cm="1">
        <f t="array" ref="S15">_xlfn.IFS($P15="Nee",-(H15*$N15/$O15),$P15="Ja",-(H15*0.5))</f>
        <v>0</v>
      </c>
      <c r="T15" s="159">
        <f t="shared" si="3"/>
        <v>0</v>
      </c>
      <c r="U15" s="179">
        <f t="shared" si="4"/>
        <v>13199</v>
      </c>
      <c r="V15" s="183">
        <f>IFERROR(_xlfn.XLOOKUP(Table4[[#This Row],[Subnummer]],Table3[Sub],Table3[Promillage 1]),0)</f>
        <v>0.69399999999999995</v>
      </c>
      <c r="W15" s="181">
        <f t="shared" si="7"/>
        <v>9.160105999999999</v>
      </c>
      <c r="X15" s="159">
        <f t="shared" si="5"/>
        <v>9.160105999999999</v>
      </c>
      <c r="Y15" s="167" t="str" cm="1">
        <f t="array" ref="Y15">_xlfn.IFS(X15=0,"Nihil",X15&gt;0,"Suppletie",X15&lt;0,"Restitutie")</f>
        <v>Suppletie</v>
      </c>
    </row>
    <row r="16" spans="1:25" x14ac:dyDescent="0.25">
      <c r="A16" s="166" t="str">
        <f>IFERROR(_xlfn.XLOOKUP(D16,Table3[Sub],Table3[Verzekerde]),"-")</f>
        <v>Stichting AOC Terra</v>
      </c>
      <c r="B16" s="158" t="s">
        <v>149</v>
      </c>
      <c r="C16" s="158">
        <f>IFERROR(_xlfn.XLOOKUP(Table4[[#This Row],[Subnummer]],Table3[Sub],Table3[Certificaat]),"-")</f>
        <v>0</v>
      </c>
      <c r="D16" s="169">
        <v>10</v>
      </c>
      <c r="E16" s="172">
        <f>IFERROR(_xlfn.XLOOKUP(Table4[[#This Row],[Subnummer]],Table3[Sub],Table3[Verz. Waarde Oud:]),0)</f>
        <v>13195000</v>
      </c>
      <c r="F16" s="159">
        <v>0</v>
      </c>
      <c r="G16" s="159">
        <v>26221</v>
      </c>
      <c r="H16" s="159">
        <v>0</v>
      </c>
      <c r="I16" s="159">
        <v>0</v>
      </c>
      <c r="J16" s="159">
        <f t="shared" si="6"/>
        <v>13221221</v>
      </c>
      <c r="K16" s="173">
        <f t="shared" si="0"/>
        <v>26221</v>
      </c>
      <c r="L16" s="175">
        <v>44927</v>
      </c>
      <c r="M16" s="160">
        <v>45292</v>
      </c>
      <c r="N16" s="158">
        <f t="shared" si="1"/>
        <v>365</v>
      </c>
      <c r="O16" s="158">
        <v>365</v>
      </c>
      <c r="P16" s="167" t="s">
        <v>83</v>
      </c>
      <c r="Q16" s="178">
        <f t="shared" si="2"/>
        <v>0</v>
      </c>
      <c r="R16" s="159" cm="1">
        <f t="array" ref="R16">_xlfn.IFS($P16="Nee",G16*$N16/$O16,$P16="Ja",G16*0.5)</f>
        <v>26221</v>
      </c>
      <c r="S16" s="159" cm="1">
        <f t="array" ref="S16">_xlfn.IFS($P16="Nee",-(H16*$N16/$O16),$P16="Ja",-(H16*0.5))</f>
        <v>0</v>
      </c>
      <c r="T16" s="159">
        <f t="shared" si="3"/>
        <v>0</v>
      </c>
      <c r="U16" s="179">
        <f t="shared" si="4"/>
        <v>26221</v>
      </c>
      <c r="V16" s="183">
        <f>IFERROR(_xlfn.XLOOKUP(Table4[[#This Row],[Subnummer]],Table3[Sub],Table3[Promillage 1]),0)</f>
        <v>0.69399999999999995</v>
      </c>
      <c r="W16" s="181">
        <f t="shared" si="7"/>
        <v>18.197374</v>
      </c>
      <c r="X16" s="159">
        <f t="shared" si="5"/>
        <v>18.197374</v>
      </c>
      <c r="Y16" s="167" t="str" cm="1">
        <f t="array" ref="Y16">_xlfn.IFS(X16=0,"Nihil",X16&gt;0,"Suppletie",X16&lt;0,"Restitutie")</f>
        <v>Suppletie</v>
      </c>
    </row>
    <row r="17" spans="1:25" x14ac:dyDescent="0.25">
      <c r="A17" s="166" t="str">
        <f>IFERROR(_xlfn.XLOOKUP(D17,Table3[Sub],Table3[Verzekerde]),"-")</f>
        <v>Stichting AOC Terra</v>
      </c>
      <c r="B17" s="158" t="s">
        <v>149</v>
      </c>
      <c r="C17" s="158">
        <f>IFERROR(_xlfn.XLOOKUP(Table4[[#This Row],[Subnummer]],Table3[Sub],Table3[Certificaat]),"-")</f>
        <v>0</v>
      </c>
      <c r="D17" s="169">
        <v>11</v>
      </c>
      <c r="E17" s="172">
        <f>IFERROR(_xlfn.XLOOKUP(Table4[[#This Row],[Subnummer]],Table3[Sub],Table3[Verz. Waarde Oud:]),0)</f>
        <v>12467000</v>
      </c>
      <c r="F17" s="159">
        <v>0</v>
      </c>
      <c r="G17" s="159">
        <v>246302</v>
      </c>
      <c r="H17" s="159">
        <v>0</v>
      </c>
      <c r="I17" s="159">
        <v>0</v>
      </c>
      <c r="J17" s="159">
        <f t="shared" si="6"/>
        <v>12713302</v>
      </c>
      <c r="K17" s="173">
        <f t="shared" si="0"/>
        <v>246302</v>
      </c>
      <c r="L17" s="175">
        <v>44927</v>
      </c>
      <c r="M17" s="160">
        <v>45292</v>
      </c>
      <c r="N17" s="158">
        <f t="shared" si="1"/>
        <v>365</v>
      </c>
      <c r="O17" s="158">
        <v>365</v>
      </c>
      <c r="P17" s="167" t="s">
        <v>83</v>
      </c>
      <c r="Q17" s="178">
        <f t="shared" si="2"/>
        <v>0</v>
      </c>
      <c r="R17" s="159" cm="1">
        <f t="array" ref="R17">_xlfn.IFS($P17="Nee",G17*$N17/$O17,$P17="Ja",G17*0.5)</f>
        <v>246302</v>
      </c>
      <c r="S17" s="159" cm="1">
        <f t="array" ref="S17">_xlfn.IFS($P17="Nee",-(H17*$N17/$O17),$P17="Ja",-(H17*0.5))</f>
        <v>0</v>
      </c>
      <c r="T17" s="159">
        <f t="shared" si="3"/>
        <v>0</v>
      </c>
      <c r="U17" s="179">
        <f t="shared" si="4"/>
        <v>246302</v>
      </c>
      <c r="V17" s="183">
        <f>IFERROR(_xlfn.XLOOKUP(Table4[[#This Row],[Subnummer]],Table3[Sub],Table3[Promillage 1]),0)</f>
        <v>0.69399999999999995</v>
      </c>
      <c r="W17" s="181">
        <f t="shared" si="7"/>
        <v>170.93358799999999</v>
      </c>
      <c r="X17" s="159">
        <f t="shared" si="5"/>
        <v>170.93358799999999</v>
      </c>
      <c r="Y17" s="167" t="str" cm="1">
        <f t="array" ref="Y17">_xlfn.IFS(X17=0,"Nihil",X17&gt;0,"Suppletie",X17&lt;0,"Restitutie")</f>
        <v>Suppletie</v>
      </c>
    </row>
    <row r="18" spans="1:25" x14ac:dyDescent="0.25">
      <c r="A18" s="166" t="str">
        <f>IFERROR(_xlfn.XLOOKUP(D18,Table3[Sub],Table3[Verzekerde]),"-")</f>
        <v>Stichting AOC Terra</v>
      </c>
      <c r="B18" s="158" t="s">
        <v>149</v>
      </c>
      <c r="C18" s="158">
        <f>IFERROR(_xlfn.XLOOKUP(Table4[[#This Row],[Subnummer]],Table3[Sub],Table3[Certificaat]),"-")</f>
        <v>0</v>
      </c>
      <c r="D18" s="169">
        <v>12</v>
      </c>
      <c r="E18" s="172">
        <f>IFERROR(_xlfn.XLOOKUP(Table4[[#This Row],[Subnummer]],Table3[Sub],Table3[Verz. Waarde Oud:]),0)</f>
        <v>14132000</v>
      </c>
      <c r="F18" s="159">
        <v>0</v>
      </c>
      <c r="G18" s="159">
        <v>45403</v>
      </c>
      <c r="H18" s="159">
        <v>0</v>
      </c>
      <c r="I18" s="159">
        <v>0</v>
      </c>
      <c r="J18" s="159">
        <f t="shared" si="6"/>
        <v>14177403</v>
      </c>
      <c r="K18" s="173">
        <f t="shared" si="0"/>
        <v>45403</v>
      </c>
      <c r="L18" s="175">
        <v>44927</v>
      </c>
      <c r="M18" s="160">
        <v>45292</v>
      </c>
      <c r="N18" s="158">
        <f t="shared" si="1"/>
        <v>365</v>
      </c>
      <c r="O18" s="158">
        <v>365</v>
      </c>
      <c r="P18" s="167" t="s">
        <v>83</v>
      </c>
      <c r="Q18" s="178">
        <f t="shared" si="2"/>
        <v>0</v>
      </c>
      <c r="R18" s="159" cm="1">
        <f t="array" ref="R18">_xlfn.IFS($P18="Nee",G18*$N18/$O18,$P18="Ja",G18*0.5)</f>
        <v>45403</v>
      </c>
      <c r="S18" s="159" cm="1">
        <f t="array" ref="S18">_xlfn.IFS($P18="Nee",-(H18*$N18/$O18),$P18="Ja",-(H18*0.5))</f>
        <v>0</v>
      </c>
      <c r="T18" s="159">
        <f t="shared" si="3"/>
        <v>0</v>
      </c>
      <c r="U18" s="179">
        <f t="shared" si="4"/>
        <v>45403</v>
      </c>
      <c r="V18" s="183">
        <f>IFERROR(_xlfn.XLOOKUP(Table4[[#This Row],[Subnummer]],Table3[Sub],Table3[Promillage 1]),0)</f>
        <v>0.69399999999999995</v>
      </c>
      <c r="W18" s="181">
        <f t="shared" si="7"/>
        <v>31.509681999999998</v>
      </c>
      <c r="X18" s="159">
        <f t="shared" si="5"/>
        <v>31.509681999999998</v>
      </c>
      <c r="Y18" s="167" t="str" cm="1">
        <f t="array" ref="Y18">_xlfn.IFS(X18=0,"Nihil",X18&gt;0,"Suppletie",X18&lt;0,"Restitutie")</f>
        <v>Suppletie</v>
      </c>
    </row>
    <row r="19" spans="1:25" x14ac:dyDescent="0.25">
      <c r="A19" s="166" t="str">
        <f>IFERROR(_xlfn.XLOOKUP(D19,Table3[Sub],Table3[Verzekerde]),"-")</f>
        <v>Stichting AOC Terra</v>
      </c>
      <c r="B19" s="158" t="s">
        <v>149</v>
      </c>
      <c r="C19" s="158">
        <f>IFERROR(_xlfn.XLOOKUP(Table4[[#This Row],[Subnummer]],Table3[Sub],Table3[Certificaat]),"-")</f>
        <v>0</v>
      </c>
      <c r="D19" s="169">
        <v>13</v>
      </c>
      <c r="E19" s="172">
        <f>IFERROR(_xlfn.XLOOKUP(Table4[[#This Row],[Subnummer]],Table3[Sub],Table3[Verz. Waarde Oud:]),0)</f>
        <v>15305000</v>
      </c>
      <c r="F19" s="159">
        <v>0</v>
      </c>
      <c r="G19" s="159">
        <v>42084</v>
      </c>
      <c r="H19" s="159">
        <v>0</v>
      </c>
      <c r="I19" s="159">
        <v>0</v>
      </c>
      <c r="J19" s="159">
        <f t="shared" si="6"/>
        <v>15347084</v>
      </c>
      <c r="K19" s="173">
        <f t="shared" si="0"/>
        <v>42084</v>
      </c>
      <c r="L19" s="175">
        <v>44927</v>
      </c>
      <c r="M19" s="160">
        <v>45292</v>
      </c>
      <c r="N19" s="158">
        <f t="shared" si="1"/>
        <v>365</v>
      </c>
      <c r="O19" s="158">
        <v>365</v>
      </c>
      <c r="P19" s="167" t="s">
        <v>83</v>
      </c>
      <c r="Q19" s="178">
        <f t="shared" si="2"/>
        <v>0</v>
      </c>
      <c r="R19" s="159" cm="1">
        <f t="array" ref="R19">_xlfn.IFS($P19="Nee",G19*$N19/$O19,$P19="Ja",G19*0.5)</f>
        <v>42084</v>
      </c>
      <c r="S19" s="159" cm="1">
        <f t="array" ref="S19">_xlfn.IFS($P19="Nee",-(H19*$N19/$O19),$P19="Ja",-(H19*0.5))</f>
        <v>0</v>
      </c>
      <c r="T19" s="159">
        <f t="shared" si="3"/>
        <v>0</v>
      </c>
      <c r="U19" s="179">
        <f t="shared" si="4"/>
        <v>42084</v>
      </c>
      <c r="V19" s="183">
        <f>IFERROR(_xlfn.XLOOKUP(Table4[[#This Row],[Subnummer]],Table3[Sub],Table3[Promillage 1]),0)</f>
        <v>0.69399999999999995</v>
      </c>
      <c r="W19" s="181">
        <f t="shared" si="7"/>
        <v>29.206295999999998</v>
      </c>
      <c r="X19" s="159">
        <f t="shared" si="5"/>
        <v>29.206295999999998</v>
      </c>
      <c r="Y19" s="167" t="str" cm="1">
        <f t="array" ref="Y19">_xlfn.IFS(X19=0,"Nihil",X19&gt;0,"Suppletie",X19&lt;0,"Restitutie")</f>
        <v>Suppletie</v>
      </c>
    </row>
    <row r="20" spans="1:25" x14ac:dyDescent="0.25">
      <c r="A20" s="166" t="str">
        <f>IFERROR(_xlfn.XLOOKUP(D20,Table3[Sub],Table3[Verzekerde]),"-")</f>
        <v>Stichting AOC Terra</v>
      </c>
      <c r="B20" s="158" t="s">
        <v>149</v>
      </c>
      <c r="C20" s="158">
        <f>IFERROR(_xlfn.XLOOKUP(Table4[[#This Row],[Subnummer]],Table3[Sub],Table3[Certificaat]),"-")</f>
        <v>0</v>
      </c>
      <c r="D20" s="169">
        <v>14</v>
      </c>
      <c r="E20" s="172">
        <f>IFERROR(_xlfn.XLOOKUP(Table4[[#This Row],[Subnummer]],Table3[Sub],Table3[Verz. Waarde Oud:]),0)</f>
        <v>8061000</v>
      </c>
      <c r="F20" s="159">
        <v>0</v>
      </c>
      <c r="G20" s="159">
        <v>159101</v>
      </c>
      <c r="H20" s="159">
        <v>0</v>
      </c>
      <c r="I20" s="159">
        <v>0</v>
      </c>
      <c r="J20" s="159">
        <f t="shared" si="6"/>
        <v>8220101</v>
      </c>
      <c r="K20" s="173">
        <f t="shared" si="0"/>
        <v>159101</v>
      </c>
      <c r="L20" s="175">
        <v>44927</v>
      </c>
      <c r="M20" s="160">
        <v>45292</v>
      </c>
      <c r="N20" s="158">
        <f t="shared" si="1"/>
        <v>365</v>
      </c>
      <c r="O20" s="158">
        <v>365</v>
      </c>
      <c r="P20" s="167" t="s">
        <v>83</v>
      </c>
      <c r="Q20" s="178">
        <f t="shared" si="2"/>
        <v>0</v>
      </c>
      <c r="R20" s="159" cm="1">
        <f t="array" ref="R20">_xlfn.IFS($P20="Nee",G20*$N20/$O20,$P20="Ja",G20*0.5)</f>
        <v>159101</v>
      </c>
      <c r="S20" s="159" cm="1">
        <f t="array" ref="S20">_xlfn.IFS($P20="Nee",-(H20*$N20/$O20),$P20="Ja",-(H20*0.5))</f>
        <v>0</v>
      </c>
      <c r="T20" s="159">
        <f t="shared" si="3"/>
        <v>0</v>
      </c>
      <c r="U20" s="179">
        <f t="shared" si="4"/>
        <v>159101</v>
      </c>
      <c r="V20" s="183">
        <f>IFERROR(_xlfn.XLOOKUP(Table4[[#This Row],[Subnummer]],Table3[Sub],Table3[Promillage 1]),0)</f>
        <v>0.69399999999999995</v>
      </c>
      <c r="W20" s="181">
        <f t="shared" si="7"/>
        <v>110.416094</v>
      </c>
      <c r="X20" s="159">
        <f t="shared" si="5"/>
        <v>110.416094</v>
      </c>
      <c r="Y20" s="167" t="str" cm="1">
        <f t="array" ref="Y20">_xlfn.IFS(X20=0,"Nihil",X20&gt;0,"Suppletie",X20&lt;0,"Restitutie")</f>
        <v>Suppletie</v>
      </c>
    </row>
    <row r="21" spans="1:25" x14ac:dyDescent="0.25">
      <c r="A21" s="217" t="str">
        <f>IFERROR(_xlfn.XLOOKUP(D21,Specificatie!C:C,Specificatie!A:A),"-")</f>
        <v>Stichting AOC Terra</v>
      </c>
      <c r="B21" s="158" t="s">
        <v>149</v>
      </c>
      <c r="C21" s="218">
        <f>IFERROR(_xlfn.XLOOKUP(Table4[[#This Row],[Subnummer]],Table3[Sub],Table3[Certificaat]),"-")</f>
        <v>0</v>
      </c>
      <c r="D21" s="169">
        <v>15</v>
      </c>
      <c r="E21" s="219">
        <f>IFERROR(_xlfn.XLOOKUP(Table4[[#This Row],[Subnummer]],Table3[Sub],Table3[Verz. Waarde Oud:]),0)</f>
        <v>3465000</v>
      </c>
      <c r="F21" s="159">
        <v>0</v>
      </c>
      <c r="G21" s="220">
        <v>19212</v>
      </c>
      <c r="H21" s="220">
        <v>0</v>
      </c>
      <c r="I21" s="220">
        <v>0</v>
      </c>
      <c r="J21" s="220">
        <f t="shared" ref="J21:J35" si="9">E21+F21+G21-H21-I21</f>
        <v>3484212</v>
      </c>
      <c r="K21" s="221">
        <f t="shared" ref="K21:K35" si="10">J21-E21</f>
        <v>19212</v>
      </c>
      <c r="L21" s="175">
        <v>44927</v>
      </c>
      <c r="M21" s="160">
        <v>45292</v>
      </c>
      <c r="N21" s="158">
        <f t="shared" ref="N21:N35" si="11">M21-L21</f>
        <v>365</v>
      </c>
      <c r="O21" s="158">
        <v>365</v>
      </c>
      <c r="P21" s="167" t="s">
        <v>83</v>
      </c>
      <c r="Q21" s="223">
        <f t="shared" ref="Q21:Q35" si="12">F21*N21/O21</f>
        <v>0</v>
      </c>
      <c r="R21" s="220" cm="1">
        <f t="array" ref="R21">_xlfn.IFS($P21="Nee",G21*$N21/$O21,$P21="Ja",G21*0.5)</f>
        <v>19212</v>
      </c>
      <c r="S21" s="220" cm="1">
        <f t="array" ref="S21">_xlfn.IFS($P21="Nee",-(H21*$N21/$O21),$P21="Ja",-(H21*0.5))</f>
        <v>0</v>
      </c>
      <c r="T21" s="220">
        <f t="shared" ref="T21:T35" si="13">-I21*N21/O21</f>
        <v>0</v>
      </c>
      <c r="U21" s="224">
        <f t="shared" ref="U21:U35" si="14">SUM(Q21:T21)</f>
        <v>19212</v>
      </c>
      <c r="V21" s="225">
        <f>IFERROR(_xlfn.XLOOKUP(Table4[[#This Row],[Subnummer]],Table3[Sub],Table3[Promillage 1]),0)</f>
        <v>0.69399999999999995</v>
      </c>
      <c r="W21" s="226">
        <f t="shared" ref="W21:W35" si="15">$U21*V21/1000*V$7</f>
        <v>13.333127999999999</v>
      </c>
      <c r="X21" s="220">
        <f t="shared" si="5"/>
        <v>13.333127999999999</v>
      </c>
      <c r="Y21" s="222" t="str" cm="1">
        <f t="array" ref="Y21">_xlfn.IFS(X21=0,"Nihil",X21&gt;0,"Suppletie",X21&lt;0,"Restitutie")</f>
        <v>Suppletie</v>
      </c>
    </row>
    <row r="22" spans="1:25" x14ac:dyDescent="0.25">
      <c r="A22" s="217" t="str">
        <f>IFERROR(_xlfn.XLOOKUP(D22,Specificatie!C:C,Specificatie!A:A),"-")</f>
        <v>Stichting AOC Terra</v>
      </c>
      <c r="B22" s="158" t="s">
        <v>149</v>
      </c>
      <c r="C22" s="218">
        <f>IFERROR(_xlfn.XLOOKUP(Table4[[#This Row],[Subnummer]],Table3[Sub],Table3[Certificaat]),"-")</f>
        <v>0</v>
      </c>
      <c r="D22" s="169">
        <v>16</v>
      </c>
      <c r="E22" s="219">
        <f>IFERROR(_xlfn.XLOOKUP(Table4[[#This Row],[Subnummer]],Table3[Sub],Table3[Verz. Waarde Oud:]),0)</f>
        <v>3013000</v>
      </c>
      <c r="F22" s="159">
        <v>0</v>
      </c>
      <c r="G22" s="220">
        <v>55511</v>
      </c>
      <c r="H22" s="220">
        <v>0</v>
      </c>
      <c r="I22" s="220">
        <v>0</v>
      </c>
      <c r="J22" s="220">
        <f t="shared" si="9"/>
        <v>3068511</v>
      </c>
      <c r="K22" s="221">
        <f t="shared" si="10"/>
        <v>55511</v>
      </c>
      <c r="L22" s="175">
        <v>44927</v>
      </c>
      <c r="M22" s="160">
        <v>45292</v>
      </c>
      <c r="N22" s="158">
        <f t="shared" si="11"/>
        <v>365</v>
      </c>
      <c r="O22" s="158">
        <v>365</v>
      </c>
      <c r="P22" s="167" t="s">
        <v>83</v>
      </c>
      <c r="Q22" s="223">
        <f t="shared" si="12"/>
        <v>0</v>
      </c>
      <c r="R22" s="220" cm="1">
        <f t="array" ref="R22">_xlfn.IFS($P22="Nee",G22*$N22/$O22,$P22="Ja",G22*0.5)</f>
        <v>55511</v>
      </c>
      <c r="S22" s="220" cm="1">
        <f t="array" ref="S22">_xlfn.IFS($P22="Nee",-(H22*$N22/$O22),$P22="Ja",-(H22*0.5))</f>
        <v>0</v>
      </c>
      <c r="T22" s="220">
        <f t="shared" si="13"/>
        <v>0</v>
      </c>
      <c r="U22" s="224">
        <f t="shared" si="14"/>
        <v>55511</v>
      </c>
      <c r="V22" s="225">
        <f>IFERROR(_xlfn.XLOOKUP(Table4[[#This Row],[Subnummer]],Table3[Sub],Table3[Promillage 1]),0)</f>
        <v>0.69399999999999995</v>
      </c>
      <c r="W22" s="226">
        <f t="shared" si="15"/>
        <v>38.524633999999999</v>
      </c>
      <c r="X22" s="220">
        <f t="shared" si="5"/>
        <v>38.524633999999999</v>
      </c>
      <c r="Y22" s="222" t="str" cm="1">
        <f t="array" ref="Y22">_xlfn.IFS(X22=0,"Nihil",X22&gt;0,"Suppletie",X22&lt;0,"Restitutie")</f>
        <v>Suppletie</v>
      </c>
    </row>
    <row r="23" spans="1:25" x14ac:dyDescent="0.25">
      <c r="A23" s="217" t="str">
        <f>IFERROR(_xlfn.XLOOKUP(D23,Specificatie!C:C,Specificatie!A:A),"-")</f>
        <v>Stichting AOC Terra</v>
      </c>
      <c r="B23" s="158" t="s">
        <v>149</v>
      </c>
      <c r="C23" s="218">
        <f>IFERROR(_xlfn.XLOOKUP(Table4[[#This Row],[Subnummer]],Table3[Sub],Table3[Certificaat]),"-")</f>
        <v>0</v>
      </c>
      <c r="D23" s="169">
        <v>17</v>
      </c>
      <c r="E23" s="219">
        <f>IFERROR(_xlfn.XLOOKUP(Table4[[#This Row],[Subnummer]],Table3[Sub],Table3[Verz. Waarde Oud:]),0)</f>
        <v>4261000</v>
      </c>
      <c r="F23" s="159">
        <v>0</v>
      </c>
      <c r="G23" s="220">
        <v>78954</v>
      </c>
      <c r="H23" s="220">
        <v>0</v>
      </c>
      <c r="I23" s="220">
        <v>0</v>
      </c>
      <c r="J23" s="220">
        <f t="shared" si="9"/>
        <v>4339954</v>
      </c>
      <c r="K23" s="221">
        <f t="shared" si="10"/>
        <v>78954</v>
      </c>
      <c r="L23" s="175">
        <v>44927</v>
      </c>
      <c r="M23" s="160">
        <v>45292</v>
      </c>
      <c r="N23" s="158">
        <f t="shared" si="11"/>
        <v>365</v>
      </c>
      <c r="O23" s="158">
        <v>365</v>
      </c>
      <c r="P23" s="167" t="s">
        <v>83</v>
      </c>
      <c r="Q23" s="223">
        <f t="shared" si="12"/>
        <v>0</v>
      </c>
      <c r="R23" s="220" cm="1">
        <f t="array" ref="R23">_xlfn.IFS($P23="Nee",G23*$N23/$O23,$P23="Ja",G23*0.5)</f>
        <v>78954</v>
      </c>
      <c r="S23" s="220" cm="1">
        <f t="array" ref="S23">_xlfn.IFS($P23="Nee",-(H23*$N23/$O23),$P23="Ja",-(H23*0.5))</f>
        <v>0</v>
      </c>
      <c r="T23" s="220">
        <f t="shared" si="13"/>
        <v>0</v>
      </c>
      <c r="U23" s="224">
        <f t="shared" si="14"/>
        <v>78954</v>
      </c>
      <c r="V23" s="225">
        <f>IFERROR(_xlfn.XLOOKUP(Table4[[#This Row],[Subnummer]],Table3[Sub],Table3[Promillage 1]),0)</f>
        <v>0.69399999999999995</v>
      </c>
      <c r="W23" s="226">
        <f t="shared" si="15"/>
        <v>54.794075999999997</v>
      </c>
      <c r="X23" s="220">
        <f t="shared" si="5"/>
        <v>54.794075999999997</v>
      </c>
      <c r="Y23" s="222" t="str" cm="1">
        <f t="array" ref="Y23">_xlfn.IFS(X23=0,"Nihil",X23&gt;0,"Suppletie",X23&lt;0,"Restitutie")</f>
        <v>Suppletie</v>
      </c>
    </row>
    <row r="24" spans="1:25" x14ac:dyDescent="0.25">
      <c r="A24" s="217" t="str">
        <f>IFERROR(_xlfn.XLOOKUP(D24,Specificatie!C:C,Specificatie!A:A),"-")</f>
        <v>Stichting AOC Terra</v>
      </c>
      <c r="B24" s="158" t="s">
        <v>149</v>
      </c>
      <c r="C24" s="218">
        <f>IFERROR(_xlfn.XLOOKUP(Table4[[#This Row],[Subnummer]],Table3[Sub],Table3[Certificaat]),"-")</f>
        <v>0</v>
      </c>
      <c r="D24" s="169">
        <v>18</v>
      </c>
      <c r="E24" s="219">
        <f>IFERROR(_xlfn.XLOOKUP(Table4[[#This Row],[Subnummer]],Table3[Sub],Table3[Verz. Waarde Oud:]),0)</f>
        <v>2399000</v>
      </c>
      <c r="F24" s="159">
        <v>0</v>
      </c>
      <c r="G24" s="220">
        <v>54462</v>
      </c>
      <c r="H24" s="220">
        <v>0</v>
      </c>
      <c r="I24" s="220">
        <v>0</v>
      </c>
      <c r="J24" s="220">
        <f t="shared" si="9"/>
        <v>2453462</v>
      </c>
      <c r="K24" s="221">
        <f t="shared" si="10"/>
        <v>54462</v>
      </c>
      <c r="L24" s="175">
        <v>44927</v>
      </c>
      <c r="M24" s="160">
        <v>45292</v>
      </c>
      <c r="N24" s="158">
        <f t="shared" si="11"/>
        <v>365</v>
      </c>
      <c r="O24" s="158">
        <v>365</v>
      </c>
      <c r="P24" s="167" t="s">
        <v>83</v>
      </c>
      <c r="Q24" s="223">
        <f t="shared" si="12"/>
        <v>0</v>
      </c>
      <c r="R24" s="220" cm="1">
        <f t="array" ref="R24">_xlfn.IFS($P24="Nee",G24*$N24/$O24,$P24="Ja",G24*0.5)</f>
        <v>54462</v>
      </c>
      <c r="S24" s="220" cm="1">
        <f t="array" ref="S24">_xlfn.IFS($P24="Nee",-(H24*$N24/$O24),$P24="Ja",-(H24*0.5))</f>
        <v>0</v>
      </c>
      <c r="T24" s="220">
        <f t="shared" si="13"/>
        <v>0</v>
      </c>
      <c r="U24" s="224">
        <f t="shared" si="14"/>
        <v>54462</v>
      </c>
      <c r="V24" s="225">
        <f>IFERROR(_xlfn.XLOOKUP(Table4[[#This Row],[Subnummer]],Table3[Sub],Table3[Promillage 1]),0)</f>
        <v>0.69399999999999995</v>
      </c>
      <c r="W24" s="226">
        <f t="shared" si="15"/>
        <v>37.796627999999998</v>
      </c>
      <c r="X24" s="220">
        <f t="shared" si="5"/>
        <v>37.796627999999998</v>
      </c>
      <c r="Y24" s="222" t="str" cm="1">
        <f t="array" ref="Y24">_xlfn.IFS(X24=0,"Nihil",X24&gt;0,"Suppletie",X24&lt;0,"Restitutie")</f>
        <v>Suppletie</v>
      </c>
    </row>
    <row r="25" spans="1:25" x14ac:dyDescent="0.25">
      <c r="A25" s="217" t="str">
        <f>IFERROR(_xlfn.XLOOKUP(D25,Specificatie!C:C,Specificatie!A:A),"-")</f>
        <v>Stichting AOC Terra</v>
      </c>
      <c r="B25" s="158" t="s">
        <v>149</v>
      </c>
      <c r="C25" s="218">
        <f>IFERROR(_xlfn.XLOOKUP(Table4[[#This Row],[Subnummer]],Table3[Sub],Table3[Certificaat]),"-")</f>
        <v>0</v>
      </c>
      <c r="D25" s="169">
        <v>19</v>
      </c>
      <c r="E25" s="219">
        <f>IFERROR(_xlfn.XLOOKUP(Table4[[#This Row],[Subnummer]],Table3[Sub],Table3[Verz. Waarde Oud:]),0)</f>
        <v>1102000</v>
      </c>
      <c r="F25" s="159">
        <v>0</v>
      </c>
      <c r="G25" s="220">
        <v>4228</v>
      </c>
      <c r="H25" s="220">
        <v>0</v>
      </c>
      <c r="I25" s="220">
        <v>0</v>
      </c>
      <c r="J25" s="220">
        <f t="shared" si="9"/>
        <v>1106228</v>
      </c>
      <c r="K25" s="221">
        <f t="shared" si="10"/>
        <v>4228</v>
      </c>
      <c r="L25" s="175">
        <v>44927</v>
      </c>
      <c r="M25" s="160">
        <v>45292</v>
      </c>
      <c r="N25" s="158">
        <f t="shared" si="11"/>
        <v>365</v>
      </c>
      <c r="O25" s="158">
        <v>365</v>
      </c>
      <c r="P25" s="167" t="s">
        <v>83</v>
      </c>
      <c r="Q25" s="223">
        <f t="shared" si="12"/>
        <v>0</v>
      </c>
      <c r="R25" s="220" cm="1">
        <f t="array" ref="R25">_xlfn.IFS($P25="Nee",G25*$N25/$O25,$P25="Ja",G25*0.5)</f>
        <v>4228</v>
      </c>
      <c r="S25" s="220" cm="1">
        <f t="array" ref="S25">_xlfn.IFS($P25="Nee",-(H25*$N25/$O25),$P25="Ja",-(H25*0.5))</f>
        <v>0</v>
      </c>
      <c r="T25" s="220">
        <f t="shared" si="13"/>
        <v>0</v>
      </c>
      <c r="U25" s="224">
        <f t="shared" si="14"/>
        <v>4228</v>
      </c>
      <c r="V25" s="225">
        <f>IFERROR(_xlfn.XLOOKUP(Table4[[#This Row],[Subnummer]],Table3[Sub],Table3[Promillage 1]),0)</f>
        <v>0.69399999999999995</v>
      </c>
      <c r="W25" s="226">
        <f t="shared" si="15"/>
        <v>2.9342320000000002</v>
      </c>
      <c r="X25" s="220">
        <f t="shared" si="5"/>
        <v>2.9342320000000002</v>
      </c>
      <c r="Y25" s="222" t="str" cm="1">
        <f t="array" ref="Y25">_xlfn.IFS(X25=0,"Nihil",X25&gt;0,"Suppletie",X25&lt;0,"Restitutie")</f>
        <v>Suppletie</v>
      </c>
    </row>
    <row r="26" spans="1:25" x14ac:dyDescent="0.25">
      <c r="A26" s="217" t="str">
        <f>IFERROR(_xlfn.XLOOKUP(D26,Specificatie!C:C,Specificatie!A:A),"-")</f>
        <v>Stichting AOC Terra</v>
      </c>
      <c r="B26" s="158" t="s">
        <v>149</v>
      </c>
      <c r="C26" s="218">
        <f>IFERROR(_xlfn.XLOOKUP(Table4[[#This Row],[Subnummer]],Table3[Sub],Table3[Certificaat]),"-")</f>
        <v>0</v>
      </c>
      <c r="D26" s="169">
        <v>20</v>
      </c>
      <c r="E26" s="219">
        <f>IFERROR(_xlfn.XLOOKUP(Table4[[#This Row],[Subnummer]],Table3[Sub],Table3[Verz. Waarde Oud:]),0)</f>
        <v>1776000</v>
      </c>
      <c r="F26" s="159">
        <v>0</v>
      </c>
      <c r="G26" s="220">
        <v>9870</v>
      </c>
      <c r="H26" s="220">
        <v>0</v>
      </c>
      <c r="I26" s="220">
        <v>0</v>
      </c>
      <c r="J26" s="220">
        <f t="shared" si="9"/>
        <v>1785870</v>
      </c>
      <c r="K26" s="221">
        <f t="shared" si="10"/>
        <v>9870</v>
      </c>
      <c r="L26" s="175">
        <v>44927</v>
      </c>
      <c r="M26" s="160">
        <v>45292</v>
      </c>
      <c r="N26" s="158">
        <f t="shared" si="11"/>
        <v>365</v>
      </c>
      <c r="O26" s="158">
        <v>365</v>
      </c>
      <c r="P26" s="167" t="s">
        <v>83</v>
      </c>
      <c r="Q26" s="223">
        <f t="shared" si="12"/>
        <v>0</v>
      </c>
      <c r="R26" s="220" cm="1">
        <f t="array" ref="R26">_xlfn.IFS($P26="Nee",G26*$N26/$O26,$P26="Ja",G26*0.5)</f>
        <v>9870</v>
      </c>
      <c r="S26" s="220" cm="1">
        <f t="array" ref="S26">_xlfn.IFS($P26="Nee",-(H26*$N26/$O26),$P26="Ja",-(H26*0.5))</f>
        <v>0</v>
      </c>
      <c r="T26" s="220">
        <f t="shared" si="13"/>
        <v>0</v>
      </c>
      <c r="U26" s="224">
        <f t="shared" si="14"/>
        <v>9870</v>
      </c>
      <c r="V26" s="225">
        <f>IFERROR(_xlfn.XLOOKUP(Table4[[#This Row],[Subnummer]],Table3[Sub],Table3[Promillage 1]),0)</f>
        <v>0.69399999999999995</v>
      </c>
      <c r="W26" s="226">
        <f t="shared" si="15"/>
        <v>6.84978</v>
      </c>
      <c r="X26" s="220">
        <f t="shared" si="5"/>
        <v>6.84978</v>
      </c>
      <c r="Y26" s="222" t="str" cm="1">
        <f t="array" ref="Y26">_xlfn.IFS(X26=0,"Nihil",X26&gt;0,"Suppletie",X26&lt;0,"Restitutie")</f>
        <v>Suppletie</v>
      </c>
    </row>
    <row r="27" spans="1:25" x14ac:dyDescent="0.25">
      <c r="A27" s="217" t="str">
        <f>IFERROR(_xlfn.XLOOKUP(D27,Specificatie!C:C,Specificatie!A:A),"-")</f>
        <v>Stichting AOC Terra</v>
      </c>
      <c r="B27" s="158" t="s">
        <v>149</v>
      </c>
      <c r="C27" s="218">
        <f>IFERROR(_xlfn.XLOOKUP(Table4[[#This Row],[Subnummer]],Table3[Sub],Table3[Certificaat]),"-")</f>
        <v>0</v>
      </c>
      <c r="D27" s="169">
        <v>21</v>
      </c>
      <c r="E27" s="219">
        <f>IFERROR(_xlfn.XLOOKUP(Table4[[#This Row],[Subnummer]],Table3[Sub],Table3[Verz. Waarde Oud:]),0)</f>
        <v>2264000</v>
      </c>
      <c r="F27" s="159">
        <v>0</v>
      </c>
      <c r="G27" s="220">
        <v>23353</v>
      </c>
      <c r="H27" s="220">
        <v>0</v>
      </c>
      <c r="I27" s="220">
        <v>0</v>
      </c>
      <c r="J27" s="220">
        <f t="shared" si="9"/>
        <v>2287353</v>
      </c>
      <c r="K27" s="221">
        <f t="shared" si="10"/>
        <v>23353</v>
      </c>
      <c r="L27" s="175">
        <v>44927</v>
      </c>
      <c r="M27" s="160">
        <v>45292</v>
      </c>
      <c r="N27" s="158">
        <f t="shared" si="11"/>
        <v>365</v>
      </c>
      <c r="O27" s="158">
        <v>365</v>
      </c>
      <c r="P27" s="167" t="s">
        <v>83</v>
      </c>
      <c r="Q27" s="223">
        <f t="shared" si="12"/>
        <v>0</v>
      </c>
      <c r="R27" s="220" cm="1">
        <f t="array" ref="R27">_xlfn.IFS($P27="Nee",G27*$N27/$O27,$P27="Ja",G27*0.5)</f>
        <v>23353</v>
      </c>
      <c r="S27" s="220" cm="1">
        <f t="array" ref="S27">_xlfn.IFS($P27="Nee",-(H27*$N27/$O27),$P27="Ja",-(H27*0.5))</f>
        <v>0</v>
      </c>
      <c r="T27" s="220">
        <f t="shared" si="13"/>
        <v>0</v>
      </c>
      <c r="U27" s="224">
        <f t="shared" si="14"/>
        <v>23353</v>
      </c>
      <c r="V27" s="225">
        <f>IFERROR(_xlfn.XLOOKUP(Table4[[#This Row],[Subnummer]],Table3[Sub],Table3[Promillage 1]),0)</f>
        <v>0.69399999999999995</v>
      </c>
      <c r="W27" s="226">
        <f t="shared" si="15"/>
        <v>16.206981999999996</v>
      </c>
      <c r="X27" s="220">
        <f t="shared" si="5"/>
        <v>16.206981999999996</v>
      </c>
      <c r="Y27" s="222" t="str" cm="1">
        <f t="array" ref="Y27">_xlfn.IFS(X27=0,"Nihil",X27&gt;0,"Suppletie",X27&lt;0,"Restitutie")</f>
        <v>Suppletie</v>
      </c>
    </row>
    <row r="28" spans="1:25" x14ac:dyDescent="0.25">
      <c r="A28" s="217" t="str">
        <f>IFERROR(_xlfn.XLOOKUP(D28,Specificatie!C:C,Specificatie!A:A),"-")</f>
        <v>Stichting AOC Terra</v>
      </c>
      <c r="B28" s="158" t="s">
        <v>149</v>
      </c>
      <c r="C28" s="218">
        <f>IFERROR(_xlfn.XLOOKUP(Table4[[#This Row],[Subnummer]],Table3[Sub],Table3[Certificaat]),"-")</f>
        <v>0</v>
      </c>
      <c r="D28" s="169">
        <v>22</v>
      </c>
      <c r="E28" s="219">
        <f>IFERROR(_xlfn.XLOOKUP(Table4[[#This Row],[Subnummer]],Table3[Sub],Table3[Verz. Waarde Oud:]),0)</f>
        <v>3379000</v>
      </c>
      <c r="F28" s="159">
        <v>0</v>
      </c>
      <c r="G28" s="220">
        <v>57842</v>
      </c>
      <c r="H28" s="220">
        <v>0</v>
      </c>
      <c r="I28" s="220">
        <v>0</v>
      </c>
      <c r="J28" s="220">
        <f t="shared" si="9"/>
        <v>3436842</v>
      </c>
      <c r="K28" s="221">
        <f t="shared" si="10"/>
        <v>57842</v>
      </c>
      <c r="L28" s="175">
        <v>44927</v>
      </c>
      <c r="M28" s="160">
        <v>45292</v>
      </c>
      <c r="N28" s="158">
        <f t="shared" si="11"/>
        <v>365</v>
      </c>
      <c r="O28" s="158">
        <v>365</v>
      </c>
      <c r="P28" s="167" t="s">
        <v>83</v>
      </c>
      <c r="Q28" s="223">
        <f t="shared" si="12"/>
        <v>0</v>
      </c>
      <c r="R28" s="220" cm="1">
        <f t="array" ref="R28">_xlfn.IFS($P28="Nee",G28*$N28/$O28,$P28="Ja",G28*0.5)</f>
        <v>57842</v>
      </c>
      <c r="S28" s="220" cm="1">
        <f t="array" ref="S28">_xlfn.IFS($P28="Nee",-(H28*$N28/$O28),$P28="Ja",-(H28*0.5))</f>
        <v>0</v>
      </c>
      <c r="T28" s="220">
        <f t="shared" si="13"/>
        <v>0</v>
      </c>
      <c r="U28" s="224">
        <f t="shared" si="14"/>
        <v>57842</v>
      </c>
      <c r="V28" s="225">
        <f>IFERROR(_xlfn.XLOOKUP(Table4[[#This Row],[Subnummer]],Table3[Sub],Table3[Promillage 1]),0)</f>
        <v>0.69399999999999995</v>
      </c>
      <c r="W28" s="226">
        <f t="shared" si="15"/>
        <v>40.142347999999998</v>
      </c>
      <c r="X28" s="220">
        <f t="shared" si="5"/>
        <v>40.142347999999998</v>
      </c>
      <c r="Y28" s="222" t="str" cm="1">
        <f t="array" ref="Y28">_xlfn.IFS(X28=0,"Nihil",X28&gt;0,"Suppletie",X28&lt;0,"Restitutie")</f>
        <v>Suppletie</v>
      </c>
    </row>
    <row r="29" spans="1:25" x14ac:dyDescent="0.25">
      <c r="A29" s="217" t="str">
        <f>IFERROR(_xlfn.XLOOKUP(D29,Specificatie!C:C,Specificatie!A:A),"-")</f>
        <v>Stichting AOC Terra</v>
      </c>
      <c r="B29" s="158" t="s">
        <v>149</v>
      </c>
      <c r="C29" s="218">
        <f>IFERROR(_xlfn.XLOOKUP(Table4[[#This Row],[Subnummer]],Table3[Sub],Table3[Certificaat]),"-")</f>
        <v>0</v>
      </c>
      <c r="D29" s="169">
        <v>23</v>
      </c>
      <c r="E29" s="219">
        <f>IFERROR(_xlfn.XLOOKUP(Table4[[#This Row],[Subnummer]],Table3[Sub],Table3[Verz. Waarde Oud:]),0)</f>
        <v>4657000</v>
      </c>
      <c r="F29" s="159">
        <v>0</v>
      </c>
      <c r="G29" s="220">
        <v>19869</v>
      </c>
      <c r="H29" s="220">
        <v>0</v>
      </c>
      <c r="I29" s="220">
        <v>0</v>
      </c>
      <c r="J29" s="220">
        <f t="shared" si="9"/>
        <v>4676869</v>
      </c>
      <c r="K29" s="221">
        <f t="shared" si="10"/>
        <v>19869</v>
      </c>
      <c r="L29" s="175">
        <v>44927</v>
      </c>
      <c r="M29" s="160">
        <v>45292</v>
      </c>
      <c r="N29" s="158">
        <f t="shared" si="11"/>
        <v>365</v>
      </c>
      <c r="O29" s="158">
        <v>365</v>
      </c>
      <c r="P29" s="167" t="s">
        <v>83</v>
      </c>
      <c r="Q29" s="223">
        <f t="shared" si="12"/>
        <v>0</v>
      </c>
      <c r="R29" s="220" cm="1">
        <f t="array" ref="R29">_xlfn.IFS($P29="Nee",G29*$N29/$O29,$P29="Ja",G29*0.5)</f>
        <v>19869</v>
      </c>
      <c r="S29" s="220" cm="1">
        <f t="array" ref="S29">_xlfn.IFS($P29="Nee",-(H29*$N29/$O29),$P29="Ja",-(H29*0.5))</f>
        <v>0</v>
      </c>
      <c r="T29" s="220">
        <f t="shared" si="13"/>
        <v>0</v>
      </c>
      <c r="U29" s="224">
        <f t="shared" si="14"/>
        <v>19869</v>
      </c>
      <c r="V29" s="225">
        <f>IFERROR(_xlfn.XLOOKUP(Table4[[#This Row],[Subnummer]],Table3[Sub],Table3[Promillage 1]),0)</f>
        <v>0.69399999999999995</v>
      </c>
      <c r="W29" s="226">
        <f t="shared" si="15"/>
        <v>13.789085999999999</v>
      </c>
      <c r="X29" s="220">
        <f t="shared" si="5"/>
        <v>13.789085999999999</v>
      </c>
      <c r="Y29" s="222" t="str" cm="1">
        <f t="array" ref="Y29">_xlfn.IFS(X29=0,"Nihil",X29&gt;0,"Suppletie",X29&lt;0,"Restitutie")</f>
        <v>Suppletie</v>
      </c>
    </row>
    <row r="30" spans="1:25" x14ac:dyDescent="0.25">
      <c r="A30" s="217" t="str">
        <f>IFERROR(_xlfn.XLOOKUP(D30,Specificatie!C:C,Specificatie!A:A),"-")</f>
        <v>Stichting AOC Terra</v>
      </c>
      <c r="B30" s="158" t="s">
        <v>149</v>
      </c>
      <c r="C30" s="218">
        <f>IFERROR(_xlfn.XLOOKUP(Table4[[#This Row],[Subnummer]],Table3[Sub],Table3[Certificaat]),"-")</f>
        <v>0</v>
      </c>
      <c r="D30" s="169">
        <v>24</v>
      </c>
      <c r="E30" s="219">
        <f>IFERROR(_xlfn.XLOOKUP(Table4[[#This Row],[Subnummer]],Table3[Sub],Table3[Verz. Waarde Oud:]),0)</f>
        <v>2287000</v>
      </c>
      <c r="F30" s="159">
        <v>0</v>
      </c>
      <c r="G30" s="220">
        <v>76724</v>
      </c>
      <c r="H30" s="220">
        <v>0</v>
      </c>
      <c r="I30" s="220">
        <v>0</v>
      </c>
      <c r="J30" s="220">
        <f t="shared" si="9"/>
        <v>2363724</v>
      </c>
      <c r="K30" s="221">
        <f t="shared" si="10"/>
        <v>76724</v>
      </c>
      <c r="L30" s="175">
        <v>44927</v>
      </c>
      <c r="M30" s="160">
        <v>45292</v>
      </c>
      <c r="N30" s="158">
        <f t="shared" si="11"/>
        <v>365</v>
      </c>
      <c r="O30" s="158">
        <v>365</v>
      </c>
      <c r="P30" s="167" t="s">
        <v>83</v>
      </c>
      <c r="Q30" s="223">
        <f t="shared" si="12"/>
        <v>0</v>
      </c>
      <c r="R30" s="220" cm="1">
        <f t="array" ref="R30">_xlfn.IFS($P30="Nee",G30*$N30/$O30,$P30="Ja",G30*0.5)</f>
        <v>76724</v>
      </c>
      <c r="S30" s="220" cm="1">
        <f t="array" ref="S30">_xlfn.IFS($P30="Nee",-(H30*$N30/$O30),$P30="Ja",-(H30*0.5))</f>
        <v>0</v>
      </c>
      <c r="T30" s="220">
        <f t="shared" si="13"/>
        <v>0</v>
      </c>
      <c r="U30" s="224">
        <f t="shared" si="14"/>
        <v>76724</v>
      </c>
      <c r="V30" s="225">
        <f>IFERROR(_xlfn.XLOOKUP(Table4[[#This Row],[Subnummer]],Table3[Sub],Table3[Promillage 1]),0)</f>
        <v>0.69399999999999995</v>
      </c>
      <c r="W30" s="226">
        <f t="shared" si="15"/>
        <v>53.246455999999995</v>
      </c>
      <c r="X30" s="220">
        <f t="shared" si="5"/>
        <v>53.246455999999995</v>
      </c>
      <c r="Y30" s="222" t="str" cm="1">
        <f t="array" ref="Y30">_xlfn.IFS(X30=0,"Nihil",X30&gt;0,"Suppletie",X30&lt;0,"Restitutie")</f>
        <v>Suppletie</v>
      </c>
    </row>
    <row r="31" spans="1:25" x14ac:dyDescent="0.25">
      <c r="A31" s="217" t="str">
        <f>IFERROR(_xlfn.XLOOKUP(D31,Specificatie!C:C,Specificatie!A:A),"-")</f>
        <v>Stichting AOC Terra</v>
      </c>
      <c r="B31" s="158" t="s">
        <v>149</v>
      </c>
      <c r="C31" s="218">
        <f>IFERROR(_xlfn.XLOOKUP(Table4[[#This Row],[Subnummer]],Table3[Sub],Table3[Certificaat]),"-")</f>
        <v>0</v>
      </c>
      <c r="D31" s="169">
        <v>27</v>
      </c>
      <c r="E31" s="219">
        <f>IFERROR(_xlfn.XLOOKUP(Table4[[#This Row],[Subnummer]],Table3[Sub],Table3[Verz. Waarde Oud:]),0)</f>
        <v>537000</v>
      </c>
      <c r="F31" s="159">
        <v>0</v>
      </c>
      <c r="G31" s="220">
        <v>8280</v>
      </c>
      <c r="H31" s="220">
        <v>0</v>
      </c>
      <c r="I31" s="220">
        <v>0</v>
      </c>
      <c r="J31" s="220">
        <f t="shared" si="9"/>
        <v>545280</v>
      </c>
      <c r="K31" s="221">
        <f t="shared" si="10"/>
        <v>8280</v>
      </c>
      <c r="L31" s="175">
        <v>44927</v>
      </c>
      <c r="M31" s="160">
        <v>45292</v>
      </c>
      <c r="N31" s="158">
        <f t="shared" si="11"/>
        <v>365</v>
      </c>
      <c r="O31" s="158">
        <v>365</v>
      </c>
      <c r="P31" s="167" t="s">
        <v>83</v>
      </c>
      <c r="Q31" s="223">
        <f t="shared" si="12"/>
        <v>0</v>
      </c>
      <c r="R31" s="220" cm="1">
        <f t="array" ref="R31">_xlfn.IFS($P31="Nee",G31*$N31/$O31,$P31="Ja",G31*0.5)</f>
        <v>8280</v>
      </c>
      <c r="S31" s="220" cm="1">
        <f t="array" ref="S31">_xlfn.IFS($P31="Nee",-(H31*$N31/$O31),$P31="Ja",-(H31*0.5))</f>
        <v>0</v>
      </c>
      <c r="T31" s="220">
        <f t="shared" si="13"/>
        <v>0</v>
      </c>
      <c r="U31" s="224">
        <f t="shared" si="14"/>
        <v>8280</v>
      </c>
      <c r="V31" s="225">
        <f>IFERROR(_xlfn.XLOOKUP(Table4[[#This Row],[Subnummer]],Table3[Sub],Table3[Promillage 1]),0)</f>
        <v>0.69399999999999995</v>
      </c>
      <c r="W31" s="226">
        <f t="shared" si="15"/>
        <v>5.7463199999999999</v>
      </c>
      <c r="X31" s="220">
        <f t="shared" si="5"/>
        <v>5.7463199999999999</v>
      </c>
      <c r="Y31" s="222" t="str" cm="1">
        <f t="array" ref="Y31">_xlfn.IFS(X31=0,"Nihil",X31&gt;0,"Suppletie",X31&lt;0,"Restitutie")</f>
        <v>Suppletie</v>
      </c>
    </row>
    <row r="32" spans="1:25" x14ac:dyDescent="0.25">
      <c r="A32" s="217" t="str">
        <f>IFERROR(_xlfn.XLOOKUP(D32,Specificatie!C:C,Specificatie!A:A),"-")</f>
        <v>Stichting AOC Terra</v>
      </c>
      <c r="B32" s="158" t="s">
        <v>149</v>
      </c>
      <c r="C32" s="218">
        <f>IFERROR(_xlfn.XLOOKUP(Table4[[#This Row],[Subnummer]],Table3[Sub],Table3[Certificaat]),"-")</f>
        <v>0</v>
      </c>
      <c r="D32" s="169">
        <v>28</v>
      </c>
      <c r="E32" s="219">
        <f>IFERROR(_xlfn.XLOOKUP(Table4[[#This Row],[Subnummer]],Table3[Sub],Table3[Verz. Waarde Oud:]),0)</f>
        <v>107000</v>
      </c>
      <c r="F32" s="159">
        <v>0</v>
      </c>
      <c r="G32" s="220">
        <v>11732</v>
      </c>
      <c r="H32" s="220">
        <v>0</v>
      </c>
      <c r="I32" s="220">
        <v>0</v>
      </c>
      <c r="J32" s="220">
        <f t="shared" si="9"/>
        <v>118732</v>
      </c>
      <c r="K32" s="221">
        <f t="shared" si="10"/>
        <v>11732</v>
      </c>
      <c r="L32" s="175">
        <v>44927</v>
      </c>
      <c r="M32" s="160">
        <v>45292</v>
      </c>
      <c r="N32" s="158">
        <f t="shared" si="11"/>
        <v>365</v>
      </c>
      <c r="O32" s="158">
        <v>365</v>
      </c>
      <c r="P32" s="167" t="s">
        <v>83</v>
      </c>
      <c r="Q32" s="223">
        <f t="shared" si="12"/>
        <v>0</v>
      </c>
      <c r="R32" s="220" cm="1">
        <f t="array" ref="R32">_xlfn.IFS($P32="Nee",G32*$N32/$O32,$P32="Ja",G32*0.5)</f>
        <v>11732</v>
      </c>
      <c r="S32" s="220" cm="1">
        <f t="array" ref="S32">_xlfn.IFS($P32="Nee",-(H32*$N32/$O32),$P32="Ja",-(H32*0.5))</f>
        <v>0</v>
      </c>
      <c r="T32" s="220">
        <f t="shared" si="13"/>
        <v>0</v>
      </c>
      <c r="U32" s="224">
        <f t="shared" si="14"/>
        <v>11732</v>
      </c>
      <c r="V32" s="225">
        <f>IFERROR(_xlfn.XLOOKUP(Table4[[#This Row],[Subnummer]],Table3[Sub],Table3[Promillage 1]),0)</f>
        <v>0.69399999999999995</v>
      </c>
      <c r="W32" s="226">
        <f t="shared" si="15"/>
        <v>8.1420080000000006</v>
      </c>
      <c r="X32" s="220">
        <f t="shared" si="5"/>
        <v>8.1420080000000006</v>
      </c>
      <c r="Y32" s="222" t="str" cm="1">
        <f t="array" ref="Y32">_xlfn.IFS(X32=0,"Nihil",X32&gt;0,"Suppletie",X32&lt;0,"Restitutie")</f>
        <v>Suppletie</v>
      </c>
    </row>
    <row r="33" spans="1:25" x14ac:dyDescent="0.25">
      <c r="A33" s="217" t="str">
        <f>IFERROR(_xlfn.XLOOKUP(D33,Specificatie!C:C,Specificatie!A:A),"-")</f>
        <v>Stichting AOC Terra</v>
      </c>
      <c r="B33" s="218" t="s">
        <v>160</v>
      </c>
      <c r="C33" s="218">
        <f>IFERROR(_xlfn.XLOOKUP(Table4[[#This Row],[Subnummer]],Table3[Sub],Table3[Certificaat]),"-")</f>
        <v>0</v>
      </c>
      <c r="D33" s="169">
        <v>29</v>
      </c>
      <c r="E33" s="219">
        <f>IFERROR(_xlfn.XLOOKUP(Table4[[#This Row],[Subnummer]],Table3[Sub],Table3[Verz. Waarde Oud:]),0)</f>
        <v>0</v>
      </c>
      <c r="F33" s="159">
        <v>7659000</v>
      </c>
      <c r="G33" s="220">
        <v>0</v>
      </c>
      <c r="H33" s="220">
        <v>0</v>
      </c>
      <c r="I33" s="220">
        <v>0</v>
      </c>
      <c r="J33" s="220">
        <f t="shared" si="9"/>
        <v>7659000</v>
      </c>
      <c r="K33" s="221">
        <f t="shared" si="10"/>
        <v>7659000</v>
      </c>
      <c r="L33" s="175">
        <v>45287</v>
      </c>
      <c r="M33" s="160">
        <v>45292</v>
      </c>
      <c r="N33" s="158">
        <f t="shared" si="11"/>
        <v>5</v>
      </c>
      <c r="O33" s="158">
        <v>365</v>
      </c>
      <c r="P33" s="167" t="s">
        <v>83</v>
      </c>
      <c r="Q33" s="223">
        <f t="shared" si="12"/>
        <v>104917.80821917808</v>
      </c>
      <c r="R33" s="220" cm="1">
        <f t="array" ref="R33">_xlfn.IFS($P33="Nee",G33*$N33/$O33,$P33="Ja",G33*0.5)</f>
        <v>0</v>
      </c>
      <c r="S33" s="220" cm="1">
        <f t="array" ref="S33">_xlfn.IFS($P33="Nee",-(H33*$N33/$O33),$P33="Ja",-(H33*0.5))</f>
        <v>0</v>
      </c>
      <c r="T33" s="220">
        <f t="shared" si="13"/>
        <v>0</v>
      </c>
      <c r="U33" s="224">
        <f t="shared" si="14"/>
        <v>104917.80821917808</v>
      </c>
      <c r="V33" s="225">
        <f>IFERROR(_xlfn.XLOOKUP(Table4[[#This Row],[Subnummer]],Table3[Sub],Table3[Promillage 1]),0)</f>
        <v>0.69399999999999995</v>
      </c>
      <c r="W33" s="226">
        <f t="shared" si="15"/>
        <v>72.812958904109593</v>
      </c>
      <c r="X33" s="220">
        <f t="shared" si="5"/>
        <v>72.812958904109593</v>
      </c>
      <c r="Y33" s="222" t="str" cm="1">
        <f t="array" ref="Y33">_xlfn.IFS(X33=0,"Nihil",X33&gt;0,"Suppletie",X33&lt;0,"Restitutie")</f>
        <v>Suppletie</v>
      </c>
    </row>
    <row r="34" spans="1:25" x14ac:dyDescent="0.25">
      <c r="A34" s="217" t="str">
        <f>IFERROR(_xlfn.XLOOKUP(D34,Specificatie!C:C,Specificatie!A:A),"-")</f>
        <v>Stichting AOC Terra</v>
      </c>
      <c r="B34" s="218" t="s">
        <v>160</v>
      </c>
      <c r="C34" s="218">
        <f>IFERROR(_xlfn.XLOOKUP(Table4[[#This Row],[Subnummer]],Table3[Sub],Table3[Certificaat]),"-")</f>
        <v>0</v>
      </c>
      <c r="D34" s="169">
        <v>30</v>
      </c>
      <c r="E34" s="219">
        <f>IFERROR(_xlfn.XLOOKUP(Table4[[#This Row],[Subnummer]],Table3[Sub],Table3[Verz. Waarde Oud:]),0)</f>
        <v>0</v>
      </c>
      <c r="F34" s="220">
        <v>1942000</v>
      </c>
      <c r="G34" s="220">
        <v>0</v>
      </c>
      <c r="H34" s="220">
        <v>0</v>
      </c>
      <c r="I34" s="220">
        <v>0</v>
      </c>
      <c r="J34" s="220">
        <f t="shared" si="9"/>
        <v>1942000</v>
      </c>
      <c r="K34" s="221">
        <f t="shared" si="10"/>
        <v>1942000</v>
      </c>
      <c r="L34" s="175">
        <v>45287</v>
      </c>
      <c r="M34" s="160">
        <v>45292</v>
      </c>
      <c r="N34" s="158">
        <f t="shared" si="11"/>
        <v>5</v>
      </c>
      <c r="O34" s="158">
        <v>365</v>
      </c>
      <c r="P34" s="167" t="s">
        <v>83</v>
      </c>
      <c r="Q34" s="223">
        <f t="shared" si="12"/>
        <v>26602.739726027397</v>
      </c>
      <c r="R34" s="220" cm="1">
        <f t="array" ref="R34">_xlfn.IFS($P34="Nee",G34*$N34/$O34,$P34="Ja",G34*0.5)</f>
        <v>0</v>
      </c>
      <c r="S34" s="220" cm="1">
        <f t="array" ref="S34">_xlfn.IFS($P34="Nee",-(H34*$N34/$O34),$P34="Ja",-(H34*0.5))</f>
        <v>0</v>
      </c>
      <c r="T34" s="220">
        <f t="shared" si="13"/>
        <v>0</v>
      </c>
      <c r="U34" s="224">
        <f t="shared" si="14"/>
        <v>26602.739726027397</v>
      </c>
      <c r="V34" s="225">
        <f>IFERROR(_xlfn.XLOOKUP(Table4[[#This Row],[Subnummer]],Table3[Sub],Table3[Promillage 1]),0)</f>
        <v>0.69399999999999995</v>
      </c>
      <c r="W34" s="226">
        <f t="shared" si="15"/>
        <v>18.462301369863013</v>
      </c>
      <c r="X34" s="220">
        <f t="shared" si="5"/>
        <v>18.462301369863013</v>
      </c>
      <c r="Y34" s="222" t="str" cm="1">
        <f t="array" ref="Y34">_xlfn.IFS(X34=0,"Nihil",X34&gt;0,"Suppletie",X34&lt;0,"Restitutie")</f>
        <v>Suppletie</v>
      </c>
    </row>
    <row r="35" spans="1:25" hidden="1" x14ac:dyDescent="0.25">
      <c r="A35" s="217" t="str">
        <f>IFERROR(_xlfn.XLOOKUP(D35,Specificatie!C:C,Specificatie!A:A),"-")</f>
        <v>-</v>
      </c>
      <c r="B35" s="218"/>
      <c r="C35" s="218" t="str">
        <f>IFERROR(_xlfn.XLOOKUP(Table4[[#This Row],[Subnummer]],Table3[Sub],Table3[Certificaat]),"-")</f>
        <v>-</v>
      </c>
      <c r="D35" s="169">
        <v>0</v>
      </c>
      <c r="E35" s="219">
        <f>IFERROR(_xlfn.XLOOKUP(Table4[[#This Row],[Subnummer]],Table3[Sub],Table3[Verz. Waarde Oud:]),0)</f>
        <v>0</v>
      </c>
      <c r="F35" s="220">
        <v>0</v>
      </c>
      <c r="G35" s="220">
        <v>0</v>
      </c>
      <c r="H35" s="220">
        <v>0</v>
      </c>
      <c r="I35" s="220">
        <v>0</v>
      </c>
      <c r="J35" s="220">
        <f t="shared" si="9"/>
        <v>0</v>
      </c>
      <c r="K35" s="221">
        <f t="shared" si="10"/>
        <v>0</v>
      </c>
      <c r="L35" s="175">
        <v>44562</v>
      </c>
      <c r="M35" s="160">
        <v>44927</v>
      </c>
      <c r="N35" s="158">
        <f t="shared" si="11"/>
        <v>365</v>
      </c>
      <c r="O35" s="158">
        <v>365</v>
      </c>
      <c r="P35" s="167" t="s">
        <v>83</v>
      </c>
      <c r="Q35" s="223">
        <f t="shared" si="12"/>
        <v>0</v>
      </c>
      <c r="R35" s="220" cm="1">
        <f t="array" ref="R35">_xlfn.IFS($P35="Nee",G35*$N35/$O35,$P35="Ja",G35*0.5)</f>
        <v>0</v>
      </c>
      <c r="S35" s="220" cm="1">
        <f t="array" ref="S35">_xlfn.IFS($P35="Nee",-(H35*$N35/$O35),$P35="Ja",-(H35*0.5))</f>
        <v>0</v>
      </c>
      <c r="T35" s="220">
        <f t="shared" si="13"/>
        <v>0</v>
      </c>
      <c r="U35" s="224">
        <f t="shared" si="14"/>
        <v>0</v>
      </c>
      <c r="V35" s="225">
        <f>IFERROR(_xlfn.XLOOKUP(Table4[[#This Row],[Subnummer]],Table3[Sub],Table3[Promillage 1]),0)</f>
        <v>0</v>
      </c>
      <c r="W35" s="226">
        <f t="shared" si="15"/>
        <v>0</v>
      </c>
      <c r="X35" s="220">
        <f t="shared" si="5"/>
        <v>0</v>
      </c>
      <c r="Y35" s="222" t="str" cm="1">
        <f t="array" ref="Y35">_xlfn.IFS(X35=0,"Nihil",X35&gt;0,"Suppletie",X35&lt;0,"Restitutie")</f>
        <v>Nihil</v>
      </c>
    </row>
    <row r="36" spans="1:25" ht="15.75" thickBot="1" x14ac:dyDescent="0.3">
      <c r="A36" s="81" t="s">
        <v>66</v>
      </c>
      <c r="B36" s="81"/>
      <c r="C36" s="81"/>
      <c r="D36" s="82"/>
      <c r="E36" s="83">
        <f>SUBTOTAL(109,Table4[Oud])</f>
        <v>188600000</v>
      </c>
      <c r="F36" s="83">
        <f>SUBTOTAL(109,Table4[Investering Nieuw])</f>
        <v>9601000</v>
      </c>
      <c r="G36" s="83">
        <f>SUBTOTAL(109,Table4[Investering bestaand])</f>
        <v>1996836</v>
      </c>
      <c r="H36" s="83">
        <f>SUBTOTAL(109,Table4[Verlaging])</f>
        <v>0</v>
      </c>
      <c r="I36" s="83">
        <f>SUBTOTAL(109,Table4[Afvoer])</f>
        <v>0</v>
      </c>
      <c r="J36" s="83">
        <f>SUBTOTAL(109,Table4[Inclusief mutatie])</f>
        <v>200197836</v>
      </c>
      <c r="K36" s="83">
        <f>SUBTOTAL(109,Table4[Som mutaties])</f>
        <v>11597836</v>
      </c>
      <c r="L36" s="81"/>
      <c r="M36" s="82"/>
      <c r="N36" s="82"/>
      <c r="O36" s="82"/>
      <c r="P36" s="86"/>
      <c r="Q36" s="85">
        <f>SUBTOTAL(109,Table4[Investering nieuw2])</f>
        <v>131520.54794520547</v>
      </c>
      <c r="R36" s="83">
        <f>SUBTOTAL(109,Table4[Investering bestaand2])</f>
        <v>1996836</v>
      </c>
      <c r="S36" s="83">
        <f>SUBTOTAL(109,Table4[Verlaging2])</f>
        <v>0</v>
      </c>
      <c r="T36" s="83">
        <f>SUBTOTAL(109,Table4[Afvoer2])</f>
        <v>0</v>
      </c>
      <c r="U36" s="83">
        <f>SUBTOTAL(109,Table4[Totaal])</f>
        <v>2128356.5479452056</v>
      </c>
      <c r="V36" s="84"/>
      <c r="W36" s="85">
        <f>SUBTOTAL(109,Table4[Verzekeraar 12])</f>
        <v>1477.0794442739727</v>
      </c>
      <c r="X36" s="85">
        <f>SUBTOTAL(109,Table4[Totaal2])</f>
        <v>1477.0794442739727</v>
      </c>
      <c r="Y36" s="86"/>
    </row>
    <row r="38" spans="1:25" x14ac:dyDescent="0.25">
      <c r="D38" s="87"/>
    </row>
    <row r="39" spans="1:25" x14ac:dyDescent="0.25">
      <c r="D39" s="87"/>
    </row>
  </sheetData>
  <sheetProtection formatColumns="0" insertRows="0" deleteRows="0"/>
  <mergeCells count="3">
    <mergeCell ref="E5:K5"/>
    <mergeCell ref="Q5:U5"/>
    <mergeCell ref="W5:Y5"/>
  </mergeCells>
  <phoneticPr fontId="5" type="noConversion"/>
  <dataValidations count="1">
    <dataValidation type="list" allowBlank="1" showInputMessage="1" showErrorMessage="1" sqref="P9:P35" xr:uid="{64D9E925-208A-4155-956D-CBEDFFFC7C3A}">
      <formula1>CAD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horizontalDpi="1200" verticalDpi="1200" r:id="rId1"/>
  <headerFooter>
    <oddFooter>&amp;L&amp;F
Uniek nr e-ABS XXXXXXXXXXXXXXXXXXX</oddFooter>
  </headerFooter>
  <colBreaks count="2" manualBreakCount="2">
    <brk id="11" max="1048575" man="1"/>
    <brk id="21" max="1048575" man="1"/>
  </colBreaks>
  <ignoredErrors>
    <ignoredError sqref="C9 V10:V20 A9:A20" calculatedColumn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2096-F122-4979-B8DD-F18F20F45C12}">
  <sheetPr codeName="Sheet5"/>
  <dimension ref="A1:I14"/>
  <sheetViews>
    <sheetView showGridLines="0" zoomScaleNormal="100" workbookViewId="0">
      <selection activeCell="C15" sqref="C15"/>
    </sheetView>
  </sheetViews>
  <sheetFormatPr defaultColWidth="23.140625" defaultRowHeight="14.25" x14ac:dyDescent="0.25"/>
  <cols>
    <col min="1" max="1" width="28" style="4" bestFit="1" customWidth="1"/>
    <col min="2" max="2" width="18.42578125" style="4" customWidth="1"/>
    <col min="3" max="4" width="17.28515625" style="4" bestFit="1" customWidth="1"/>
    <col min="5" max="5" width="23.140625" style="4" customWidth="1"/>
    <col min="6" max="6" width="18" style="4" customWidth="1"/>
    <col min="7" max="8" width="17.28515625" style="4" bestFit="1" customWidth="1"/>
    <col min="9" max="12" width="23.140625" style="4" customWidth="1"/>
    <col min="13" max="16384" width="23.140625" style="4"/>
  </cols>
  <sheetData>
    <row r="1" spans="1:9" s="3" customFormat="1" x14ac:dyDescent="0.25">
      <c r="A1" s="3" t="s">
        <v>84</v>
      </c>
    </row>
    <row r="2" spans="1:9" s="3" customFormat="1" x14ac:dyDescent="0.25">
      <c r="A2" s="3" t="str">
        <f>Overzicht!B2</f>
        <v>B0100130233</v>
      </c>
    </row>
    <row r="3" spans="1:9" s="3" customFormat="1" x14ac:dyDescent="0.25">
      <c r="A3" s="3" t="str">
        <f>Overzicht!B3</f>
        <v>Stichting AOC Terra</v>
      </c>
    </row>
    <row r="4" spans="1:9" x14ac:dyDescent="0.25">
      <c r="A4" s="3">
        <f>Overzicht!B4</f>
        <v>638439110</v>
      </c>
      <c r="B4" s="3"/>
    </row>
    <row r="5" spans="1:9" x14ac:dyDescent="0.25">
      <c r="A5" s="3"/>
      <c r="B5" s="3"/>
    </row>
    <row r="7" spans="1:9" x14ac:dyDescent="0.25">
      <c r="A7" s="5" t="s">
        <v>85</v>
      </c>
      <c r="B7" s="5" t="s">
        <v>86</v>
      </c>
      <c r="C7" s="35"/>
      <c r="D7" s="35"/>
    </row>
    <row r="8" spans="1:9" ht="15" x14ac:dyDescent="0.25">
      <c r="A8" s="36" t="s">
        <v>87</v>
      </c>
      <c r="B8" s="37">
        <f>Overzicht!B7</f>
        <v>45292</v>
      </c>
    </row>
    <row r="9" spans="1:9" ht="15" x14ac:dyDescent="0.25">
      <c r="A9" s="36" t="s">
        <v>6</v>
      </c>
      <c r="B9" s="37">
        <f>Overzicht!C7</f>
        <v>45658</v>
      </c>
    </row>
    <row r="11" spans="1:9" x14ac:dyDescent="0.25">
      <c r="A11" s="4" t="s">
        <v>18</v>
      </c>
      <c r="B11" s="4">
        <v>0</v>
      </c>
      <c r="I11" s="6"/>
    </row>
    <row r="12" spans="1:9" ht="15" x14ac:dyDescent="0.25">
      <c r="A12" s="101" t="s">
        <v>88</v>
      </c>
      <c r="B12" s="102" t="s">
        <v>89</v>
      </c>
      <c r="C12" s="102" t="s">
        <v>90</v>
      </c>
      <c r="D12" s="102" t="s">
        <v>10</v>
      </c>
      <c r="E12" s="102" t="s">
        <v>91</v>
      </c>
      <c r="F12" s="103" t="s">
        <v>92</v>
      </c>
    </row>
    <row r="13" spans="1:9" x14ac:dyDescent="0.25">
      <c r="A13" s="99" t="str">
        <f>Specificatie!$U$6</f>
        <v>Alle Verzekeraars</v>
      </c>
      <c r="B13" s="97">
        <f>Specificatie!$U$7</f>
        <v>0</v>
      </c>
      <c r="C13" s="133">
        <f>Specificatie!$U$9</f>
        <v>1</v>
      </c>
      <c r="D13" s="98">
        <f>SUMIF(Table3[Certificaat],$B11,Table3[Jaarpremie 1])</f>
        <v>148209.94599999997</v>
      </c>
      <c r="E13" s="98">
        <v>0</v>
      </c>
      <c r="F13" s="100">
        <f>D13-E13</f>
        <v>148209.94599999997</v>
      </c>
    </row>
    <row r="14" spans="1:9" ht="15" x14ac:dyDescent="0.25">
      <c r="A14" s="134" t="s">
        <v>46</v>
      </c>
      <c r="B14" s="135"/>
      <c r="C14" s="137">
        <f>SUBTOTAL(109,Table1[Aandeel])</f>
        <v>1</v>
      </c>
      <c r="D14" s="138">
        <f>SUBTOTAL(109,Table1[Jaarpremie])</f>
        <v>148209.94599999997</v>
      </c>
      <c r="E14" s="138">
        <f>SUBTOTAL(109,Table1[Al geboekt met nota])</f>
        <v>0</v>
      </c>
      <c r="F14" s="138">
        <f>SUBTOTAL(109,Table1[Nog te boeken])</f>
        <v>148209.94599999997</v>
      </c>
    </row>
  </sheetData>
  <printOptions horizontalCentered="1"/>
  <pageMargins left="0" right="0.11811023622047245" top="0.74803149606299213" bottom="0.74803149606299213" header="0.31496062992125984" footer="0.31496062992125984"/>
  <pageSetup orientation="landscape" horizontalDpi="1200" verticalDpi="1200" r:id="rId1"/>
  <headerFooter>
    <oddFooter>&amp;L&amp;F
Uniek nr e-ABS XXXXXXXXXXXXXXXXXXX</oddFooter>
  </headerFooter>
  <ignoredErrors>
    <ignoredError sqref="D13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46BBD-BDCB-4C13-829A-532461D6730A}">
  <sheetPr codeName="Sheet6"/>
  <dimension ref="A1:D14"/>
  <sheetViews>
    <sheetView showGridLines="0" topLeftCell="A5" zoomScaleNormal="100" workbookViewId="0">
      <selection activeCell="C21" sqref="C21"/>
    </sheetView>
  </sheetViews>
  <sheetFormatPr defaultColWidth="23.140625" defaultRowHeight="14.25" x14ac:dyDescent="0.25"/>
  <cols>
    <col min="1" max="1" width="28" style="4" bestFit="1" customWidth="1"/>
    <col min="2" max="2" width="18.42578125" style="4" customWidth="1"/>
    <col min="3" max="3" width="17.28515625" style="4" bestFit="1" customWidth="1"/>
    <col min="4" max="4" width="21.28515625" style="4" customWidth="1"/>
    <col min="5" max="5" width="18.7109375" style="4" customWidth="1"/>
    <col min="6" max="16384" width="23.140625" style="4"/>
  </cols>
  <sheetData>
    <row r="1" spans="1:4" s="3" customFormat="1" x14ac:dyDescent="0.25">
      <c r="A1" s="3" t="s">
        <v>93</v>
      </c>
    </row>
    <row r="2" spans="1:4" s="3" customFormat="1" x14ac:dyDescent="0.25">
      <c r="A2" s="3" t="str">
        <f>Overzicht!B2</f>
        <v>B0100130233</v>
      </c>
    </row>
    <row r="3" spans="1:4" s="3" customFormat="1" x14ac:dyDescent="0.25">
      <c r="A3" s="3" t="str">
        <f>Overzicht!B3</f>
        <v>Stichting AOC Terra</v>
      </c>
    </row>
    <row r="4" spans="1:4" x14ac:dyDescent="0.25">
      <c r="A4" s="3">
        <f>Overzicht!B4</f>
        <v>638439110</v>
      </c>
      <c r="B4" s="3"/>
    </row>
    <row r="5" spans="1:4" x14ac:dyDescent="0.25">
      <c r="A5" s="3"/>
      <c r="B5" s="3"/>
    </row>
    <row r="7" spans="1:4" x14ac:dyDescent="0.25">
      <c r="A7" s="5" t="s">
        <v>85</v>
      </c>
      <c r="B7" s="5" t="s">
        <v>86</v>
      </c>
      <c r="C7" s="35"/>
      <c r="D7" s="35"/>
    </row>
    <row r="8" spans="1:4" ht="15" x14ac:dyDescent="0.25">
      <c r="A8" s="36" t="s">
        <v>5</v>
      </c>
      <c r="B8" s="37">
        <v>44562</v>
      </c>
    </row>
    <row r="9" spans="1:4" ht="15" x14ac:dyDescent="0.25">
      <c r="A9" s="36" t="s">
        <v>6</v>
      </c>
      <c r="B9" s="37">
        <v>44927</v>
      </c>
    </row>
    <row r="11" spans="1:4" x14ac:dyDescent="0.25">
      <c r="A11" s="4" t="s">
        <v>18</v>
      </c>
      <c r="B11" s="4">
        <v>0</v>
      </c>
    </row>
    <row r="12" spans="1:4" ht="15" x14ac:dyDescent="0.25">
      <c r="A12" s="101" t="s">
        <v>88</v>
      </c>
      <c r="B12" s="102" t="s">
        <v>89</v>
      </c>
      <c r="C12" s="102" t="s">
        <v>90</v>
      </c>
      <c r="D12" s="103" t="s">
        <v>94</v>
      </c>
    </row>
    <row r="13" spans="1:4" x14ac:dyDescent="0.25">
      <c r="A13" s="99" t="str">
        <f>Specificatie!$U$6</f>
        <v>Alle Verzekeraars</v>
      </c>
      <c r="B13" s="97">
        <f>Specificatie!$U$7</f>
        <v>0</v>
      </c>
      <c r="C13" s="133">
        <f>Specificatie!$U$9</f>
        <v>1</v>
      </c>
      <c r="D13" s="100">
        <f>SUMIFS(Table4[Verzekeraar 12],Table4[Mutatiedatum],$B8,Table4[Certificaat],$B11)</f>
        <v>0</v>
      </c>
    </row>
    <row r="14" spans="1:4" ht="15" x14ac:dyDescent="0.25">
      <c r="A14" s="134" t="s">
        <v>46</v>
      </c>
      <c r="B14" s="135"/>
      <c r="C14" s="137">
        <f>SUBTOTAL(109,Table2[Aandeel])</f>
        <v>1</v>
      </c>
      <c r="D14" s="136">
        <f>SUBTOTAL(109,Table2[Boeking/restitutie])</f>
        <v>0</v>
      </c>
    </row>
  </sheetData>
  <printOptions horizontalCentered="1"/>
  <pageMargins left="0" right="0.11811023622047245" top="0.74803149606299213" bottom="0.74803149606299213" header="0.31496062992125984" footer="0.31496062992125984"/>
  <pageSetup scale="65" orientation="landscape" horizontalDpi="1200" verticalDpi="1200" r:id="rId1"/>
  <headerFooter>
    <oddFooter>&amp;L&amp;F
Uniek nr e-ABS XXXXXXXXXXXXXXXXXXX</oddFoot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A4A44-A812-4F49-957D-CE376EF762B5}">
  <sheetPr codeName="Sheet7"/>
  <dimension ref="A1:D16"/>
  <sheetViews>
    <sheetView workbookViewId="0">
      <selection activeCell="A5" sqref="A5"/>
    </sheetView>
  </sheetViews>
  <sheetFormatPr defaultRowHeight="15" x14ac:dyDescent="0.25"/>
  <cols>
    <col min="1" max="1" width="30.28515625" customWidth="1"/>
    <col min="2" max="2" width="20.28515625" bestFit="1" customWidth="1"/>
  </cols>
  <sheetData>
    <row r="1" spans="1:4" x14ac:dyDescent="0.25">
      <c r="A1" s="1" t="s">
        <v>95</v>
      </c>
      <c r="B1" s="1" t="s">
        <v>24</v>
      </c>
      <c r="C1" s="1" t="s">
        <v>96</v>
      </c>
      <c r="D1" s="1" t="s">
        <v>97</v>
      </c>
    </row>
    <row r="2" spans="1:4" x14ac:dyDescent="0.25">
      <c r="A2" s="34" t="s">
        <v>45</v>
      </c>
      <c r="B2" s="34" t="s">
        <v>45</v>
      </c>
      <c r="C2" t="s">
        <v>98</v>
      </c>
      <c r="D2" s="34" t="s">
        <v>45</v>
      </c>
    </row>
    <row r="3" spans="1:4" x14ac:dyDescent="0.25">
      <c r="A3" t="s">
        <v>99</v>
      </c>
      <c r="B3" t="s">
        <v>100</v>
      </c>
      <c r="C3" t="s">
        <v>83</v>
      </c>
      <c r="D3" t="s">
        <v>98</v>
      </c>
    </row>
    <row r="4" spans="1:4" x14ac:dyDescent="0.25">
      <c r="A4" t="s">
        <v>145</v>
      </c>
      <c r="B4" t="s">
        <v>101</v>
      </c>
      <c r="D4" t="s">
        <v>83</v>
      </c>
    </row>
    <row r="5" spans="1:4" x14ac:dyDescent="0.25">
      <c r="A5" t="s">
        <v>102</v>
      </c>
      <c r="B5" t="s">
        <v>103</v>
      </c>
    </row>
    <row r="6" spans="1:4" x14ac:dyDescent="0.25">
      <c r="A6" t="s">
        <v>104</v>
      </c>
      <c r="B6" t="s">
        <v>105</v>
      </c>
    </row>
    <row r="7" spans="1:4" x14ac:dyDescent="0.25">
      <c r="A7" t="s">
        <v>106</v>
      </c>
    </row>
    <row r="8" spans="1:4" x14ac:dyDescent="0.25">
      <c r="A8" t="s">
        <v>44</v>
      </c>
    </row>
    <row r="9" spans="1:4" x14ac:dyDescent="0.25">
      <c r="A9" t="s">
        <v>107</v>
      </c>
    </row>
    <row r="10" spans="1:4" x14ac:dyDescent="0.25">
      <c r="A10" t="s">
        <v>108</v>
      </c>
    </row>
    <row r="11" spans="1:4" x14ac:dyDescent="0.25">
      <c r="A11" t="s">
        <v>109</v>
      </c>
    </row>
    <row r="12" spans="1:4" x14ac:dyDescent="0.25">
      <c r="A12" t="s">
        <v>110</v>
      </c>
    </row>
    <row r="13" spans="1:4" x14ac:dyDescent="0.25">
      <c r="A13" t="s">
        <v>111</v>
      </c>
    </row>
    <row r="14" spans="1:4" x14ac:dyDescent="0.25">
      <c r="A14" t="s">
        <v>112</v>
      </c>
    </row>
    <row r="15" spans="1:4" x14ac:dyDescent="0.25">
      <c r="A15" t="s">
        <v>113</v>
      </c>
    </row>
    <row r="16" spans="1:4" x14ac:dyDescent="0.25">
      <c r="A16" t="s">
        <v>114</v>
      </c>
    </row>
  </sheetData>
  <sortState xmlns:xlrd2="http://schemas.microsoft.com/office/spreadsheetml/2017/richdata2" ref="A3:A17">
    <sortCondition ref="A3:A17"/>
  </sortState>
  <pageMargins left="0.7" right="0.7" top="0.75" bottom="0.75" header="0.3" footer="0.3"/>
  <pageSetup paperSize="9"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0" ma:contentTypeDescription="Create a new document." ma:contentTypeScope="" ma:versionID="d313bd36494f7e7115fce37fb728cbb0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4d5efe2d74536367d40b5617b8f09945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304d66-90c6-4335-b1c9-5b3984399988">
      <Terms xmlns="http://schemas.microsoft.com/office/infopath/2007/PartnerControls"/>
    </lcf76f155ced4ddcb4097134ff3c332f>
    <TaxCatchAll xmlns="41d8d177-be5a-477d-be00-e01547a293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696BB9-AB99-4C23-8D5C-9E6D16F961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3C7FDF-D4C7-40F7-8F63-C8D7D6EC81B0}">
  <ds:schemaRefs>
    <ds:schemaRef ds:uri="http://schemas.microsoft.com/office/2006/metadata/properties"/>
    <ds:schemaRef ds:uri="http://schemas.microsoft.com/office/infopath/2007/PartnerControls"/>
    <ds:schemaRef ds:uri="38304d66-90c6-4335-b1c9-5b3984399988"/>
    <ds:schemaRef ds:uri="41d8d177-be5a-477d-be00-e01547a293a3"/>
  </ds:schemaRefs>
</ds:datastoreItem>
</file>

<file path=customXml/itemProps3.xml><?xml version="1.0" encoding="utf-8"?>
<ds:datastoreItem xmlns:ds="http://schemas.openxmlformats.org/officeDocument/2006/customXml" ds:itemID="{54E56B9C-DAB9-4075-8DE6-12EF5B4A86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5</vt:i4>
      </vt:variant>
    </vt:vector>
  </HeadingPairs>
  <TitlesOfParts>
    <vt:vector size="12" baseType="lpstr">
      <vt:lpstr>Overzicht</vt:lpstr>
      <vt:lpstr>Specificatie</vt:lpstr>
      <vt:lpstr>Taxaties</vt:lpstr>
      <vt:lpstr>Mutaties</vt:lpstr>
      <vt:lpstr>Verrekening Jaarpremie</vt:lpstr>
      <vt:lpstr>Verrekening Pro Rata-CAD</vt:lpstr>
      <vt:lpstr>Data</vt:lpstr>
      <vt:lpstr>Specificatie!Afdrukbereik</vt:lpstr>
      <vt:lpstr>Bouwaard</vt:lpstr>
      <vt:lpstr>CAD</vt:lpstr>
      <vt:lpstr>Interest</vt:lpstr>
      <vt:lpstr>Taxatie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Charles van Doornewaard</dc:creator>
  <cp:keywords/>
  <dc:description/>
  <cp:lastModifiedBy>Annemiek Hogeslag</cp:lastModifiedBy>
  <cp:revision/>
  <cp:lastPrinted>2024-02-05T14:00:59Z</cp:lastPrinted>
  <dcterms:created xsi:type="dcterms:W3CDTF">2019-07-21T11:45:44Z</dcterms:created>
  <dcterms:modified xsi:type="dcterms:W3CDTF">2024-06-11T12:36:41Z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0x010100072362D23840384AA44F195D95F9E0FB</vt:lpwstr>
  </property>
  <property fmtid="{D5CDD505-2E9C-101B-9397-08002B2CF9AE}" pid="3" name="TitusGUID">
    <vt:lpwstr>d1ebda14-aaea-4c77-abfd-6f5ec1c8cf8e</vt:lpwstr>
  </property>
  <property fmtid="{D5CDD505-2E9C-101B-9397-08002B2CF9AE}" pid="4" name="AonClassification">
    <vt:lpwstr>ADC_class_200</vt:lpwstr>
  </property>
  <property fmtid="{D5CDD505-2E9C-101B-9397-08002B2CF9AE}" pid="5" name="MediaServiceImageTags">
    <vt:lpwstr/>
  </property>
  <property fmtid="{D5CDD505-2E9C-101B-9397-08002B2CF9AE}" pid="6" name="MSIP_Label_9043f10a-881e-4653-a55e-02ca2cc829dc_Enabled">
    <vt:lpwstr>true</vt:lpwstr>
  </property>
  <property fmtid="{D5CDD505-2E9C-101B-9397-08002B2CF9AE}" pid="7" name="MSIP_Label_9043f10a-881e-4653-a55e-02ca2cc829dc_SetDate">
    <vt:lpwstr>2024-02-05T11:15:04Z</vt:lpwstr>
  </property>
  <property fmtid="{D5CDD505-2E9C-101B-9397-08002B2CF9AE}" pid="8" name="MSIP_Label_9043f10a-881e-4653-a55e-02ca2cc829dc_Method">
    <vt:lpwstr>Standard</vt:lpwstr>
  </property>
  <property fmtid="{D5CDD505-2E9C-101B-9397-08002B2CF9AE}" pid="9" name="MSIP_Label_9043f10a-881e-4653-a55e-02ca2cc829dc_Name">
    <vt:lpwstr>ADC_class_200</vt:lpwstr>
  </property>
  <property fmtid="{D5CDD505-2E9C-101B-9397-08002B2CF9AE}" pid="10" name="MSIP_Label_9043f10a-881e-4653-a55e-02ca2cc829dc_SiteId">
    <vt:lpwstr>94cfddbc-0627-494a-ad7a-29aea3aea832</vt:lpwstr>
  </property>
  <property fmtid="{D5CDD505-2E9C-101B-9397-08002B2CF9AE}" pid="11" name="MSIP_Label_9043f10a-881e-4653-a55e-02ca2cc829dc_ActionId">
    <vt:lpwstr>006ae987-138a-435c-a094-9c5633ac9c45</vt:lpwstr>
  </property>
  <property fmtid="{D5CDD505-2E9C-101B-9397-08002B2CF9AE}" pid="12" name="MSIP_Label_9043f10a-881e-4653-a55e-02ca2cc829dc_ContentBits">
    <vt:lpwstr>0</vt:lpwstr>
  </property>
</Properties>
</file>