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.sharepoint.com/sites/Terneuzeninhuurviaintermediairbroker/Gedeelde documenten/General/2. Offerteaanvraag &amp; publicatie/"/>
    </mc:Choice>
  </mc:AlternateContent>
  <xr:revisionPtr revIDLastSave="397" documentId="8_{C7F3B797-3263-434E-AF00-3C216EF630F4}" xr6:coauthVersionLast="47" xr6:coauthVersionMax="47" xr10:uidLastSave="{436217D2-0B65-479D-876A-1999375D7F6B}"/>
  <bookViews>
    <workbookView xWindow="-108" yWindow="-108" windowWidth="23256" windowHeight="12456" activeTab="3" xr2:uid="{F68F3839-2B9D-44C1-9AA0-01D3BEEB0E3A}"/>
  </bookViews>
  <sheets>
    <sheet name="2023" sheetId="1" r:id="rId1"/>
    <sheet name="2022" sheetId="2" r:id="rId2"/>
    <sheet name="2021" sheetId="3" r:id="rId3"/>
    <sheet name="Functi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4" i="1" l="1"/>
  <c r="K40" i="1"/>
  <c r="K23" i="1"/>
  <c r="K5" i="1"/>
  <c r="K3" i="1"/>
  <c r="L68" i="3"/>
  <c r="L96" i="3" s="1"/>
  <c r="L70" i="2"/>
  <c r="L65" i="2"/>
  <c r="L73" i="3"/>
  <c r="L46" i="3"/>
  <c r="L4" i="3"/>
  <c r="K72" i="3"/>
  <c r="H72" i="3"/>
  <c r="I72" i="3"/>
  <c r="H70" i="3"/>
  <c r="I70" i="3" s="1"/>
  <c r="K70" i="3" s="1"/>
  <c r="H78" i="3"/>
  <c r="H39" i="3"/>
  <c r="H24" i="3"/>
  <c r="J5" i="3"/>
  <c r="H9" i="3"/>
  <c r="H10" i="3"/>
  <c r="H11" i="3"/>
  <c r="H12" i="3"/>
  <c r="H13" i="3"/>
  <c r="H14" i="3"/>
  <c r="H15" i="3"/>
  <c r="H45" i="2"/>
  <c r="I45" i="2" s="1"/>
  <c r="H46" i="2"/>
  <c r="I46" i="2" s="1"/>
  <c r="H47" i="2"/>
  <c r="I47" i="2" s="1"/>
  <c r="H48" i="2"/>
  <c r="I48" i="2" s="1"/>
  <c r="H44" i="2"/>
  <c r="I44" i="2" s="1"/>
  <c r="H56" i="2"/>
  <c r="I56" i="2" s="1"/>
  <c r="H57" i="2"/>
  <c r="I57" i="2" s="1"/>
  <c r="H58" i="2"/>
  <c r="I58" i="2" s="1"/>
  <c r="H55" i="2"/>
  <c r="I55" i="2"/>
  <c r="H54" i="2"/>
  <c r="I84" i="2"/>
  <c r="H73" i="2"/>
  <c r="I73" i="2" s="1"/>
  <c r="H74" i="2"/>
  <c r="I74" i="2" s="1"/>
  <c r="H75" i="2"/>
  <c r="I75" i="2" s="1"/>
  <c r="H76" i="2"/>
  <c r="I76" i="2" s="1"/>
  <c r="H77" i="2"/>
  <c r="I77" i="2" s="1"/>
  <c r="H78" i="2"/>
  <c r="I78" i="2" s="1"/>
  <c r="H79" i="2"/>
  <c r="I79" i="2" s="1"/>
  <c r="H80" i="2"/>
  <c r="I80" i="2" s="1"/>
  <c r="H81" i="2"/>
  <c r="I81" i="2" s="1"/>
  <c r="H82" i="2"/>
  <c r="I82" i="2" s="1"/>
  <c r="H72" i="2"/>
  <c r="I72" i="2" s="1"/>
  <c r="I36" i="2"/>
  <c r="H14" i="2"/>
  <c r="I14" i="2" s="1"/>
  <c r="H13" i="2"/>
  <c r="I64" i="2"/>
  <c r="I63" i="2"/>
  <c r="H60" i="2"/>
  <c r="I60" i="2" s="1"/>
  <c r="H61" i="2"/>
  <c r="I61" i="2" s="1"/>
  <c r="I19" i="2"/>
  <c r="I10" i="2"/>
  <c r="I11" i="2"/>
  <c r="H84" i="1"/>
  <c r="H82" i="1"/>
  <c r="H80" i="1"/>
  <c r="H78" i="1"/>
  <c r="H51" i="1"/>
  <c r="H50" i="1"/>
  <c r="H49" i="1"/>
  <c r="H47" i="1"/>
  <c r="H38" i="1"/>
  <c r="H37" i="1"/>
  <c r="H26" i="1"/>
  <c r="H23" i="1"/>
  <c r="H14" i="1"/>
  <c r="H13" i="1"/>
  <c r="H10" i="1"/>
  <c r="G8" i="1"/>
  <c r="H8" i="1" s="1"/>
  <c r="E5" i="3"/>
  <c r="H5" i="3"/>
  <c r="E6" i="3"/>
  <c r="H6" i="3"/>
  <c r="E7" i="3"/>
  <c r="H7" i="3"/>
  <c r="E8" i="3"/>
  <c r="H8" i="3"/>
  <c r="H16" i="3"/>
  <c r="H17" i="3"/>
  <c r="H18" i="3"/>
  <c r="H19" i="3"/>
  <c r="E20" i="3"/>
  <c r="H20" i="3"/>
  <c r="H21" i="3"/>
  <c r="E22" i="3"/>
  <c r="H22" i="3"/>
  <c r="J16" i="3" s="1"/>
  <c r="E23" i="3"/>
  <c r="H23" i="3"/>
  <c r="E24" i="3"/>
  <c r="E27" i="3"/>
  <c r="H27" i="3"/>
  <c r="I27" i="3" s="1"/>
  <c r="K27" i="3" s="1"/>
  <c r="E28" i="3"/>
  <c r="H28" i="3"/>
  <c r="E29" i="3"/>
  <c r="H29" i="3"/>
  <c r="H30" i="3"/>
  <c r="J30" i="3" s="1"/>
  <c r="E31" i="3"/>
  <c r="H31" i="3"/>
  <c r="E32" i="3"/>
  <c r="H32" i="3"/>
  <c r="H33" i="3"/>
  <c r="H34" i="3"/>
  <c r="I34" i="3" s="1"/>
  <c r="H35" i="3"/>
  <c r="H36" i="3"/>
  <c r="E37" i="3"/>
  <c r="H37" i="3"/>
  <c r="H38" i="3"/>
  <c r="H42" i="3"/>
  <c r="E43" i="3"/>
  <c r="H43" i="3"/>
  <c r="I43" i="3"/>
  <c r="K43" i="3" s="1"/>
  <c r="E44" i="3"/>
  <c r="H44" i="3"/>
  <c r="E45" i="3"/>
  <c r="H45" i="3"/>
  <c r="E46" i="3"/>
  <c r="H46" i="3"/>
  <c r="I46" i="3" s="1"/>
  <c r="H47" i="3"/>
  <c r="J46" i="3" s="1"/>
  <c r="H48" i="3"/>
  <c r="H49" i="3"/>
  <c r="E51" i="3"/>
  <c r="H52" i="3"/>
  <c r="H53" i="3"/>
  <c r="H54" i="3"/>
  <c r="H55" i="3"/>
  <c r="H58" i="3"/>
  <c r="H59" i="3"/>
  <c r="H60" i="3"/>
  <c r="H61" i="3"/>
  <c r="H62" i="3"/>
  <c r="H65" i="3"/>
  <c r="H67" i="3"/>
  <c r="H68" i="3"/>
  <c r="H69" i="3"/>
  <c r="J68" i="3" s="1"/>
  <c r="K68" i="3" s="1"/>
  <c r="E73" i="3"/>
  <c r="H73" i="3"/>
  <c r="I73" i="3"/>
  <c r="K73" i="3" s="1"/>
  <c r="E74" i="3"/>
  <c r="H74" i="3"/>
  <c r="I74" i="3" s="1"/>
  <c r="E75" i="3"/>
  <c r="H75" i="3"/>
  <c r="E76" i="3"/>
  <c r="H76" i="3"/>
  <c r="E77" i="3"/>
  <c r="H77" i="3"/>
  <c r="E78" i="3"/>
  <c r="H83" i="3"/>
  <c r="E84" i="3"/>
  <c r="H84" i="3"/>
  <c r="H85" i="3"/>
  <c r="E86" i="3"/>
  <c r="H86" i="3"/>
  <c r="E87" i="3"/>
  <c r="H87" i="3"/>
  <c r="E88" i="3"/>
  <c r="H88" i="3"/>
  <c r="E89" i="3"/>
  <c r="H89" i="3"/>
  <c r="H90" i="3"/>
  <c r="H91" i="3"/>
  <c r="H92" i="3"/>
  <c r="E93" i="3"/>
  <c r="H93" i="3"/>
  <c r="I93" i="3" s="1"/>
  <c r="K93" i="3" s="1"/>
  <c r="I77" i="3" l="1"/>
  <c r="I5" i="3"/>
  <c r="I48" i="3"/>
  <c r="K48" i="3" s="1"/>
  <c r="I62" i="3"/>
  <c r="K62" i="3" s="1"/>
  <c r="I36" i="3"/>
  <c r="K36" i="3" s="1"/>
  <c r="I28" i="3"/>
  <c r="K28" i="3" s="1"/>
  <c r="I16" i="3"/>
  <c r="I30" i="3"/>
  <c r="K30" i="3" s="1"/>
  <c r="K46" i="3"/>
  <c r="I23" i="3"/>
  <c r="K23" i="3" s="1"/>
  <c r="J77" i="3"/>
  <c r="J74" i="3"/>
  <c r="K74" i="3" s="1"/>
  <c r="I44" i="3"/>
  <c r="K44" i="3" s="1"/>
  <c r="K34" i="3"/>
  <c r="K5" i="3"/>
  <c r="K77" i="3" l="1"/>
  <c r="J96" i="3"/>
  <c r="K16" i="3"/>
  <c r="K96" i="3"/>
  <c r="I96" i="3"/>
  <c r="H86" i="2" l="1"/>
  <c r="J86" i="2" s="1"/>
  <c r="H85" i="2"/>
  <c r="I85" i="2" s="1"/>
  <c r="E85" i="2"/>
  <c r="H83" i="2"/>
  <c r="I83" i="2" s="1"/>
  <c r="K83" i="2" s="1"/>
  <c r="E81" i="2"/>
  <c r="E80" i="2"/>
  <c r="E79" i="2"/>
  <c r="E78" i="2"/>
  <c r="E77" i="2"/>
  <c r="E72" i="2"/>
  <c r="H71" i="2"/>
  <c r="I71" i="2" s="1"/>
  <c r="K71" i="2" s="1"/>
  <c r="E71" i="2"/>
  <c r="H70" i="2"/>
  <c r="I70" i="2" s="1"/>
  <c r="K70" i="2" s="1"/>
  <c r="H69" i="2"/>
  <c r="I69" i="2" s="1"/>
  <c r="H68" i="2"/>
  <c r="I68" i="2" s="1"/>
  <c r="H67" i="2"/>
  <c r="I67" i="2" s="1"/>
  <c r="I66" i="2"/>
  <c r="K66" i="2" s="1"/>
  <c r="H65" i="2"/>
  <c r="J65" i="2" s="1"/>
  <c r="K65" i="2" s="1"/>
  <c r="H62" i="2"/>
  <c r="I62" i="2" s="1"/>
  <c r="K60" i="2" s="1"/>
  <c r="H59" i="2"/>
  <c r="I59" i="2" s="1"/>
  <c r="I54" i="2"/>
  <c r="H53" i="2"/>
  <c r="I53" i="2" s="1"/>
  <c r="H52" i="2"/>
  <c r="I52" i="2" s="1"/>
  <c r="H51" i="2"/>
  <c r="I51" i="2" s="1"/>
  <c r="H50" i="2"/>
  <c r="H49" i="2"/>
  <c r="I49" i="2" s="1"/>
  <c r="H43" i="2"/>
  <c r="I43" i="2" s="1"/>
  <c r="H42" i="2"/>
  <c r="I42" i="2" s="1"/>
  <c r="E42" i="2"/>
  <c r="H41" i="2"/>
  <c r="I41" i="2" s="1"/>
  <c r="E41" i="2"/>
  <c r="H40" i="2"/>
  <c r="I40" i="2" s="1"/>
  <c r="E40" i="2"/>
  <c r="H39" i="2"/>
  <c r="I39" i="2" s="1"/>
  <c r="K38" i="2" s="1"/>
  <c r="E39" i="2"/>
  <c r="H37" i="2"/>
  <c r="I37" i="2" s="1"/>
  <c r="K37" i="2" s="1"/>
  <c r="H35" i="2"/>
  <c r="I35" i="2" s="1"/>
  <c r="H34" i="2"/>
  <c r="I34" i="2" s="1"/>
  <c r="H33" i="2"/>
  <c r="I33" i="2" s="1"/>
  <c r="H32" i="2"/>
  <c r="I32" i="2" s="1"/>
  <c r="K32" i="2" s="1"/>
  <c r="H31" i="2"/>
  <c r="H30" i="2"/>
  <c r="I30" i="2" s="1"/>
  <c r="H29" i="2"/>
  <c r="I29" i="2" s="1"/>
  <c r="H28" i="2"/>
  <c r="I28" i="2" s="1"/>
  <c r="H27" i="2"/>
  <c r="I27" i="2" s="1"/>
  <c r="H26" i="2"/>
  <c r="I26" i="2" s="1"/>
  <c r="E26" i="2"/>
  <c r="H25" i="2"/>
  <c r="I25" i="2" s="1"/>
  <c r="E25" i="2"/>
  <c r="H24" i="2"/>
  <c r="I24" i="2" s="1"/>
  <c r="E24" i="2"/>
  <c r="H23" i="2"/>
  <c r="I23" i="2" s="1"/>
  <c r="E23" i="2"/>
  <c r="H22" i="2"/>
  <c r="J22" i="2" s="1"/>
  <c r="E22" i="2"/>
  <c r="H21" i="2"/>
  <c r="I21" i="2" s="1"/>
  <c r="E21" i="2"/>
  <c r="H20" i="2"/>
  <c r="E20" i="2"/>
  <c r="H18" i="2"/>
  <c r="I18" i="2" s="1"/>
  <c r="E18" i="2"/>
  <c r="H17" i="2"/>
  <c r="I17" i="2" s="1"/>
  <c r="E17" i="2"/>
  <c r="H16" i="2"/>
  <c r="J16" i="2" s="1"/>
  <c r="E16" i="2"/>
  <c r="H15" i="2"/>
  <c r="E15" i="2"/>
  <c r="I13" i="2"/>
  <c r="H12" i="2"/>
  <c r="E10" i="2"/>
  <c r="H9" i="2"/>
  <c r="I9" i="2" s="1"/>
  <c r="E9" i="2"/>
  <c r="H8" i="2"/>
  <c r="J8" i="2" s="1"/>
  <c r="E8" i="2"/>
  <c r="H7" i="2"/>
  <c r="I7" i="2" s="1"/>
  <c r="H6" i="2"/>
  <c r="I6" i="2" s="1"/>
  <c r="H5" i="2"/>
  <c r="I5" i="2" s="1"/>
  <c r="H4" i="2"/>
  <c r="K20" i="2" l="1"/>
  <c r="H87" i="2"/>
  <c r="I31" i="2"/>
  <c r="K29" i="2" s="1"/>
  <c r="K67" i="2"/>
  <c r="I4" i="2"/>
  <c r="K4" i="2" s="1"/>
  <c r="K85" i="2"/>
  <c r="I50" i="2"/>
  <c r="K49" i="2" s="1"/>
  <c r="I15" i="2"/>
  <c r="K15" i="2" s="1"/>
  <c r="J12" i="2"/>
  <c r="K12" i="2" s="1"/>
  <c r="K87" i="2" l="1"/>
  <c r="J87" i="2"/>
  <c r="L4" i="2"/>
  <c r="I87" i="2"/>
  <c r="L29" i="2"/>
  <c r="L87" i="2" l="1"/>
  <c r="I88" i="2"/>
  <c r="F76" i="1"/>
  <c r="E76" i="1"/>
  <c r="F75" i="1"/>
  <c r="E75" i="1"/>
  <c r="F72" i="1"/>
  <c r="E72" i="1"/>
  <c r="F71" i="1"/>
  <c r="E71" i="1"/>
  <c r="F70" i="1"/>
  <c r="E70" i="1"/>
  <c r="F64" i="1"/>
  <c r="E64" i="1"/>
  <c r="F63" i="1"/>
  <c r="E63" i="1"/>
  <c r="F62" i="1"/>
  <c r="E62" i="1"/>
  <c r="F60" i="1"/>
  <c r="E60" i="1"/>
  <c r="F58" i="1"/>
  <c r="E58" i="1"/>
  <c r="F57" i="1"/>
  <c r="H54" i="1" s="1"/>
  <c r="E57" i="1"/>
  <c r="F43" i="1"/>
  <c r="H43" i="1" s="1"/>
  <c r="E43" i="1"/>
  <c r="G41" i="1"/>
  <c r="H40" i="1" s="1"/>
  <c r="E41" i="1"/>
  <c r="F35" i="1"/>
  <c r="E35" i="1"/>
  <c r="F33" i="1"/>
  <c r="H33" i="1" s="1"/>
  <c r="E33" i="1"/>
  <c r="F31" i="1"/>
  <c r="H29" i="1" s="1"/>
  <c r="E31" i="1"/>
  <c r="F24" i="1"/>
  <c r="H24" i="1" s="1"/>
  <c r="I23" i="1" s="1"/>
  <c r="E24" i="1"/>
  <c r="G19" i="1"/>
  <c r="H18" i="1" s="1"/>
  <c r="E19" i="1"/>
  <c r="F11" i="1"/>
  <c r="H11" i="1" s="1"/>
  <c r="E11" i="1"/>
  <c r="F6" i="1"/>
  <c r="E6" i="1"/>
  <c r="F5" i="1"/>
  <c r="H5" i="1" s="1"/>
  <c r="E5" i="1"/>
  <c r="F3" i="1"/>
  <c r="H3" i="1" s="1"/>
  <c r="E3" i="1"/>
  <c r="I3" i="1" l="1"/>
  <c r="I5" i="1"/>
  <c r="H59" i="1"/>
  <c r="I54" i="1" s="1"/>
  <c r="I40" i="1"/>
  <c r="G86" i="1"/>
  <c r="F86" i="1"/>
  <c r="H86" i="1" l="1"/>
  <c r="I86" i="1"/>
</calcChain>
</file>

<file path=xl/sharedStrings.xml><?xml version="1.0" encoding="utf-8"?>
<sst xmlns="http://schemas.openxmlformats.org/spreadsheetml/2006/main" count="492" uniqueCount="221">
  <si>
    <t>Afdeling</t>
  </si>
  <si>
    <t>Periode</t>
  </si>
  <si>
    <t>Omvang in uren</t>
  </si>
  <si>
    <t>Totaal persoon en/of functie</t>
  </si>
  <si>
    <t>Inhuur
personeel</t>
  </si>
  <si>
    <t>Consultancy c.q.
Uitbesteding</t>
  </si>
  <si>
    <t>Totaal per afdeling</t>
  </si>
  <si>
    <t>Concernstaf</t>
  </si>
  <si>
    <t>heel 2023</t>
  </si>
  <si>
    <t>Middelen</t>
  </si>
  <si>
    <t>Financiën</t>
  </si>
  <si>
    <t>Bestuur en Interne Zaken</t>
  </si>
  <si>
    <t>heel jaar</t>
  </si>
  <si>
    <t>mei - dec</t>
  </si>
  <si>
    <t>jan-jun</t>
  </si>
  <si>
    <t>feb-jun</t>
  </si>
  <si>
    <t>Bestuur</t>
  </si>
  <si>
    <t>jun-sept</t>
  </si>
  <si>
    <t>jul-dec</t>
  </si>
  <si>
    <t>P&amp;O</t>
  </si>
  <si>
    <t>jan-aug</t>
  </si>
  <si>
    <t>I&amp;A</t>
  </si>
  <si>
    <t>maart-juni</t>
  </si>
  <si>
    <t>jan-feb</t>
  </si>
  <si>
    <t>jan-sept</t>
  </si>
  <si>
    <t>dec</t>
  </si>
  <si>
    <t>Overhead</t>
  </si>
  <si>
    <t>jan sept</t>
  </si>
  <si>
    <t>jan-dec</t>
  </si>
  <si>
    <t>jan-mei</t>
  </si>
  <si>
    <t>Samenleving</t>
  </si>
  <si>
    <t>Maatschappelijke ontwikkeling</t>
  </si>
  <si>
    <t>Werk, Inkomen, Leerlingzaken (WIL)</t>
  </si>
  <si>
    <t>okt - nov</t>
  </si>
  <si>
    <t>okt-dec</t>
  </si>
  <si>
    <t>Support Sociaal Domein (SSD)</t>
  </si>
  <si>
    <t>jan</t>
  </si>
  <si>
    <t>RBL</t>
  </si>
  <si>
    <t>jan - dec</t>
  </si>
  <si>
    <t>mei-dec</t>
  </si>
  <si>
    <t>Inkomensregelingen</t>
  </si>
  <si>
    <t>maart-dec</t>
  </si>
  <si>
    <t>feb-jul</t>
  </si>
  <si>
    <t>x</t>
  </si>
  <si>
    <t>Arbeidsparticipatie</t>
  </si>
  <si>
    <t>jan-maa</t>
  </si>
  <si>
    <t>WerkServicePunt (WSP)</t>
  </si>
  <si>
    <t>Realisatie en beheer</t>
  </si>
  <si>
    <t>Groen</t>
  </si>
  <si>
    <t>verspreid over het jaar</t>
  </si>
  <si>
    <t>Techniek</t>
  </si>
  <si>
    <t>juni- okt</t>
  </si>
  <si>
    <t>Onderwijshuisvesting BS Rivierenbuurt (IP 2021)</t>
  </si>
  <si>
    <t>Onderwijshuisvesting BS Hoek (IP 2021)</t>
  </si>
  <si>
    <t>Parkeren</t>
  </si>
  <si>
    <t>Samenkracht en burgerparticipatie</t>
  </si>
  <si>
    <t>Begraafplaatsen en crematoria</t>
  </si>
  <si>
    <t>Omgeving en Economie</t>
  </si>
  <si>
    <t>Beleidsontwikkeling</t>
  </si>
  <si>
    <t>apr - jul</t>
  </si>
  <si>
    <t>sept-nov</t>
  </si>
  <si>
    <t>Vergunning en handhaving</t>
  </si>
  <si>
    <t>jun-dec</t>
  </si>
  <si>
    <t>juli</t>
  </si>
  <si>
    <t>mei</t>
  </si>
  <si>
    <t>jun - dec</t>
  </si>
  <si>
    <t>jan- nov</t>
  </si>
  <si>
    <t>jun-okt</t>
  </si>
  <si>
    <t>Cultureel erfgoed</t>
  </si>
  <si>
    <t>Openbaar groen en (openlucht) recreatie</t>
  </si>
  <si>
    <t>Ruimtelijke ordening</t>
  </si>
  <si>
    <t>Arbeidsmarkt onbegrensd Zeeuws-Vlaanderen</t>
  </si>
  <si>
    <t>TOTAAL</t>
  </si>
  <si>
    <t>Omvang</t>
  </si>
  <si>
    <t>Bedrag per persoon</t>
  </si>
  <si>
    <t>1e kw 2022</t>
  </si>
  <si>
    <t>uur per week</t>
  </si>
  <si>
    <t>verspreid over het hele jaar</t>
  </si>
  <si>
    <t>uur</t>
  </si>
  <si>
    <t>1e half jaar</t>
  </si>
  <si>
    <t xml:space="preserve">juni/juli </t>
  </si>
  <si>
    <t>1e halfjaar</t>
  </si>
  <si>
    <t>jan t/m augustus</t>
  </si>
  <si>
    <t>sept/okt</t>
  </si>
  <si>
    <t>nov/dec 2022</t>
  </si>
  <si>
    <t>Bestuur en interne zaken</t>
  </si>
  <si>
    <t>juni t/m sept</t>
  </si>
  <si>
    <t>mei t/m dec</t>
  </si>
  <si>
    <t xml:space="preserve">uur </t>
  </si>
  <si>
    <t>jan en feb</t>
  </si>
  <si>
    <t>juli t/m nov</t>
  </si>
  <si>
    <t>mrt t/m juli</t>
  </si>
  <si>
    <t>december</t>
  </si>
  <si>
    <t>2e half jaar</t>
  </si>
  <si>
    <t>ISC</t>
  </si>
  <si>
    <t>Uitkeringsadministratie</t>
  </si>
  <si>
    <t>jan t/m sept</t>
  </si>
  <si>
    <t>jan t/m juni</t>
  </si>
  <si>
    <t>Maatschappelijke Ontwikkeling</t>
  </si>
  <si>
    <t>week 2 t/m 16</t>
  </si>
  <si>
    <t>week 42 t/m 48</t>
  </si>
  <si>
    <t>aug t/m november</t>
  </si>
  <si>
    <t>Support Sociaal Domein</t>
  </si>
  <si>
    <t>okt en november</t>
  </si>
  <si>
    <t>Onderwijsbeleid en leerlingenzaken</t>
  </si>
  <si>
    <t>1e kwartaal</t>
  </si>
  <si>
    <t>tot 1 mei</t>
  </si>
  <si>
    <t>mei t/m oktober</t>
  </si>
  <si>
    <t>april t/m november</t>
  </si>
  <si>
    <t>juni t/m december</t>
  </si>
  <si>
    <t>juni t/m september</t>
  </si>
  <si>
    <t>nov 21 t/m febr 22</t>
  </si>
  <si>
    <t>?</t>
  </si>
  <si>
    <t>dec 21 t/m jun 2022</t>
  </si>
  <si>
    <t>week 13 t/m 28</t>
  </si>
  <si>
    <t>aug t/m nov</t>
  </si>
  <si>
    <t>november en december</t>
  </si>
  <si>
    <t>oktober t/m december</t>
  </si>
  <si>
    <t>Maatwerkdienstverlening 18+</t>
  </si>
  <si>
    <t>nov 2021 t/m mei 2022</t>
  </si>
  <si>
    <t xml:space="preserve">feb t/m juli </t>
  </si>
  <si>
    <t xml:space="preserve">oktober en november </t>
  </si>
  <si>
    <t>Realisatie &amp; Beheer</t>
  </si>
  <si>
    <t>juli t/m dec</t>
  </si>
  <si>
    <t>Omgeving &amp; Economie</t>
  </si>
  <si>
    <t>april t/m oktober</t>
  </si>
  <si>
    <t>april t/m december</t>
  </si>
  <si>
    <t>Planvorming</t>
  </si>
  <si>
    <t>Vergunningen en handhaving</t>
  </si>
  <si>
    <t>jan t/m mei</t>
  </si>
  <si>
    <t>december en januari</t>
  </si>
  <si>
    <t>Ruimtelijke Ordening</t>
  </si>
  <si>
    <t>Cultureel Erfgoed</t>
  </si>
  <si>
    <t>Onderwijshuisvesting</t>
  </si>
  <si>
    <t>Totaal bedrag inhuur</t>
  </si>
  <si>
    <t xml:space="preserve">november </t>
  </si>
  <si>
    <t>september week 39</t>
  </si>
  <si>
    <t>periodes in april en oktober</t>
  </si>
  <si>
    <t>oktober</t>
  </si>
  <si>
    <t>januari en augustus</t>
  </si>
  <si>
    <t>september</t>
  </si>
  <si>
    <t>1e kwartaal 2021</t>
  </si>
  <si>
    <t>dagen</t>
  </si>
  <si>
    <t>januari</t>
  </si>
  <si>
    <t>verdeeld over jun t/m dec</t>
  </si>
  <si>
    <t>jan t/m jun</t>
  </si>
  <si>
    <t>2e halfjaar</t>
  </si>
  <si>
    <t>jan t/m oktober</t>
  </si>
  <si>
    <t xml:space="preserve">jan </t>
  </si>
  <si>
    <t>jan + feb</t>
  </si>
  <si>
    <t>maart t/m juli</t>
  </si>
  <si>
    <t>week 13 t/m 52</t>
  </si>
  <si>
    <t>week 5 t/m 8</t>
  </si>
  <si>
    <t>maart t/m november</t>
  </si>
  <si>
    <t>aug t/m dec</t>
  </si>
  <si>
    <t>jan t/m dec</t>
  </si>
  <si>
    <t>28 - 36</t>
  </si>
  <si>
    <t>28-36</t>
  </si>
  <si>
    <t>week 1 t/m 39</t>
  </si>
  <si>
    <t>week 1 t/m 35</t>
  </si>
  <si>
    <t>week 26 t/m 39</t>
  </si>
  <si>
    <t>feb t/m april</t>
  </si>
  <si>
    <t>week 17 tot eind jaar</t>
  </si>
  <si>
    <t>feb/aug</t>
  </si>
  <si>
    <t>jun/dec</t>
  </si>
  <si>
    <t>week 53</t>
  </si>
  <si>
    <t>afr</t>
  </si>
  <si>
    <t>november</t>
  </si>
  <si>
    <t>week 17 t/m 24</t>
  </si>
  <si>
    <t>week 23 t/m 47</t>
  </si>
  <si>
    <t>juni t/m dec</t>
  </si>
  <si>
    <t>week 1 t/m 24</t>
  </si>
  <si>
    <t>week 25 en 26</t>
  </si>
  <si>
    <t>week 13 t/m 24</t>
  </si>
  <si>
    <t>apr en mei</t>
  </si>
  <si>
    <t>jan t/m september</t>
  </si>
  <si>
    <t>± 36</t>
  </si>
  <si>
    <t>Plint Nieuwstraat Zuid bouw rijp openb infra</t>
  </si>
  <si>
    <t xml:space="preserve">1e halfjaar </t>
  </si>
  <si>
    <t>nov + dec</t>
  </si>
  <si>
    <t>archeologietoets</t>
  </si>
  <si>
    <t>verspreid over 1e halfjaar</t>
  </si>
  <si>
    <t>jan + feb + 34 + 35</t>
  </si>
  <si>
    <t>week 26 t/m 35</t>
  </si>
  <si>
    <t>week 14 t/m 17</t>
  </si>
  <si>
    <t>WMO Consulent</t>
  </si>
  <si>
    <t>Consulent Schuldhulpverlening</t>
  </si>
  <si>
    <t>Planologen</t>
  </si>
  <si>
    <t>Vergunningverleners omgevingsvergunningen AWB 1 en 2 (bouw, sloop ed)</t>
  </si>
  <si>
    <t>Juridisch medewerkers (Handhaving en Bezwaar en beroep)</t>
  </si>
  <si>
    <t>Toezichthouders AWB 1 en 2</t>
  </si>
  <si>
    <t>BAG Beheer</t>
  </si>
  <si>
    <t>Applicatiebeheer / gegevensbeheer</t>
  </si>
  <si>
    <t>Juridisch adviseurs</t>
  </si>
  <si>
    <t>Beleidsadviseur sociaal domein</t>
  </si>
  <si>
    <t>Adviseur VTH</t>
  </si>
  <si>
    <t>Vergunningverlener</t>
  </si>
  <si>
    <t>Adviseur JBOZ (Privaatrechtelijke overeenkomsten en planeconomie)</t>
  </si>
  <si>
    <t>Financieel adviseur</t>
  </si>
  <si>
    <t>Taxateurs</t>
  </si>
  <si>
    <t>Applicatiebeheerder</t>
  </si>
  <si>
    <t xml:space="preserve">Juridisch medewerker </t>
  </si>
  <si>
    <t>Medewerker WOZ / Werkvoorbereiding</t>
  </si>
  <si>
    <t>Informatie adviseur</t>
  </si>
  <si>
    <t>Overzicht inhuur van derden Gemeente Terneuzen</t>
  </si>
  <si>
    <t>Domeinen</t>
  </si>
  <si>
    <t>Totaal per domein</t>
  </si>
  <si>
    <t>Domein</t>
  </si>
  <si>
    <t>Omgeving en economie</t>
  </si>
  <si>
    <t>P&amp;O Adviseur</t>
  </si>
  <si>
    <t>Consulent inkomen</t>
  </si>
  <si>
    <t>Jeugd consulent</t>
  </si>
  <si>
    <t>Consulent schuldhulpverlening</t>
  </si>
  <si>
    <t>Voorbeelden ingehuurde functies per afdeling</t>
  </si>
  <si>
    <t>Functie</t>
  </si>
  <si>
    <t>Voorbeelden!!</t>
  </si>
  <si>
    <t>Medewerker bezwaar en beroep</t>
  </si>
  <si>
    <t>CISCO / Privacy Officer</t>
  </si>
  <si>
    <t>Digitaal architect</t>
  </si>
  <si>
    <t>Overzicht inhuur derden Terneuzen 2022</t>
  </si>
  <si>
    <t>Overzicht inhuur derden Terneuzen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</si>
</sst>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_ ;[Red]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b/>
      <sz val="12"/>
      <name val="Calibri"/>
      <family val="2"/>
      <scheme val="minor"/>
    </font>
    <font>
      <sz val="9"/>
      <name val="Segoe UI"/>
      <family val="2"/>
    </font>
    <font>
      <b/>
      <sz val="22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2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/>
      <bottom style="thin">
        <color rgb="FFA9A9A9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297">
    <xf numFmtId="0" fontId="0" fillId="0" borderId="0" xfId="0"/>
    <xf numFmtId="0" fontId="3" fillId="0" borderId="0" xfId="0" applyFont="1"/>
    <xf numFmtId="44" fontId="3" fillId="0" borderId="0" xfId="1" applyFont="1"/>
    <xf numFmtId="44" fontId="0" fillId="0" borderId="0" xfId="1" applyFont="1"/>
    <xf numFmtId="0" fontId="0" fillId="0" borderId="0" xfId="0" applyAlignment="1">
      <alignment vertical="top"/>
    </xf>
    <xf numFmtId="43" fontId="5" fillId="0" borderId="5" xfId="4" applyFont="1" applyBorder="1"/>
    <xf numFmtId="0" fontId="0" fillId="0" borderId="7" xfId="0" applyBorder="1"/>
    <xf numFmtId="0" fontId="0" fillId="0" borderId="16" xfId="0" applyBorder="1"/>
    <xf numFmtId="164" fontId="3" fillId="0" borderId="0" xfId="0" applyNumberFormat="1" applyFont="1"/>
    <xf numFmtId="10" fontId="3" fillId="0" borderId="0" xfId="2" applyNumberFormat="1" applyFont="1" applyBorder="1"/>
    <xf numFmtId="10" fontId="3" fillId="0" borderId="0" xfId="0" applyNumberFormat="1" applyFont="1"/>
    <xf numFmtId="164" fontId="0" fillId="0" borderId="0" xfId="0" applyNumberFormat="1"/>
    <xf numFmtId="164" fontId="0" fillId="0" borderId="7" xfId="0" applyNumberFormat="1" applyBorder="1"/>
    <xf numFmtId="16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7" fillId="0" borderId="17" xfId="0" applyFont="1" applyBorder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7" fillId="0" borderId="18" xfId="0" applyFont="1" applyBorder="1" applyAlignment="1">
      <alignment vertical="top"/>
    </xf>
    <xf numFmtId="4" fontId="3" fillId="0" borderId="0" xfId="0" applyNumberFormat="1" applyFont="1"/>
    <xf numFmtId="42" fontId="0" fillId="0" borderId="0" xfId="0" applyNumberFormat="1"/>
    <xf numFmtId="10" fontId="3" fillId="0" borderId="0" xfId="2" applyNumberFormat="1" applyFont="1"/>
    <xf numFmtId="44" fontId="0" fillId="0" borderId="7" xfId="1" applyFont="1" applyBorder="1"/>
    <xf numFmtId="40" fontId="7" fillId="0" borderId="23" xfId="0" applyNumberFormat="1" applyFont="1" applyBorder="1"/>
    <xf numFmtId="44" fontId="0" fillId="0" borderId="0" xfId="0" applyNumberFormat="1"/>
    <xf numFmtId="40" fontId="6" fillId="0" borderId="20" xfId="0" applyNumberFormat="1" applyFont="1" applyBorder="1"/>
    <xf numFmtId="0" fontId="6" fillId="3" borderId="11" xfId="0" applyFont="1" applyFill="1" applyBorder="1" applyAlignment="1">
      <alignment vertical="top"/>
    </xf>
    <xf numFmtId="44" fontId="6" fillId="3" borderId="11" xfId="1" applyFont="1" applyFill="1" applyBorder="1" applyAlignment="1">
      <alignment vertical="top" wrapText="1"/>
    </xf>
    <xf numFmtId="164" fontId="6" fillId="3" borderId="11" xfId="0" applyNumberFormat="1" applyFont="1" applyFill="1" applyBorder="1" applyAlignment="1">
      <alignment vertical="top" wrapText="1"/>
    </xf>
    <xf numFmtId="0" fontId="6" fillId="0" borderId="16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7" fillId="0" borderId="19" xfId="0" applyFont="1" applyBorder="1" applyAlignment="1">
      <alignment vertical="top"/>
    </xf>
    <xf numFmtId="44" fontId="7" fillId="0" borderId="19" xfId="1" applyFont="1" applyBorder="1" applyAlignment="1">
      <alignment vertical="top"/>
    </xf>
    <xf numFmtId="44" fontId="7" fillId="0" borderId="18" xfId="1" applyFont="1" applyBorder="1" applyAlignment="1">
      <alignment vertical="top"/>
    </xf>
    <xf numFmtId="40" fontId="7" fillId="0" borderId="18" xfId="0" applyNumberFormat="1" applyFont="1" applyBorder="1" applyAlignment="1">
      <alignment vertical="top"/>
    </xf>
    <xf numFmtId="164" fontId="7" fillId="0" borderId="18" xfId="0" applyNumberFormat="1" applyFont="1" applyBorder="1" applyAlignment="1">
      <alignment vertical="top"/>
    </xf>
    <xf numFmtId="40" fontId="6" fillId="0" borderId="18" xfId="0" applyNumberFormat="1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20" xfId="0" applyFont="1" applyBorder="1" applyAlignment="1">
      <alignment vertical="top"/>
    </xf>
    <xf numFmtId="0" fontId="7" fillId="0" borderId="20" xfId="0" applyFont="1" applyBorder="1" applyAlignment="1">
      <alignment vertical="top"/>
    </xf>
    <xf numFmtId="0" fontId="7" fillId="0" borderId="21" xfId="0" applyFont="1" applyBorder="1" applyAlignment="1">
      <alignment vertical="top"/>
    </xf>
    <xf numFmtId="44" fontId="7" fillId="0" borderId="21" xfId="1" applyFont="1" applyBorder="1" applyAlignment="1">
      <alignment vertical="top"/>
    </xf>
    <xf numFmtId="44" fontId="7" fillId="0" borderId="20" xfId="1" applyFont="1" applyBorder="1" applyAlignment="1">
      <alignment vertical="top"/>
    </xf>
    <xf numFmtId="164" fontId="7" fillId="0" borderId="20" xfId="0" applyNumberFormat="1" applyFont="1" applyBorder="1" applyAlignment="1">
      <alignment vertical="top"/>
    </xf>
    <xf numFmtId="40" fontId="6" fillId="0" borderId="20" xfId="0" applyNumberFormat="1" applyFont="1" applyBorder="1" applyAlignment="1">
      <alignment vertical="top"/>
    </xf>
    <xf numFmtId="0" fontId="6" fillId="0" borderId="17" xfId="0" applyFont="1" applyBorder="1" applyAlignment="1">
      <alignment vertical="top"/>
    </xf>
    <xf numFmtId="0" fontId="7" fillId="0" borderId="22" xfId="0" applyFont="1" applyBorder="1"/>
    <xf numFmtId="44" fontId="7" fillId="0" borderId="22" xfId="1" applyFont="1" applyBorder="1"/>
    <xf numFmtId="44" fontId="7" fillId="0" borderId="17" xfId="1" applyFont="1" applyBorder="1"/>
    <xf numFmtId="164" fontId="7" fillId="0" borderId="17" xfId="0" applyNumberFormat="1" applyFont="1" applyBorder="1" applyAlignment="1">
      <alignment vertical="top"/>
    </xf>
    <xf numFmtId="40" fontId="6" fillId="0" borderId="17" xfId="0" applyNumberFormat="1" applyFont="1" applyBorder="1"/>
    <xf numFmtId="0" fontId="7" fillId="0" borderId="17" xfId="0" applyFont="1" applyBorder="1" applyAlignment="1">
      <alignment vertical="top"/>
    </xf>
    <xf numFmtId="0" fontId="7" fillId="0" borderId="22" xfId="0" applyFont="1" applyBorder="1" applyAlignment="1">
      <alignment vertical="top"/>
    </xf>
    <xf numFmtId="44" fontId="7" fillId="0" borderId="22" xfId="1" applyFont="1" applyBorder="1" applyAlignment="1">
      <alignment vertical="top"/>
    </xf>
    <xf numFmtId="44" fontId="7" fillId="0" borderId="17" xfId="1" applyFont="1" applyBorder="1" applyAlignment="1">
      <alignment vertical="top"/>
    </xf>
    <xf numFmtId="40" fontId="6" fillId="0" borderId="17" xfId="0" applyNumberFormat="1" applyFont="1" applyBorder="1" applyAlignment="1">
      <alignment vertical="top"/>
    </xf>
    <xf numFmtId="0" fontId="7" fillId="0" borderId="17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44" fontId="7" fillId="0" borderId="22" xfId="1" applyFont="1" applyBorder="1" applyAlignment="1">
      <alignment vertical="top" wrapText="1"/>
    </xf>
    <xf numFmtId="44" fontId="7" fillId="0" borderId="17" xfId="1" applyFont="1" applyBorder="1" applyAlignment="1">
      <alignment vertical="top" wrapText="1"/>
    </xf>
    <xf numFmtId="40" fontId="7" fillId="0" borderId="17" xfId="0" applyNumberFormat="1" applyFont="1" applyBorder="1" applyAlignment="1">
      <alignment vertical="top" wrapText="1"/>
    </xf>
    <xf numFmtId="40" fontId="6" fillId="0" borderId="17" xfId="0" applyNumberFormat="1" applyFont="1" applyBorder="1" applyAlignment="1">
      <alignment vertical="top" wrapText="1"/>
    </xf>
    <xf numFmtId="0" fontId="6" fillId="0" borderId="23" xfId="0" applyFont="1" applyBorder="1" applyAlignment="1">
      <alignment vertical="top"/>
    </xf>
    <xf numFmtId="0" fontId="7" fillId="0" borderId="23" xfId="0" applyFont="1" applyBorder="1"/>
    <xf numFmtId="0" fontId="7" fillId="0" borderId="24" xfId="0" applyFont="1" applyBorder="1"/>
    <xf numFmtId="44" fontId="7" fillId="0" borderId="24" xfId="1" applyFont="1" applyBorder="1"/>
    <xf numFmtId="44" fontId="7" fillId="0" borderId="23" xfId="1" applyFont="1" applyBorder="1"/>
    <xf numFmtId="164" fontId="6" fillId="0" borderId="23" xfId="0" applyNumberFormat="1" applyFont="1" applyBorder="1" applyAlignment="1">
      <alignment vertical="top"/>
    </xf>
    <xf numFmtId="40" fontId="6" fillId="0" borderId="23" xfId="0" applyNumberFormat="1" applyFont="1" applyBorder="1"/>
    <xf numFmtId="164" fontId="6" fillId="0" borderId="17" xfId="0" applyNumberFormat="1" applyFont="1" applyBorder="1" applyAlignment="1">
      <alignment vertical="top"/>
    </xf>
    <xf numFmtId="0" fontId="6" fillId="0" borderId="25" xfId="0" applyFont="1" applyBorder="1" applyAlignment="1">
      <alignment vertical="top"/>
    </xf>
    <xf numFmtId="0" fontId="7" fillId="0" borderId="25" xfId="0" applyFont="1" applyBorder="1"/>
    <xf numFmtId="44" fontId="7" fillId="0" borderId="25" xfId="1" applyFont="1" applyBorder="1"/>
    <xf numFmtId="40" fontId="7" fillId="0" borderId="25" xfId="0" applyNumberFormat="1" applyFont="1" applyBorder="1"/>
    <xf numFmtId="164" fontId="6" fillId="0" borderId="25" xfId="0" applyNumberFormat="1" applyFont="1" applyBorder="1" applyAlignment="1">
      <alignment vertical="top"/>
    </xf>
    <xf numFmtId="40" fontId="6" fillId="0" borderId="25" xfId="0" applyNumberFormat="1" applyFont="1" applyBorder="1"/>
    <xf numFmtId="0" fontId="7" fillId="0" borderId="16" xfId="0" applyFont="1" applyBorder="1"/>
    <xf numFmtId="0" fontId="7" fillId="0" borderId="20" xfId="0" applyFont="1" applyBorder="1"/>
    <xf numFmtId="44" fontId="7" fillId="0" borderId="20" xfId="1" applyFont="1" applyBorder="1"/>
    <xf numFmtId="40" fontId="7" fillId="0" borderId="20" xfId="0" applyNumberFormat="1" applyFont="1" applyBorder="1"/>
    <xf numFmtId="164" fontId="6" fillId="0" borderId="20" xfId="0" applyNumberFormat="1" applyFont="1" applyBorder="1"/>
    <xf numFmtId="40" fontId="7" fillId="0" borderId="17" xfId="0" applyNumberFormat="1" applyFont="1" applyBorder="1"/>
    <xf numFmtId="0" fontId="7" fillId="0" borderId="18" xfId="0" applyFont="1" applyBorder="1"/>
    <xf numFmtId="44" fontId="7" fillId="0" borderId="18" xfId="1" applyFont="1" applyBorder="1"/>
    <xf numFmtId="40" fontId="6" fillId="0" borderId="18" xfId="0" applyNumberFormat="1" applyFont="1" applyBorder="1"/>
    <xf numFmtId="164" fontId="6" fillId="0" borderId="18" xfId="0" applyNumberFormat="1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7" fillId="0" borderId="6" xfId="0" applyFont="1" applyBorder="1"/>
    <xf numFmtId="44" fontId="7" fillId="0" borderId="6" xfId="1" applyFont="1" applyBorder="1"/>
    <xf numFmtId="164" fontId="6" fillId="0" borderId="6" xfId="0" applyNumberFormat="1" applyFont="1" applyBorder="1" applyAlignment="1">
      <alignment vertical="top"/>
    </xf>
    <xf numFmtId="40" fontId="6" fillId="0" borderId="6" xfId="0" applyNumberFormat="1" applyFont="1" applyBorder="1"/>
    <xf numFmtId="0" fontId="6" fillId="0" borderId="2" xfId="0" applyFont="1" applyBorder="1" applyAlignment="1">
      <alignment vertical="top"/>
    </xf>
    <xf numFmtId="164" fontId="6" fillId="0" borderId="18" xfId="0" applyNumberFormat="1" applyFont="1" applyBorder="1"/>
    <xf numFmtId="164" fontId="6" fillId="0" borderId="17" xfId="0" applyNumberFormat="1" applyFont="1" applyBorder="1"/>
    <xf numFmtId="40" fontId="7" fillId="0" borderId="17" xfId="0" applyNumberFormat="1" applyFont="1" applyBorder="1" applyAlignment="1">
      <alignment vertical="top"/>
    </xf>
    <xf numFmtId="0" fontId="6" fillId="0" borderId="18" xfId="0" applyFont="1" applyBorder="1" applyAlignment="1">
      <alignment vertical="top" wrapText="1"/>
    </xf>
    <xf numFmtId="0" fontId="7" fillId="0" borderId="17" xfId="0" applyFont="1" applyBorder="1" applyAlignment="1">
      <alignment horizontal="right" vertical="top"/>
    </xf>
    <xf numFmtId="0" fontId="7" fillId="0" borderId="23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44" fontId="7" fillId="0" borderId="23" xfId="1" applyFont="1" applyBorder="1" applyAlignment="1">
      <alignment vertical="center"/>
    </xf>
    <xf numFmtId="40" fontId="6" fillId="0" borderId="11" xfId="0" applyNumberFormat="1" applyFont="1" applyBorder="1" applyAlignment="1">
      <alignment vertical="top"/>
    </xf>
    <xf numFmtId="40" fontId="6" fillId="0" borderId="23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44" fontId="7" fillId="0" borderId="25" xfId="1" applyFont="1" applyBorder="1" applyAlignment="1">
      <alignment vertical="center"/>
    </xf>
    <xf numFmtId="40" fontId="7" fillId="0" borderId="6" xfId="0" applyNumberFormat="1" applyFont="1" applyBorder="1" applyAlignment="1">
      <alignment vertical="center"/>
    </xf>
    <xf numFmtId="40" fontId="6" fillId="0" borderId="25" xfId="0" applyNumberFormat="1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44" fontId="7" fillId="0" borderId="2" xfId="1" applyFont="1" applyBorder="1" applyAlignment="1">
      <alignment vertical="center"/>
    </xf>
    <xf numFmtId="40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4" fontId="6" fillId="0" borderId="18" xfId="1" applyFont="1" applyBorder="1" applyAlignment="1">
      <alignment vertical="top"/>
    </xf>
    <xf numFmtId="0" fontId="6" fillId="0" borderId="20" xfId="0" applyFont="1" applyBorder="1" applyAlignment="1">
      <alignment vertical="top" wrapText="1"/>
    </xf>
    <xf numFmtId="164" fontId="6" fillId="0" borderId="20" xfId="0" applyNumberFormat="1" applyFont="1" applyBorder="1" applyAlignment="1">
      <alignment vertical="top"/>
    </xf>
    <xf numFmtId="0" fontId="7" fillId="0" borderId="23" xfId="0" applyFont="1" applyBorder="1" applyAlignment="1">
      <alignment vertical="top"/>
    </xf>
    <xf numFmtId="44" fontId="7" fillId="0" borderId="23" xfId="1" applyFont="1" applyBorder="1" applyAlignment="1">
      <alignment vertical="top"/>
    </xf>
    <xf numFmtId="164" fontId="7" fillId="0" borderId="23" xfId="0" applyNumberFormat="1" applyFont="1" applyBorder="1" applyAlignment="1">
      <alignment vertical="top"/>
    </xf>
    <xf numFmtId="40" fontId="6" fillId="0" borderId="23" xfId="0" applyNumberFormat="1" applyFont="1" applyBorder="1" applyAlignment="1">
      <alignment vertical="top"/>
    </xf>
    <xf numFmtId="164" fontId="7" fillId="0" borderId="23" xfId="0" applyNumberFormat="1" applyFont="1" applyBorder="1"/>
    <xf numFmtId="44" fontId="7" fillId="0" borderId="9" xfId="1" applyFont="1" applyBorder="1"/>
    <xf numFmtId="0" fontId="6" fillId="0" borderId="18" xfId="0" applyFont="1" applyBorder="1"/>
    <xf numFmtId="0" fontId="6" fillId="0" borderId="17" xfId="0" applyFont="1" applyBorder="1"/>
    <xf numFmtId="0" fontId="7" fillId="0" borderId="9" xfId="0" applyFont="1" applyBorder="1"/>
    <xf numFmtId="0" fontId="6" fillId="0" borderId="9" xfId="0" applyFont="1" applyBorder="1" applyAlignment="1">
      <alignment horizontal="center" vertical="top" wrapText="1"/>
    </xf>
    <xf numFmtId="164" fontId="6" fillId="0" borderId="25" xfId="0" applyNumberFormat="1" applyFont="1" applyBorder="1"/>
    <xf numFmtId="0" fontId="6" fillId="0" borderId="11" xfId="0" applyFont="1" applyBorder="1"/>
    <xf numFmtId="0" fontId="7" fillId="0" borderId="11" xfId="0" applyFont="1" applyBorder="1"/>
    <xf numFmtId="44" fontId="7" fillId="0" borderId="11" xfId="1" applyFont="1" applyBorder="1"/>
    <xf numFmtId="40" fontId="7" fillId="0" borderId="11" xfId="0" applyNumberFormat="1" applyFont="1" applyBorder="1"/>
    <xf numFmtId="164" fontId="6" fillId="0" borderId="11" xfId="0" applyNumberFormat="1" applyFont="1" applyBorder="1"/>
    <xf numFmtId="40" fontId="6" fillId="0" borderId="11" xfId="0" applyNumberFormat="1" applyFont="1" applyBorder="1"/>
    <xf numFmtId="0" fontId="7" fillId="0" borderId="16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44" fontId="7" fillId="0" borderId="11" xfId="1" applyFont="1" applyBorder="1" applyAlignment="1">
      <alignment vertical="top"/>
    </xf>
    <xf numFmtId="40" fontId="6" fillId="0" borderId="9" xfId="0" applyNumberFormat="1" applyFont="1" applyBorder="1" applyAlignment="1">
      <alignment vertical="top"/>
    </xf>
    <xf numFmtId="0" fontId="6" fillId="0" borderId="9" xfId="0" applyFont="1" applyBorder="1" applyAlignment="1">
      <alignment vertical="top" wrapText="1"/>
    </xf>
    <xf numFmtId="0" fontId="6" fillId="0" borderId="20" xfId="0" applyFont="1" applyBorder="1"/>
    <xf numFmtId="0" fontId="7" fillId="0" borderId="2" xfId="0" applyFont="1" applyBorder="1" applyAlignment="1">
      <alignment vertical="top"/>
    </xf>
    <xf numFmtId="44" fontId="7" fillId="0" borderId="2" xfId="1" applyFont="1" applyBorder="1" applyAlignment="1">
      <alignment vertical="top"/>
    </xf>
    <xf numFmtId="40" fontId="6" fillId="0" borderId="2" xfId="0" applyNumberFormat="1" applyFont="1" applyBorder="1" applyAlignment="1">
      <alignment vertical="top"/>
    </xf>
    <xf numFmtId="164" fontId="6" fillId="0" borderId="2" xfId="0" applyNumberFormat="1" applyFont="1" applyBorder="1" applyAlignment="1">
      <alignment vertical="top"/>
    </xf>
    <xf numFmtId="0" fontId="6" fillId="0" borderId="16" xfId="0" applyFont="1" applyBorder="1" applyAlignment="1">
      <alignment vertical="top" wrapText="1"/>
    </xf>
    <xf numFmtId="0" fontId="7" fillId="0" borderId="25" xfId="0" applyFont="1" applyBorder="1" applyAlignment="1">
      <alignment vertical="top"/>
    </xf>
    <xf numFmtId="44" fontId="7" fillId="0" borderId="25" xfId="1" applyFont="1" applyBorder="1" applyAlignment="1">
      <alignment vertical="top"/>
    </xf>
    <xf numFmtId="40" fontId="6" fillId="0" borderId="25" xfId="0" applyNumberFormat="1" applyFont="1" applyBorder="1" applyAlignment="1">
      <alignment vertical="top"/>
    </xf>
    <xf numFmtId="164" fontId="6" fillId="0" borderId="18" xfId="0" applyNumberFormat="1" applyFont="1" applyBorder="1" applyAlignment="1">
      <alignment horizontal="right" vertical="top"/>
    </xf>
    <xf numFmtId="164" fontId="6" fillId="0" borderId="17" xfId="0" applyNumberFormat="1" applyFont="1" applyBorder="1" applyAlignment="1">
      <alignment horizontal="right" vertical="top"/>
    </xf>
    <xf numFmtId="0" fontId="7" fillId="0" borderId="0" xfId="0" applyFont="1"/>
    <xf numFmtId="4" fontId="6" fillId="0" borderId="0" xfId="0" applyNumberFormat="1" applyFont="1"/>
    <xf numFmtId="0" fontId="6" fillId="0" borderId="0" xfId="0" applyFont="1"/>
    <xf numFmtId="44" fontId="7" fillId="0" borderId="0" xfId="1" applyFont="1"/>
    <xf numFmtId="164" fontId="6" fillId="0" borderId="0" xfId="0" applyNumberFormat="1" applyFont="1"/>
    <xf numFmtId="164" fontId="6" fillId="0" borderId="5" xfId="0" applyNumberFormat="1" applyFont="1" applyBorder="1"/>
    <xf numFmtId="44" fontId="7" fillId="0" borderId="0" xfId="0" applyNumberFormat="1" applyFont="1"/>
    <xf numFmtId="164" fontId="7" fillId="0" borderId="0" xfId="0" applyNumberFormat="1" applyFont="1"/>
    <xf numFmtId="0" fontId="8" fillId="0" borderId="0" xfId="0" applyFont="1"/>
    <xf numFmtId="1" fontId="7" fillId="0" borderId="0" xfId="0" applyNumberFormat="1" applyFont="1" applyAlignment="1">
      <alignment horizontal="right"/>
    </xf>
    <xf numFmtId="0" fontId="6" fillId="3" borderId="2" xfId="0" applyFont="1" applyFill="1" applyBorder="1" applyAlignment="1">
      <alignment vertical="top"/>
    </xf>
    <xf numFmtId="1" fontId="6" fillId="3" borderId="2" xfId="0" applyNumberFormat="1" applyFont="1" applyFill="1" applyBorder="1" applyAlignment="1">
      <alignment horizontal="right" vertical="top" wrapText="1"/>
    </xf>
    <xf numFmtId="164" fontId="6" fillId="3" borderId="2" xfId="0" applyNumberFormat="1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9" fillId="0" borderId="2" xfId="0" applyFont="1" applyBorder="1"/>
    <xf numFmtId="1" fontId="6" fillId="0" borderId="2" xfId="0" applyNumberFormat="1" applyFont="1" applyBorder="1" applyAlignment="1">
      <alignment horizontal="left"/>
    </xf>
    <xf numFmtId="0" fontId="7" fillId="0" borderId="2" xfId="0" applyFont="1" applyBorder="1"/>
    <xf numFmtId="44" fontId="7" fillId="0" borderId="2" xfId="1" applyFont="1" applyBorder="1"/>
    <xf numFmtId="0" fontId="9" fillId="0" borderId="6" xfId="0" applyFont="1" applyBorder="1"/>
    <xf numFmtId="1" fontId="6" fillId="0" borderId="6" xfId="0" applyNumberFormat="1" applyFont="1" applyBorder="1" applyAlignment="1">
      <alignment horizontal="left"/>
    </xf>
    <xf numFmtId="1" fontId="7" fillId="0" borderId="8" xfId="0" applyNumberFormat="1" applyFont="1" applyBorder="1" applyAlignment="1">
      <alignment horizontal="right"/>
    </xf>
    <xf numFmtId="0" fontId="9" fillId="0" borderId="9" xfId="0" applyFont="1" applyBorder="1"/>
    <xf numFmtId="0" fontId="6" fillId="0" borderId="2" xfId="0" applyFont="1" applyBorder="1"/>
    <xf numFmtId="1" fontId="7" fillId="0" borderId="10" xfId="0" applyNumberFormat="1" applyFont="1" applyBorder="1" applyAlignment="1">
      <alignment horizontal="right"/>
    </xf>
    <xf numFmtId="44" fontId="7" fillId="0" borderId="2" xfId="0" applyNumberFormat="1" applyFont="1" applyBorder="1"/>
    <xf numFmtId="0" fontId="6" fillId="0" borderId="9" xfId="0" applyFont="1" applyBorder="1"/>
    <xf numFmtId="1" fontId="7" fillId="0" borderId="5" xfId="0" applyNumberFormat="1" applyFont="1" applyBorder="1" applyAlignment="1">
      <alignment horizontal="right"/>
    </xf>
    <xf numFmtId="44" fontId="7" fillId="0" borderId="9" xfId="1" applyFont="1" applyFill="1" applyBorder="1"/>
    <xf numFmtId="0" fontId="7" fillId="0" borderId="2" xfId="0" applyFont="1" applyBorder="1" applyAlignment="1">
      <alignment horizontal="left"/>
    </xf>
    <xf numFmtId="44" fontId="7" fillId="0" borderId="2" xfId="1" applyFont="1" applyFill="1" applyBorder="1"/>
    <xf numFmtId="0" fontId="6" fillId="0" borderId="6" xfId="0" applyFont="1" applyBorder="1"/>
    <xf numFmtId="0" fontId="7" fillId="0" borderId="6" xfId="0" applyFont="1" applyBorder="1" applyAlignment="1">
      <alignment horizontal="left"/>
    </xf>
    <xf numFmtId="44" fontId="7" fillId="0" borderId="6" xfId="1" applyFont="1" applyFill="1" applyBorder="1"/>
    <xf numFmtId="0" fontId="7" fillId="0" borderId="11" xfId="0" applyFont="1" applyBorder="1" applyAlignment="1">
      <alignment horizontal="left"/>
    </xf>
    <xf numFmtId="1" fontId="5" fillId="0" borderId="13" xfId="4" applyNumberFormat="1" applyFont="1" applyFill="1" applyBorder="1" applyAlignment="1">
      <alignment horizontal="right"/>
    </xf>
    <xf numFmtId="44" fontId="7" fillId="0" borderId="11" xfId="1" applyFont="1" applyFill="1" applyBorder="1"/>
    <xf numFmtId="44" fontId="7" fillId="0" borderId="11" xfId="0" applyNumberFormat="1" applyFont="1" applyBorder="1"/>
    <xf numFmtId="0" fontId="7" fillId="0" borderId="9" xfId="0" applyFont="1" applyBorder="1" applyAlignment="1">
      <alignment horizontal="left" vertical="top"/>
    </xf>
    <xf numFmtId="1" fontId="7" fillId="0" borderId="5" xfId="0" applyNumberFormat="1" applyFont="1" applyBorder="1" applyAlignment="1">
      <alignment horizontal="right" vertical="top"/>
    </xf>
    <xf numFmtId="164" fontId="6" fillId="0" borderId="9" xfId="0" applyNumberFormat="1" applyFont="1" applyBorder="1" applyAlignment="1">
      <alignment vertical="top" wrapText="1"/>
    </xf>
    <xf numFmtId="44" fontId="7" fillId="0" borderId="9" xfId="1" applyFont="1" applyBorder="1" applyAlignment="1">
      <alignment vertical="top" wrapText="1"/>
    </xf>
    <xf numFmtId="0" fontId="6" fillId="0" borderId="9" xfId="0" applyFont="1" applyBorder="1" applyAlignment="1">
      <alignment horizontal="left" indent="1"/>
    </xf>
    <xf numFmtId="0" fontId="6" fillId="0" borderId="6" xfId="0" applyFont="1" applyBorder="1" applyAlignment="1">
      <alignment horizontal="left" indent="1"/>
    </xf>
    <xf numFmtId="0" fontId="7" fillId="0" borderId="6" xfId="0" applyFont="1" applyBorder="1" applyAlignment="1">
      <alignment horizontal="left" vertical="top"/>
    </xf>
    <xf numFmtId="1" fontId="5" fillId="0" borderId="8" xfId="4" applyNumberFormat="1" applyFont="1" applyFill="1" applyBorder="1" applyAlignment="1">
      <alignment horizontal="right"/>
    </xf>
    <xf numFmtId="0" fontId="6" fillId="0" borderId="0" xfId="0" applyFont="1" applyAlignment="1">
      <alignment horizontal="left" indent="1"/>
    </xf>
    <xf numFmtId="0" fontId="7" fillId="0" borderId="9" xfId="0" applyFont="1" applyBorder="1" applyAlignment="1">
      <alignment horizontal="left"/>
    </xf>
    <xf numFmtId="44" fontId="7" fillId="0" borderId="9" xfId="0" applyNumberFormat="1" applyFont="1" applyBorder="1"/>
    <xf numFmtId="1" fontId="7" fillId="0" borderId="13" xfId="0" applyNumberFormat="1" applyFont="1" applyBorder="1" applyAlignment="1">
      <alignment horizontal="right"/>
    </xf>
    <xf numFmtId="49" fontId="6" fillId="4" borderId="14" xfId="0" applyNumberFormat="1" applyFont="1" applyFill="1" applyBorder="1" applyAlignment="1">
      <alignment horizontal="left" vertical="center" readingOrder="1"/>
    </xf>
    <xf numFmtId="43" fontId="5" fillId="0" borderId="10" xfId="4" applyFont="1" applyBorder="1"/>
    <xf numFmtId="43" fontId="5" fillId="0" borderId="8" xfId="4" applyFont="1" applyBorder="1"/>
    <xf numFmtId="44" fontId="6" fillId="0" borderId="2" xfId="1" applyFont="1" applyBorder="1"/>
    <xf numFmtId="44" fontId="6" fillId="0" borderId="9" xfId="1" applyFont="1" applyBorder="1"/>
    <xf numFmtId="1" fontId="7" fillId="0" borderId="5" xfId="1" applyNumberFormat="1" applyFont="1" applyBorder="1" applyAlignment="1">
      <alignment horizontal="right"/>
    </xf>
    <xf numFmtId="0" fontId="7" fillId="0" borderId="5" xfId="0" applyFont="1" applyBorder="1"/>
    <xf numFmtId="49" fontId="6" fillId="4" borderId="15" xfId="0" applyNumberFormat="1" applyFont="1" applyFill="1" applyBorder="1" applyAlignment="1">
      <alignment horizontal="left" vertical="center" readingOrder="1"/>
    </xf>
    <xf numFmtId="49" fontId="10" fillId="4" borderId="9" xfId="0" applyNumberFormat="1" applyFont="1" applyFill="1" applyBorder="1" applyAlignment="1">
      <alignment horizontal="left" vertical="center" readingOrder="1"/>
    </xf>
    <xf numFmtId="49" fontId="6" fillId="4" borderId="11" xfId="0" applyNumberFormat="1" applyFont="1" applyFill="1" applyBorder="1" applyAlignment="1">
      <alignment horizontal="left" vertical="center" readingOrder="1"/>
    </xf>
    <xf numFmtId="49" fontId="10" fillId="4" borderId="11" xfId="0" applyNumberFormat="1" applyFont="1" applyFill="1" applyBorder="1" applyAlignment="1">
      <alignment horizontal="left" vertical="center" readingOrder="1"/>
    </xf>
    <xf numFmtId="1" fontId="10" fillId="4" borderId="11" xfId="0" applyNumberFormat="1" applyFont="1" applyFill="1" applyBorder="1" applyAlignment="1">
      <alignment horizontal="right" vertical="center" readingOrder="1"/>
    </xf>
    <xf numFmtId="44" fontId="10" fillId="4" borderId="11" xfId="0" applyNumberFormat="1" applyFont="1" applyFill="1" applyBorder="1" applyAlignment="1">
      <alignment horizontal="left" vertical="center" readingOrder="1"/>
    </xf>
    <xf numFmtId="49" fontId="10" fillId="4" borderId="0" xfId="0" applyNumberFormat="1" applyFont="1" applyFill="1" applyAlignment="1">
      <alignment horizontal="left" vertical="center" readingOrder="1"/>
    </xf>
    <xf numFmtId="1" fontId="7" fillId="0" borderId="6" xfId="0" applyNumberFormat="1" applyFont="1" applyBorder="1" applyAlignment="1">
      <alignment horizontal="right"/>
    </xf>
    <xf numFmtId="44" fontId="7" fillId="0" borderId="6" xfId="0" applyNumberFormat="1" applyFont="1" applyBorder="1"/>
    <xf numFmtId="49" fontId="6" fillId="4" borderId="2" xfId="0" applyNumberFormat="1" applyFont="1" applyFill="1" applyBorder="1" applyAlignment="1">
      <alignment horizontal="left" vertical="center" readingOrder="1"/>
    </xf>
    <xf numFmtId="0" fontId="6" fillId="0" borderId="2" xfId="0" applyFont="1" applyBorder="1" applyAlignment="1">
      <alignment horizontal="left" indent="1"/>
    </xf>
    <xf numFmtId="1" fontId="6" fillId="0" borderId="2" xfId="0" applyNumberFormat="1" applyFont="1" applyBorder="1" applyAlignment="1">
      <alignment horizontal="right" indent="1"/>
    </xf>
    <xf numFmtId="49" fontId="6" fillId="4" borderId="9" xfId="0" applyNumberFormat="1" applyFont="1" applyFill="1" applyBorder="1" applyAlignment="1">
      <alignment horizontal="left" vertical="center" readingOrder="1"/>
    </xf>
    <xf numFmtId="1" fontId="6" fillId="0" borderId="9" xfId="0" applyNumberFormat="1" applyFont="1" applyBorder="1" applyAlignment="1">
      <alignment horizontal="right" indent="1"/>
    </xf>
    <xf numFmtId="49" fontId="6" fillId="4" borderId="6" xfId="0" applyNumberFormat="1" applyFont="1" applyFill="1" applyBorder="1" applyAlignment="1">
      <alignment horizontal="left" vertical="center" readingOrder="1"/>
    </xf>
    <xf numFmtId="49" fontId="10" fillId="4" borderId="6" xfId="0" applyNumberFormat="1" applyFont="1" applyFill="1" applyBorder="1" applyAlignment="1">
      <alignment horizontal="left" vertical="center" readingOrder="1"/>
    </xf>
    <xf numFmtId="1" fontId="10" fillId="4" borderId="6" xfId="0" applyNumberFormat="1" applyFont="1" applyFill="1" applyBorder="1" applyAlignment="1">
      <alignment horizontal="right" vertical="center" readingOrder="1"/>
    </xf>
    <xf numFmtId="1" fontId="6" fillId="0" borderId="11" xfId="0" applyNumberFormat="1" applyFont="1" applyBorder="1" applyAlignment="1">
      <alignment horizontal="left"/>
    </xf>
    <xf numFmtId="44" fontId="6" fillId="0" borderId="0" xfId="1" applyFont="1"/>
    <xf numFmtId="164" fontId="6" fillId="3" borderId="11" xfId="0" applyNumberFormat="1" applyFont="1" applyFill="1" applyBorder="1" applyAlignment="1">
      <alignment horizontal="center" vertical="top" wrapText="1"/>
    </xf>
    <xf numFmtId="0" fontId="6" fillId="0" borderId="10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164" fontId="7" fillId="0" borderId="19" xfId="0" applyNumberFormat="1" applyFont="1" applyBorder="1" applyAlignment="1">
      <alignment vertical="top"/>
    </xf>
    <xf numFmtId="164" fontId="7" fillId="0" borderId="3" xfId="0" applyNumberFormat="1" applyFont="1" applyBorder="1" applyAlignment="1">
      <alignment vertical="top"/>
    </xf>
    <xf numFmtId="164" fontId="6" fillId="0" borderId="3" xfId="0" applyNumberFormat="1" applyFont="1" applyBorder="1" applyAlignment="1">
      <alignment vertical="top"/>
    </xf>
    <xf numFmtId="164" fontId="6" fillId="0" borderId="11" xfId="0" applyNumberFormat="1" applyFont="1" applyBorder="1" applyAlignment="1">
      <alignment vertical="top"/>
    </xf>
    <xf numFmtId="0" fontId="7" fillId="0" borderId="19" xfId="0" applyFont="1" applyBorder="1"/>
    <xf numFmtId="164" fontId="7" fillId="0" borderId="22" xfId="0" applyNumberFormat="1" applyFont="1" applyBorder="1"/>
    <xf numFmtId="164" fontId="7" fillId="0" borderId="18" xfId="0" applyNumberFormat="1" applyFont="1" applyBorder="1"/>
    <xf numFmtId="164" fontId="7" fillId="0" borderId="17" xfId="0" applyNumberFormat="1" applyFont="1" applyBorder="1"/>
    <xf numFmtId="164" fontId="7" fillId="0" borderId="22" xfId="0" applyNumberFormat="1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7" fillId="0" borderId="21" xfId="0" applyFont="1" applyBorder="1"/>
    <xf numFmtId="164" fontId="7" fillId="0" borderId="0" xfId="0" applyNumberFormat="1" applyFont="1" applyAlignment="1">
      <alignment vertical="top"/>
    </xf>
    <xf numFmtId="164" fontId="7" fillId="0" borderId="25" xfId="0" applyNumberFormat="1" applyFont="1" applyBorder="1"/>
    <xf numFmtId="164" fontId="7" fillId="0" borderId="21" xfId="0" applyNumberFormat="1" applyFont="1" applyBorder="1" applyAlignment="1">
      <alignment vertical="top"/>
    </xf>
    <xf numFmtId="164" fontId="7" fillId="0" borderId="22" xfId="0" applyNumberFormat="1" applyFont="1" applyBorder="1" applyAlignment="1">
      <alignment vertical="top" wrapText="1"/>
    </xf>
    <xf numFmtId="164" fontId="7" fillId="0" borderId="17" xfId="0" applyNumberFormat="1" applyFont="1" applyBorder="1" applyAlignment="1">
      <alignment vertical="top" wrapText="1"/>
    </xf>
    <xf numFmtId="17" fontId="7" fillId="0" borderId="17" xfId="0" applyNumberFormat="1" applyFont="1" applyBorder="1" applyAlignment="1">
      <alignment vertical="top" wrapText="1"/>
    </xf>
    <xf numFmtId="0" fontId="7" fillId="0" borderId="26" xfId="0" applyFont="1" applyBorder="1"/>
    <xf numFmtId="164" fontId="7" fillId="0" borderId="26" xfId="0" applyNumberFormat="1" applyFont="1" applyBorder="1"/>
    <xf numFmtId="0" fontId="7" fillId="0" borderId="27" xfId="0" applyFont="1" applyBorder="1" applyAlignment="1">
      <alignment horizontal="left"/>
    </xf>
    <xf numFmtId="0" fontId="7" fillId="0" borderId="27" xfId="0" applyFont="1" applyBorder="1"/>
    <xf numFmtId="17" fontId="7" fillId="0" borderId="23" xfId="0" applyNumberFormat="1" applyFont="1" applyBorder="1"/>
    <xf numFmtId="164" fontId="7" fillId="0" borderId="11" xfId="0" applyNumberFormat="1" applyFont="1" applyBorder="1"/>
    <xf numFmtId="164" fontId="6" fillId="0" borderId="11" xfId="0" applyNumberFormat="1" applyFont="1" applyBorder="1" applyAlignment="1">
      <alignment horizontal="right" vertical="top"/>
    </xf>
    <xf numFmtId="0" fontId="7" fillId="0" borderId="18" xfId="0" applyFont="1" applyBorder="1" applyAlignment="1">
      <alignment vertical="top" wrapText="1"/>
    </xf>
    <xf numFmtId="0" fontId="7" fillId="0" borderId="23" xfId="0" applyFont="1" applyBorder="1" applyAlignment="1">
      <alignment vertical="top" wrapText="1"/>
    </xf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vertical="center" wrapText="1"/>
    </xf>
    <xf numFmtId="164" fontId="7" fillId="0" borderId="17" xfId="0" applyNumberFormat="1" applyFont="1" applyBorder="1" applyAlignment="1">
      <alignment vertical="center"/>
    </xf>
    <xf numFmtId="164" fontId="7" fillId="0" borderId="23" xfId="0" applyNumberFormat="1" applyFont="1" applyBorder="1" applyAlignment="1">
      <alignment vertical="center"/>
    </xf>
    <xf numFmtId="164" fontId="7" fillId="0" borderId="6" xfId="0" applyNumberFormat="1" applyFont="1" applyBorder="1"/>
    <xf numFmtId="164" fontId="6" fillId="0" borderId="6" xfId="0" applyNumberFormat="1" applyFont="1" applyBorder="1"/>
    <xf numFmtId="0" fontId="6" fillId="0" borderId="2" xfId="0" applyFont="1" applyBorder="1" applyAlignment="1">
      <alignment vertical="top" wrapText="1"/>
    </xf>
    <xf numFmtId="0" fontId="6" fillId="0" borderId="25" xfId="0" applyFont="1" applyBorder="1" applyAlignment="1">
      <alignment vertical="top" wrapText="1"/>
    </xf>
    <xf numFmtId="164" fontId="7" fillId="0" borderId="25" xfId="0" applyNumberFormat="1" applyFont="1" applyBorder="1" applyAlignment="1">
      <alignment vertical="top"/>
    </xf>
    <xf numFmtId="164" fontId="7" fillId="0" borderId="20" xfId="0" applyNumberFormat="1" applyFont="1" applyBorder="1"/>
    <xf numFmtId="164" fontId="7" fillId="0" borderId="11" xfId="0" applyNumberFormat="1" applyFont="1" applyBorder="1" applyAlignment="1">
      <alignment vertical="top"/>
    </xf>
    <xf numFmtId="0" fontId="6" fillId="0" borderId="11" xfId="0" applyFont="1" applyBorder="1" applyAlignment="1">
      <alignment vertical="top" wrapText="1"/>
    </xf>
    <xf numFmtId="0" fontId="7" fillId="0" borderId="6" xfId="0" applyFont="1" applyBorder="1" applyAlignment="1">
      <alignment vertical="top"/>
    </xf>
    <xf numFmtId="164" fontId="7" fillId="0" borderId="6" xfId="0" applyNumberFormat="1" applyFont="1" applyBorder="1" applyAlignment="1">
      <alignment vertical="top"/>
    </xf>
    <xf numFmtId="164" fontId="7" fillId="0" borderId="9" xfId="0" applyNumberFormat="1" applyFont="1" applyBorder="1"/>
    <xf numFmtId="164" fontId="6" fillId="0" borderId="9" xfId="0" applyNumberFormat="1" applyFont="1" applyBorder="1" applyAlignment="1">
      <alignment vertical="top"/>
    </xf>
    <xf numFmtId="0" fontId="6" fillId="0" borderId="6" xfId="0" applyFont="1" applyBorder="1" applyAlignment="1">
      <alignment vertical="top" wrapText="1"/>
    </xf>
    <xf numFmtId="44" fontId="7" fillId="6" borderId="16" xfId="1" applyFont="1" applyFill="1" applyBorder="1" applyAlignment="1">
      <alignment vertical="center"/>
    </xf>
    <xf numFmtId="0" fontId="0" fillId="5" borderId="0" xfId="0" applyFill="1"/>
    <xf numFmtId="10" fontId="7" fillId="0" borderId="0" xfId="2" applyNumberFormat="1" applyFont="1"/>
    <xf numFmtId="44" fontId="7" fillId="7" borderId="2" xfId="1" applyFont="1" applyFill="1" applyBorder="1" applyAlignment="1">
      <alignment horizontal="center" vertical="center"/>
    </xf>
    <xf numFmtId="44" fontId="7" fillId="7" borderId="6" xfId="1" applyFont="1" applyFill="1" applyBorder="1" applyAlignment="1">
      <alignment horizontal="center" vertical="center"/>
    </xf>
    <xf numFmtId="44" fontId="7" fillId="6" borderId="2" xfId="0" applyNumberFormat="1" applyFont="1" applyFill="1" applyBorder="1" applyAlignment="1">
      <alignment horizontal="center" vertical="center"/>
    </xf>
    <xf numFmtId="44" fontId="7" fillId="6" borderId="9" xfId="0" applyNumberFormat="1" applyFont="1" applyFill="1" applyBorder="1" applyAlignment="1">
      <alignment horizontal="center" vertical="center"/>
    </xf>
    <xf numFmtId="44" fontId="7" fillId="6" borderId="6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7" borderId="9" xfId="0" applyNumberFormat="1" applyFont="1" applyFill="1" applyBorder="1" applyAlignment="1">
      <alignment horizontal="center" vertical="center"/>
    </xf>
    <xf numFmtId="44" fontId="7" fillId="7" borderId="6" xfId="0" applyNumberFormat="1" applyFont="1" applyFill="1" applyBorder="1" applyAlignment="1">
      <alignment horizontal="center" vertical="center"/>
    </xf>
    <xf numFmtId="44" fontId="7" fillId="6" borderId="2" xfId="1" applyFont="1" applyFill="1" applyBorder="1" applyAlignment="1">
      <alignment horizontal="center" vertical="center"/>
    </xf>
    <xf numFmtId="44" fontId="7" fillId="6" borderId="9" xfId="1" applyFont="1" applyFill="1" applyBorder="1" applyAlignment="1">
      <alignment horizontal="center" vertical="center"/>
    </xf>
    <xf numFmtId="44" fontId="7" fillId="6" borderId="6" xfId="1" applyFont="1" applyFill="1" applyBorder="1" applyAlignment="1">
      <alignment horizontal="center" vertical="center"/>
    </xf>
    <xf numFmtId="44" fontId="7" fillId="7" borderId="16" xfId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44" fontId="7" fillId="6" borderId="16" xfId="1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/>
    </xf>
    <xf numFmtId="44" fontId="7" fillId="6" borderId="4" xfId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left"/>
    </xf>
    <xf numFmtId="0" fontId="12" fillId="0" borderId="0" xfId="0" applyFont="1" applyAlignment="1">
      <alignment horizontal="left"/>
    </xf>
  </cellXfs>
  <cellStyles count="6">
    <cellStyle name="Controlecel" xfId="3" builtinId="23"/>
    <cellStyle name="Komma 2" xfId="4" xr:uid="{DF83EFB9-1B92-4A4A-AF78-DD7212C06066}"/>
    <cellStyle name="Procent" xfId="2" builtinId="5"/>
    <cellStyle name="Standaard" xfId="0" builtinId="0"/>
    <cellStyle name="Standaard 2" xfId="5" xr:uid="{6BFB6DFA-9E0A-455B-A5BB-689EC4912292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8BCBFF-3AA5-4445-884B-88B0602D116A}" name="Tabel1" displayName="Tabel1" ref="A2:B34" totalsRowShown="0">
  <autoFilter ref="A2:B34" xr:uid="{DE8BCBFF-3AA5-4445-884B-88B0602D116A}"/>
  <tableColumns count="2">
    <tableColumn id="1" xr3:uid="{1EAA0B07-0456-4661-827D-CA256AD4F138}" name="Afdeling"/>
    <tableColumn id="2" xr3:uid="{14592444-0C8A-4406-A312-63486EB4DB8F}" name="Functie"/>
  </tableColumns>
  <tableStyleInfo name="TableStyleMedium4" showFirstColumn="1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1315-3568-4FA7-B8D8-1CECC208F53D}">
  <dimension ref="A1:K95"/>
  <sheetViews>
    <sheetView zoomScale="76" workbookViewId="0">
      <selection activeCell="K58" sqref="K58"/>
    </sheetView>
  </sheetViews>
  <sheetFormatPr defaultRowHeight="14.4" x14ac:dyDescent="0.3"/>
  <cols>
    <col min="1" max="1" width="24.44140625" style="151" bestFit="1" customWidth="1"/>
    <col min="2" max="2" width="34" style="153" customWidth="1"/>
    <col min="3" max="3" width="18.21875" style="151" customWidth="1"/>
    <col min="4" max="4" width="9.6640625" style="160" bestFit="1" customWidth="1"/>
    <col min="5" max="5" width="15.109375" style="151" bestFit="1" customWidth="1"/>
    <col min="6" max="6" width="19.44140625" style="151" customWidth="1"/>
    <col min="7" max="9" width="15.44140625" style="151" customWidth="1"/>
    <col min="10" max="10" width="8.88671875" style="151"/>
    <col min="11" max="11" width="16.6640625" style="151" bestFit="1" customWidth="1"/>
    <col min="12" max="16384" width="8.88671875" style="151"/>
  </cols>
  <sheetData>
    <row r="1" spans="1:11" ht="23.4" x14ac:dyDescent="0.45">
      <c r="A1" s="159" t="s">
        <v>204</v>
      </c>
    </row>
    <row r="2" spans="1:11" s="164" customFormat="1" ht="28.8" x14ac:dyDescent="0.3">
      <c r="A2" s="161" t="s">
        <v>0</v>
      </c>
      <c r="B2" s="161" t="s">
        <v>205</v>
      </c>
      <c r="C2" s="161" t="s">
        <v>1</v>
      </c>
      <c r="D2" s="162" t="s">
        <v>2</v>
      </c>
      <c r="E2" s="163" t="s">
        <v>3</v>
      </c>
      <c r="F2" s="163" t="s">
        <v>4</v>
      </c>
      <c r="G2" s="163" t="s">
        <v>5</v>
      </c>
      <c r="H2" s="163" t="s">
        <v>206</v>
      </c>
      <c r="I2" s="163" t="s">
        <v>6</v>
      </c>
    </row>
    <row r="3" spans="1:11" ht="15.6" x14ac:dyDescent="0.3">
      <c r="A3" s="165" t="s">
        <v>7</v>
      </c>
      <c r="B3" s="166" t="s">
        <v>7</v>
      </c>
      <c r="C3" s="167" t="s">
        <v>8</v>
      </c>
      <c r="D3" s="5"/>
      <c r="E3" s="168">
        <f>37053.84-2036.54</f>
        <v>35017.299999999996</v>
      </c>
      <c r="F3" s="168">
        <f>37053.84-2036.54</f>
        <v>35017.299999999996</v>
      </c>
      <c r="G3" s="168"/>
      <c r="H3" s="168">
        <f>SUM(F3:G4)</f>
        <v>37053.839999999997</v>
      </c>
      <c r="I3" s="275">
        <f>SUM(H3:H4)</f>
        <v>37053.839999999997</v>
      </c>
      <c r="K3" s="274">
        <f>I3/$I$86</f>
        <v>1.2461999255485318E-2</v>
      </c>
    </row>
    <row r="4" spans="1:11" ht="15.6" x14ac:dyDescent="0.3">
      <c r="A4" s="169"/>
      <c r="B4" s="170"/>
      <c r="C4" s="88"/>
      <c r="D4" s="171"/>
      <c r="E4" s="89">
        <v>2036.54</v>
      </c>
      <c r="F4" s="88"/>
      <c r="G4" s="89">
        <v>2036.54</v>
      </c>
      <c r="H4" s="89"/>
      <c r="I4" s="276"/>
    </row>
    <row r="5" spans="1:11" ht="15.75" customHeight="1" x14ac:dyDescent="0.3">
      <c r="A5" s="172" t="s">
        <v>9</v>
      </c>
      <c r="B5" s="173" t="s">
        <v>10</v>
      </c>
      <c r="C5" s="167" t="s">
        <v>8</v>
      </c>
      <c r="D5" s="174"/>
      <c r="E5" s="168">
        <f>94004.13+9144.12</f>
        <v>103148.25</v>
      </c>
      <c r="F5" s="168">
        <f>94004.13+9144.12</f>
        <v>103148.25</v>
      </c>
      <c r="G5" s="167"/>
      <c r="H5" s="175">
        <f>SUM(F5:G7)</f>
        <v>97674.749999999985</v>
      </c>
      <c r="I5" s="277">
        <f>SUM(H5:H22)</f>
        <v>539920.78</v>
      </c>
      <c r="K5" s="274">
        <f>I5/$I$86</f>
        <v>0.1815869113263579</v>
      </c>
    </row>
    <row r="6" spans="1:11" x14ac:dyDescent="0.3">
      <c r="A6" s="125"/>
      <c r="B6" s="176"/>
      <c r="C6" s="125" t="s">
        <v>8</v>
      </c>
      <c r="D6" s="177"/>
      <c r="E6" s="178">
        <f>26927.11+2088.19</f>
        <v>29015.3</v>
      </c>
      <c r="F6" s="178">
        <f>26927.11+2088.19</f>
        <v>29015.3</v>
      </c>
      <c r="G6" s="125"/>
      <c r="H6" s="125"/>
      <c r="I6" s="278"/>
    </row>
    <row r="7" spans="1:11" x14ac:dyDescent="0.3">
      <c r="A7" s="125"/>
      <c r="B7" s="176"/>
      <c r="C7" s="125"/>
      <c r="D7" s="177"/>
      <c r="E7" s="178">
        <v>-34488.800000000003</v>
      </c>
      <c r="F7" s="178">
        <v>-34488.800000000003</v>
      </c>
      <c r="G7" s="125"/>
      <c r="H7" s="125"/>
      <c r="I7" s="278"/>
    </row>
    <row r="8" spans="1:11" x14ac:dyDescent="0.3">
      <c r="A8" s="125"/>
      <c r="B8" s="173" t="s">
        <v>11</v>
      </c>
      <c r="C8" s="179" t="s">
        <v>13</v>
      </c>
      <c r="D8" s="174"/>
      <c r="E8" s="180">
        <v>43094.51</v>
      </c>
      <c r="F8" s="180"/>
      <c r="G8" s="180">
        <f>39345.96+3748.55</f>
        <v>43094.51</v>
      </c>
      <c r="H8" s="180">
        <f>SUM(F8:G9)</f>
        <v>105534.84</v>
      </c>
      <c r="I8" s="278"/>
    </row>
    <row r="9" spans="1:11" x14ac:dyDescent="0.3">
      <c r="A9" s="125"/>
      <c r="B9" s="181"/>
      <c r="C9" s="182" t="s">
        <v>14</v>
      </c>
      <c r="D9" s="171">
        <v>60</v>
      </c>
      <c r="E9" s="183">
        <v>62440.33</v>
      </c>
      <c r="F9" s="183">
        <v>62440.33</v>
      </c>
      <c r="G9" s="88"/>
      <c r="H9" s="88"/>
      <c r="I9" s="278"/>
    </row>
    <row r="10" spans="1:11" x14ac:dyDescent="0.3">
      <c r="A10" s="125"/>
      <c r="B10" s="128" t="s">
        <v>11</v>
      </c>
      <c r="C10" s="184" t="s">
        <v>15</v>
      </c>
      <c r="D10" s="185">
        <v>410</v>
      </c>
      <c r="E10" s="186">
        <v>31672.32</v>
      </c>
      <c r="F10" s="186">
        <v>31672.32</v>
      </c>
      <c r="G10" s="129"/>
      <c r="H10" s="187">
        <f>F10</f>
        <v>31672.32</v>
      </c>
      <c r="I10" s="278"/>
    </row>
    <row r="11" spans="1:11" s="164" customFormat="1" x14ac:dyDescent="0.3">
      <c r="A11" s="38"/>
      <c r="B11" s="38" t="s">
        <v>16</v>
      </c>
      <c r="C11" s="188" t="s">
        <v>17</v>
      </c>
      <c r="D11" s="189">
        <v>380</v>
      </c>
      <c r="E11" s="178">
        <f>37123.77+3317.89</f>
        <v>40441.659999999996</v>
      </c>
      <c r="F11" s="178">
        <f>37123.77+3317.89</f>
        <v>40441.659999999996</v>
      </c>
      <c r="G11" s="190"/>
      <c r="H11" s="191">
        <f>SUM(F11:G12)</f>
        <v>45716.46</v>
      </c>
      <c r="I11" s="278"/>
    </row>
    <row r="12" spans="1:11" s="196" customFormat="1" x14ac:dyDescent="0.3">
      <c r="A12" s="192"/>
      <c r="B12" s="193"/>
      <c r="C12" s="194" t="s">
        <v>18</v>
      </c>
      <c r="D12" s="195">
        <v>527</v>
      </c>
      <c r="E12" s="183">
        <v>5274.8</v>
      </c>
      <c r="F12" s="183">
        <v>5274.8</v>
      </c>
      <c r="G12" s="193"/>
      <c r="H12" s="193"/>
      <c r="I12" s="278"/>
    </row>
    <row r="13" spans="1:11" x14ac:dyDescent="0.3">
      <c r="A13" s="125"/>
      <c r="B13" s="128" t="s">
        <v>19</v>
      </c>
      <c r="C13" s="197" t="s">
        <v>20</v>
      </c>
      <c r="D13" s="177">
        <v>813</v>
      </c>
      <c r="E13" s="178">
        <v>61859.91</v>
      </c>
      <c r="F13" s="178">
        <v>61859.91</v>
      </c>
      <c r="G13" s="125"/>
      <c r="H13" s="198">
        <f>F13</f>
        <v>61859.91</v>
      </c>
      <c r="I13" s="278"/>
    </row>
    <row r="14" spans="1:11" x14ac:dyDescent="0.3">
      <c r="A14" s="125"/>
      <c r="B14" s="173" t="s">
        <v>21</v>
      </c>
      <c r="C14" s="179" t="s">
        <v>22</v>
      </c>
      <c r="D14" s="174"/>
      <c r="E14" s="180">
        <v>2893.5499999999997</v>
      </c>
      <c r="F14" s="180">
        <v>2893.5499999999997</v>
      </c>
      <c r="G14" s="167"/>
      <c r="H14" s="175">
        <f>SUM(F14:G17)</f>
        <v>66535.94</v>
      </c>
      <c r="I14" s="278"/>
    </row>
    <row r="15" spans="1:11" x14ac:dyDescent="0.3">
      <c r="A15" s="125"/>
      <c r="B15" s="176"/>
      <c r="C15" s="197" t="s">
        <v>23</v>
      </c>
      <c r="D15" s="177">
        <v>197</v>
      </c>
      <c r="E15" s="178">
        <v>10195.43</v>
      </c>
      <c r="F15" s="178">
        <v>10195.43</v>
      </c>
      <c r="G15" s="125"/>
      <c r="H15" s="125"/>
      <c r="I15" s="278"/>
    </row>
    <row r="16" spans="1:11" x14ac:dyDescent="0.3">
      <c r="A16" s="125"/>
      <c r="B16" s="176"/>
      <c r="C16" s="197" t="s">
        <v>24</v>
      </c>
      <c r="D16" s="177">
        <v>248</v>
      </c>
      <c r="E16" s="178">
        <v>51496.959999999999</v>
      </c>
      <c r="F16" s="178">
        <v>51496.959999999999</v>
      </c>
      <c r="G16" s="125"/>
      <c r="H16" s="125"/>
      <c r="I16" s="278"/>
    </row>
    <row r="17" spans="1:11" x14ac:dyDescent="0.3">
      <c r="A17" s="125"/>
      <c r="B17" s="181"/>
      <c r="C17" s="88" t="s">
        <v>25</v>
      </c>
      <c r="D17" s="171"/>
      <c r="E17" s="89">
        <v>1950</v>
      </c>
      <c r="F17" s="89">
        <v>1950</v>
      </c>
      <c r="G17" s="88"/>
      <c r="H17" s="88"/>
      <c r="I17" s="278"/>
    </row>
    <row r="18" spans="1:11" x14ac:dyDescent="0.3">
      <c r="A18" s="125"/>
      <c r="B18" s="173" t="s">
        <v>26</v>
      </c>
      <c r="C18" s="179" t="s">
        <v>27</v>
      </c>
      <c r="D18" s="174">
        <v>200</v>
      </c>
      <c r="E18" s="180">
        <v>954.56</v>
      </c>
      <c r="F18" s="180">
        <v>954.56</v>
      </c>
      <c r="G18" s="167"/>
      <c r="H18" s="175">
        <f>SUM(F18:G22)</f>
        <v>130926.56</v>
      </c>
      <c r="I18" s="278"/>
    </row>
    <row r="19" spans="1:11" x14ac:dyDescent="0.3">
      <c r="A19" s="125"/>
      <c r="B19" s="176"/>
      <c r="C19" s="197" t="s">
        <v>28</v>
      </c>
      <c r="D19" s="177">
        <v>645</v>
      </c>
      <c r="E19" s="122">
        <f>45559.95+3691.25</f>
        <v>49251.199999999997</v>
      </c>
      <c r="F19" s="122"/>
      <c r="G19" s="122">
        <f>45559.95+3691.25</f>
        <v>49251.199999999997</v>
      </c>
      <c r="H19" s="122"/>
      <c r="I19" s="278"/>
    </row>
    <row r="20" spans="1:11" x14ac:dyDescent="0.3">
      <c r="A20" s="125"/>
      <c r="B20" s="176"/>
      <c r="C20" s="197" t="s">
        <v>29</v>
      </c>
      <c r="D20" s="177">
        <v>415</v>
      </c>
      <c r="E20" s="122">
        <v>40450.199999999997</v>
      </c>
      <c r="F20" s="122"/>
      <c r="G20" s="122">
        <v>40450.199999999997</v>
      </c>
      <c r="H20" s="122"/>
      <c r="I20" s="278"/>
    </row>
    <row r="21" spans="1:11" x14ac:dyDescent="0.3">
      <c r="A21" s="125"/>
      <c r="B21" s="176"/>
      <c r="C21" s="125"/>
      <c r="D21" s="177"/>
      <c r="E21" s="122">
        <v>31521.829999999998</v>
      </c>
      <c r="F21" s="122"/>
      <c r="G21" s="122">
        <v>31521.829999999998</v>
      </c>
      <c r="H21" s="122"/>
      <c r="I21" s="278"/>
    </row>
    <row r="22" spans="1:11" x14ac:dyDescent="0.3">
      <c r="A22" s="125"/>
      <c r="B22" s="181"/>
      <c r="C22" s="88"/>
      <c r="D22" s="171"/>
      <c r="E22" s="89">
        <v>8748.77</v>
      </c>
      <c r="F22" s="89">
        <v>8748.77</v>
      </c>
      <c r="G22" s="88"/>
      <c r="H22" s="88"/>
      <c r="I22" s="279"/>
    </row>
    <row r="23" spans="1:11" ht="15.6" x14ac:dyDescent="0.3">
      <c r="A23" s="165" t="s">
        <v>30</v>
      </c>
      <c r="B23" s="128" t="s">
        <v>31</v>
      </c>
      <c r="C23" s="129" t="s">
        <v>12</v>
      </c>
      <c r="D23" s="199">
        <v>371</v>
      </c>
      <c r="E23" s="186">
        <v>35964.57</v>
      </c>
      <c r="F23" s="186">
        <v>35964.57</v>
      </c>
      <c r="G23" s="129"/>
      <c r="H23" s="187">
        <f>F23</f>
        <v>35964.57</v>
      </c>
      <c r="I23" s="280">
        <f>SUM(H23:H39)</f>
        <v>595381.52</v>
      </c>
      <c r="K23" s="274">
        <f>I23/$I$86</f>
        <v>0.20023954491544516</v>
      </c>
    </row>
    <row r="24" spans="1:11" x14ac:dyDescent="0.3">
      <c r="A24" s="125"/>
      <c r="B24" s="200" t="s">
        <v>32</v>
      </c>
      <c r="C24" s="167" t="s">
        <v>33</v>
      </c>
      <c r="D24" s="201">
        <v>447.09999999999974</v>
      </c>
      <c r="E24" s="168">
        <f>24247.14+10622.25</f>
        <v>34869.39</v>
      </c>
      <c r="F24" s="122">
        <f>24247.14+10622.25</f>
        <v>34869.39</v>
      </c>
      <c r="G24" s="125"/>
      <c r="H24" s="198">
        <f>SUM(F24:F25)</f>
        <v>67730.48</v>
      </c>
      <c r="I24" s="281"/>
    </row>
    <row r="25" spans="1:11" x14ac:dyDescent="0.3">
      <c r="A25" s="125"/>
      <c r="B25" s="181"/>
      <c r="C25" s="88" t="s">
        <v>34</v>
      </c>
      <c r="D25" s="202">
        <v>370</v>
      </c>
      <c r="E25" s="183">
        <v>32861.089999999997</v>
      </c>
      <c r="F25" s="183">
        <v>32861.089999999997</v>
      </c>
      <c r="G25" s="88"/>
      <c r="H25" s="88"/>
      <c r="I25" s="281"/>
    </row>
    <row r="26" spans="1:11" x14ac:dyDescent="0.3">
      <c r="A26" s="125"/>
      <c r="B26" s="200" t="s">
        <v>35</v>
      </c>
      <c r="C26" s="167"/>
      <c r="D26" s="174">
        <v>500</v>
      </c>
      <c r="E26" s="122">
        <v>24447.360000000004</v>
      </c>
      <c r="F26" s="122">
        <v>24447.360000000004</v>
      </c>
      <c r="G26" s="125"/>
      <c r="H26" s="198">
        <f>SUM(F26:F28)</f>
        <v>31122.400000000005</v>
      </c>
      <c r="I26" s="281"/>
    </row>
    <row r="27" spans="1:11" x14ac:dyDescent="0.3">
      <c r="A27" s="125"/>
      <c r="B27" s="176"/>
      <c r="C27" s="125" t="s">
        <v>36</v>
      </c>
      <c r="D27" s="177">
        <v>50</v>
      </c>
      <c r="E27" s="122">
        <v>3315.04</v>
      </c>
      <c r="F27" s="122">
        <v>3315.04</v>
      </c>
      <c r="G27" s="125"/>
      <c r="H27" s="125"/>
      <c r="I27" s="281"/>
    </row>
    <row r="28" spans="1:11" x14ac:dyDescent="0.3">
      <c r="A28" s="125"/>
      <c r="B28" s="181"/>
      <c r="C28" s="88" t="s">
        <v>25</v>
      </c>
      <c r="D28" s="171"/>
      <c r="E28" s="89">
        <v>3360</v>
      </c>
      <c r="F28" s="89">
        <v>3360</v>
      </c>
      <c r="G28" s="88"/>
      <c r="H28" s="88"/>
      <c r="I28" s="281"/>
    </row>
    <row r="29" spans="1:11" x14ac:dyDescent="0.3">
      <c r="A29" s="125"/>
      <c r="B29" s="173" t="s">
        <v>37</v>
      </c>
      <c r="C29" s="167" t="s">
        <v>38</v>
      </c>
      <c r="D29" s="201">
        <v>1179.5333333333342</v>
      </c>
      <c r="E29" s="168">
        <v>90057.87</v>
      </c>
      <c r="F29" s="122">
        <v>90057.87</v>
      </c>
      <c r="G29" s="125"/>
      <c r="H29" s="198">
        <f>SUM(F29:F32)</f>
        <v>121417.31</v>
      </c>
      <c r="I29" s="281"/>
    </row>
    <row r="30" spans="1:11" x14ac:dyDescent="0.3">
      <c r="A30" s="125"/>
      <c r="B30" s="176"/>
      <c r="C30" s="125"/>
      <c r="D30" s="177"/>
      <c r="E30" s="122">
        <v>2406.6</v>
      </c>
      <c r="F30" s="122">
        <v>2406.6</v>
      </c>
      <c r="G30" s="125"/>
      <c r="H30" s="125"/>
      <c r="I30" s="281"/>
    </row>
    <row r="31" spans="1:11" x14ac:dyDescent="0.3">
      <c r="A31" s="125"/>
      <c r="B31" s="176"/>
      <c r="C31" s="125" t="s">
        <v>39</v>
      </c>
      <c r="D31" s="5">
        <v>613.54999999999995</v>
      </c>
      <c r="E31" s="122">
        <f>29468.35+7730.3</f>
        <v>37198.65</v>
      </c>
      <c r="F31" s="122">
        <f>29468.35+7730.3</f>
        <v>37198.65</v>
      </c>
      <c r="G31" s="125"/>
      <c r="H31" s="125"/>
      <c r="I31" s="281"/>
    </row>
    <row r="32" spans="1:11" x14ac:dyDescent="0.3">
      <c r="A32" s="125"/>
      <c r="B32" s="181"/>
      <c r="C32" s="88"/>
      <c r="D32" s="171"/>
      <c r="E32" s="89">
        <v>-8245.81</v>
      </c>
      <c r="F32" s="89">
        <v>-8245.81</v>
      </c>
      <c r="G32" s="88"/>
      <c r="H32" s="88"/>
      <c r="I32" s="281"/>
    </row>
    <row r="33" spans="1:11" s="154" customFormat="1" x14ac:dyDescent="0.3">
      <c r="A33" s="122"/>
      <c r="B33" s="203" t="s">
        <v>40</v>
      </c>
      <c r="C33" s="122" t="s">
        <v>41</v>
      </c>
      <c r="D33" s="5">
        <v>1157.466666666666</v>
      </c>
      <c r="E33" s="122">
        <f>82806.88+19988.65+8353.08</f>
        <v>111148.61</v>
      </c>
      <c r="F33" s="122">
        <f>82806.88+19988.65+8353.08</f>
        <v>111148.61</v>
      </c>
      <c r="G33" s="122"/>
      <c r="H33" s="122">
        <f>SUM(F33:F36)</f>
        <v>230806.66</v>
      </c>
      <c r="I33" s="281"/>
    </row>
    <row r="34" spans="1:11" s="154" customFormat="1" x14ac:dyDescent="0.3">
      <c r="A34" s="122"/>
      <c r="B34" s="204"/>
      <c r="C34" s="122" t="s">
        <v>42</v>
      </c>
      <c r="D34" s="205" t="s">
        <v>43</v>
      </c>
      <c r="E34" s="122">
        <v>509.41</v>
      </c>
      <c r="F34" s="122">
        <v>509.41</v>
      </c>
      <c r="G34" s="122"/>
      <c r="H34" s="122"/>
      <c r="I34" s="281"/>
    </row>
    <row r="35" spans="1:11" s="154" customFormat="1" x14ac:dyDescent="0.3">
      <c r="A35" s="122"/>
      <c r="B35" s="204"/>
      <c r="C35" s="122" t="s">
        <v>12</v>
      </c>
      <c r="D35" s="5">
        <v>1534.0666666666662</v>
      </c>
      <c r="E35" s="122">
        <f>100795.53+16945.99+7843.69</f>
        <v>125585.21</v>
      </c>
      <c r="F35" s="122">
        <f>100795.53+16945.99+7843.69</f>
        <v>125585.21</v>
      </c>
      <c r="G35" s="122"/>
      <c r="H35" s="122"/>
      <c r="I35" s="281"/>
    </row>
    <row r="36" spans="1:11" x14ac:dyDescent="0.3">
      <c r="A36" s="125"/>
      <c r="B36" s="88"/>
      <c r="C36" s="125"/>
      <c r="D36" s="206"/>
      <c r="E36" s="122">
        <v>-6436.57</v>
      </c>
      <c r="F36" s="122">
        <v>-6436.57</v>
      </c>
      <c r="G36" s="125"/>
      <c r="H36" s="125"/>
      <c r="I36" s="281"/>
    </row>
    <row r="37" spans="1:11" x14ac:dyDescent="0.3">
      <c r="A37" s="125"/>
      <c r="B37" s="128" t="s">
        <v>44</v>
      </c>
      <c r="C37" s="186" t="s">
        <v>45</v>
      </c>
      <c r="D37" s="199"/>
      <c r="E37" s="130">
        <v>2125</v>
      </c>
      <c r="F37" s="130">
        <v>2125</v>
      </c>
      <c r="G37" s="129"/>
      <c r="H37" s="187">
        <f>F37</f>
        <v>2125</v>
      </c>
      <c r="I37" s="281"/>
    </row>
    <row r="38" spans="1:11" x14ac:dyDescent="0.3">
      <c r="A38" s="125"/>
      <c r="B38" s="207" t="s">
        <v>46</v>
      </c>
      <c r="C38" s="125" t="s">
        <v>14</v>
      </c>
      <c r="D38" s="5">
        <v>1128.5166666666671</v>
      </c>
      <c r="E38" s="122">
        <v>36205</v>
      </c>
      <c r="F38" s="122">
        <v>36205</v>
      </c>
      <c r="G38" s="125"/>
      <c r="H38" s="198">
        <f>SUM(F38:G39)</f>
        <v>106215.09999999999</v>
      </c>
      <c r="I38" s="281"/>
    </row>
    <row r="39" spans="1:11" x14ac:dyDescent="0.3">
      <c r="A39" s="125"/>
      <c r="B39" s="181"/>
      <c r="C39" s="88" t="s">
        <v>24</v>
      </c>
      <c r="D39" s="202">
        <v>1453.0500000000002</v>
      </c>
      <c r="E39" s="89">
        <v>70010.099999999991</v>
      </c>
      <c r="F39" s="89">
        <v>70010.099999999991</v>
      </c>
      <c r="G39" s="88"/>
      <c r="H39" s="88"/>
      <c r="I39" s="282"/>
    </row>
    <row r="40" spans="1:11" ht="15.6" x14ac:dyDescent="0.3">
      <c r="A40" s="165" t="s">
        <v>47</v>
      </c>
      <c r="B40" s="173" t="s">
        <v>48</v>
      </c>
      <c r="C40" s="167" t="s">
        <v>49</v>
      </c>
      <c r="D40" s="174"/>
      <c r="E40" s="168">
        <v>7323.91</v>
      </c>
      <c r="F40" s="168"/>
      <c r="G40" s="168">
        <v>7323.91</v>
      </c>
      <c r="H40" s="168">
        <f>SUM(F40:G41)</f>
        <v>12708.65</v>
      </c>
      <c r="I40" s="283">
        <f>SUM(H40:H53)</f>
        <v>402496.58</v>
      </c>
      <c r="K40" s="274">
        <f>I40/$I$86</f>
        <v>0.13536821231741131</v>
      </c>
    </row>
    <row r="41" spans="1:11" x14ac:dyDescent="0.3">
      <c r="A41" s="125"/>
      <c r="B41" s="176"/>
      <c r="C41" s="125" t="s">
        <v>49</v>
      </c>
      <c r="D41" s="177"/>
      <c r="E41" s="122">
        <f>3551.21+1833.53</f>
        <v>5384.74</v>
      </c>
      <c r="F41" s="122"/>
      <c r="G41" s="122">
        <f>3551.21+1833.53</f>
        <v>5384.74</v>
      </c>
      <c r="H41" s="122"/>
      <c r="I41" s="284"/>
    </row>
    <row r="42" spans="1:11" ht="14.4" hidden="1" customHeight="1" x14ac:dyDescent="0.3">
      <c r="A42" s="125"/>
      <c r="B42" s="181"/>
      <c r="C42" s="88"/>
      <c r="D42" s="171"/>
      <c r="E42" s="89">
        <v>964.12</v>
      </c>
      <c r="F42" s="89"/>
      <c r="G42" s="89">
        <v>964.12</v>
      </c>
      <c r="H42" s="89"/>
      <c r="I42" s="284"/>
    </row>
    <row r="43" spans="1:11" x14ac:dyDescent="0.3">
      <c r="A43" s="125"/>
      <c r="B43" s="173" t="s">
        <v>50</v>
      </c>
      <c r="C43" s="167" t="s">
        <v>12</v>
      </c>
      <c r="D43" s="174">
        <v>1843</v>
      </c>
      <c r="E43" s="168">
        <f>111875.29+10420.55</f>
        <v>122295.84</v>
      </c>
      <c r="F43" s="168">
        <f>111875.29+10420.55</f>
        <v>122295.84</v>
      </c>
      <c r="G43" s="167"/>
      <c r="H43" s="175">
        <f>SUM(F43:G46)</f>
        <v>206343.85</v>
      </c>
      <c r="I43" s="284"/>
    </row>
    <row r="44" spans="1:11" x14ac:dyDescent="0.3">
      <c r="A44" s="125"/>
      <c r="B44" s="176"/>
      <c r="C44" s="125"/>
      <c r="D44" s="177"/>
      <c r="E44" s="122">
        <v>57537.35</v>
      </c>
      <c r="F44" s="122">
        <v>57537.35</v>
      </c>
      <c r="G44" s="125"/>
      <c r="H44" s="125"/>
      <c r="I44" s="284"/>
    </row>
    <row r="45" spans="1:11" x14ac:dyDescent="0.3">
      <c r="A45" s="125"/>
      <c r="B45" s="176"/>
      <c r="C45" s="125"/>
      <c r="D45" s="177"/>
      <c r="E45" s="122">
        <v>-14973.66</v>
      </c>
      <c r="F45" s="122">
        <v>-14973.66</v>
      </c>
      <c r="G45" s="125"/>
      <c r="H45" s="125"/>
      <c r="I45" s="284"/>
    </row>
    <row r="46" spans="1:11" x14ac:dyDescent="0.3">
      <c r="A46" s="125"/>
      <c r="B46" s="181"/>
      <c r="C46" s="88" t="s">
        <v>51</v>
      </c>
      <c r="D46" s="171">
        <v>1112</v>
      </c>
      <c r="E46" s="89">
        <v>41484.32</v>
      </c>
      <c r="F46" s="89">
        <v>41484.32</v>
      </c>
      <c r="G46" s="88"/>
      <c r="H46" s="88"/>
      <c r="I46" s="284"/>
    </row>
    <row r="47" spans="1:11" x14ac:dyDescent="0.3">
      <c r="A47" s="125"/>
      <c r="B47" s="200" t="s">
        <v>52</v>
      </c>
      <c r="C47" s="167"/>
      <c r="D47" s="174"/>
      <c r="E47" s="168">
        <v>14889.05</v>
      </c>
      <c r="F47" s="168">
        <v>14889.05</v>
      </c>
      <c r="G47" s="167"/>
      <c r="H47" s="175">
        <f>SUM(F47:F48)</f>
        <v>46589.229999999996</v>
      </c>
      <c r="I47" s="284"/>
    </row>
    <row r="48" spans="1:11" x14ac:dyDescent="0.3">
      <c r="A48" s="125"/>
      <c r="B48" s="176"/>
      <c r="C48" s="125"/>
      <c r="D48" s="177"/>
      <c r="E48" s="122">
        <v>31700.18</v>
      </c>
      <c r="F48" s="122">
        <v>31700.18</v>
      </c>
      <c r="G48" s="125"/>
      <c r="H48" s="125"/>
      <c r="I48" s="284"/>
    </row>
    <row r="49" spans="1:11" s="213" customFormat="1" x14ac:dyDescent="0.3">
      <c r="A49" s="208"/>
      <c r="B49" s="209" t="s">
        <v>53</v>
      </c>
      <c r="C49" s="210"/>
      <c r="D49" s="211"/>
      <c r="E49" s="130">
        <v>22069.309999999998</v>
      </c>
      <c r="F49" s="130">
        <v>22069.309999999998</v>
      </c>
      <c r="G49" s="210"/>
      <c r="H49" s="212">
        <f>F49</f>
        <v>22069.309999999998</v>
      </c>
      <c r="I49" s="284"/>
    </row>
    <row r="50" spans="1:11" x14ac:dyDescent="0.3">
      <c r="A50" s="125"/>
      <c r="B50" s="181" t="s">
        <v>54</v>
      </c>
      <c r="C50" s="88"/>
      <c r="D50" s="214"/>
      <c r="E50" s="89">
        <v>96209.020000000019</v>
      </c>
      <c r="F50" s="183">
        <v>96209.020000000019</v>
      </c>
      <c r="G50" s="88"/>
      <c r="H50" s="215">
        <f>F50</f>
        <v>96209.020000000019</v>
      </c>
      <c r="I50" s="284"/>
    </row>
    <row r="51" spans="1:11" s="196" customFormat="1" x14ac:dyDescent="0.3">
      <c r="A51" s="192"/>
      <c r="B51" s="216" t="s">
        <v>56</v>
      </c>
      <c r="C51" s="217"/>
      <c r="D51" s="218"/>
      <c r="E51" s="168">
        <v>12453.92</v>
      </c>
      <c r="F51" s="168"/>
      <c r="G51" s="168">
        <v>12453.92</v>
      </c>
      <c r="H51" s="168">
        <f>SUM(F51:G53)</f>
        <v>18576.52</v>
      </c>
      <c r="I51" s="284"/>
    </row>
    <row r="52" spans="1:11" s="196" customFormat="1" x14ac:dyDescent="0.3">
      <c r="A52" s="192"/>
      <c r="B52" s="219"/>
      <c r="C52" s="192"/>
      <c r="D52" s="220"/>
      <c r="E52" s="122">
        <v>8164.4800000000005</v>
      </c>
      <c r="F52" s="122"/>
      <c r="G52" s="122">
        <v>8164.4800000000005</v>
      </c>
      <c r="H52" s="122"/>
      <c r="I52" s="284"/>
    </row>
    <row r="53" spans="1:11" s="213" customFormat="1" x14ac:dyDescent="0.3">
      <c r="A53" s="208"/>
      <c r="B53" s="221"/>
      <c r="C53" s="222"/>
      <c r="D53" s="223"/>
      <c r="E53" s="89">
        <v>-2041.88</v>
      </c>
      <c r="F53" s="89"/>
      <c r="G53" s="89">
        <v>-2041.88</v>
      </c>
      <c r="H53" s="89"/>
      <c r="I53" s="285"/>
    </row>
    <row r="54" spans="1:11" ht="15.6" x14ac:dyDescent="0.3">
      <c r="A54" s="165" t="s">
        <v>57</v>
      </c>
      <c r="B54" s="176" t="s">
        <v>58</v>
      </c>
      <c r="C54" s="125" t="s">
        <v>12</v>
      </c>
      <c r="D54" s="177"/>
      <c r="E54" s="122">
        <v>3612.3199999999997</v>
      </c>
      <c r="F54" s="122">
        <v>3612.3199999999997</v>
      </c>
      <c r="G54" s="125"/>
      <c r="H54" s="198">
        <f>SUM(F54:F58)</f>
        <v>142078.28</v>
      </c>
      <c r="I54" s="280">
        <f>SUM(H54:H84)</f>
        <v>1398493.6300000001</v>
      </c>
      <c r="K54" s="274">
        <f>I54/$I$86</f>
        <v>0.47034333218530022</v>
      </c>
    </row>
    <row r="55" spans="1:11" x14ac:dyDescent="0.3">
      <c r="A55" s="125"/>
      <c r="B55" s="176"/>
      <c r="C55" s="125" t="s">
        <v>59</v>
      </c>
      <c r="D55" s="177">
        <v>190</v>
      </c>
      <c r="E55" s="122">
        <v>9843.56</v>
      </c>
      <c r="F55" s="122">
        <v>9843.56</v>
      </c>
      <c r="G55" s="125"/>
      <c r="H55" s="125"/>
      <c r="I55" s="281"/>
    </row>
    <row r="56" spans="1:11" x14ac:dyDescent="0.3">
      <c r="A56" s="125"/>
      <c r="B56" s="176"/>
      <c r="C56" s="125" t="s">
        <v>60</v>
      </c>
      <c r="D56" s="177">
        <v>336</v>
      </c>
      <c r="E56" s="122">
        <v>26525.54</v>
      </c>
      <c r="F56" s="122">
        <v>26525.54</v>
      </c>
      <c r="G56" s="125"/>
      <c r="H56" s="125"/>
      <c r="I56" s="281"/>
    </row>
    <row r="57" spans="1:11" x14ac:dyDescent="0.3">
      <c r="A57" s="125"/>
      <c r="B57" s="176"/>
      <c r="C57" s="125" t="s">
        <v>12</v>
      </c>
      <c r="D57" s="177">
        <v>587</v>
      </c>
      <c r="E57" s="122">
        <f>58121.42+15639.96</f>
        <v>73761.38</v>
      </c>
      <c r="F57" s="122">
        <f>58121.42+15639.96</f>
        <v>73761.38</v>
      </c>
      <c r="G57" s="125"/>
      <c r="H57" s="125"/>
      <c r="I57" s="281"/>
    </row>
    <row r="58" spans="1:11" x14ac:dyDescent="0.3">
      <c r="A58" s="125"/>
      <c r="B58" s="181"/>
      <c r="C58" s="88" t="s">
        <v>60</v>
      </c>
      <c r="D58" s="171">
        <v>294</v>
      </c>
      <c r="E58" s="89">
        <f>22274.65+6060.83</f>
        <v>28335.480000000003</v>
      </c>
      <c r="F58" s="89">
        <f>22274.65+6060.83</f>
        <v>28335.480000000003</v>
      </c>
      <c r="G58" s="88"/>
      <c r="H58" s="88"/>
      <c r="I58" s="281"/>
    </row>
    <row r="59" spans="1:11" x14ac:dyDescent="0.3">
      <c r="A59" s="125"/>
      <c r="B59" s="173" t="s">
        <v>61</v>
      </c>
      <c r="C59" s="167"/>
      <c r="D59" s="174"/>
      <c r="E59" s="168">
        <v>3201</v>
      </c>
      <c r="F59" s="168"/>
      <c r="G59" s="168">
        <v>3201</v>
      </c>
      <c r="H59" s="168">
        <f>SUM(F59:G77)</f>
        <v>1116570.47</v>
      </c>
      <c r="I59" s="281"/>
    </row>
    <row r="60" spans="1:11" x14ac:dyDescent="0.3">
      <c r="A60" s="125"/>
      <c r="B60" s="176"/>
      <c r="C60" s="125" t="s">
        <v>62</v>
      </c>
      <c r="D60" s="177">
        <v>912</v>
      </c>
      <c r="E60" s="122">
        <f>99592.5+11760</f>
        <v>111352.5</v>
      </c>
      <c r="F60" s="122">
        <f>99592.5+11760</f>
        <v>111352.5</v>
      </c>
      <c r="G60" s="125"/>
      <c r="H60" s="125"/>
      <c r="I60" s="281"/>
    </row>
    <row r="61" spans="1:11" x14ac:dyDescent="0.3">
      <c r="A61" s="125"/>
      <c r="B61" s="176"/>
      <c r="C61" s="125" t="s">
        <v>39</v>
      </c>
      <c r="D61" s="177">
        <v>1059</v>
      </c>
      <c r="E61" s="122">
        <v>103922</v>
      </c>
      <c r="F61" s="122">
        <v>103922</v>
      </c>
      <c r="G61" s="125"/>
      <c r="H61" s="125"/>
      <c r="I61" s="281"/>
    </row>
    <row r="62" spans="1:11" ht="15" customHeight="1" x14ac:dyDescent="0.3">
      <c r="A62" s="125"/>
      <c r="B62" s="176"/>
      <c r="C62" s="125" t="s">
        <v>12</v>
      </c>
      <c r="D62" s="177">
        <v>1956</v>
      </c>
      <c r="E62" s="122">
        <f>18799.3+33184.65+116055.5+14994</f>
        <v>183033.45</v>
      </c>
      <c r="F62" s="122">
        <f>18799.3+33184.65+116055.5+14994</f>
        <v>183033.45</v>
      </c>
      <c r="G62" s="125"/>
      <c r="H62" s="125"/>
      <c r="I62" s="281"/>
    </row>
    <row r="63" spans="1:11" x14ac:dyDescent="0.3">
      <c r="A63" s="125"/>
      <c r="B63" s="176"/>
      <c r="C63" s="125" t="s">
        <v>12</v>
      </c>
      <c r="D63" s="177">
        <v>1232</v>
      </c>
      <c r="E63" s="122">
        <f>40465.12+8764.23+43358.73+8770.67</f>
        <v>101358.75000000001</v>
      </c>
      <c r="F63" s="122">
        <f>40465.12+8764.23+43358.73+8770.67</f>
        <v>101358.75000000001</v>
      </c>
      <c r="G63" s="125"/>
      <c r="H63" s="125"/>
      <c r="I63" s="281"/>
    </row>
    <row r="64" spans="1:11" x14ac:dyDescent="0.3">
      <c r="A64" s="125"/>
      <c r="B64" s="176"/>
      <c r="C64" s="125" t="s">
        <v>12</v>
      </c>
      <c r="D64" s="177">
        <v>927</v>
      </c>
      <c r="E64" s="122">
        <f>6856.65+20044.72+31869.32+6856.65</f>
        <v>65627.34</v>
      </c>
      <c r="F64" s="122">
        <f>6856.65+20044.72+31869.32+6856.65</f>
        <v>65627.34</v>
      </c>
      <c r="G64" s="125"/>
      <c r="H64" s="125"/>
      <c r="I64" s="281"/>
    </row>
    <row r="65" spans="1:9" x14ac:dyDescent="0.3">
      <c r="A65" s="125"/>
      <c r="B65" s="176"/>
      <c r="C65" s="125"/>
      <c r="D65" s="177"/>
      <c r="E65" s="122">
        <v>55043.12</v>
      </c>
      <c r="F65" s="122">
        <v>55043.12</v>
      </c>
      <c r="G65" s="125"/>
      <c r="H65" s="125"/>
      <c r="I65" s="281"/>
    </row>
    <row r="66" spans="1:9" x14ac:dyDescent="0.3">
      <c r="A66" s="125"/>
      <c r="B66" s="176"/>
      <c r="C66" s="125" t="s">
        <v>25</v>
      </c>
      <c r="D66" s="177">
        <v>61.5</v>
      </c>
      <c r="E66" s="122">
        <v>2756.25</v>
      </c>
      <c r="F66" s="122">
        <v>2756.25</v>
      </c>
      <c r="G66" s="125"/>
      <c r="H66" s="125"/>
      <c r="I66" s="281"/>
    </row>
    <row r="67" spans="1:9" x14ac:dyDescent="0.3">
      <c r="A67" s="125"/>
      <c r="B67" s="176"/>
      <c r="C67" s="125"/>
      <c r="D67" s="177"/>
      <c r="E67" s="122">
        <v>-29128.92</v>
      </c>
      <c r="F67" s="122">
        <v>-29128.92</v>
      </c>
      <c r="G67" s="125"/>
      <c r="H67" s="125"/>
      <c r="I67" s="281"/>
    </row>
    <row r="68" spans="1:9" x14ac:dyDescent="0.3">
      <c r="A68" s="125"/>
      <c r="B68" s="176"/>
      <c r="C68" s="125" t="s">
        <v>63</v>
      </c>
      <c r="D68" s="177"/>
      <c r="E68" s="122">
        <v>303.14999999999998</v>
      </c>
      <c r="F68" s="122">
        <v>303.14999999999998</v>
      </c>
      <c r="G68" s="125"/>
      <c r="H68" s="125"/>
      <c r="I68" s="281"/>
    </row>
    <row r="69" spans="1:9" x14ac:dyDescent="0.3">
      <c r="A69" s="125"/>
      <c r="B69" s="176"/>
      <c r="C69" s="125" t="s">
        <v>64</v>
      </c>
      <c r="D69" s="177">
        <v>40</v>
      </c>
      <c r="E69" s="122">
        <v>2970</v>
      </c>
      <c r="F69" s="122">
        <v>2970</v>
      </c>
      <c r="G69" s="125"/>
      <c r="H69" s="125"/>
      <c r="I69" s="281"/>
    </row>
    <row r="70" spans="1:9" x14ac:dyDescent="0.3">
      <c r="A70" s="125"/>
      <c r="B70" s="176"/>
      <c r="C70" s="125" t="s">
        <v>65</v>
      </c>
      <c r="D70" s="177"/>
      <c r="E70" s="122">
        <f>65814.5+582</f>
        <v>66396.5</v>
      </c>
      <c r="F70" s="122">
        <f>65814.5+582</f>
        <v>66396.5</v>
      </c>
      <c r="G70" s="125"/>
      <c r="H70" s="125"/>
      <c r="I70" s="281"/>
    </row>
    <row r="71" spans="1:9" x14ac:dyDescent="0.3">
      <c r="A71" s="125"/>
      <c r="B71" s="176"/>
      <c r="C71" s="125" t="s">
        <v>12</v>
      </c>
      <c r="D71" s="177">
        <v>1863</v>
      </c>
      <c r="E71" s="122">
        <f>42609.6+138568.91+2905.2-14902.39</f>
        <v>169181.32</v>
      </c>
      <c r="F71" s="122">
        <f>42609.6+138568.91+2905.2-14902.39</f>
        <v>169181.32</v>
      </c>
      <c r="G71" s="125"/>
      <c r="H71" s="125"/>
      <c r="I71" s="281"/>
    </row>
    <row r="72" spans="1:9" x14ac:dyDescent="0.3">
      <c r="A72" s="125"/>
      <c r="B72" s="176"/>
      <c r="C72" s="125" t="s">
        <v>12</v>
      </c>
      <c r="D72" s="177">
        <v>1706</v>
      </c>
      <c r="E72" s="122">
        <f>200393.17-51234.65+11718</f>
        <v>160876.52000000002</v>
      </c>
      <c r="F72" s="122">
        <f>200393.17-51234.65+11718</f>
        <v>160876.52000000002</v>
      </c>
      <c r="G72" s="125"/>
      <c r="H72" s="125"/>
      <c r="I72" s="281"/>
    </row>
    <row r="73" spans="1:9" x14ac:dyDescent="0.3">
      <c r="A73" s="125"/>
      <c r="B73" s="176"/>
      <c r="C73" s="125"/>
      <c r="D73" s="177"/>
      <c r="E73" s="122">
        <v>51234.65</v>
      </c>
      <c r="F73" s="122">
        <v>51234.65</v>
      </c>
      <c r="G73" s="125"/>
      <c r="H73" s="125"/>
      <c r="I73" s="281"/>
    </row>
    <row r="74" spans="1:9" x14ac:dyDescent="0.3">
      <c r="A74" s="125"/>
      <c r="B74" s="176"/>
      <c r="C74" s="125" t="s">
        <v>66</v>
      </c>
      <c r="D74" s="177">
        <v>414</v>
      </c>
      <c r="E74" s="122">
        <v>10854.21</v>
      </c>
      <c r="F74" s="122">
        <v>10854.21</v>
      </c>
      <c r="G74" s="125"/>
      <c r="H74" s="125"/>
      <c r="I74" s="281"/>
    </row>
    <row r="75" spans="1:9" x14ac:dyDescent="0.3">
      <c r="A75" s="125"/>
      <c r="B75" s="176"/>
      <c r="C75" s="125" t="s">
        <v>12</v>
      </c>
      <c r="D75" s="177">
        <v>467</v>
      </c>
      <c r="E75" s="122">
        <f>18400.11+7130.03</f>
        <v>25530.14</v>
      </c>
      <c r="F75" s="122">
        <f>18400.11+7130.03</f>
        <v>25530.14</v>
      </c>
      <c r="G75" s="125"/>
      <c r="H75" s="125"/>
      <c r="I75" s="281"/>
    </row>
    <row r="76" spans="1:9" x14ac:dyDescent="0.3">
      <c r="A76" s="125"/>
      <c r="B76" s="176"/>
      <c r="C76" s="125" t="s">
        <v>67</v>
      </c>
      <c r="D76" s="177"/>
      <c r="E76" s="122">
        <f>13929.85+22885.5</f>
        <v>36815.35</v>
      </c>
      <c r="F76" s="122">
        <f>13929.85+22885.5</f>
        <v>36815.35</v>
      </c>
      <c r="G76" s="125"/>
      <c r="H76" s="125"/>
      <c r="I76" s="281"/>
    </row>
    <row r="77" spans="1:9" x14ac:dyDescent="0.3">
      <c r="A77" s="125"/>
      <c r="B77" s="181"/>
      <c r="C77" s="88"/>
      <c r="D77" s="171"/>
      <c r="E77" s="89">
        <v>-4756.8599999999997</v>
      </c>
      <c r="F77" s="89">
        <v>-4756.8599999999997</v>
      </c>
      <c r="G77" s="89"/>
      <c r="H77" s="89"/>
      <c r="I77" s="281"/>
    </row>
    <row r="78" spans="1:9" x14ac:dyDescent="0.3">
      <c r="A78" s="125"/>
      <c r="B78" s="200" t="s">
        <v>68</v>
      </c>
      <c r="C78" s="167"/>
      <c r="D78" s="174"/>
      <c r="E78" s="168">
        <v>317.04000000000002</v>
      </c>
      <c r="F78" s="168">
        <v>317.04000000000002</v>
      </c>
      <c r="G78" s="167"/>
      <c r="H78" s="175">
        <f>SUM(F78:G79)</f>
        <v>10844.54</v>
      </c>
      <c r="I78" s="281"/>
    </row>
    <row r="79" spans="1:9" x14ac:dyDescent="0.3">
      <c r="A79" s="125"/>
      <c r="B79" s="181"/>
      <c r="C79" s="88" t="s">
        <v>12</v>
      </c>
      <c r="D79" s="171"/>
      <c r="E79" s="89">
        <v>10527.5</v>
      </c>
      <c r="F79" s="89"/>
      <c r="G79" s="89">
        <v>10527.5</v>
      </c>
      <c r="H79" s="89"/>
      <c r="I79" s="281"/>
    </row>
    <row r="80" spans="1:9" x14ac:dyDescent="0.3">
      <c r="A80" s="125"/>
      <c r="B80" s="200" t="s">
        <v>69</v>
      </c>
      <c r="C80" s="167"/>
      <c r="D80" s="174"/>
      <c r="E80" s="168">
        <v>1275</v>
      </c>
      <c r="F80" s="168">
        <v>1275</v>
      </c>
      <c r="G80" s="168"/>
      <c r="H80" s="168">
        <f>SUM(F80:G81)</f>
        <v>6795</v>
      </c>
      <c r="I80" s="281"/>
    </row>
    <row r="81" spans="1:9" x14ac:dyDescent="0.3">
      <c r="A81" s="125"/>
      <c r="B81" s="181"/>
      <c r="C81" s="125"/>
      <c r="D81" s="171"/>
      <c r="E81" s="89">
        <v>5520</v>
      </c>
      <c r="F81" s="89">
        <v>5520</v>
      </c>
      <c r="G81" s="89"/>
      <c r="H81" s="89"/>
      <c r="I81" s="281"/>
    </row>
    <row r="82" spans="1:9" x14ac:dyDescent="0.3">
      <c r="A82" s="125"/>
      <c r="B82" s="173" t="s">
        <v>70</v>
      </c>
      <c r="C82" s="167"/>
      <c r="D82" s="174"/>
      <c r="E82" s="168">
        <v>27111.550000000007</v>
      </c>
      <c r="F82" s="168">
        <v>27111.550000000007</v>
      </c>
      <c r="G82" s="168"/>
      <c r="H82" s="168">
        <f>SUM(F82:G83)</f>
        <v>98149.5</v>
      </c>
      <c r="I82" s="281"/>
    </row>
    <row r="83" spans="1:9" x14ac:dyDescent="0.3">
      <c r="A83" s="125"/>
      <c r="B83" s="181"/>
      <c r="C83" s="88"/>
      <c r="D83" s="171"/>
      <c r="E83" s="89">
        <v>71037.95</v>
      </c>
      <c r="F83" s="89">
        <v>71037.95</v>
      </c>
      <c r="G83" s="89"/>
      <c r="H83" s="89"/>
      <c r="I83" s="281"/>
    </row>
    <row r="84" spans="1:9" x14ac:dyDescent="0.3">
      <c r="A84" s="88"/>
      <c r="B84" s="224" t="s">
        <v>71</v>
      </c>
      <c r="C84" s="129"/>
      <c r="D84" s="199"/>
      <c r="E84" s="130">
        <v>24055.839999999997</v>
      </c>
      <c r="F84" s="186">
        <v>24055.839999999997</v>
      </c>
      <c r="G84" s="186"/>
      <c r="H84" s="186">
        <f>F84</f>
        <v>24055.839999999997</v>
      </c>
      <c r="I84" s="282"/>
    </row>
    <row r="85" spans="1:9" x14ac:dyDescent="0.3">
      <c r="E85" s="154"/>
      <c r="F85" s="154"/>
      <c r="G85" s="154"/>
      <c r="H85" s="154"/>
      <c r="I85" s="154"/>
    </row>
    <row r="86" spans="1:9" x14ac:dyDescent="0.3">
      <c r="E86" s="151" t="s">
        <v>72</v>
      </c>
      <c r="F86" s="225">
        <f t="shared" ref="F86:G86" si="0">SUM(F3:F85)</f>
        <v>2761978.4000000004</v>
      </c>
      <c r="G86" s="225">
        <f t="shared" si="0"/>
        <v>212332.07</v>
      </c>
      <c r="H86" s="225">
        <f>SUM(H3:H84)</f>
        <v>2973346.3499999996</v>
      </c>
      <c r="I86" s="225">
        <f>SUM(I3:I84)</f>
        <v>2973346.3500000006</v>
      </c>
    </row>
    <row r="89" spans="1:9" x14ac:dyDescent="0.3">
      <c r="B89" s="225"/>
      <c r="C89" s="153"/>
      <c r="D89" s="151"/>
      <c r="E89" s="153"/>
      <c r="F89" s="155"/>
      <c r="G89" s="155"/>
      <c r="H89" s="155"/>
      <c r="I89" s="155"/>
    </row>
    <row r="90" spans="1:9" x14ac:dyDescent="0.3">
      <c r="C90" s="153"/>
      <c r="D90" s="153"/>
      <c r="E90" s="153"/>
      <c r="F90" s="155"/>
      <c r="G90" s="155"/>
      <c r="H90" s="155"/>
      <c r="I90" s="155"/>
    </row>
    <row r="91" spans="1:9" x14ac:dyDescent="0.3">
      <c r="D91" s="151"/>
      <c r="E91" s="153"/>
      <c r="F91" s="155"/>
      <c r="G91" s="155"/>
      <c r="H91" s="155"/>
      <c r="I91" s="155"/>
    </row>
    <row r="92" spans="1:9" x14ac:dyDescent="0.3">
      <c r="D92" s="151"/>
      <c r="E92" s="153"/>
      <c r="F92" s="155"/>
      <c r="G92" s="155"/>
      <c r="H92" s="155"/>
      <c r="I92" s="155"/>
    </row>
    <row r="94" spans="1:9" x14ac:dyDescent="0.3">
      <c r="C94" s="153"/>
    </row>
    <row r="95" spans="1:9" x14ac:dyDescent="0.3">
      <c r="C95" s="153"/>
    </row>
  </sheetData>
  <mergeCells count="5">
    <mergeCell ref="I3:I4"/>
    <mergeCell ref="I5:I22"/>
    <mergeCell ref="I23:I39"/>
    <mergeCell ref="I40:I53"/>
    <mergeCell ref="I54:I8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876DE-36AD-44CB-BA7A-2304185C2B10}">
  <dimension ref="A1:P164"/>
  <sheetViews>
    <sheetView zoomScale="65" zoomScaleNormal="65" workbookViewId="0">
      <selection activeCell="A2" sqref="A2"/>
    </sheetView>
  </sheetViews>
  <sheetFormatPr defaultRowHeight="14.4" x14ac:dyDescent="0.3"/>
  <cols>
    <col min="1" max="1" width="12.44140625" bestFit="1" customWidth="1"/>
    <col min="2" max="2" width="32.109375" bestFit="1" customWidth="1"/>
    <col min="3" max="3" width="26.109375" customWidth="1"/>
    <col min="4" max="4" width="8.5546875" customWidth="1"/>
    <col min="6" max="6" width="12.6640625" bestFit="1" customWidth="1"/>
    <col min="7" max="7" width="15.6640625" style="3" customWidth="1"/>
    <col min="8" max="8" width="19.44140625" style="3" customWidth="1"/>
    <col min="9" max="9" width="14.33203125" style="11" customWidth="1"/>
    <col min="10" max="10" width="15.88671875" customWidth="1"/>
    <col min="11" max="11" width="18.6640625" customWidth="1"/>
    <col min="12" max="12" width="22.109375" customWidth="1"/>
    <col min="13" max="13" width="14.88671875" style="11" customWidth="1"/>
    <col min="14" max="14" width="24.109375" customWidth="1"/>
    <col min="15" max="16" width="9.5546875" bestFit="1" customWidth="1"/>
  </cols>
  <sheetData>
    <row r="1" spans="1:13" ht="28.8" x14ac:dyDescent="0.55000000000000004">
      <c r="A1" s="295" t="s">
        <v>219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</row>
    <row r="2" spans="1:13" x14ac:dyDescent="0.3">
      <c r="A2" s="6"/>
      <c r="B2" s="6"/>
      <c r="C2" s="6"/>
      <c r="D2" s="6"/>
      <c r="E2" s="6"/>
      <c r="F2" s="6"/>
      <c r="G2" s="23"/>
      <c r="H2" s="23"/>
      <c r="I2" s="12"/>
      <c r="J2" s="6"/>
      <c r="K2" s="6"/>
    </row>
    <row r="3" spans="1:13" s="4" customFormat="1" ht="28.8" x14ac:dyDescent="0.3">
      <c r="A3" s="27" t="s">
        <v>0</v>
      </c>
      <c r="B3" s="27" t="s">
        <v>207</v>
      </c>
      <c r="C3" s="27" t="s">
        <v>1</v>
      </c>
      <c r="D3" s="287" t="s">
        <v>73</v>
      </c>
      <c r="E3" s="287"/>
      <c r="F3" s="287"/>
      <c r="G3" s="28" t="s">
        <v>74</v>
      </c>
      <c r="H3" s="28" t="s">
        <v>3</v>
      </c>
      <c r="I3" s="29" t="s">
        <v>4</v>
      </c>
      <c r="J3" s="29" t="s">
        <v>5</v>
      </c>
      <c r="K3" s="29" t="s">
        <v>206</v>
      </c>
      <c r="L3" s="29" t="s">
        <v>6</v>
      </c>
      <c r="M3" s="13"/>
    </row>
    <row r="4" spans="1:13" s="4" customFormat="1" x14ac:dyDescent="0.3">
      <c r="A4" s="30" t="s">
        <v>9</v>
      </c>
      <c r="B4" s="31" t="s">
        <v>10</v>
      </c>
      <c r="C4" s="19" t="s">
        <v>75</v>
      </c>
      <c r="D4" s="32"/>
      <c r="E4" s="19">
        <v>16</v>
      </c>
      <c r="F4" s="19" t="s">
        <v>76</v>
      </c>
      <c r="G4" s="33">
        <v>7837.01</v>
      </c>
      <c r="H4" s="34">
        <f t="shared" ref="H4:H9" si="0">G4</f>
        <v>7837.01</v>
      </c>
      <c r="I4" s="35">
        <f>H4</f>
        <v>7837.01</v>
      </c>
      <c r="J4" s="36"/>
      <c r="K4" s="37">
        <f>SUM(I4:J11)</f>
        <v>143508.03</v>
      </c>
      <c r="L4" s="290">
        <f>SUM(K4:K28)</f>
        <v>816632.02</v>
      </c>
      <c r="M4" s="13"/>
    </row>
    <row r="5" spans="1:13" s="4" customFormat="1" x14ac:dyDescent="0.3">
      <c r="A5" s="38"/>
      <c r="B5" s="39"/>
      <c r="C5" s="40" t="s">
        <v>77</v>
      </c>
      <c r="D5" s="41">
        <v>100</v>
      </c>
      <c r="E5" s="40">
        <v>100</v>
      </c>
      <c r="F5" s="40" t="s">
        <v>78</v>
      </c>
      <c r="G5" s="42">
        <v>12996.39</v>
      </c>
      <c r="H5" s="43">
        <f>G5</f>
        <v>12996.39</v>
      </c>
      <c r="I5" s="35">
        <f t="shared" ref="I5:I7" si="1">H5</f>
        <v>12996.39</v>
      </c>
      <c r="J5" s="44"/>
      <c r="K5" s="45"/>
      <c r="L5" s="290"/>
      <c r="M5" s="13"/>
    </row>
    <row r="6" spans="1:13" x14ac:dyDescent="0.3">
      <c r="A6" s="38"/>
      <c r="B6" s="46"/>
      <c r="C6" s="16" t="s">
        <v>79</v>
      </c>
      <c r="D6" s="47">
        <v>16</v>
      </c>
      <c r="E6" s="16">
        <v>16</v>
      </c>
      <c r="F6" s="16" t="s">
        <v>76</v>
      </c>
      <c r="G6" s="48">
        <v>8394.2199999999993</v>
      </c>
      <c r="H6" s="49">
        <f>G6</f>
        <v>8394.2199999999993</v>
      </c>
      <c r="I6" s="35">
        <f t="shared" si="1"/>
        <v>8394.2199999999993</v>
      </c>
      <c r="J6" s="50"/>
      <c r="K6" s="51"/>
      <c r="L6" s="290"/>
    </row>
    <row r="7" spans="1:13" s="4" customFormat="1" x14ac:dyDescent="0.3">
      <c r="A7" s="38"/>
      <c r="B7" s="46"/>
      <c r="C7" s="52" t="s">
        <v>80</v>
      </c>
      <c r="D7" s="53">
        <v>16</v>
      </c>
      <c r="E7" s="52">
        <v>16</v>
      </c>
      <c r="F7" s="52" t="s">
        <v>76</v>
      </c>
      <c r="G7" s="54">
        <v>2065.1999999999998</v>
      </c>
      <c r="H7" s="55">
        <f t="shared" si="0"/>
        <v>2065.1999999999998</v>
      </c>
      <c r="I7" s="35">
        <f t="shared" si="1"/>
        <v>2065.1999999999998</v>
      </c>
      <c r="J7" s="50"/>
      <c r="K7" s="56"/>
      <c r="L7" s="290"/>
      <c r="M7" s="13"/>
    </row>
    <row r="8" spans="1:13" s="14" customFormat="1" x14ac:dyDescent="0.3">
      <c r="A8" s="38"/>
      <c r="B8" s="46"/>
      <c r="C8" s="57" t="s">
        <v>81</v>
      </c>
      <c r="D8" s="58">
        <v>853</v>
      </c>
      <c r="E8" s="16">
        <f t="shared" ref="E8:E10" si="2">D8</f>
        <v>853</v>
      </c>
      <c r="F8" s="57" t="s">
        <v>78</v>
      </c>
      <c r="G8" s="59">
        <v>76705.820000000007</v>
      </c>
      <c r="H8" s="60">
        <f t="shared" si="0"/>
        <v>76705.820000000007</v>
      </c>
      <c r="I8" s="61"/>
      <c r="J8" s="50">
        <f>H8</f>
        <v>76705.820000000007</v>
      </c>
      <c r="K8" s="62"/>
      <c r="L8" s="290"/>
      <c r="M8" s="15"/>
    </row>
    <row r="9" spans="1:13" x14ac:dyDescent="0.3">
      <c r="A9" s="38"/>
      <c r="B9" s="63"/>
      <c r="C9" s="64" t="s">
        <v>82</v>
      </c>
      <c r="D9" s="65">
        <v>238</v>
      </c>
      <c r="E9" s="64">
        <f t="shared" si="2"/>
        <v>238</v>
      </c>
      <c r="F9" s="64" t="s">
        <v>78</v>
      </c>
      <c r="G9" s="66">
        <v>21431.23</v>
      </c>
      <c r="H9" s="67">
        <f t="shared" si="0"/>
        <v>21431.23</v>
      </c>
      <c r="I9" s="24">
        <f>H9</f>
        <v>21431.23</v>
      </c>
      <c r="J9" s="68"/>
      <c r="K9" s="69"/>
      <c r="L9" s="290"/>
    </row>
    <row r="10" spans="1:13" x14ac:dyDescent="0.3">
      <c r="A10" s="38"/>
      <c r="B10" s="46"/>
      <c r="C10" s="16" t="s">
        <v>83</v>
      </c>
      <c r="D10" s="16">
        <v>64</v>
      </c>
      <c r="E10" s="16">
        <f t="shared" si="2"/>
        <v>64</v>
      </c>
      <c r="F10" s="16" t="s">
        <v>78</v>
      </c>
      <c r="G10" s="49">
        <v>5787.34</v>
      </c>
      <c r="H10" s="49">
        <v>2984.1</v>
      </c>
      <c r="I10" s="24">
        <f t="shared" ref="I10:I11" si="3">H10</f>
        <v>2984.1</v>
      </c>
      <c r="J10" s="70"/>
      <c r="K10" s="51"/>
      <c r="L10" s="290"/>
    </row>
    <row r="11" spans="1:13" x14ac:dyDescent="0.3">
      <c r="A11" s="38"/>
      <c r="B11" s="71"/>
      <c r="C11" s="72" t="s">
        <v>84</v>
      </c>
      <c r="D11" s="72"/>
      <c r="E11" s="72"/>
      <c r="F11" s="72"/>
      <c r="G11" s="73"/>
      <c r="H11" s="73">
        <v>11094.06</v>
      </c>
      <c r="I11" s="74">
        <f t="shared" si="3"/>
        <v>11094.06</v>
      </c>
      <c r="J11" s="75"/>
      <c r="K11" s="76"/>
      <c r="L11" s="290"/>
    </row>
    <row r="12" spans="1:13" x14ac:dyDescent="0.3">
      <c r="A12" s="77"/>
      <c r="B12" s="39" t="s">
        <v>19</v>
      </c>
      <c r="C12" s="78" t="s">
        <v>86</v>
      </c>
      <c r="D12" s="78">
        <v>70</v>
      </c>
      <c r="E12" s="78">
        <v>70</v>
      </c>
      <c r="F12" s="78" t="s">
        <v>78</v>
      </c>
      <c r="G12" s="79">
        <v>6375.12</v>
      </c>
      <c r="H12" s="79">
        <f>G12</f>
        <v>6375.12</v>
      </c>
      <c r="I12" s="80"/>
      <c r="J12" s="81">
        <f>H12</f>
        <v>6375.12</v>
      </c>
      <c r="K12" s="26">
        <f>SUM(I12:J14)</f>
        <v>90360.040000000008</v>
      </c>
      <c r="L12" s="290"/>
      <c r="M12"/>
    </row>
    <row r="13" spans="1:13" x14ac:dyDescent="0.3">
      <c r="A13" s="38"/>
      <c r="B13" s="46"/>
      <c r="C13" s="16" t="s">
        <v>87</v>
      </c>
      <c r="D13" s="16">
        <v>1140</v>
      </c>
      <c r="E13" s="16">
        <v>1200</v>
      </c>
      <c r="F13" s="16" t="s">
        <v>78</v>
      </c>
      <c r="G13" s="49">
        <v>74247.710000000006</v>
      </c>
      <c r="H13" s="49">
        <f>G13</f>
        <v>74247.710000000006</v>
      </c>
      <c r="I13" s="82">
        <f>H13</f>
        <v>74247.710000000006</v>
      </c>
      <c r="J13" s="70"/>
      <c r="K13" s="51"/>
      <c r="L13" s="290"/>
    </row>
    <row r="14" spans="1:13" x14ac:dyDescent="0.3">
      <c r="A14" s="38"/>
      <c r="B14" s="71"/>
      <c r="C14" s="72"/>
      <c r="D14" s="72"/>
      <c r="E14" s="72"/>
      <c r="F14" s="72"/>
      <c r="G14" s="73">
        <v>9737.2099999999991</v>
      </c>
      <c r="H14" s="73">
        <f>G14</f>
        <v>9737.2099999999991</v>
      </c>
      <c r="I14" s="74">
        <f>H14</f>
        <v>9737.2099999999991</v>
      </c>
      <c r="J14" s="75"/>
      <c r="K14" s="76"/>
      <c r="L14" s="290"/>
    </row>
    <row r="15" spans="1:13" x14ac:dyDescent="0.3">
      <c r="A15" s="38"/>
      <c r="B15" s="31" t="s">
        <v>21</v>
      </c>
      <c r="C15" s="83" t="s">
        <v>77</v>
      </c>
      <c r="D15" s="83">
        <v>700</v>
      </c>
      <c r="E15" s="83">
        <f t="shared" ref="E15:E26" si="4">D15</f>
        <v>700</v>
      </c>
      <c r="F15" s="83" t="s">
        <v>88</v>
      </c>
      <c r="G15" s="84">
        <v>60380.21</v>
      </c>
      <c r="H15" s="84">
        <f t="shared" ref="H15:I28" si="5">G15</f>
        <v>60380.21</v>
      </c>
      <c r="I15" s="85">
        <f>H15</f>
        <v>60380.21</v>
      </c>
      <c r="J15" s="86"/>
      <c r="K15" s="85">
        <f>SUM(I15:J19)</f>
        <v>351271.18</v>
      </c>
      <c r="L15" s="290"/>
    </row>
    <row r="16" spans="1:13" x14ac:dyDescent="0.3">
      <c r="A16" s="38"/>
      <c r="B16" s="46"/>
      <c r="C16" s="16" t="s">
        <v>77</v>
      </c>
      <c r="D16" s="16">
        <v>1600</v>
      </c>
      <c r="E16" s="16">
        <f t="shared" si="4"/>
        <v>1600</v>
      </c>
      <c r="F16" s="16" t="s">
        <v>88</v>
      </c>
      <c r="G16" s="49">
        <v>154296.35</v>
      </c>
      <c r="H16" s="49">
        <f t="shared" si="5"/>
        <v>154296.35</v>
      </c>
      <c r="I16" s="82"/>
      <c r="J16" s="70">
        <f>H16</f>
        <v>154296.35</v>
      </c>
      <c r="K16" s="51"/>
      <c r="L16" s="290"/>
    </row>
    <row r="17" spans="1:16" x14ac:dyDescent="0.3">
      <c r="A17" s="38"/>
      <c r="B17" s="46"/>
      <c r="C17" s="16" t="s">
        <v>77</v>
      </c>
      <c r="D17" s="16">
        <v>525</v>
      </c>
      <c r="E17" s="16">
        <f t="shared" si="4"/>
        <v>525</v>
      </c>
      <c r="F17" s="16" t="s">
        <v>78</v>
      </c>
      <c r="G17" s="49">
        <v>46750.06</v>
      </c>
      <c r="H17" s="49">
        <f t="shared" si="5"/>
        <v>46750.06</v>
      </c>
      <c r="I17" s="82">
        <f>H17</f>
        <v>46750.06</v>
      </c>
      <c r="J17" s="70"/>
      <c r="K17" s="51"/>
      <c r="L17" s="290"/>
    </row>
    <row r="18" spans="1:16" x14ac:dyDescent="0.3">
      <c r="A18" s="38"/>
      <c r="B18" s="71"/>
      <c r="C18" s="72" t="s">
        <v>77</v>
      </c>
      <c r="D18" s="72">
        <v>1144</v>
      </c>
      <c r="E18" s="72">
        <f t="shared" si="4"/>
        <v>1144</v>
      </c>
      <c r="F18" s="72" t="s">
        <v>78</v>
      </c>
      <c r="G18" s="73">
        <v>83699.240000000005</v>
      </c>
      <c r="H18" s="73">
        <f t="shared" si="5"/>
        <v>83699.240000000005</v>
      </c>
      <c r="I18" s="82">
        <f t="shared" ref="I18:I19" si="6">H18</f>
        <v>83699.240000000005</v>
      </c>
      <c r="J18" s="75"/>
      <c r="K18" s="76"/>
      <c r="L18" s="290"/>
    </row>
    <row r="19" spans="1:16" x14ac:dyDescent="0.3">
      <c r="A19" s="38"/>
      <c r="B19" s="87"/>
      <c r="C19" s="88"/>
      <c r="D19" s="88"/>
      <c r="E19" s="88"/>
      <c r="F19" s="88"/>
      <c r="G19" s="89"/>
      <c r="H19" s="89">
        <v>6145.32</v>
      </c>
      <c r="I19" s="82">
        <f t="shared" si="6"/>
        <v>6145.32</v>
      </c>
      <c r="J19" s="90"/>
      <c r="K19" s="91"/>
      <c r="L19" s="290"/>
    </row>
    <row r="20" spans="1:16" x14ac:dyDescent="0.3">
      <c r="A20" s="38"/>
      <c r="B20" s="31" t="s">
        <v>26</v>
      </c>
      <c r="C20" s="16" t="s">
        <v>77</v>
      </c>
      <c r="D20" s="16">
        <v>524</v>
      </c>
      <c r="E20" s="16">
        <f t="shared" si="4"/>
        <v>524</v>
      </c>
      <c r="F20" s="16" t="s">
        <v>78</v>
      </c>
      <c r="G20" s="49">
        <v>36695.83</v>
      </c>
      <c r="H20" s="49">
        <f t="shared" si="5"/>
        <v>36695.83</v>
      </c>
      <c r="I20" s="82"/>
      <c r="J20" s="70">
        <v>36695.83</v>
      </c>
      <c r="K20" s="51">
        <f>SUM(I20:J28)</f>
        <v>231492.77000000002</v>
      </c>
      <c r="L20" s="290"/>
    </row>
    <row r="21" spans="1:16" x14ac:dyDescent="0.3">
      <c r="A21" s="38"/>
      <c r="B21" s="46"/>
      <c r="C21" s="16" t="s">
        <v>89</v>
      </c>
      <c r="D21" s="16">
        <v>54</v>
      </c>
      <c r="E21" s="16">
        <f t="shared" si="4"/>
        <v>54</v>
      </c>
      <c r="F21" s="16" t="s">
        <v>78</v>
      </c>
      <c r="G21" s="49">
        <v>2900.36</v>
      </c>
      <c r="H21" s="49">
        <f t="shared" si="5"/>
        <v>2900.36</v>
      </c>
      <c r="I21" s="51">
        <f>H21</f>
        <v>2900.36</v>
      </c>
      <c r="J21" s="70"/>
      <c r="K21" s="51"/>
      <c r="L21" s="290"/>
    </row>
    <row r="22" spans="1:16" x14ac:dyDescent="0.3">
      <c r="A22" s="38"/>
      <c r="B22" s="46"/>
      <c r="C22" s="16" t="s">
        <v>90</v>
      </c>
      <c r="D22" s="16">
        <v>426</v>
      </c>
      <c r="E22" s="16">
        <f t="shared" si="4"/>
        <v>426</v>
      </c>
      <c r="F22" s="16" t="s">
        <v>78</v>
      </c>
      <c r="G22" s="49">
        <v>39319.800000000003</v>
      </c>
      <c r="H22" s="49">
        <f t="shared" si="5"/>
        <v>39319.800000000003</v>
      </c>
      <c r="I22" s="82"/>
      <c r="J22" s="70">
        <f>H22</f>
        <v>39319.800000000003</v>
      </c>
      <c r="K22" s="51"/>
      <c r="L22" s="290"/>
    </row>
    <row r="23" spans="1:16" x14ac:dyDescent="0.3">
      <c r="A23" s="38"/>
      <c r="B23" s="46"/>
      <c r="C23" s="16" t="s">
        <v>91</v>
      </c>
      <c r="D23" s="16">
        <v>1093</v>
      </c>
      <c r="E23" s="16">
        <f t="shared" si="4"/>
        <v>1093</v>
      </c>
      <c r="F23" s="16" t="s">
        <v>78</v>
      </c>
      <c r="G23" s="49">
        <v>51939.6</v>
      </c>
      <c r="H23" s="49">
        <f t="shared" si="5"/>
        <v>51939.6</v>
      </c>
      <c r="I23" s="51">
        <f t="shared" si="5"/>
        <v>51939.6</v>
      </c>
      <c r="J23" s="70"/>
      <c r="K23" s="51"/>
      <c r="L23" s="290"/>
    </row>
    <row r="24" spans="1:16" x14ac:dyDescent="0.3">
      <c r="A24" s="38"/>
      <c r="B24" s="46"/>
      <c r="C24" s="16" t="s">
        <v>92</v>
      </c>
      <c r="D24" s="16">
        <v>73</v>
      </c>
      <c r="E24" s="16">
        <f t="shared" si="4"/>
        <v>73</v>
      </c>
      <c r="F24" s="16" t="s">
        <v>78</v>
      </c>
      <c r="G24" s="49">
        <v>5482.14</v>
      </c>
      <c r="H24" s="49">
        <f t="shared" si="5"/>
        <v>5482.14</v>
      </c>
      <c r="I24" s="51">
        <f t="shared" si="5"/>
        <v>5482.14</v>
      </c>
      <c r="J24" s="70"/>
      <c r="K24" s="51"/>
      <c r="L24" s="290"/>
    </row>
    <row r="25" spans="1:16" x14ac:dyDescent="0.3">
      <c r="A25" s="38"/>
      <c r="B25" s="46"/>
      <c r="C25" s="16" t="s">
        <v>77</v>
      </c>
      <c r="D25" s="16">
        <v>522</v>
      </c>
      <c r="E25" s="16">
        <f t="shared" si="4"/>
        <v>522</v>
      </c>
      <c r="F25" s="16" t="s">
        <v>78</v>
      </c>
      <c r="G25" s="49">
        <v>60833.17</v>
      </c>
      <c r="H25" s="49">
        <f t="shared" si="5"/>
        <v>60833.17</v>
      </c>
      <c r="I25" s="51">
        <f t="shared" si="5"/>
        <v>60833.17</v>
      </c>
      <c r="J25" s="70"/>
      <c r="K25" s="51"/>
      <c r="L25" s="290"/>
    </row>
    <row r="26" spans="1:16" x14ac:dyDescent="0.3">
      <c r="A26" s="38"/>
      <c r="B26" s="46"/>
      <c r="C26" s="16" t="s">
        <v>93</v>
      </c>
      <c r="D26" s="16">
        <v>870</v>
      </c>
      <c r="E26" s="16">
        <f t="shared" si="4"/>
        <v>870</v>
      </c>
      <c r="F26" s="16" t="s">
        <v>78</v>
      </c>
      <c r="G26" s="49">
        <v>30027.93</v>
      </c>
      <c r="H26" s="49">
        <f t="shared" si="5"/>
        <v>30027.93</v>
      </c>
      <c r="I26" s="51">
        <f t="shared" si="5"/>
        <v>30027.93</v>
      </c>
      <c r="J26" s="70"/>
      <c r="K26" s="51"/>
      <c r="L26" s="290"/>
    </row>
    <row r="27" spans="1:16" x14ac:dyDescent="0.3">
      <c r="A27" s="38"/>
      <c r="B27" s="63"/>
      <c r="C27" s="64"/>
      <c r="D27" s="64"/>
      <c r="E27" s="64"/>
      <c r="F27" s="64"/>
      <c r="G27" s="67">
        <v>-7912.38</v>
      </c>
      <c r="H27" s="67">
        <f t="shared" si="5"/>
        <v>-7912.38</v>
      </c>
      <c r="I27" s="24">
        <f t="shared" si="5"/>
        <v>-7912.38</v>
      </c>
      <c r="J27" s="68"/>
      <c r="K27" s="69"/>
      <c r="L27" s="290"/>
      <c r="N27" s="11"/>
    </row>
    <row r="28" spans="1:16" x14ac:dyDescent="0.3">
      <c r="A28" s="38"/>
      <c r="B28" s="71"/>
      <c r="C28" s="72"/>
      <c r="D28" s="72"/>
      <c r="E28" s="72"/>
      <c r="F28" s="72"/>
      <c r="G28" s="73">
        <v>12206.32</v>
      </c>
      <c r="H28" s="73">
        <f t="shared" si="5"/>
        <v>12206.32</v>
      </c>
      <c r="I28" s="74">
        <f t="shared" si="5"/>
        <v>12206.32</v>
      </c>
      <c r="J28" s="75"/>
      <c r="K28" s="76"/>
      <c r="L28" s="290"/>
      <c r="N28" s="11"/>
    </row>
    <row r="29" spans="1:16" x14ac:dyDescent="0.3">
      <c r="A29" s="92" t="s">
        <v>30</v>
      </c>
      <c r="B29" s="31" t="s">
        <v>95</v>
      </c>
      <c r="C29" s="83" t="s">
        <v>96</v>
      </c>
      <c r="D29" s="83">
        <v>1225</v>
      </c>
      <c r="E29" s="83">
        <v>1225</v>
      </c>
      <c r="F29" s="83" t="s">
        <v>78</v>
      </c>
      <c r="G29" s="84">
        <v>134868.98000000001</v>
      </c>
      <c r="H29" s="84">
        <f>G29</f>
        <v>134868.98000000001</v>
      </c>
      <c r="I29" s="85">
        <f>H29</f>
        <v>134868.98000000001</v>
      </c>
      <c r="J29" s="93"/>
      <c r="K29" s="85">
        <f>SUM(I29:J31)</f>
        <v>217150.31000000003</v>
      </c>
      <c r="L29" s="286">
        <f>SUM(K29:K64)</f>
        <v>1109062.82</v>
      </c>
    </row>
    <row r="30" spans="1:16" x14ac:dyDescent="0.3">
      <c r="A30" s="38"/>
      <c r="B30" s="46"/>
      <c r="C30" s="78" t="s">
        <v>97</v>
      </c>
      <c r="D30" s="78">
        <v>1248</v>
      </c>
      <c r="E30" s="78">
        <v>1248</v>
      </c>
      <c r="F30" s="78" t="s">
        <v>78</v>
      </c>
      <c r="G30" s="49">
        <v>43824.800000000003</v>
      </c>
      <c r="H30" s="49">
        <f>G30</f>
        <v>43824.800000000003</v>
      </c>
      <c r="I30" s="82">
        <f>H30</f>
        <v>43824.800000000003</v>
      </c>
      <c r="J30" s="94"/>
      <c r="K30" s="51"/>
      <c r="L30" s="286"/>
    </row>
    <row r="31" spans="1:16" s="4" customFormat="1" x14ac:dyDescent="0.3">
      <c r="A31" s="38"/>
      <c r="B31" s="46"/>
      <c r="C31" s="78" t="s">
        <v>97</v>
      </c>
      <c r="D31" s="52">
        <v>700</v>
      </c>
      <c r="E31" s="52">
        <v>700</v>
      </c>
      <c r="F31" s="52" t="s">
        <v>78</v>
      </c>
      <c r="G31" s="55">
        <v>38456.53</v>
      </c>
      <c r="H31" s="55">
        <f t="shared" ref="H31:H34" si="7">G31</f>
        <v>38456.53</v>
      </c>
      <c r="I31" s="95">
        <f>H31</f>
        <v>38456.53</v>
      </c>
      <c r="J31" s="52"/>
      <c r="K31" s="56"/>
      <c r="L31" s="286"/>
      <c r="M31" s="13"/>
      <c r="P31" s="13"/>
    </row>
    <row r="32" spans="1:16" s="4" customFormat="1" x14ac:dyDescent="0.3">
      <c r="A32" s="38"/>
      <c r="B32" s="96" t="s">
        <v>98</v>
      </c>
      <c r="C32" s="57" t="s">
        <v>99</v>
      </c>
      <c r="D32" s="19">
        <v>500</v>
      </c>
      <c r="E32" s="19">
        <v>500</v>
      </c>
      <c r="F32" s="19" t="s">
        <v>78</v>
      </c>
      <c r="G32" s="34">
        <v>51801.17</v>
      </c>
      <c r="H32" s="34">
        <f t="shared" si="7"/>
        <v>51801.17</v>
      </c>
      <c r="I32" s="37">
        <f>H32</f>
        <v>51801.17</v>
      </c>
      <c r="J32" s="86"/>
      <c r="K32" s="37">
        <f>SUM(I32:J36)</f>
        <v>170115.4</v>
      </c>
      <c r="L32" s="286"/>
      <c r="M32" s="13"/>
    </row>
    <row r="33" spans="1:13" s="4" customFormat="1" x14ac:dyDescent="0.3">
      <c r="A33" s="38"/>
      <c r="B33" s="52"/>
      <c r="C33" s="57" t="s">
        <v>99</v>
      </c>
      <c r="D33" s="52">
        <v>600</v>
      </c>
      <c r="E33" s="52">
        <v>600</v>
      </c>
      <c r="F33" s="52" t="s">
        <v>78</v>
      </c>
      <c r="G33" s="55">
        <v>62093.36</v>
      </c>
      <c r="H33" s="55">
        <f t="shared" si="7"/>
        <v>62093.36</v>
      </c>
      <c r="I33" s="37">
        <f t="shared" ref="I33:I35" si="8">H33</f>
        <v>62093.36</v>
      </c>
      <c r="J33" s="52"/>
      <c r="K33" s="56"/>
      <c r="L33" s="286"/>
      <c r="M33" s="13"/>
    </row>
    <row r="34" spans="1:13" s="4" customFormat="1" x14ac:dyDescent="0.3">
      <c r="A34" s="38"/>
      <c r="B34" s="52"/>
      <c r="C34" s="57" t="s">
        <v>100</v>
      </c>
      <c r="D34" s="52">
        <v>152</v>
      </c>
      <c r="E34" s="97">
        <v>152</v>
      </c>
      <c r="F34" s="52" t="s">
        <v>78</v>
      </c>
      <c r="G34" s="55">
        <v>13559.42</v>
      </c>
      <c r="H34" s="55">
        <f t="shared" si="7"/>
        <v>13559.42</v>
      </c>
      <c r="I34" s="37">
        <f t="shared" si="8"/>
        <v>13559.42</v>
      </c>
      <c r="J34" s="52"/>
      <c r="K34" s="56"/>
      <c r="L34" s="286"/>
      <c r="M34" s="13"/>
    </row>
    <row r="35" spans="1:13" s="17" customFormat="1" x14ac:dyDescent="0.3">
      <c r="A35" s="38"/>
      <c r="B35" s="98"/>
      <c r="C35" s="99" t="s">
        <v>101</v>
      </c>
      <c r="D35" s="98">
        <v>320</v>
      </c>
      <c r="E35" s="98">
        <v>320</v>
      </c>
      <c r="F35" s="98" t="s">
        <v>78</v>
      </c>
      <c r="G35" s="100">
        <v>28839.02</v>
      </c>
      <c r="H35" s="100">
        <f>G35</f>
        <v>28839.02</v>
      </c>
      <c r="I35" s="101">
        <f t="shared" si="8"/>
        <v>28839.02</v>
      </c>
      <c r="J35" s="98"/>
      <c r="K35" s="102"/>
      <c r="L35" s="286"/>
      <c r="M35" s="18"/>
    </row>
    <row r="36" spans="1:13" s="17" customFormat="1" x14ac:dyDescent="0.3">
      <c r="A36" s="38"/>
      <c r="B36" s="103"/>
      <c r="C36" s="104"/>
      <c r="D36" s="103"/>
      <c r="E36" s="103"/>
      <c r="F36" s="103"/>
      <c r="G36" s="105"/>
      <c r="H36" s="55">
        <v>13822.43</v>
      </c>
      <c r="I36" s="106">
        <f>H36</f>
        <v>13822.43</v>
      </c>
      <c r="J36" s="103"/>
      <c r="K36" s="107"/>
      <c r="L36" s="286"/>
      <c r="M36" s="18"/>
    </row>
    <row r="37" spans="1:13" s="17" customFormat="1" x14ac:dyDescent="0.3">
      <c r="A37" s="38"/>
      <c r="B37" s="108" t="s">
        <v>102</v>
      </c>
      <c r="C37" s="109" t="s">
        <v>103</v>
      </c>
      <c r="D37" s="110">
        <v>85</v>
      </c>
      <c r="E37" s="110">
        <v>85</v>
      </c>
      <c r="F37" s="110" t="s">
        <v>78</v>
      </c>
      <c r="G37" s="111">
        <v>2919.59</v>
      </c>
      <c r="H37" s="111">
        <f>G37</f>
        <v>2919.59</v>
      </c>
      <c r="I37" s="112">
        <f>H37</f>
        <v>2919.59</v>
      </c>
      <c r="J37" s="113"/>
      <c r="K37" s="112">
        <f>I37</f>
        <v>2919.59</v>
      </c>
      <c r="L37" s="286"/>
      <c r="M37" s="18"/>
    </row>
    <row r="38" spans="1:13" s="4" customFormat="1" x14ac:dyDescent="0.3">
      <c r="A38" s="38"/>
      <c r="B38" s="96" t="s">
        <v>104</v>
      </c>
      <c r="C38" s="19"/>
      <c r="D38" s="19"/>
      <c r="E38" s="19"/>
      <c r="F38" s="19"/>
      <c r="G38" s="34"/>
      <c r="H38" s="114"/>
      <c r="I38" s="37"/>
      <c r="J38" s="86"/>
      <c r="K38" s="37">
        <f>SUM(I39:J48)</f>
        <v>334201.08999999997</v>
      </c>
      <c r="L38" s="286"/>
      <c r="M38" s="13"/>
    </row>
    <row r="39" spans="1:13" s="4" customFormat="1" ht="14.4" customHeight="1" x14ac:dyDescent="0.3">
      <c r="A39" s="38"/>
      <c r="B39" s="115"/>
      <c r="C39" s="40" t="s">
        <v>105</v>
      </c>
      <c r="D39" s="40">
        <v>384</v>
      </c>
      <c r="E39" s="40">
        <f>D39</f>
        <v>384</v>
      </c>
      <c r="F39" s="40" t="s">
        <v>78</v>
      </c>
      <c r="G39" s="43">
        <v>15909.5</v>
      </c>
      <c r="H39" s="43">
        <f>G39</f>
        <v>15909.5</v>
      </c>
      <c r="I39" s="45">
        <f>H39</f>
        <v>15909.5</v>
      </c>
      <c r="J39" s="116"/>
      <c r="K39" s="45"/>
      <c r="L39" s="286"/>
      <c r="M39" s="13"/>
    </row>
    <row r="40" spans="1:13" s="4" customFormat="1" ht="14.4" customHeight="1" x14ac:dyDescent="0.3">
      <c r="A40" s="38"/>
      <c r="B40" s="52"/>
      <c r="C40" s="52" t="s">
        <v>106</v>
      </c>
      <c r="D40" s="52">
        <v>428</v>
      </c>
      <c r="E40" s="52">
        <f t="shared" ref="E40:E42" si="9">D40</f>
        <v>428</v>
      </c>
      <c r="F40" s="52" t="s">
        <v>78</v>
      </c>
      <c r="G40" s="55">
        <v>23458.06</v>
      </c>
      <c r="H40" s="55">
        <f t="shared" ref="H40:H43" si="10">G40</f>
        <v>23458.06</v>
      </c>
      <c r="I40" s="45">
        <f t="shared" ref="I40:I43" si="11">H40</f>
        <v>23458.06</v>
      </c>
      <c r="J40" s="52"/>
      <c r="K40" s="56"/>
      <c r="L40" s="286"/>
      <c r="M40" s="13"/>
    </row>
    <row r="41" spans="1:13" s="4" customFormat="1" ht="14.4" customHeight="1" x14ac:dyDescent="0.3">
      <c r="A41" s="38"/>
      <c r="B41" s="52"/>
      <c r="C41" s="52" t="s">
        <v>107</v>
      </c>
      <c r="D41" s="52">
        <v>351</v>
      </c>
      <c r="E41" s="52">
        <f t="shared" si="9"/>
        <v>351</v>
      </c>
      <c r="F41" s="52" t="s">
        <v>78</v>
      </c>
      <c r="G41" s="55">
        <v>18542.310000000001</v>
      </c>
      <c r="H41" s="55">
        <f t="shared" si="10"/>
        <v>18542.310000000001</v>
      </c>
      <c r="I41" s="45">
        <f t="shared" si="11"/>
        <v>18542.310000000001</v>
      </c>
      <c r="J41" s="52"/>
      <c r="K41" s="56"/>
      <c r="L41" s="286"/>
      <c r="M41" s="13"/>
    </row>
    <row r="42" spans="1:13" s="4" customFormat="1" ht="14.4" customHeight="1" x14ac:dyDescent="0.3">
      <c r="A42" s="38"/>
      <c r="B42" s="117"/>
      <c r="C42" s="117" t="s">
        <v>108</v>
      </c>
      <c r="D42" s="117">
        <v>675</v>
      </c>
      <c r="E42" s="117">
        <f t="shared" si="9"/>
        <v>675</v>
      </c>
      <c r="F42" s="117" t="s">
        <v>78</v>
      </c>
      <c r="G42" s="118">
        <v>40396</v>
      </c>
      <c r="H42" s="118">
        <f t="shared" si="10"/>
        <v>40396</v>
      </c>
      <c r="I42" s="45">
        <f t="shared" si="11"/>
        <v>40396</v>
      </c>
      <c r="J42" s="119"/>
      <c r="K42" s="120"/>
      <c r="L42" s="286"/>
      <c r="M42" s="13"/>
    </row>
    <row r="43" spans="1:13" ht="14.4" customHeight="1" x14ac:dyDescent="0.3">
      <c r="A43" s="38"/>
      <c r="B43" s="64"/>
      <c r="C43" s="64"/>
      <c r="D43" s="64"/>
      <c r="E43" s="64"/>
      <c r="F43" s="64"/>
      <c r="G43" s="67">
        <v>8245.81</v>
      </c>
      <c r="H43" s="67">
        <f t="shared" si="10"/>
        <v>8245.81</v>
      </c>
      <c r="I43" s="45">
        <f t="shared" si="11"/>
        <v>8245.81</v>
      </c>
      <c r="J43" s="121"/>
      <c r="K43" s="69"/>
      <c r="L43" s="286"/>
    </row>
    <row r="44" spans="1:13" ht="15" customHeight="1" x14ac:dyDescent="0.3">
      <c r="A44" s="38"/>
      <c r="B44" s="16"/>
      <c r="C44" s="16" t="s">
        <v>110</v>
      </c>
      <c r="D44" s="16">
        <v>1760</v>
      </c>
      <c r="E44" s="16"/>
      <c r="F44" s="52" t="s">
        <v>78</v>
      </c>
      <c r="G44" s="122">
        <v>44698.94</v>
      </c>
      <c r="H44" s="79">
        <f>G44</f>
        <v>44698.94</v>
      </c>
      <c r="I44" s="80">
        <f>H44</f>
        <v>44698.94</v>
      </c>
      <c r="J44" s="78"/>
      <c r="K44" s="26"/>
      <c r="L44" s="286"/>
    </row>
    <row r="45" spans="1:13" ht="15" customHeight="1" x14ac:dyDescent="0.3">
      <c r="A45" s="38"/>
      <c r="B45" s="16"/>
      <c r="C45" s="16" t="s">
        <v>110</v>
      </c>
      <c r="D45" s="16">
        <v>2700</v>
      </c>
      <c r="E45" s="16"/>
      <c r="F45" s="52" t="s">
        <v>78</v>
      </c>
      <c r="G45" s="49">
        <v>70753.66</v>
      </c>
      <c r="H45" s="79">
        <f t="shared" ref="H45:I48" si="12">G45</f>
        <v>70753.66</v>
      </c>
      <c r="I45" s="80">
        <f t="shared" si="12"/>
        <v>70753.66</v>
      </c>
      <c r="J45" s="16"/>
      <c r="K45" s="51"/>
      <c r="L45" s="286"/>
    </row>
    <row r="46" spans="1:13" ht="15" customHeight="1" x14ac:dyDescent="0.3">
      <c r="A46" s="38"/>
      <c r="B46" s="16"/>
      <c r="C46" s="16" t="s">
        <v>110</v>
      </c>
      <c r="D46" s="16">
        <v>880</v>
      </c>
      <c r="E46" s="16"/>
      <c r="F46" s="52" t="s">
        <v>78</v>
      </c>
      <c r="G46" s="49">
        <v>22458.21</v>
      </c>
      <c r="H46" s="79">
        <f t="shared" si="12"/>
        <v>22458.21</v>
      </c>
      <c r="I46" s="80">
        <f t="shared" si="12"/>
        <v>22458.21</v>
      </c>
      <c r="J46" s="16"/>
      <c r="K46" s="51"/>
      <c r="L46" s="286"/>
    </row>
    <row r="47" spans="1:13" ht="15" customHeight="1" x14ac:dyDescent="0.3">
      <c r="A47" s="38"/>
      <c r="B47" s="16"/>
      <c r="C47" s="16" t="s">
        <v>110</v>
      </c>
      <c r="D47" s="16">
        <v>2290</v>
      </c>
      <c r="E47" s="16"/>
      <c r="F47" s="52" t="s">
        <v>78</v>
      </c>
      <c r="G47" s="49">
        <v>58105</v>
      </c>
      <c r="H47" s="79">
        <f t="shared" si="12"/>
        <v>58105</v>
      </c>
      <c r="I47" s="80">
        <f t="shared" si="12"/>
        <v>58105</v>
      </c>
      <c r="J47" s="16"/>
      <c r="K47" s="51"/>
      <c r="L47" s="286"/>
    </row>
    <row r="48" spans="1:13" ht="15" customHeight="1" x14ac:dyDescent="0.3">
      <c r="A48" s="38"/>
      <c r="B48" s="16"/>
      <c r="C48" s="16" t="s">
        <v>110</v>
      </c>
      <c r="D48" s="16">
        <v>1246</v>
      </c>
      <c r="E48" s="16"/>
      <c r="F48" s="52" t="s">
        <v>78</v>
      </c>
      <c r="G48" s="49">
        <v>31633.599999999999</v>
      </c>
      <c r="H48" s="79">
        <f t="shared" si="12"/>
        <v>31633.599999999999</v>
      </c>
      <c r="I48" s="80">
        <f t="shared" si="12"/>
        <v>31633.599999999999</v>
      </c>
      <c r="J48" s="16"/>
      <c r="K48" s="51"/>
      <c r="L48" s="286"/>
    </row>
    <row r="49" spans="1:13" x14ac:dyDescent="0.3">
      <c r="A49" s="30"/>
      <c r="B49" s="123" t="s">
        <v>44</v>
      </c>
      <c r="C49" s="83" t="s">
        <v>111</v>
      </c>
      <c r="D49" s="83" t="s">
        <v>112</v>
      </c>
      <c r="E49" s="83">
        <v>100</v>
      </c>
      <c r="F49" s="83" t="s">
        <v>78</v>
      </c>
      <c r="G49" s="84">
        <v>4180.58</v>
      </c>
      <c r="H49" s="79">
        <f t="shared" ref="H49:H53" si="13">G49</f>
        <v>4180.58</v>
      </c>
      <c r="I49" s="26">
        <f>H49</f>
        <v>4180.58</v>
      </c>
      <c r="J49" s="81"/>
      <c r="K49" s="26">
        <f>SUM(I49:J59)</f>
        <v>274746.67</v>
      </c>
      <c r="L49" s="286"/>
    </row>
    <row r="50" spans="1:13" x14ac:dyDescent="0.3">
      <c r="A50" s="30"/>
      <c r="B50" s="124"/>
      <c r="C50" s="16" t="s">
        <v>113</v>
      </c>
      <c r="D50" s="16">
        <v>960</v>
      </c>
      <c r="E50" s="16">
        <v>960</v>
      </c>
      <c r="F50" s="16" t="s">
        <v>78</v>
      </c>
      <c r="G50" s="49">
        <v>69950.67</v>
      </c>
      <c r="H50" s="49">
        <f t="shared" si="13"/>
        <v>69950.67</v>
      </c>
      <c r="I50" s="26">
        <f t="shared" ref="I50:I55" si="14">H50</f>
        <v>69950.67</v>
      </c>
      <c r="J50" s="94"/>
      <c r="K50" s="51"/>
      <c r="L50" s="286"/>
    </row>
    <row r="51" spans="1:13" ht="14.4" customHeight="1" x14ac:dyDescent="0.3">
      <c r="A51" s="30"/>
      <c r="B51" s="124"/>
      <c r="C51" s="16"/>
      <c r="D51" s="16"/>
      <c r="E51" s="16"/>
      <c r="F51" s="16"/>
      <c r="G51" s="49">
        <v>-10020.33</v>
      </c>
      <c r="H51" s="49">
        <f t="shared" si="13"/>
        <v>-10020.33</v>
      </c>
      <c r="I51" s="26">
        <f t="shared" si="14"/>
        <v>-10020.33</v>
      </c>
      <c r="J51" s="94"/>
      <c r="K51" s="51"/>
      <c r="L51" s="286"/>
    </row>
    <row r="52" spans="1:13" x14ac:dyDescent="0.3">
      <c r="A52" s="30"/>
      <c r="B52" s="124"/>
      <c r="C52" s="16" t="s">
        <v>114</v>
      </c>
      <c r="D52" s="16">
        <v>470</v>
      </c>
      <c r="E52" s="16">
        <v>470</v>
      </c>
      <c r="F52" s="16" t="s">
        <v>78</v>
      </c>
      <c r="G52" s="49">
        <v>26907.52</v>
      </c>
      <c r="H52" s="49">
        <f t="shared" si="13"/>
        <v>26907.52</v>
      </c>
      <c r="I52" s="26">
        <f t="shared" si="14"/>
        <v>26907.52</v>
      </c>
      <c r="J52" s="94"/>
      <c r="K52" s="51"/>
      <c r="L52" s="286"/>
    </row>
    <row r="53" spans="1:13" ht="14.4" customHeight="1" x14ac:dyDescent="0.3">
      <c r="A53" s="30"/>
      <c r="B53" s="124"/>
      <c r="C53" s="16"/>
      <c r="D53" s="16"/>
      <c r="E53" s="16"/>
      <c r="F53" s="16"/>
      <c r="G53" s="49">
        <v>19.760000000000002</v>
      </c>
      <c r="H53" s="49">
        <f t="shared" si="13"/>
        <v>19.760000000000002</v>
      </c>
      <c r="I53" s="26">
        <f t="shared" si="14"/>
        <v>19.760000000000002</v>
      </c>
      <c r="J53" s="94"/>
      <c r="K53" s="51"/>
      <c r="L53" s="286"/>
    </row>
    <row r="54" spans="1:13" x14ac:dyDescent="0.3">
      <c r="A54" s="30"/>
      <c r="B54" s="124"/>
      <c r="C54" s="16" t="s">
        <v>12</v>
      </c>
      <c r="D54" s="16">
        <v>1232</v>
      </c>
      <c r="E54" s="16">
        <v>1232</v>
      </c>
      <c r="F54" s="16"/>
      <c r="G54" s="49">
        <v>104762.5</v>
      </c>
      <c r="H54" s="49">
        <f>G54</f>
        <v>104762.5</v>
      </c>
      <c r="I54" s="26">
        <f t="shared" si="14"/>
        <v>104762.5</v>
      </c>
      <c r="J54" s="94"/>
      <c r="K54" s="51"/>
      <c r="L54" s="286"/>
    </row>
    <row r="55" spans="1:13" ht="14.4" customHeight="1" x14ac:dyDescent="0.3">
      <c r="A55" s="77"/>
      <c r="B55" s="16"/>
      <c r="C55" s="125" t="s">
        <v>109</v>
      </c>
      <c r="D55" s="16">
        <v>700</v>
      </c>
      <c r="E55" s="16"/>
      <c r="F55" s="16" t="s">
        <v>78</v>
      </c>
      <c r="G55" s="49">
        <v>30240.53</v>
      </c>
      <c r="H55" s="49">
        <f>G55</f>
        <v>30240.53</v>
      </c>
      <c r="I55" s="82">
        <f t="shared" si="14"/>
        <v>30240.53</v>
      </c>
      <c r="J55" s="16"/>
      <c r="K55" s="51"/>
      <c r="L55" s="286"/>
    </row>
    <row r="56" spans="1:13" ht="14.4" customHeight="1" x14ac:dyDescent="0.3">
      <c r="A56" s="77"/>
      <c r="B56" s="16"/>
      <c r="C56" s="125" t="s">
        <v>116</v>
      </c>
      <c r="D56" s="16">
        <v>160</v>
      </c>
      <c r="E56" s="16"/>
      <c r="F56" s="16" t="s">
        <v>78</v>
      </c>
      <c r="G56" s="49">
        <v>7001.5</v>
      </c>
      <c r="H56" s="49">
        <f t="shared" ref="H56:I58" si="15">G56</f>
        <v>7001.5</v>
      </c>
      <c r="I56" s="82">
        <f>H56</f>
        <v>7001.5</v>
      </c>
      <c r="J56" s="16"/>
      <c r="K56" s="51"/>
      <c r="L56" s="286"/>
    </row>
    <row r="57" spans="1:13" ht="14.4" customHeight="1" x14ac:dyDescent="0.3">
      <c r="A57" s="77"/>
      <c r="B57" s="16"/>
      <c r="C57" s="125" t="s">
        <v>25</v>
      </c>
      <c r="D57" s="16">
        <v>125</v>
      </c>
      <c r="E57" s="16"/>
      <c r="F57" s="16" t="s">
        <v>78</v>
      </c>
      <c r="G57" s="49">
        <v>5415.36</v>
      </c>
      <c r="H57" s="49">
        <f t="shared" si="15"/>
        <v>5415.36</v>
      </c>
      <c r="I57" s="82">
        <f t="shared" si="15"/>
        <v>5415.36</v>
      </c>
      <c r="J57" s="16"/>
      <c r="K57" s="51"/>
      <c r="L57" s="286"/>
    </row>
    <row r="58" spans="1:13" ht="14.4" customHeight="1" x14ac:dyDescent="0.3">
      <c r="A58" s="77"/>
      <c r="B58" s="16"/>
      <c r="C58" s="125" t="s">
        <v>117</v>
      </c>
      <c r="D58" s="16">
        <v>320</v>
      </c>
      <c r="E58" s="16"/>
      <c r="F58" s="16" t="s">
        <v>78</v>
      </c>
      <c r="G58" s="49">
        <v>13805.66</v>
      </c>
      <c r="H58" s="49">
        <f t="shared" si="15"/>
        <v>13805.66</v>
      </c>
      <c r="I58" s="82">
        <f t="shared" si="15"/>
        <v>13805.66</v>
      </c>
      <c r="J58" s="16"/>
      <c r="K58" s="51"/>
      <c r="L58" s="286"/>
    </row>
    <row r="59" spans="1:13" ht="14.4" customHeight="1" x14ac:dyDescent="0.3">
      <c r="A59" s="77"/>
      <c r="B59" s="64"/>
      <c r="C59" s="125" t="s">
        <v>115</v>
      </c>
      <c r="D59" s="64">
        <v>670</v>
      </c>
      <c r="E59" s="64"/>
      <c r="F59" s="64" t="s">
        <v>78</v>
      </c>
      <c r="G59" s="67">
        <v>22482.92</v>
      </c>
      <c r="H59" s="67">
        <f>G59</f>
        <v>22482.92</v>
      </c>
      <c r="I59" s="82">
        <f t="shared" ref="I59" si="16">H59</f>
        <v>22482.92</v>
      </c>
      <c r="J59" s="64"/>
      <c r="K59" s="69"/>
      <c r="L59" s="286"/>
    </row>
    <row r="60" spans="1:13" x14ac:dyDescent="0.3">
      <c r="A60" s="38"/>
      <c r="B60" s="123" t="s">
        <v>118</v>
      </c>
      <c r="C60" s="83" t="s">
        <v>119</v>
      </c>
      <c r="D60" s="83"/>
      <c r="E60" s="83">
        <v>940</v>
      </c>
      <c r="F60" s="83" t="s">
        <v>78</v>
      </c>
      <c r="G60" s="84">
        <v>34163.56</v>
      </c>
      <c r="H60" s="84">
        <f>G60</f>
        <v>34163.56</v>
      </c>
      <c r="I60" s="85">
        <f>H60</f>
        <v>34163.56</v>
      </c>
      <c r="J60" s="93"/>
      <c r="K60" s="85">
        <f>SUM(I60:J64)</f>
        <v>109929.76000000001</v>
      </c>
      <c r="L60" s="286"/>
      <c r="M60"/>
    </row>
    <row r="61" spans="1:13" ht="16.2" customHeight="1" x14ac:dyDescent="0.3">
      <c r="A61" s="38"/>
      <c r="B61" s="16"/>
      <c r="C61" s="16" t="s">
        <v>120</v>
      </c>
      <c r="D61" s="16"/>
      <c r="E61" s="16">
        <v>712</v>
      </c>
      <c r="F61" s="16" t="s">
        <v>78</v>
      </c>
      <c r="G61" s="49">
        <v>39952.35</v>
      </c>
      <c r="H61" s="49">
        <f>G61</f>
        <v>39952.35</v>
      </c>
      <c r="I61" s="85">
        <f t="shared" ref="I61:I62" si="17">H61</f>
        <v>39952.35</v>
      </c>
      <c r="J61" s="16"/>
      <c r="K61" s="51"/>
      <c r="L61" s="286"/>
      <c r="M61"/>
    </row>
    <row r="62" spans="1:13" x14ac:dyDescent="0.3">
      <c r="A62" s="38"/>
      <c r="B62" s="64"/>
      <c r="C62" s="64" t="s">
        <v>121</v>
      </c>
      <c r="D62" s="64"/>
      <c r="E62" s="64">
        <v>338</v>
      </c>
      <c r="F62" s="64" t="s">
        <v>78</v>
      </c>
      <c r="G62" s="67">
        <v>20716.05</v>
      </c>
      <c r="H62" s="67">
        <f>G62</f>
        <v>20716.05</v>
      </c>
      <c r="I62" s="85">
        <f t="shared" si="17"/>
        <v>20716.05</v>
      </c>
      <c r="J62" s="64"/>
      <c r="K62" s="69"/>
      <c r="L62" s="286"/>
      <c r="M62"/>
    </row>
    <row r="63" spans="1:13" x14ac:dyDescent="0.3">
      <c r="A63" s="38"/>
      <c r="B63" s="72"/>
      <c r="C63" s="72"/>
      <c r="D63" s="72"/>
      <c r="E63" s="72"/>
      <c r="F63" s="72"/>
      <c r="G63" s="73"/>
      <c r="H63" s="73">
        <v>7582</v>
      </c>
      <c r="I63" s="74">
        <f>H63</f>
        <v>7582</v>
      </c>
      <c r="J63" s="72"/>
      <c r="K63" s="76"/>
      <c r="L63" s="286"/>
      <c r="M63"/>
    </row>
    <row r="64" spans="1:13" x14ac:dyDescent="0.3">
      <c r="A64" s="126"/>
      <c r="B64" s="72"/>
      <c r="C64" s="72"/>
      <c r="D64" s="72"/>
      <c r="E64" s="72"/>
      <c r="F64" s="72"/>
      <c r="G64" s="73"/>
      <c r="H64" s="73">
        <v>7515.8</v>
      </c>
      <c r="I64" s="74">
        <f>H64</f>
        <v>7515.8</v>
      </c>
      <c r="J64" s="127"/>
      <c r="K64" s="76"/>
      <c r="L64" s="286"/>
    </row>
    <row r="65" spans="1:13" x14ac:dyDescent="0.3">
      <c r="A65" s="288" t="s">
        <v>122</v>
      </c>
      <c r="B65" s="128" t="s">
        <v>48</v>
      </c>
      <c r="C65" s="129" t="s">
        <v>49</v>
      </c>
      <c r="D65" s="129">
        <v>24</v>
      </c>
      <c r="E65" s="129"/>
      <c r="F65" s="129" t="s">
        <v>78</v>
      </c>
      <c r="G65" s="130">
        <v>2531.94</v>
      </c>
      <c r="H65" s="130">
        <f>G65</f>
        <v>2531.94</v>
      </c>
      <c r="I65" s="131"/>
      <c r="J65" s="132">
        <f>H65</f>
        <v>2531.94</v>
      </c>
      <c r="K65" s="133">
        <f>SUM(I65:J65)</f>
        <v>2531.94</v>
      </c>
      <c r="L65" s="272">
        <f>SUM(K65:K69)</f>
        <v>200517.39</v>
      </c>
    </row>
    <row r="66" spans="1:13" x14ac:dyDescent="0.3">
      <c r="A66" s="289"/>
      <c r="B66" s="128" t="s">
        <v>50</v>
      </c>
      <c r="C66" s="129" t="s">
        <v>123</v>
      </c>
      <c r="D66" s="129">
        <v>695</v>
      </c>
      <c r="E66" s="129"/>
      <c r="F66" s="129" t="s">
        <v>78</v>
      </c>
      <c r="G66" s="130">
        <v>59099.16</v>
      </c>
      <c r="H66" s="130">
        <v>74072.820000000007</v>
      </c>
      <c r="I66" s="133">
        <f>SUM(H66)</f>
        <v>74072.820000000007</v>
      </c>
      <c r="J66" s="132"/>
      <c r="K66" s="133">
        <f>SUM(I66:J66)</f>
        <v>74072.820000000007</v>
      </c>
      <c r="L66" s="272"/>
    </row>
    <row r="67" spans="1:13" x14ac:dyDescent="0.3">
      <c r="A67" s="289"/>
      <c r="B67" s="31" t="s">
        <v>58</v>
      </c>
      <c r="C67" s="19" t="s">
        <v>49</v>
      </c>
      <c r="D67" s="19">
        <v>265</v>
      </c>
      <c r="E67" s="19"/>
      <c r="F67" s="19" t="s">
        <v>78</v>
      </c>
      <c r="G67" s="34">
        <v>14599.24</v>
      </c>
      <c r="H67" s="34">
        <f t="shared" ref="H67:I71" si="18">G67</f>
        <v>14599.24</v>
      </c>
      <c r="I67" s="37">
        <f t="shared" si="18"/>
        <v>14599.24</v>
      </c>
      <c r="J67" s="86"/>
      <c r="K67" s="37">
        <f>SUM(I67:I69)</f>
        <v>123912.63</v>
      </c>
      <c r="L67" s="272"/>
    </row>
    <row r="68" spans="1:13" x14ac:dyDescent="0.3">
      <c r="A68" s="289"/>
      <c r="B68" s="46"/>
      <c r="C68" s="16" t="s">
        <v>125</v>
      </c>
      <c r="D68" s="16">
        <v>464</v>
      </c>
      <c r="E68" s="16"/>
      <c r="F68" s="16" t="s">
        <v>78</v>
      </c>
      <c r="G68" s="49">
        <v>42894.66</v>
      </c>
      <c r="H68" s="49">
        <f t="shared" si="18"/>
        <v>42894.66</v>
      </c>
      <c r="I68" s="51">
        <f t="shared" si="18"/>
        <v>42894.66</v>
      </c>
      <c r="J68" s="94"/>
      <c r="K68" s="51"/>
      <c r="L68" s="272"/>
    </row>
    <row r="69" spans="1:13" x14ac:dyDescent="0.3">
      <c r="A69" s="289"/>
      <c r="B69" s="87"/>
      <c r="C69" s="88" t="s">
        <v>126</v>
      </c>
      <c r="D69" s="88">
        <v>737</v>
      </c>
      <c r="E69" s="88"/>
      <c r="F69" s="88" t="s">
        <v>78</v>
      </c>
      <c r="G69" s="89">
        <v>66418.73</v>
      </c>
      <c r="H69" s="89">
        <f t="shared" si="18"/>
        <v>66418.73</v>
      </c>
      <c r="I69" s="51">
        <f t="shared" si="18"/>
        <v>66418.73</v>
      </c>
      <c r="J69" s="127"/>
      <c r="K69" s="76"/>
      <c r="L69" s="272"/>
    </row>
    <row r="70" spans="1:13" s="4" customFormat="1" x14ac:dyDescent="0.3">
      <c r="A70" s="134" t="s">
        <v>208</v>
      </c>
      <c r="B70" s="135" t="s">
        <v>127</v>
      </c>
      <c r="C70" s="136" t="s">
        <v>49</v>
      </c>
      <c r="D70" s="136"/>
      <c r="E70" s="136">
        <v>55</v>
      </c>
      <c r="F70" s="136" t="s">
        <v>78</v>
      </c>
      <c r="G70" s="137">
        <v>4216.92</v>
      </c>
      <c r="H70" s="137">
        <f t="shared" si="18"/>
        <v>4216.92</v>
      </c>
      <c r="I70" s="101">
        <f>SUM(H70)</f>
        <v>4216.92</v>
      </c>
      <c r="J70" s="90"/>
      <c r="K70" s="138">
        <f>SUM(I70:J70)</f>
        <v>4216.92</v>
      </c>
      <c r="L70" s="286">
        <f>SUM(K70:K86)</f>
        <v>957250.25000000012</v>
      </c>
      <c r="M70" s="13"/>
    </row>
    <row r="71" spans="1:13" s="4" customFormat="1" ht="15" customHeight="1" x14ac:dyDescent="0.3">
      <c r="A71" s="139"/>
      <c r="B71" s="123" t="s">
        <v>128</v>
      </c>
      <c r="C71" s="19" t="s">
        <v>129</v>
      </c>
      <c r="D71" s="19">
        <v>375</v>
      </c>
      <c r="E71" s="19">
        <f t="shared" ref="E71" si="19">D71</f>
        <v>375</v>
      </c>
      <c r="F71" s="19" t="s">
        <v>78</v>
      </c>
      <c r="G71" s="34">
        <v>23110.17</v>
      </c>
      <c r="H71" s="34">
        <f t="shared" si="18"/>
        <v>23110.17</v>
      </c>
      <c r="I71" s="35">
        <f>H71</f>
        <v>23110.17</v>
      </c>
      <c r="J71" s="19"/>
      <c r="K71" s="37">
        <f>SUM(I71:J82)</f>
        <v>848505</v>
      </c>
      <c r="L71" s="286"/>
      <c r="M71" s="13"/>
    </row>
    <row r="72" spans="1:13" s="4" customFormat="1" ht="15" customHeight="1" x14ac:dyDescent="0.3">
      <c r="A72" s="139"/>
      <c r="B72" s="140"/>
      <c r="C72" s="52" t="s">
        <v>49</v>
      </c>
      <c r="D72" s="52">
        <v>694</v>
      </c>
      <c r="E72" s="52">
        <f>SUM(D72:D73)</f>
        <v>812</v>
      </c>
      <c r="F72" s="52" t="s">
        <v>78</v>
      </c>
      <c r="G72" s="55">
        <v>57656.27</v>
      </c>
      <c r="H72" s="55">
        <f>G72</f>
        <v>57656.27</v>
      </c>
      <c r="I72" s="95">
        <f>H72</f>
        <v>57656.27</v>
      </c>
      <c r="J72" s="52"/>
      <c r="K72" s="56"/>
      <c r="L72" s="286"/>
      <c r="M72" s="13"/>
    </row>
    <row r="73" spans="1:13" s="4" customFormat="1" x14ac:dyDescent="0.3">
      <c r="A73" s="139"/>
      <c r="B73" s="16"/>
      <c r="C73" s="52" t="s">
        <v>92</v>
      </c>
      <c r="D73" s="52">
        <v>118</v>
      </c>
      <c r="E73" s="52"/>
      <c r="F73" s="52" t="s">
        <v>78</v>
      </c>
      <c r="G73" s="55">
        <v>8765.58</v>
      </c>
      <c r="H73" s="55">
        <f t="shared" ref="H73:I82" si="20">G73</f>
        <v>8765.58</v>
      </c>
      <c r="I73" s="95">
        <f t="shared" si="20"/>
        <v>8765.58</v>
      </c>
      <c r="J73" s="52"/>
      <c r="K73" s="56"/>
      <c r="L73" s="286"/>
      <c r="M73" s="13"/>
    </row>
    <row r="74" spans="1:13" x14ac:dyDescent="0.3">
      <c r="A74" s="139"/>
      <c r="B74" s="78"/>
      <c r="C74" s="52" t="s">
        <v>49</v>
      </c>
      <c r="D74" s="52">
        <v>2000</v>
      </c>
      <c r="E74" s="52"/>
      <c r="F74" s="52" t="s">
        <v>78</v>
      </c>
      <c r="G74" s="55">
        <v>199464.89</v>
      </c>
      <c r="H74" s="55">
        <f t="shared" si="20"/>
        <v>199464.89</v>
      </c>
      <c r="I74" s="95">
        <f t="shared" si="20"/>
        <v>199464.89</v>
      </c>
      <c r="J74" s="52"/>
      <c r="K74" s="56"/>
      <c r="L74" s="286"/>
    </row>
    <row r="75" spans="1:13" x14ac:dyDescent="0.3">
      <c r="A75" s="139"/>
      <c r="B75" s="16"/>
      <c r="C75" s="52" t="s">
        <v>49</v>
      </c>
      <c r="D75" s="52">
        <v>26</v>
      </c>
      <c r="E75" s="52"/>
      <c r="F75" s="52" t="s">
        <v>78</v>
      </c>
      <c r="G75" s="55">
        <v>2507.85</v>
      </c>
      <c r="H75" s="55">
        <f t="shared" si="20"/>
        <v>2507.85</v>
      </c>
      <c r="I75" s="95">
        <f t="shared" si="20"/>
        <v>2507.85</v>
      </c>
      <c r="J75" s="52"/>
      <c r="K75" s="56"/>
      <c r="L75" s="286"/>
    </row>
    <row r="76" spans="1:13" x14ac:dyDescent="0.3">
      <c r="A76" s="139"/>
      <c r="B76" s="16"/>
      <c r="C76" s="52" t="s">
        <v>49</v>
      </c>
      <c r="D76" s="52">
        <v>856</v>
      </c>
      <c r="E76" s="52"/>
      <c r="F76" s="52" t="s">
        <v>78</v>
      </c>
      <c r="G76" s="55">
        <v>69521.95</v>
      </c>
      <c r="H76" s="55">
        <f t="shared" si="20"/>
        <v>69521.95</v>
      </c>
      <c r="I76" s="95">
        <f t="shared" si="20"/>
        <v>69521.95</v>
      </c>
      <c r="J76" s="52"/>
      <c r="K76" s="56"/>
      <c r="L76" s="286"/>
    </row>
    <row r="77" spans="1:13" x14ac:dyDescent="0.3">
      <c r="A77" s="139"/>
      <c r="B77" s="16"/>
      <c r="C77" s="52" t="s">
        <v>49</v>
      </c>
      <c r="D77" s="52">
        <v>1033</v>
      </c>
      <c r="E77" s="52">
        <f>D77</f>
        <v>1033</v>
      </c>
      <c r="F77" s="52" t="s">
        <v>78</v>
      </c>
      <c r="G77" s="55">
        <v>90734.78</v>
      </c>
      <c r="H77" s="55">
        <f t="shared" si="20"/>
        <v>90734.78</v>
      </c>
      <c r="I77" s="95">
        <f t="shared" si="20"/>
        <v>90734.78</v>
      </c>
      <c r="J77" s="52"/>
      <c r="K77" s="56"/>
      <c r="L77" s="286"/>
    </row>
    <row r="78" spans="1:13" x14ac:dyDescent="0.3">
      <c r="A78" s="139"/>
      <c r="B78" s="16"/>
      <c r="C78" s="52" t="s">
        <v>130</v>
      </c>
      <c r="D78" s="52">
        <v>331</v>
      </c>
      <c r="E78" s="52">
        <f>D78</f>
        <v>331</v>
      </c>
      <c r="F78" s="52" t="s">
        <v>78</v>
      </c>
      <c r="G78" s="55">
        <v>25466.9</v>
      </c>
      <c r="H78" s="55">
        <f t="shared" si="20"/>
        <v>25466.9</v>
      </c>
      <c r="I78" s="95">
        <f t="shared" si="20"/>
        <v>25466.9</v>
      </c>
      <c r="J78" s="52"/>
      <c r="K78" s="56"/>
      <c r="L78" s="286"/>
    </row>
    <row r="79" spans="1:13" x14ac:dyDescent="0.3">
      <c r="A79" s="139"/>
      <c r="B79" s="16"/>
      <c r="C79" s="52" t="s">
        <v>49</v>
      </c>
      <c r="D79" s="52">
        <v>333</v>
      </c>
      <c r="E79" s="52">
        <f>D79</f>
        <v>333</v>
      </c>
      <c r="F79" s="52" t="s">
        <v>78</v>
      </c>
      <c r="G79" s="55">
        <v>27503.46</v>
      </c>
      <c r="H79" s="55">
        <f t="shared" si="20"/>
        <v>27503.46</v>
      </c>
      <c r="I79" s="95">
        <f t="shared" si="20"/>
        <v>27503.46</v>
      </c>
      <c r="J79" s="52"/>
      <c r="K79" s="56"/>
      <c r="L79" s="286"/>
    </row>
    <row r="80" spans="1:13" x14ac:dyDescent="0.3">
      <c r="A80" s="139"/>
      <c r="B80" s="16"/>
      <c r="C80" s="52" t="s">
        <v>49</v>
      </c>
      <c r="D80" s="52">
        <v>1828</v>
      </c>
      <c r="E80" s="52">
        <f>D80</f>
        <v>1828</v>
      </c>
      <c r="F80" s="52" t="s">
        <v>78</v>
      </c>
      <c r="G80" s="55">
        <v>141817.88</v>
      </c>
      <c r="H80" s="55">
        <f t="shared" si="20"/>
        <v>141817.88</v>
      </c>
      <c r="I80" s="95">
        <f t="shared" si="20"/>
        <v>141817.88</v>
      </c>
      <c r="J80" s="52"/>
      <c r="K80" s="56"/>
      <c r="L80" s="286"/>
    </row>
    <row r="81" spans="1:14" ht="14.4" customHeight="1" x14ac:dyDescent="0.3">
      <c r="A81" s="139"/>
      <c r="B81" s="16"/>
      <c r="C81" s="52" t="s">
        <v>49</v>
      </c>
      <c r="D81" s="52">
        <v>1256</v>
      </c>
      <c r="E81" s="52">
        <f>D81</f>
        <v>1256</v>
      </c>
      <c r="F81" s="52" t="s">
        <v>78</v>
      </c>
      <c r="G81" s="55">
        <v>157923.96</v>
      </c>
      <c r="H81" s="55">
        <f t="shared" si="20"/>
        <v>157923.96</v>
      </c>
      <c r="I81" s="95">
        <f t="shared" si="20"/>
        <v>157923.96</v>
      </c>
      <c r="J81" s="52"/>
      <c r="K81" s="56"/>
      <c r="L81" s="286"/>
    </row>
    <row r="82" spans="1:14" x14ac:dyDescent="0.3">
      <c r="A82" s="139"/>
      <c r="B82" s="125"/>
      <c r="C82" s="117"/>
      <c r="D82" s="117"/>
      <c r="E82" s="117"/>
      <c r="F82" s="117"/>
      <c r="G82" s="118">
        <v>44031.31</v>
      </c>
      <c r="H82" s="55">
        <f t="shared" si="20"/>
        <v>44031.31</v>
      </c>
      <c r="I82" s="95">
        <f t="shared" si="20"/>
        <v>44031.31</v>
      </c>
      <c r="J82" s="117"/>
      <c r="K82" s="120"/>
      <c r="L82" s="286"/>
    </row>
    <row r="83" spans="1:14" s="4" customFormat="1" x14ac:dyDescent="0.3">
      <c r="A83" s="139"/>
      <c r="B83" s="92" t="s">
        <v>131</v>
      </c>
      <c r="C83" s="141" t="s">
        <v>49</v>
      </c>
      <c r="D83" s="141"/>
      <c r="E83" s="141">
        <v>1366</v>
      </c>
      <c r="F83" s="141" t="s">
        <v>78</v>
      </c>
      <c r="G83" s="142">
        <v>62268.639999999999</v>
      </c>
      <c r="H83" s="142">
        <f>SUM(G83:G83)</f>
        <v>62268.639999999999</v>
      </c>
      <c r="I83" s="143">
        <f>H83</f>
        <v>62268.639999999999</v>
      </c>
      <c r="J83" s="144"/>
      <c r="K83" s="143">
        <f>SUM(I83:J84)</f>
        <v>63179.44</v>
      </c>
      <c r="L83" s="286"/>
      <c r="M83" s="13"/>
    </row>
    <row r="84" spans="1:14" s="4" customFormat="1" x14ac:dyDescent="0.3">
      <c r="A84" s="145"/>
      <c r="B84" s="71"/>
      <c r="C84" s="146"/>
      <c r="D84" s="146"/>
      <c r="E84" s="146"/>
      <c r="F84" s="146"/>
      <c r="G84" s="147"/>
      <c r="H84" s="147">
        <v>910.8</v>
      </c>
      <c r="I84" s="143">
        <f>H84</f>
        <v>910.8</v>
      </c>
      <c r="J84" s="75"/>
      <c r="K84" s="148"/>
      <c r="L84" s="286"/>
      <c r="M84" s="13"/>
    </row>
    <row r="85" spans="1:14" x14ac:dyDescent="0.3">
      <c r="A85" s="30"/>
      <c r="B85" s="31" t="s">
        <v>132</v>
      </c>
      <c r="C85" s="19" t="s">
        <v>129</v>
      </c>
      <c r="D85" s="19">
        <v>637</v>
      </c>
      <c r="E85" s="83">
        <f>D85</f>
        <v>637</v>
      </c>
      <c r="F85" s="19" t="s">
        <v>78</v>
      </c>
      <c r="G85" s="84">
        <v>28988.89</v>
      </c>
      <c r="H85" s="84">
        <f>SUM(G85:G85)</f>
        <v>28988.89</v>
      </c>
      <c r="I85" s="85">
        <f>H85</f>
        <v>28988.89</v>
      </c>
      <c r="J85" s="149"/>
      <c r="K85" s="85">
        <f>SUM(I85:J86)</f>
        <v>41348.89</v>
      </c>
      <c r="L85" s="286"/>
    </row>
    <row r="86" spans="1:14" x14ac:dyDescent="0.3">
      <c r="A86" s="30"/>
      <c r="B86" s="46"/>
      <c r="C86" s="52" t="s">
        <v>49</v>
      </c>
      <c r="D86" s="16"/>
      <c r="E86" s="16"/>
      <c r="F86" s="16"/>
      <c r="G86" s="49">
        <v>12360</v>
      </c>
      <c r="H86" s="49">
        <f>G86</f>
        <v>12360</v>
      </c>
      <c r="I86" s="51"/>
      <c r="J86" s="150">
        <f>H86</f>
        <v>12360</v>
      </c>
      <c r="K86" s="51"/>
      <c r="L86" s="286"/>
    </row>
    <row r="87" spans="1:14" x14ac:dyDescent="0.3">
      <c r="A87" s="77"/>
      <c r="B87" s="151"/>
      <c r="C87" s="152">
        <v>31758393</v>
      </c>
      <c r="D87" s="151"/>
      <c r="E87" s="151"/>
      <c r="F87" s="153" t="s">
        <v>134</v>
      </c>
      <c r="G87" s="154"/>
      <c r="H87" s="154">
        <f>SUM(H4:H86)</f>
        <v>3083462.4800000004</v>
      </c>
      <c r="I87" s="155">
        <f>SUM(I4:I86)</f>
        <v>2755177.62</v>
      </c>
      <c r="J87" s="155">
        <f>SUM(J4:J86)</f>
        <v>328284.86</v>
      </c>
      <c r="K87" s="156">
        <f>SUM(K4:K86)</f>
        <v>3083462.48</v>
      </c>
      <c r="L87" s="157">
        <f>SUM(L4:L86)</f>
        <v>3083462.48</v>
      </c>
      <c r="M87" s="8"/>
    </row>
    <row r="88" spans="1:14" x14ac:dyDescent="0.3">
      <c r="A88" s="77"/>
      <c r="B88" s="151"/>
      <c r="C88" s="151"/>
      <c r="D88" s="151"/>
      <c r="E88" s="151"/>
      <c r="F88" s="151"/>
      <c r="G88" s="154"/>
      <c r="H88" s="154"/>
      <c r="I88" s="158">
        <f>I87+J87</f>
        <v>3083462.48</v>
      </c>
      <c r="J88" s="151"/>
      <c r="K88" s="155"/>
      <c r="L88" s="151"/>
      <c r="N88" s="11"/>
    </row>
    <row r="89" spans="1:14" x14ac:dyDescent="0.3">
      <c r="A89" s="7"/>
      <c r="C89" s="1"/>
      <c r="D89" s="1"/>
      <c r="E89" s="1"/>
      <c r="F89" s="8"/>
      <c r="J89" s="1"/>
      <c r="K89" s="9"/>
      <c r="N89" s="11"/>
    </row>
    <row r="90" spans="1:14" x14ac:dyDescent="0.3">
      <c r="C90" s="1"/>
      <c r="D90" s="1"/>
      <c r="E90" s="1"/>
      <c r="F90" s="8"/>
      <c r="J90" s="1"/>
      <c r="K90" s="9"/>
      <c r="N90" s="11"/>
    </row>
    <row r="91" spans="1:14" x14ac:dyDescent="0.3">
      <c r="C91" s="1"/>
      <c r="D91" s="1"/>
      <c r="E91" s="1"/>
      <c r="F91" s="8"/>
      <c r="J91" s="1"/>
      <c r="K91" s="9"/>
      <c r="N91" s="11"/>
    </row>
    <row r="92" spans="1:14" x14ac:dyDescent="0.3">
      <c r="F92" s="1"/>
      <c r="G92" s="2"/>
      <c r="H92" s="2"/>
      <c r="I92" s="8"/>
      <c r="J92" s="1"/>
      <c r="N92" s="11"/>
    </row>
    <row r="93" spans="1:14" x14ac:dyDescent="0.3">
      <c r="B93" s="1"/>
      <c r="F93" s="1"/>
      <c r="G93" s="2"/>
      <c r="H93" s="2"/>
      <c r="I93" s="8"/>
      <c r="J93" s="1"/>
      <c r="K93" s="10"/>
    </row>
    <row r="94" spans="1:14" x14ac:dyDescent="0.3">
      <c r="B94" s="1"/>
      <c r="C94" s="1"/>
    </row>
    <row r="95" spans="1:14" x14ac:dyDescent="0.3">
      <c r="B95" s="4"/>
      <c r="C95" s="21"/>
    </row>
    <row r="96" spans="1:14" x14ac:dyDescent="0.3">
      <c r="B96" s="4"/>
      <c r="C96" s="21"/>
    </row>
    <row r="97" spans="9:13" x14ac:dyDescent="0.3">
      <c r="I97"/>
      <c r="M97"/>
    </row>
    <row r="102" spans="9:13" x14ac:dyDescent="0.3">
      <c r="K102" s="11"/>
    </row>
    <row r="143" spans="6:13" x14ac:dyDescent="0.3">
      <c r="F143" s="11"/>
      <c r="J143" s="8"/>
      <c r="M143"/>
    </row>
    <row r="144" spans="6:13" x14ac:dyDescent="0.3">
      <c r="I144"/>
      <c r="J144" s="8"/>
      <c r="M144"/>
    </row>
    <row r="150" spans="9:13" x14ac:dyDescent="0.3">
      <c r="I150"/>
      <c r="J150" s="8"/>
      <c r="M150"/>
    </row>
    <row r="157" spans="9:13" x14ac:dyDescent="0.3">
      <c r="I157"/>
      <c r="J157" s="8"/>
      <c r="M157"/>
    </row>
    <row r="158" spans="9:13" x14ac:dyDescent="0.3">
      <c r="I158"/>
      <c r="J158" s="8"/>
      <c r="M158"/>
    </row>
    <row r="159" spans="9:13" x14ac:dyDescent="0.3">
      <c r="I159"/>
      <c r="J159" s="8"/>
      <c r="M159"/>
    </row>
    <row r="160" spans="9:13" x14ac:dyDescent="0.3">
      <c r="I160"/>
      <c r="J160" s="8"/>
      <c r="M160"/>
    </row>
    <row r="164" spans="9:13" x14ac:dyDescent="0.3">
      <c r="I164"/>
      <c r="J164" s="20"/>
      <c r="M164"/>
    </row>
  </sheetData>
  <mergeCells count="6">
    <mergeCell ref="L70:L86"/>
    <mergeCell ref="A1:K1"/>
    <mergeCell ref="D3:F3"/>
    <mergeCell ref="A65:A69"/>
    <mergeCell ref="L4:L28"/>
    <mergeCell ref="L29:L6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E7737-1136-4104-BADA-CF0203A62195}">
  <dimension ref="A1:P170"/>
  <sheetViews>
    <sheetView zoomScale="74" workbookViewId="0">
      <selection activeCell="A2" sqref="A2"/>
    </sheetView>
  </sheetViews>
  <sheetFormatPr defaultRowHeight="14.4" x14ac:dyDescent="0.3"/>
  <cols>
    <col min="1" max="1" width="12.44140625" bestFit="1" customWidth="1"/>
    <col min="2" max="2" width="29" customWidth="1"/>
    <col min="3" max="3" width="26.109375" customWidth="1"/>
    <col min="6" max="6" width="12.77734375" customWidth="1"/>
    <col min="7" max="7" width="17" style="11" customWidth="1"/>
    <col min="8" max="8" width="14.33203125" style="11" bestFit="1" customWidth="1"/>
    <col min="9" max="9" width="14.33203125" style="11" customWidth="1"/>
    <col min="10" max="10" width="15.88671875" customWidth="1"/>
    <col min="11" max="11" width="14.5546875" customWidth="1"/>
    <col min="12" max="12" width="20.33203125" customWidth="1"/>
    <col min="13" max="13" width="11" style="11" customWidth="1"/>
    <col min="14" max="14" width="24.109375" customWidth="1"/>
    <col min="16" max="16" width="9.5546875" bestFit="1" customWidth="1"/>
  </cols>
  <sheetData>
    <row r="1" spans="1:13" ht="25.8" x14ac:dyDescent="0.5">
      <c r="A1" s="296" t="s">
        <v>220</v>
      </c>
      <c r="B1" s="296"/>
      <c r="C1" s="296"/>
      <c r="D1" s="296"/>
      <c r="E1" s="296"/>
      <c r="F1" s="296"/>
      <c r="G1" s="296"/>
      <c r="H1" s="296"/>
      <c r="I1" s="296"/>
      <c r="J1" s="296"/>
    </row>
    <row r="3" spans="1:13" s="4" customFormat="1" ht="28.8" x14ac:dyDescent="0.3">
      <c r="A3" s="27" t="s">
        <v>0</v>
      </c>
      <c r="B3" s="27" t="s">
        <v>207</v>
      </c>
      <c r="C3" s="27" t="s">
        <v>1</v>
      </c>
      <c r="D3" s="291" t="s">
        <v>73</v>
      </c>
      <c r="E3" s="292"/>
      <c r="F3" s="293"/>
      <c r="G3" s="29" t="s">
        <v>74</v>
      </c>
      <c r="H3" s="29" t="s">
        <v>3</v>
      </c>
      <c r="I3" s="29" t="s">
        <v>4</v>
      </c>
      <c r="J3" s="29" t="s">
        <v>5</v>
      </c>
      <c r="K3" s="226" t="s">
        <v>206</v>
      </c>
      <c r="L3" s="226" t="s">
        <v>6</v>
      </c>
      <c r="M3" s="13"/>
    </row>
    <row r="4" spans="1:13" s="4" customFormat="1" x14ac:dyDescent="0.3">
      <c r="A4" s="92" t="s">
        <v>9</v>
      </c>
      <c r="B4" s="227"/>
      <c r="C4" s="141"/>
      <c r="D4" s="228"/>
      <c r="E4" s="141"/>
      <c r="F4" s="141"/>
      <c r="G4" s="229"/>
      <c r="H4" s="230"/>
      <c r="I4" s="231"/>
      <c r="J4" s="144"/>
      <c r="K4" s="232"/>
      <c r="L4" s="294">
        <f>SUM(K4:K45)</f>
        <v>1300798.6400000001</v>
      </c>
      <c r="M4" s="13"/>
    </row>
    <row r="5" spans="1:13" x14ac:dyDescent="0.3">
      <c r="A5" s="38"/>
      <c r="B5" s="31" t="s">
        <v>21</v>
      </c>
      <c r="C5" s="83" t="s">
        <v>77</v>
      </c>
      <c r="D5" s="233">
        <v>400</v>
      </c>
      <c r="E5" s="83">
        <f>D5</f>
        <v>400</v>
      </c>
      <c r="F5" s="83" t="s">
        <v>88</v>
      </c>
      <c r="G5" s="234">
        <v>39456.370000000003</v>
      </c>
      <c r="H5" s="235">
        <f>G5</f>
        <v>39456.370000000003</v>
      </c>
      <c r="I5" s="93">
        <f>SUM(H5:H8)</f>
        <v>183498.96000000002</v>
      </c>
      <c r="J5" s="86">
        <f>SUM(G9:G15)</f>
        <v>39330.410000000003</v>
      </c>
      <c r="K5" s="93">
        <f>SUM(I5:J5)</f>
        <v>222829.37000000002</v>
      </c>
      <c r="L5" s="290"/>
    </row>
    <row r="6" spans="1:13" x14ac:dyDescent="0.3">
      <c r="A6" s="38"/>
      <c r="B6" s="46"/>
      <c r="C6" s="16" t="s">
        <v>135</v>
      </c>
      <c r="D6" s="47">
        <v>67</v>
      </c>
      <c r="E6" s="16">
        <f>D6</f>
        <v>67</v>
      </c>
      <c r="F6" s="16" t="s">
        <v>88</v>
      </c>
      <c r="G6" s="234">
        <v>19932.93</v>
      </c>
      <c r="H6" s="236">
        <f>G6</f>
        <v>19932.93</v>
      </c>
      <c r="I6" s="236"/>
      <c r="J6" s="70"/>
      <c r="K6" s="16"/>
      <c r="L6" s="290"/>
    </row>
    <row r="7" spans="1:13" s="4" customFormat="1" x14ac:dyDescent="0.3">
      <c r="A7" s="38"/>
      <c r="B7" s="46"/>
      <c r="C7" s="52" t="s">
        <v>77</v>
      </c>
      <c r="D7" s="53">
        <v>145</v>
      </c>
      <c r="E7" s="52">
        <f>D7</f>
        <v>145</v>
      </c>
      <c r="F7" s="52" t="s">
        <v>88</v>
      </c>
      <c r="G7" s="237">
        <v>16384.900000000001</v>
      </c>
      <c r="H7" s="50">
        <f>G7</f>
        <v>16384.900000000001</v>
      </c>
      <c r="I7" s="50"/>
      <c r="J7" s="70"/>
      <c r="K7" s="52"/>
      <c r="L7" s="290"/>
      <c r="M7" s="13"/>
    </row>
    <row r="8" spans="1:13" x14ac:dyDescent="0.3">
      <c r="A8" s="38"/>
      <c r="B8" s="46"/>
      <c r="C8" s="16" t="s">
        <v>77</v>
      </c>
      <c r="D8" s="47">
        <v>32</v>
      </c>
      <c r="E8" s="16">
        <f>D8</f>
        <v>32</v>
      </c>
      <c r="F8" s="16" t="s">
        <v>76</v>
      </c>
      <c r="G8" s="234">
        <v>107724.76</v>
      </c>
      <c r="H8" s="236">
        <f>G8</f>
        <v>107724.76</v>
      </c>
      <c r="I8" s="236"/>
      <c r="J8" s="70"/>
      <c r="K8" s="16"/>
      <c r="L8" s="290"/>
    </row>
    <row r="9" spans="1:13" x14ac:dyDescent="0.3">
      <c r="A9" s="38"/>
      <c r="B9" s="238"/>
      <c r="C9" s="78" t="s">
        <v>136</v>
      </c>
      <c r="D9" s="239">
        <v>24</v>
      </c>
      <c r="E9" s="78"/>
      <c r="F9" s="78" t="s">
        <v>88</v>
      </c>
      <c r="G9" s="158">
        <v>3014.24</v>
      </c>
      <c r="H9" s="236">
        <f t="shared" ref="H9:H15" si="0">G9</f>
        <v>3014.24</v>
      </c>
      <c r="I9" s="236"/>
      <c r="J9" s="70"/>
      <c r="K9" s="16"/>
      <c r="L9" s="290"/>
    </row>
    <row r="10" spans="1:13" x14ac:dyDescent="0.3">
      <c r="A10" s="38"/>
      <c r="B10" s="238"/>
      <c r="C10" s="16" t="s">
        <v>137</v>
      </c>
      <c r="D10" s="47">
        <v>27</v>
      </c>
      <c r="E10" s="16"/>
      <c r="F10" s="16" t="s">
        <v>88</v>
      </c>
      <c r="G10" s="158">
        <v>3764.04</v>
      </c>
      <c r="H10" s="236">
        <f t="shared" si="0"/>
        <v>3764.04</v>
      </c>
      <c r="I10" s="236"/>
      <c r="J10" s="70"/>
      <c r="K10" s="16"/>
      <c r="L10" s="290"/>
    </row>
    <row r="11" spans="1:13" x14ac:dyDescent="0.3">
      <c r="A11" s="38"/>
      <c r="B11" s="238"/>
      <c r="C11" s="16" t="s">
        <v>138</v>
      </c>
      <c r="D11" s="47">
        <v>0.75</v>
      </c>
      <c r="E11" s="16"/>
      <c r="F11" s="16" t="s">
        <v>88</v>
      </c>
      <c r="G11" s="158">
        <v>129.24</v>
      </c>
      <c r="H11" s="236">
        <f t="shared" si="0"/>
        <v>129.24</v>
      </c>
      <c r="I11" s="236"/>
      <c r="J11" s="70"/>
      <c r="K11" s="16"/>
      <c r="L11" s="290"/>
    </row>
    <row r="12" spans="1:13" x14ac:dyDescent="0.3">
      <c r="A12" s="38"/>
      <c r="B12" s="238"/>
      <c r="C12" s="16" t="s">
        <v>139</v>
      </c>
      <c r="D12" s="47">
        <v>56</v>
      </c>
      <c r="E12" s="16"/>
      <c r="F12" s="16" t="s">
        <v>88</v>
      </c>
      <c r="G12" s="158">
        <v>7193.97</v>
      </c>
      <c r="H12" s="236">
        <f t="shared" si="0"/>
        <v>7193.97</v>
      </c>
      <c r="I12" s="236"/>
      <c r="J12" s="70"/>
      <c r="K12" s="16"/>
      <c r="L12" s="290"/>
    </row>
    <row r="13" spans="1:13" x14ac:dyDescent="0.3">
      <c r="A13" s="38"/>
      <c r="B13" s="238"/>
      <c r="C13" s="16" t="s">
        <v>140</v>
      </c>
      <c r="D13" s="47">
        <v>87</v>
      </c>
      <c r="E13" s="16"/>
      <c r="F13" s="16" t="s">
        <v>88</v>
      </c>
      <c r="G13" s="158">
        <v>8483.83</v>
      </c>
      <c r="H13" s="236">
        <f t="shared" si="0"/>
        <v>8483.83</v>
      </c>
      <c r="I13" s="236"/>
      <c r="J13" s="70"/>
      <c r="K13" s="16"/>
      <c r="L13" s="290"/>
    </row>
    <row r="14" spans="1:13" x14ac:dyDescent="0.3">
      <c r="A14" s="38"/>
      <c r="B14" s="238"/>
      <c r="C14" s="52" t="s">
        <v>141</v>
      </c>
      <c r="D14" s="53">
        <v>12</v>
      </c>
      <c r="E14" s="52"/>
      <c r="F14" s="52" t="s">
        <v>142</v>
      </c>
      <c r="G14" s="240">
        <v>15071.18</v>
      </c>
      <c r="H14" s="236">
        <f t="shared" si="0"/>
        <v>15071.18</v>
      </c>
      <c r="I14" s="236"/>
      <c r="J14" s="70"/>
      <c r="K14" s="16"/>
      <c r="L14" s="290"/>
    </row>
    <row r="15" spans="1:13" x14ac:dyDescent="0.3">
      <c r="A15" s="38"/>
      <c r="B15" s="238"/>
      <c r="C15" s="64" t="s">
        <v>143</v>
      </c>
      <c r="D15" s="65">
        <v>25</v>
      </c>
      <c r="E15" s="64"/>
      <c r="F15" s="64" t="s">
        <v>88</v>
      </c>
      <c r="G15" s="158">
        <v>1673.91</v>
      </c>
      <c r="H15" s="236">
        <f t="shared" si="0"/>
        <v>1673.91</v>
      </c>
      <c r="I15" s="241"/>
      <c r="J15" s="75"/>
      <c r="K15" s="72"/>
      <c r="L15" s="290"/>
    </row>
    <row r="16" spans="1:13" s="4" customFormat="1" ht="18.75" customHeight="1" x14ac:dyDescent="0.3">
      <c r="A16" s="38"/>
      <c r="B16" s="31" t="s">
        <v>10</v>
      </c>
      <c r="C16" s="19" t="s">
        <v>75</v>
      </c>
      <c r="D16" s="32">
        <v>16</v>
      </c>
      <c r="E16" s="19"/>
      <c r="F16" s="19" t="s">
        <v>76</v>
      </c>
      <c r="G16" s="229">
        <v>7837.01</v>
      </c>
      <c r="H16" s="36">
        <f t="shared" ref="H16:H22" si="1">G16</f>
        <v>7837.01</v>
      </c>
      <c r="I16" s="86">
        <f>H16+H17+ H18+H20+H21</f>
        <v>111774.35</v>
      </c>
      <c r="J16" s="86">
        <f>H19+H22</f>
        <v>19965.760000000002</v>
      </c>
      <c r="K16" s="86">
        <f>SUM(I16:J16)</f>
        <v>131740.11000000002</v>
      </c>
      <c r="L16" s="290"/>
      <c r="M16" s="13"/>
    </row>
    <row r="17" spans="1:13" s="4" customFormat="1" ht="18.75" customHeight="1" x14ac:dyDescent="0.3">
      <c r="A17" s="38"/>
      <c r="B17" s="39"/>
      <c r="C17" s="40" t="s">
        <v>77</v>
      </c>
      <c r="D17" s="41">
        <v>100</v>
      </c>
      <c r="E17" s="40"/>
      <c r="F17" s="40" t="s">
        <v>78</v>
      </c>
      <c r="G17" s="242">
        <v>12996.39</v>
      </c>
      <c r="H17" s="44">
        <f>G17</f>
        <v>12996.39</v>
      </c>
      <c r="I17" s="116"/>
      <c r="J17" s="116"/>
      <c r="K17" s="116"/>
      <c r="L17" s="290"/>
      <c r="M17" s="13"/>
    </row>
    <row r="18" spans="1:13" x14ac:dyDescent="0.3">
      <c r="A18" s="38"/>
      <c r="B18" s="46"/>
      <c r="C18" s="16" t="s">
        <v>79</v>
      </c>
      <c r="D18" s="47">
        <v>16</v>
      </c>
      <c r="E18" s="16"/>
      <c r="F18" s="16" t="s">
        <v>76</v>
      </c>
      <c r="G18" s="234">
        <v>7404.72</v>
      </c>
      <c r="H18" s="236">
        <f>G18</f>
        <v>7404.72</v>
      </c>
      <c r="I18" s="236"/>
      <c r="J18" s="70"/>
      <c r="K18" s="16"/>
      <c r="L18" s="290"/>
    </row>
    <row r="19" spans="1:13" s="4" customFormat="1" x14ac:dyDescent="0.3">
      <c r="A19" s="38"/>
      <c r="B19" s="46"/>
      <c r="C19" s="52" t="s">
        <v>80</v>
      </c>
      <c r="D19" s="53">
        <v>16</v>
      </c>
      <c r="E19" s="52"/>
      <c r="F19" s="52" t="s">
        <v>76</v>
      </c>
      <c r="G19" s="237">
        <v>2065.1999999999998</v>
      </c>
      <c r="H19" s="50">
        <f t="shared" si="1"/>
        <v>2065.1999999999998</v>
      </c>
      <c r="I19" s="50"/>
      <c r="J19" s="70"/>
      <c r="K19" s="52"/>
      <c r="L19" s="290"/>
      <c r="M19" s="13"/>
    </row>
    <row r="20" spans="1:13" s="14" customFormat="1" x14ac:dyDescent="0.3">
      <c r="A20" s="38"/>
      <c r="B20" s="46"/>
      <c r="C20" s="57" t="s">
        <v>81</v>
      </c>
      <c r="D20" s="58">
        <v>853</v>
      </c>
      <c r="E20" s="16">
        <f t="shared" ref="E20:E22" si="2">D20</f>
        <v>853</v>
      </c>
      <c r="F20" s="57" t="s">
        <v>78</v>
      </c>
      <c r="G20" s="243">
        <v>76705.820000000007</v>
      </c>
      <c r="H20" s="244">
        <f t="shared" si="1"/>
        <v>76705.820000000007</v>
      </c>
      <c r="I20" s="244"/>
      <c r="J20" s="70"/>
      <c r="K20" s="57"/>
      <c r="L20" s="290"/>
      <c r="M20" s="15"/>
    </row>
    <row r="21" spans="1:13" s="14" customFormat="1" x14ac:dyDescent="0.3">
      <c r="A21" s="38"/>
      <c r="B21" s="46"/>
      <c r="C21" s="245"/>
      <c r="D21" s="58">
        <v>126</v>
      </c>
      <c r="E21" s="16"/>
      <c r="F21" s="57"/>
      <c r="G21" s="243">
        <v>6830.41</v>
      </c>
      <c r="H21" s="244">
        <f t="shared" si="1"/>
        <v>6830.41</v>
      </c>
      <c r="I21" s="244"/>
      <c r="J21" s="70"/>
      <c r="K21" s="57"/>
      <c r="L21" s="290"/>
      <c r="M21" s="15"/>
    </row>
    <row r="22" spans="1:13" x14ac:dyDescent="0.3">
      <c r="A22" s="38"/>
      <c r="B22" s="71"/>
      <c r="C22" s="16" t="s">
        <v>144</v>
      </c>
      <c r="D22" s="246">
        <v>215</v>
      </c>
      <c r="E22" s="72">
        <f t="shared" si="2"/>
        <v>215</v>
      </c>
      <c r="F22" s="72" t="s">
        <v>78</v>
      </c>
      <c r="G22" s="247">
        <v>17900.560000000001</v>
      </c>
      <c r="H22" s="241">
        <f t="shared" si="1"/>
        <v>17900.560000000001</v>
      </c>
      <c r="I22" s="241"/>
      <c r="J22" s="75"/>
      <c r="K22" s="72"/>
      <c r="L22" s="290"/>
    </row>
    <row r="23" spans="1:13" x14ac:dyDescent="0.3">
      <c r="A23" s="38"/>
      <c r="B23" s="31" t="s">
        <v>85</v>
      </c>
      <c r="C23" s="248"/>
      <c r="D23" s="16">
        <v>160</v>
      </c>
      <c r="E23" s="16">
        <f>D23</f>
        <v>160</v>
      </c>
      <c r="F23" s="16" t="s">
        <v>78</v>
      </c>
      <c r="G23" s="234">
        <v>6836.59</v>
      </c>
      <c r="H23" s="236">
        <f t="shared" ref="H23" si="3">G23</f>
        <v>6836.59</v>
      </c>
      <c r="I23" s="236">
        <f>SUM(H23:H24)</f>
        <v>79282.259999999995</v>
      </c>
      <c r="J23" s="70"/>
      <c r="K23" s="236">
        <f>I23</f>
        <v>79282.259999999995</v>
      </c>
      <c r="L23" s="290"/>
    </row>
    <row r="24" spans="1:13" x14ac:dyDescent="0.3">
      <c r="A24" s="38"/>
      <c r="B24" s="46"/>
      <c r="C24" s="249" t="s">
        <v>147</v>
      </c>
      <c r="D24" s="16">
        <v>969</v>
      </c>
      <c r="E24" s="16">
        <f>SUM(D24:D26)</f>
        <v>1029</v>
      </c>
      <c r="F24" s="16" t="s">
        <v>78</v>
      </c>
      <c r="G24" s="234">
        <v>68184.72</v>
      </c>
      <c r="H24" s="236">
        <f>SUM(G24:G26)</f>
        <v>72445.67</v>
      </c>
      <c r="I24" s="236"/>
      <c r="J24" s="70"/>
      <c r="K24" s="72"/>
      <c r="L24" s="290"/>
    </row>
    <row r="25" spans="1:13" x14ac:dyDescent="0.3">
      <c r="A25" s="38"/>
      <c r="B25" s="46"/>
      <c r="C25" s="16" t="s">
        <v>148</v>
      </c>
      <c r="D25" s="16">
        <v>48</v>
      </c>
      <c r="E25" s="16"/>
      <c r="F25" s="16" t="s">
        <v>78</v>
      </c>
      <c r="G25" s="236">
        <v>3375.94</v>
      </c>
      <c r="H25" s="236"/>
      <c r="I25" s="236"/>
      <c r="J25" s="70"/>
      <c r="K25" s="125"/>
      <c r="L25" s="290"/>
    </row>
    <row r="26" spans="1:13" x14ac:dyDescent="0.3">
      <c r="A26" s="38"/>
      <c r="B26" s="71"/>
      <c r="C26" s="250">
        <v>44501</v>
      </c>
      <c r="D26" s="64">
        <v>12</v>
      </c>
      <c r="E26" s="64"/>
      <c r="F26" s="64" t="s">
        <v>78</v>
      </c>
      <c r="G26" s="241">
        <v>885.01</v>
      </c>
      <c r="H26" s="241"/>
      <c r="I26" s="241"/>
      <c r="J26" s="75"/>
      <c r="K26" s="125"/>
      <c r="L26" s="290"/>
    </row>
    <row r="27" spans="1:13" x14ac:dyDescent="0.3">
      <c r="A27" s="38"/>
      <c r="B27" s="227" t="s">
        <v>16</v>
      </c>
      <c r="C27" s="129" t="s">
        <v>149</v>
      </c>
      <c r="D27" s="129">
        <v>52</v>
      </c>
      <c r="E27" s="129">
        <f>D27</f>
        <v>52</v>
      </c>
      <c r="F27" s="129" t="s">
        <v>78</v>
      </c>
      <c r="G27" s="251">
        <v>4420</v>
      </c>
      <c r="H27" s="251">
        <f t="shared" ref="H27:H33" si="4">G27</f>
        <v>4420</v>
      </c>
      <c r="I27" s="132">
        <f>SUM(H27)</f>
        <v>4420</v>
      </c>
      <c r="J27" s="252"/>
      <c r="K27" s="132">
        <f>SUM(I27:J27)</f>
        <v>4420</v>
      </c>
      <c r="L27" s="290"/>
    </row>
    <row r="28" spans="1:13" s="4" customFormat="1" x14ac:dyDescent="0.3">
      <c r="A28" s="38"/>
      <c r="B28" s="31" t="s">
        <v>19</v>
      </c>
      <c r="C28" s="52" t="s">
        <v>146</v>
      </c>
      <c r="D28" s="52">
        <v>28</v>
      </c>
      <c r="E28" s="52">
        <f>D28</f>
        <v>28</v>
      </c>
      <c r="F28" s="52" t="s">
        <v>76</v>
      </c>
      <c r="G28" s="50">
        <v>34426.410000000003</v>
      </c>
      <c r="H28" s="50">
        <f t="shared" si="4"/>
        <v>34426.410000000003</v>
      </c>
      <c r="I28" s="50">
        <f>SUM(H28:H29)</f>
        <v>48050.75</v>
      </c>
      <c r="J28" s="70"/>
      <c r="K28" s="50">
        <f>I28</f>
        <v>48050.75</v>
      </c>
      <c r="L28" s="290"/>
      <c r="M28" s="13"/>
    </row>
    <row r="29" spans="1:13" x14ac:dyDescent="0.3">
      <c r="A29" s="38"/>
      <c r="B29" s="63"/>
      <c r="C29" s="64" t="s">
        <v>105</v>
      </c>
      <c r="D29" s="64">
        <v>226</v>
      </c>
      <c r="E29" s="64">
        <f>D29</f>
        <v>226</v>
      </c>
      <c r="F29" s="64" t="s">
        <v>78</v>
      </c>
      <c r="G29" s="121">
        <v>13624.34</v>
      </c>
      <c r="H29" s="121">
        <f t="shared" si="4"/>
        <v>13624.34</v>
      </c>
      <c r="I29" s="121"/>
      <c r="J29" s="68"/>
      <c r="K29" s="72"/>
      <c r="L29" s="290"/>
    </row>
    <row r="30" spans="1:13" s="4" customFormat="1" x14ac:dyDescent="0.3">
      <c r="A30" s="38"/>
      <c r="B30" s="31" t="s">
        <v>94</v>
      </c>
      <c r="C30" s="253" t="s">
        <v>150</v>
      </c>
      <c r="D30" s="19"/>
      <c r="E30" s="19">
        <v>450</v>
      </c>
      <c r="F30" s="19" t="s">
        <v>78</v>
      </c>
      <c r="G30" s="36">
        <v>61736.12</v>
      </c>
      <c r="H30" s="36">
        <f t="shared" si="4"/>
        <v>61736.12</v>
      </c>
      <c r="I30" s="86">
        <f>SUM(H31:H33)</f>
        <v>135415.39000000001</v>
      </c>
      <c r="J30" s="86">
        <f>H30</f>
        <v>61736.12</v>
      </c>
      <c r="K30" s="86">
        <f>SUM(I30:J30)</f>
        <v>197151.51</v>
      </c>
      <c r="L30" s="290"/>
      <c r="M30" s="13"/>
    </row>
    <row r="31" spans="1:13" s="4" customFormat="1" x14ac:dyDescent="0.3">
      <c r="A31" s="38"/>
      <c r="B31" s="46"/>
      <c r="C31" s="57" t="s">
        <v>151</v>
      </c>
      <c r="D31" s="52">
        <v>36</v>
      </c>
      <c r="E31" s="52">
        <f>D31</f>
        <v>36</v>
      </c>
      <c r="F31" s="52" t="s">
        <v>76</v>
      </c>
      <c r="G31" s="50">
        <v>62281.17</v>
      </c>
      <c r="H31" s="50">
        <f t="shared" si="4"/>
        <v>62281.17</v>
      </c>
      <c r="I31" s="50"/>
      <c r="J31" s="50"/>
      <c r="K31" s="52"/>
      <c r="L31" s="290"/>
      <c r="M31" s="13"/>
    </row>
    <row r="32" spans="1:13" s="4" customFormat="1" x14ac:dyDescent="0.3">
      <c r="A32" s="38"/>
      <c r="B32" s="46"/>
      <c r="C32" s="57" t="s">
        <v>152</v>
      </c>
      <c r="D32" s="52">
        <v>36</v>
      </c>
      <c r="E32" s="52">
        <f>D32</f>
        <v>36</v>
      </c>
      <c r="F32" s="52" t="s">
        <v>76</v>
      </c>
      <c r="G32" s="50">
        <v>6772.39</v>
      </c>
      <c r="H32" s="50">
        <f t="shared" si="4"/>
        <v>6772.39</v>
      </c>
      <c r="I32" s="50"/>
      <c r="J32" s="52"/>
      <c r="K32" s="52"/>
      <c r="L32" s="290"/>
      <c r="M32" s="13"/>
    </row>
    <row r="33" spans="1:16" s="4" customFormat="1" x14ac:dyDescent="0.3">
      <c r="A33" s="38"/>
      <c r="B33" s="71"/>
      <c r="C33" s="254" t="s">
        <v>153</v>
      </c>
      <c r="D33" s="117">
        <v>36</v>
      </c>
      <c r="E33" s="117">
        <v>36</v>
      </c>
      <c r="F33" s="117" t="s">
        <v>76</v>
      </c>
      <c r="G33" s="119">
        <v>66361.83</v>
      </c>
      <c r="H33" s="119">
        <f t="shared" si="4"/>
        <v>66361.83</v>
      </c>
      <c r="I33" s="119"/>
      <c r="J33" s="52"/>
      <c r="K33" s="52"/>
      <c r="L33" s="290"/>
      <c r="M33" s="13"/>
    </row>
    <row r="34" spans="1:16" x14ac:dyDescent="0.3">
      <c r="A34" s="38"/>
      <c r="B34" s="31" t="s">
        <v>95</v>
      </c>
      <c r="C34" s="83" t="s">
        <v>149</v>
      </c>
      <c r="D34" s="83">
        <v>28.5</v>
      </c>
      <c r="E34" s="83">
        <v>28.5</v>
      </c>
      <c r="F34" s="83" t="s">
        <v>76</v>
      </c>
      <c r="G34" s="235">
        <v>25446.6</v>
      </c>
      <c r="H34" s="235">
        <f>G34</f>
        <v>25446.6</v>
      </c>
      <c r="I34" s="93">
        <f>SUM(H34:H35)</f>
        <v>56759.99</v>
      </c>
      <c r="J34" s="93"/>
      <c r="K34" s="93">
        <f>SUM(I34:J34)</f>
        <v>56759.99</v>
      </c>
      <c r="L34" s="290"/>
    </row>
    <row r="35" spans="1:16" s="4" customFormat="1" x14ac:dyDescent="0.3">
      <c r="A35" s="38"/>
      <c r="B35" s="46"/>
      <c r="C35" s="57" t="s">
        <v>154</v>
      </c>
      <c r="D35" s="52"/>
      <c r="E35" s="52">
        <v>28</v>
      </c>
      <c r="F35" s="52" t="s">
        <v>76</v>
      </c>
      <c r="G35" s="50">
        <v>31313.39</v>
      </c>
      <c r="H35" s="50">
        <f t="shared" ref="H35:H38" si="5">G35</f>
        <v>31313.39</v>
      </c>
      <c r="I35" s="50"/>
      <c r="J35" s="52"/>
      <c r="K35" s="52"/>
      <c r="L35" s="290"/>
      <c r="M35" s="13"/>
      <c r="P35" s="13"/>
    </row>
    <row r="36" spans="1:16" s="4" customFormat="1" x14ac:dyDescent="0.3">
      <c r="A36" s="38"/>
      <c r="B36" s="96" t="s">
        <v>98</v>
      </c>
      <c r="C36" s="253" t="s">
        <v>155</v>
      </c>
      <c r="D36" s="19">
        <v>36</v>
      </c>
      <c r="E36" s="19">
        <v>36</v>
      </c>
      <c r="F36" s="19" t="s">
        <v>76</v>
      </c>
      <c r="G36" s="36">
        <v>156369.17000000001</v>
      </c>
      <c r="H36" s="36">
        <f t="shared" si="5"/>
        <v>156369.17000000001</v>
      </c>
      <c r="I36" s="86">
        <f>SUM(H36:H42)</f>
        <v>450732.56</v>
      </c>
      <c r="J36" s="86"/>
      <c r="K36" s="86">
        <f>SUM(I36:J36)</f>
        <v>450732.56</v>
      </c>
      <c r="L36" s="290"/>
      <c r="M36" s="13"/>
    </row>
    <row r="37" spans="1:16" s="4" customFormat="1" x14ac:dyDescent="0.3">
      <c r="A37" s="38"/>
      <c r="B37" s="52"/>
      <c r="C37" s="57" t="s">
        <v>123</v>
      </c>
      <c r="D37" s="52">
        <v>36</v>
      </c>
      <c r="E37" s="52">
        <f>36</f>
        <v>36</v>
      </c>
      <c r="F37" s="52" t="s">
        <v>76</v>
      </c>
      <c r="G37" s="50">
        <v>104664.11</v>
      </c>
      <c r="H37" s="50">
        <f t="shared" si="5"/>
        <v>104664.11</v>
      </c>
      <c r="I37" s="50"/>
      <c r="J37" s="52"/>
      <c r="K37" s="50"/>
      <c r="L37" s="290"/>
      <c r="M37" s="13"/>
    </row>
    <row r="38" spans="1:16" s="4" customFormat="1" x14ac:dyDescent="0.3">
      <c r="A38" s="38"/>
      <c r="B38" s="52"/>
      <c r="C38" s="57" t="s">
        <v>145</v>
      </c>
      <c r="D38" s="52" t="s">
        <v>156</v>
      </c>
      <c r="E38" s="97" t="s">
        <v>157</v>
      </c>
      <c r="F38" s="52" t="s">
        <v>76</v>
      </c>
      <c r="G38" s="50">
        <v>92739.98</v>
      </c>
      <c r="H38" s="50">
        <f t="shared" si="5"/>
        <v>92739.98</v>
      </c>
      <c r="I38" s="50"/>
      <c r="J38" s="52"/>
      <c r="K38" s="52"/>
      <c r="L38" s="290"/>
      <c r="M38" s="13"/>
    </row>
    <row r="39" spans="1:16" s="17" customFormat="1" x14ac:dyDescent="0.3">
      <c r="A39" s="38"/>
      <c r="B39" s="255"/>
      <c r="C39" s="256" t="s">
        <v>158</v>
      </c>
      <c r="D39" s="255"/>
      <c r="E39" s="255">
        <v>24</v>
      </c>
      <c r="F39" s="255" t="s">
        <v>76</v>
      </c>
      <c r="G39" s="257"/>
      <c r="H39" s="257">
        <f>SUM(G40:G41)</f>
        <v>109418.36</v>
      </c>
      <c r="I39" s="257"/>
      <c r="J39" s="255"/>
      <c r="K39" s="255"/>
      <c r="L39" s="290"/>
      <c r="M39" s="18"/>
    </row>
    <row r="40" spans="1:16" s="17" customFormat="1" x14ac:dyDescent="0.3">
      <c r="A40" s="38"/>
      <c r="B40" s="98"/>
      <c r="C40" s="99" t="s">
        <v>159</v>
      </c>
      <c r="D40" s="98"/>
      <c r="E40" s="98"/>
      <c r="F40" s="98"/>
      <c r="G40" s="258">
        <v>96087.37</v>
      </c>
      <c r="H40" s="258"/>
      <c r="I40" s="257"/>
      <c r="J40" s="255"/>
      <c r="K40" s="255"/>
      <c r="L40" s="290"/>
      <c r="M40" s="18"/>
    </row>
    <row r="41" spans="1:16" s="17" customFormat="1" x14ac:dyDescent="0.3">
      <c r="A41" s="38"/>
      <c r="B41" s="255"/>
      <c r="C41" s="16" t="s">
        <v>160</v>
      </c>
      <c r="D41" s="16"/>
      <c r="E41" s="16"/>
      <c r="F41" s="16" t="s">
        <v>78</v>
      </c>
      <c r="G41" s="121">
        <v>13330.99</v>
      </c>
      <c r="H41" s="121"/>
      <c r="I41" s="236"/>
      <c r="J41" s="255"/>
      <c r="K41" s="255"/>
      <c r="L41" s="290"/>
      <c r="M41" s="18"/>
    </row>
    <row r="42" spans="1:16" x14ac:dyDescent="0.3">
      <c r="A42" s="38"/>
      <c r="B42" s="64"/>
      <c r="C42" s="72"/>
      <c r="D42" s="72"/>
      <c r="E42" s="72"/>
      <c r="F42" s="72"/>
      <c r="G42" s="259">
        <v>-12459.06</v>
      </c>
      <c r="H42" s="259">
        <f>G42</f>
        <v>-12459.06</v>
      </c>
      <c r="I42" s="241"/>
      <c r="J42" s="127"/>
      <c r="K42" s="72"/>
      <c r="L42" s="290"/>
    </row>
    <row r="43" spans="1:16" x14ac:dyDescent="0.3">
      <c r="A43" s="139"/>
      <c r="B43" s="128" t="s">
        <v>133</v>
      </c>
      <c r="C43" s="129" t="s">
        <v>161</v>
      </c>
      <c r="D43" s="129">
        <v>142</v>
      </c>
      <c r="E43" s="129">
        <f>D43</f>
        <v>142</v>
      </c>
      <c r="F43" s="129" t="s">
        <v>78</v>
      </c>
      <c r="G43" s="251">
        <v>15620</v>
      </c>
      <c r="H43" s="251">
        <f>G43</f>
        <v>15620</v>
      </c>
      <c r="I43" s="260">
        <f>SUM(H43)</f>
        <v>15620</v>
      </c>
      <c r="J43" s="132"/>
      <c r="K43" s="132">
        <f>SUM(I43:J43)</f>
        <v>15620</v>
      </c>
      <c r="L43" s="290"/>
    </row>
    <row r="44" spans="1:16" s="4" customFormat="1" ht="28.8" x14ac:dyDescent="0.3">
      <c r="A44" s="38"/>
      <c r="B44" s="96" t="s">
        <v>104</v>
      </c>
      <c r="C44" s="19" t="s">
        <v>12</v>
      </c>
      <c r="D44" s="19">
        <v>1400</v>
      </c>
      <c r="E44" s="19">
        <f>D44</f>
        <v>1400</v>
      </c>
      <c r="F44" s="19" t="s">
        <v>78</v>
      </c>
      <c r="G44" s="36">
        <v>58486.5</v>
      </c>
      <c r="H44" s="36">
        <f t="shared" ref="H44:H45" si="6">G44</f>
        <v>58486.5</v>
      </c>
      <c r="I44" s="86">
        <f>SUM(H44:H45)</f>
        <v>94212.09</v>
      </c>
      <c r="J44" s="86"/>
      <c r="K44" s="86">
        <f>SUM(I44:J44)</f>
        <v>94212.09</v>
      </c>
      <c r="L44" s="290"/>
      <c r="M44" s="13"/>
    </row>
    <row r="45" spans="1:16" x14ac:dyDescent="0.3">
      <c r="A45" s="87"/>
      <c r="B45" s="88"/>
      <c r="C45" s="88" t="s">
        <v>162</v>
      </c>
      <c r="D45" s="88">
        <v>690</v>
      </c>
      <c r="E45" s="88">
        <f>D45</f>
        <v>690</v>
      </c>
      <c r="F45" s="88" t="s">
        <v>78</v>
      </c>
      <c r="G45" s="241">
        <v>35725.589999999997</v>
      </c>
      <c r="H45" s="241">
        <f t="shared" si="6"/>
        <v>35725.589999999997</v>
      </c>
      <c r="I45" s="241"/>
      <c r="J45" s="72"/>
      <c r="K45" s="72"/>
      <c r="L45" s="290"/>
    </row>
    <row r="46" spans="1:16" s="4" customFormat="1" ht="28.8" x14ac:dyDescent="0.3">
      <c r="A46" s="38" t="s">
        <v>30</v>
      </c>
      <c r="B46" s="261" t="s">
        <v>55</v>
      </c>
      <c r="C46" s="19" t="s">
        <v>12</v>
      </c>
      <c r="D46" s="19">
        <v>20</v>
      </c>
      <c r="E46" s="19">
        <f>D46</f>
        <v>20</v>
      </c>
      <c r="F46" s="19" t="s">
        <v>76</v>
      </c>
      <c r="G46" s="36">
        <v>26392.98</v>
      </c>
      <c r="H46" s="44">
        <f>G46</f>
        <v>26392.98</v>
      </c>
      <c r="I46" s="116">
        <f>H46</f>
        <v>26392.98</v>
      </c>
      <c r="J46" s="116">
        <f>SUM(H47)</f>
        <v>6990.52</v>
      </c>
      <c r="K46" s="70">
        <f>SUM(I46:J46)</f>
        <v>33383.5</v>
      </c>
      <c r="L46" s="286">
        <f>SUM(K46:K72)</f>
        <v>552455.9</v>
      </c>
      <c r="M46" s="13"/>
    </row>
    <row r="47" spans="1:16" s="4" customFormat="1" x14ac:dyDescent="0.3">
      <c r="A47" s="38"/>
      <c r="B47" s="262"/>
      <c r="C47" s="146"/>
      <c r="D47" s="146"/>
      <c r="E47" s="146"/>
      <c r="F47" s="146"/>
      <c r="G47" s="263">
        <v>6990.52</v>
      </c>
      <c r="H47" s="263">
        <f>G47</f>
        <v>6990.52</v>
      </c>
      <c r="I47" s="263"/>
      <c r="J47" s="75"/>
      <c r="K47" s="117"/>
      <c r="L47" s="286"/>
      <c r="M47" s="13"/>
    </row>
    <row r="48" spans="1:16" x14ac:dyDescent="0.3">
      <c r="A48" s="38"/>
      <c r="B48" s="123" t="s">
        <v>44</v>
      </c>
      <c r="C48" s="83" t="s">
        <v>163</v>
      </c>
      <c r="D48" s="83" t="s">
        <v>112</v>
      </c>
      <c r="E48" s="83">
        <v>14.4</v>
      </c>
      <c r="F48" s="83" t="s">
        <v>76</v>
      </c>
      <c r="G48" s="235">
        <v>14330.45</v>
      </c>
      <c r="H48" s="235">
        <f>G48</f>
        <v>14330.45</v>
      </c>
      <c r="I48" s="93">
        <f>SUM(H48:H61)</f>
        <v>290945.24</v>
      </c>
      <c r="J48" s="93"/>
      <c r="K48" s="93">
        <f>SUM(I48:J48)</f>
        <v>290945.24</v>
      </c>
      <c r="L48" s="286"/>
    </row>
    <row r="49" spans="1:12" x14ac:dyDescent="0.3">
      <c r="A49" s="38"/>
      <c r="B49" s="140"/>
      <c r="C49" s="78"/>
      <c r="D49" s="78"/>
      <c r="E49" s="78">
        <v>36</v>
      </c>
      <c r="F49" s="78" t="s">
        <v>76</v>
      </c>
      <c r="G49" s="264"/>
      <c r="H49" s="264">
        <f>SUM(G50:G51)</f>
        <v>72750.990000000005</v>
      </c>
      <c r="I49" s="264"/>
      <c r="J49" s="81"/>
      <c r="K49" s="16"/>
      <c r="L49" s="286"/>
    </row>
    <row r="50" spans="1:12" x14ac:dyDescent="0.3">
      <c r="A50" s="38"/>
      <c r="B50" s="16"/>
      <c r="C50" s="16" t="s">
        <v>164</v>
      </c>
      <c r="D50" s="16" t="s">
        <v>112</v>
      </c>
      <c r="E50" s="16"/>
      <c r="F50" s="16" t="s">
        <v>76</v>
      </c>
      <c r="G50" s="236">
        <v>69833.67</v>
      </c>
      <c r="H50" s="236"/>
      <c r="I50" s="236"/>
      <c r="J50" s="16"/>
      <c r="K50" s="16"/>
      <c r="L50" s="286"/>
    </row>
    <row r="51" spans="1:12" x14ac:dyDescent="0.3">
      <c r="A51" s="38"/>
      <c r="B51" s="16"/>
      <c r="C51" s="16" t="s">
        <v>165</v>
      </c>
      <c r="D51" s="16" t="s">
        <v>166</v>
      </c>
      <c r="E51" s="16" t="str">
        <f>D51</f>
        <v>afr</v>
      </c>
      <c r="F51" s="16"/>
      <c r="G51" s="236">
        <v>2917.32</v>
      </c>
      <c r="H51" s="236"/>
      <c r="I51" s="236"/>
      <c r="J51" s="236"/>
      <c r="K51" s="16"/>
      <c r="L51" s="286"/>
    </row>
    <row r="52" spans="1:12" x14ac:dyDescent="0.3">
      <c r="A52" s="38"/>
      <c r="B52" s="16"/>
      <c r="C52" s="16" t="s">
        <v>25</v>
      </c>
      <c r="D52" s="16" t="s">
        <v>112</v>
      </c>
      <c r="E52" s="16"/>
      <c r="F52" s="16" t="s">
        <v>76</v>
      </c>
      <c r="G52" s="236">
        <v>281.76</v>
      </c>
      <c r="H52" s="236">
        <f>G52</f>
        <v>281.76</v>
      </c>
      <c r="I52" s="236"/>
      <c r="J52" s="236"/>
      <c r="K52" s="16"/>
      <c r="L52" s="286"/>
    </row>
    <row r="53" spans="1:12" x14ac:dyDescent="0.3">
      <c r="A53" s="38"/>
      <c r="B53" s="16"/>
      <c r="C53" s="16" t="s">
        <v>12</v>
      </c>
      <c r="D53" s="16">
        <v>1820</v>
      </c>
      <c r="E53" s="16">
        <v>36</v>
      </c>
      <c r="F53" s="16" t="s">
        <v>76</v>
      </c>
      <c r="G53" s="236">
        <v>119113.63</v>
      </c>
      <c r="H53" s="236">
        <f>G53</f>
        <v>119113.63</v>
      </c>
      <c r="I53" s="236"/>
      <c r="J53" s="16"/>
      <c r="K53" s="16"/>
      <c r="L53" s="286"/>
    </row>
    <row r="54" spans="1:12" x14ac:dyDescent="0.3">
      <c r="A54" s="38"/>
      <c r="B54" s="16"/>
      <c r="C54" s="16" t="s">
        <v>167</v>
      </c>
      <c r="D54" s="16">
        <v>52</v>
      </c>
      <c r="E54" s="16">
        <v>36</v>
      </c>
      <c r="F54" s="16" t="s">
        <v>76</v>
      </c>
      <c r="G54" s="236">
        <v>2978.04</v>
      </c>
      <c r="H54" s="236">
        <f>G54</f>
        <v>2978.04</v>
      </c>
      <c r="I54" s="236"/>
      <c r="J54" s="236"/>
      <c r="K54" s="16"/>
      <c r="L54" s="286"/>
    </row>
    <row r="55" spans="1:12" x14ac:dyDescent="0.3">
      <c r="A55" s="38"/>
      <c r="B55" s="16"/>
      <c r="C55" s="16"/>
      <c r="D55" s="16"/>
      <c r="E55" s="16"/>
      <c r="F55" s="16"/>
      <c r="G55" s="236"/>
      <c r="H55" s="236">
        <f>SUM(G56:G57)</f>
        <v>27579.96</v>
      </c>
      <c r="I55" s="236"/>
      <c r="J55" s="236"/>
      <c r="K55" s="16"/>
      <c r="L55" s="286"/>
    </row>
    <row r="56" spans="1:12" x14ac:dyDescent="0.3">
      <c r="A56" s="38"/>
      <c r="B56" s="16"/>
      <c r="C56" s="16" t="s">
        <v>168</v>
      </c>
      <c r="D56" s="16">
        <v>168</v>
      </c>
      <c r="E56" s="16">
        <v>28</v>
      </c>
      <c r="F56" s="16" t="s">
        <v>76</v>
      </c>
      <c r="G56" s="236">
        <v>6117.57</v>
      </c>
      <c r="H56" s="236"/>
      <c r="I56" s="236"/>
      <c r="J56" s="16"/>
      <c r="K56" s="16"/>
      <c r="L56" s="286"/>
    </row>
    <row r="57" spans="1:12" x14ac:dyDescent="0.3">
      <c r="A57" s="38"/>
      <c r="B57" s="16"/>
      <c r="C57" s="16" t="s">
        <v>109</v>
      </c>
      <c r="D57" s="16">
        <v>460</v>
      </c>
      <c r="E57" s="16"/>
      <c r="F57" s="16"/>
      <c r="G57" s="236">
        <v>21462.39</v>
      </c>
      <c r="H57" s="236"/>
      <c r="I57" s="236"/>
      <c r="J57" s="16"/>
      <c r="K57" s="16"/>
      <c r="L57" s="286"/>
    </row>
    <row r="58" spans="1:12" x14ac:dyDescent="0.3">
      <c r="A58" s="38"/>
      <c r="B58" s="16"/>
      <c r="C58" s="16" t="s">
        <v>169</v>
      </c>
      <c r="D58" s="16">
        <v>660</v>
      </c>
      <c r="E58" s="16">
        <v>36</v>
      </c>
      <c r="F58" s="16" t="s">
        <v>76</v>
      </c>
      <c r="G58" s="236">
        <v>55112</v>
      </c>
      <c r="H58" s="236">
        <f>G58</f>
        <v>55112</v>
      </c>
      <c r="I58" s="236"/>
      <c r="J58" s="16"/>
      <c r="K58" s="72"/>
      <c r="L58" s="286"/>
    </row>
    <row r="59" spans="1:12" x14ac:dyDescent="0.3">
      <c r="A59" s="38"/>
      <c r="B59" s="16"/>
      <c r="C59" s="16"/>
      <c r="D59" s="16"/>
      <c r="E59" s="16"/>
      <c r="F59" s="16"/>
      <c r="G59" s="236">
        <v>10020.33</v>
      </c>
      <c r="H59" s="236">
        <f>G59</f>
        <v>10020.33</v>
      </c>
      <c r="I59" s="236"/>
      <c r="J59" s="16"/>
      <c r="K59" s="78"/>
      <c r="L59" s="286"/>
    </row>
    <row r="60" spans="1:12" x14ac:dyDescent="0.3">
      <c r="A60" s="38"/>
      <c r="B60" s="16"/>
      <c r="C60" s="16"/>
      <c r="D60" s="16"/>
      <c r="E60" s="16"/>
      <c r="F60" s="16"/>
      <c r="G60" s="236">
        <v>629.97</v>
      </c>
      <c r="H60" s="236">
        <f>G60</f>
        <v>629.97</v>
      </c>
      <c r="I60" s="236"/>
      <c r="J60" s="16"/>
      <c r="K60" s="16"/>
      <c r="L60" s="286"/>
    </row>
    <row r="61" spans="1:12" x14ac:dyDescent="0.3">
      <c r="A61" s="38"/>
      <c r="B61" s="72"/>
      <c r="C61" s="72"/>
      <c r="D61" s="72"/>
      <c r="E61" s="72"/>
      <c r="F61" s="72"/>
      <c r="G61" s="241">
        <v>-11851.89</v>
      </c>
      <c r="H61" s="241">
        <f>G61</f>
        <v>-11851.89</v>
      </c>
      <c r="I61" s="241"/>
      <c r="J61" s="72"/>
      <c r="K61" s="16"/>
      <c r="L61" s="286"/>
    </row>
    <row r="62" spans="1:12" x14ac:dyDescent="0.3">
      <c r="A62" s="38"/>
      <c r="B62" s="123" t="s">
        <v>118</v>
      </c>
      <c r="C62" s="83" t="s">
        <v>170</v>
      </c>
      <c r="D62" s="83" t="s">
        <v>112</v>
      </c>
      <c r="E62" s="83">
        <v>32</v>
      </c>
      <c r="F62" s="83" t="s">
        <v>76</v>
      </c>
      <c r="G62" s="235">
        <v>31930.17</v>
      </c>
      <c r="H62" s="235">
        <f>SUM(G62:G64)</f>
        <v>64892.4</v>
      </c>
      <c r="I62" s="93">
        <f>SUM(H62:H67)</f>
        <v>113014.01999999999</v>
      </c>
      <c r="J62" s="93"/>
      <c r="K62" s="94">
        <f>SUM(I62:J62)</f>
        <v>113014.01999999999</v>
      </c>
      <c r="L62" s="286"/>
    </row>
    <row r="63" spans="1:12" x14ac:dyDescent="0.3">
      <c r="A63" s="38"/>
      <c r="B63" s="16"/>
      <c r="C63" s="16" t="s">
        <v>171</v>
      </c>
      <c r="D63" s="16">
        <v>36</v>
      </c>
      <c r="E63" s="16">
        <v>32</v>
      </c>
      <c r="F63" s="16" t="s">
        <v>76</v>
      </c>
      <c r="G63" s="236">
        <v>30620.880000000001</v>
      </c>
      <c r="H63" s="236"/>
      <c r="I63" s="236"/>
      <c r="J63" s="16"/>
      <c r="K63" s="16"/>
      <c r="L63" s="286"/>
    </row>
    <row r="64" spans="1:12" x14ac:dyDescent="0.3">
      <c r="A64" s="38"/>
      <c r="B64" s="16"/>
      <c r="C64" s="16" t="s">
        <v>172</v>
      </c>
      <c r="D64" s="16">
        <v>57</v>
      </c>
      <c r="E64" s="83">
        <v>32</v>
      </c>
      <c r="F64" s="16" t="s">
        <v>76</v>
      </c>
      <c r="G64" s="236">
        <v>2341.35</v>
      </c>
      <c r="H64" s="236"/>
      <c r="I64" s="236"/>
      <c r="J64" s="16"/>
      <c r="K64" s="16"/>
      <c r="L64" s="286"/>
    </row>
    <row r="65" spans="1:13" x14ac:dyDescent="0.3">
      <c r="A65" s="38"/>
      <c r="B65" s="16"/>
      <c r="C65" s="16" t="s">
        <v>173</v>
      </c>
      <c r="D65" s="16">
        <v>104.5</v>
      </c>
      <c r="E65" s="16">
        <v>30</v>
      </c>
      <c r="F65" s="16" t="s">
        <v>76</v>
      </c>
      <c r="G65" s="236">
        <v>12648.79</v>
      </c>
      <c r="H65" s="236">
        <f>SUM(G65:G66)</f>
        <v>15782</v>
      </c>
      <c r="I65" s="236"/>
      <c r="J65" s="16"/>
      <c r="K65" s="16"/>
      <c r="L65" s="286"/>
    </row>
    <row r="66" spans="1:13" x14ac:dyDescent="0.3">
      <c r="A66" s="38"/>
      <c r="B66" s="16"/>
      <c r="C66" s="16" t="s">
        <v>173</v>
      </c>
      <c r="D66" s="16">
        <v>104.5</v>
      </c>
      <c r="E66" s="16">
        <v>30</v>
      </c>
      <c r="F66" s="16" t="s">
        <v>76</v>
      </c>
      <c r="G66" s="236">
        <v>3133.21</v>
      </c>
      <c r="H66" s="236"/>
      <c r="I66" s="236"/>
      <c r="J66" s="16"/>
      <c r="K66" s="16"/>
      <c r="L66" s="286"/>
    </row>
    <row r="67" spans="1:13" x14ac:dyDescent="0.3">
      <c r="A67" s="38"/>
      <c r="B67" s="16"/>
      <c r="C67" s="16"/>
      <c r="D67" s="16">
        <v>720</v>
      </c>
      <c r="E67" s="16">
        <v>32</v>
      </c>
      <c r="F67" s="16" t="s">
        <v>76</v>
      </c>
      <c r="G67" s="236">
        <v>32339.62</v>
      </c>
      <c r="H67" s="236">
        <f>G67</f>
        <v>32339.62</v>
      </c>
      <c r="I67" s="236"/>
      <c r="J67" s="16"/>
      <c r="K67" s="64"/>
      <c r="L67" s="286"/>
    </row>
    <row r="68" spans="1:13" ht="28.8" x14ac:dyDescent="0.3">
      <c r="A68" s="139" t="s">
        <v>47</v>
      </c>
      <c r="B68" s="173" t="s">
        <v>48</v>
      </c>
      <c r="C68" s="83" t="s">
        <v>174</v>
      </c>
      <c r="D68" s="83" t="s">
        <v>112</v>
      </c>
      <c r="E68" s="83"/>
      <c r="F68" s="83"/>
      <c r="G68" s="235">
        <v>4516.34</v>
      </c>
      <c r="H68" s="235">
        <f t="shared" ref="H68:H69" si="7">G68</f>
        <v>4516.34</v>
      </c>
      <c r="I68" s="235"/>
      <c r="J68" s="93">
        <f>SUM(H68:H69)</f>
        <v>10273.91</v>
      </c>
      <c r="K68" s="93">
        <f>SUM(I68:J68)</f>
        <v>10273.91</v>
      </c>
      <c r="L68" s="290">
        <f>SUM(K68:K72)</f>
        <v>115113.14</v>
      </c>
    </row>
    <row r="69" spans="1:13" x14ac:dyDescent="0.3">
      <c r="A69" s="139"/>
      <c r="B69" s="88"/>
      <c r="C69" s="72" t="s">
        <v>49</v>
      </c>
      <c r="D69" s="72">
        <v>55.5</v>
      </c>
      <c r="E69" s="72"/>
      <c r="F69" s="72"/>
      <c r="G69" s="241">
        <v>5757.57</v>
      </c>
      <c r="H69" s="241">
        <f t="shared" si="7"/>
        <v>5757.57</v>
      </c>
      <c r="I69" s="241"/>
      <c r="J69" s="72"/>
      <c r="K69" s="64"/>
      <c r="L69" s="290"/>
    </row>
    <row r="70" spans="1:13" x14ac:dyDescent="0.3">
      <c r="A70" s="139"/>
      <c r="B70" s="128" t="s">
        <v>50</v>
      </c>
      <c r="C70" s="129" t="s">
        <v>175</v>
      </c>
      <c r="D70" s="129" t="s">
        <v>176</v>
      </c>
      <c r="E70" s="129">
        <v>36</v>
      </c>
      <c r="F70" s="129" t="s">
        <v>76</v>
      </c>
      <c r="G70" s="251">
        <v>90640.19</v>
      </c>
      <c r="H70" s="251">
        <f>G70+G71</f>
        <v>97093.94</v>
      </c>
      <c r="I70" s="132">
        <f>SUM(H70)</f>
        <v>97093.94</v>
      </c>
      <c r="J70" s="132"/>
      <c r="K70" s="132">
        <f>SUM(I70:J70)</f>
        <v>97093.94</v>
      </c>
      <c r="L70" s="290"/>
    </row>
    <row r="71" spans="1:13" x14ac:dyDescent="0.3">
      <c r="A71" s="139"/>
      <c r="B71" s="129"/>
      <c r="C71" s="136"/>
      <c r="D71" s="136"/>
      <c r="E71" s="136"/>
      <c r="F71" s="136"/>
      <c r="G71" s="265">
        <v>6453.75</v>
      </c>
      <c r="H71" s="265"/>
      <c r="I71" s="265"/>
      <c r="J71" s="232"/>
      <c r="K71" s="129"/>
      <c r="L71" s="290"/>
    </row>
    <row r="72" spans="1:13" ht="28.8" x14ac:dyDescent="0.3">
      <c r="A72" s="139"/>
      <c r="B72" s="266" t="s">
        <v>177</v>
      </c>
      <c r="C72" s="267"/>
      <c r="D72" s="267"/>
      <c r="E72" s="267"/>
      <c r="F72" s="267"/>
      <c r="G72" s="268">
        <v>7745.29</v>
      </c>
      <c r="H72" s="268">
        <f>G72</f>
        <v>7745.29</v>
      </c>
      <c r="I72" s="268">
        <f>G72</f>
        <v>7745.29</v>
      </c>
      <c r="J72" s="90"/>
      <c r="K72" s="269">
        <f>I72</f>
        <v>7745.29</v>
      </c>
      <c r="L72" s="290"/>
    </row>
    <row r="73" spans="1:13" s="4" customFormat="1" ht="28.8" x14ac:dyDescent="0.3">
      <c r="A73" s="261" t="s">
        <v>124</v>
      </c>
      <c r="B73" s="135" t="s">
        <v>127</v>
      </c>
      <c r="C73" s="136" t="s">
        <v>178</v>
      </c>
      <c r="D73" s="136">
        <v>670</v>
      </c>
      <c r="E73" s="136">
        <f t="shared" ref="E73:E77" si="8">D73</f>
        <v>670</v>
      </c>
      <c r="F73" s="136" t="s">
        <v>78</v>
      </c>
      <c r="G73" s="265">
        <v>47420</v>
      </c>
      <c r="H73" s="265">
        <f t="shared" ref="H73:H77" si="9">G73</f>
        <v>47420</v>
      </c>
      <c r="I73" s="232">
        <f>SUM(H73)</f>
        <v>47420</v>
      </c>
      <c r="J73" s="232"/>
      <c r="K73" s="270">
        <f>SUM(I73:J73)</f>
        <v>47420</v>
      </c>
      <c r="L73" s="286">
        <f>SUM(K73:K94)</f>
        <v>690933.32999999984</v>
      </c>
      <c r="M73" s="13"/>
    </row>
    <row r="74" spans="1:13" s="4" customFormat="1" x14ac:dyDescent="0.3">
      <c r="A74" s="139"/>
      <c r="B74" s="123" t="s">
        <v>68</v>
      </c>
      <c r="C74" s="78" t="s">
        <v>179</v>
      </c>
      <c r="D74" s="78">
        <v>32</v>
      </c>
      <c r="E74" s="78">
        <f t="shared" si="8"/>
        <v>32</v>
      </c>
      <c r="F74" s="78" t="s">
        <v>76</v>
      </c>
      <c r="G74" s="235">
        <v>9887.58</v>
      </c>
      <c r="H74" s="235">
        <f t="shared" si="9"/>
        <v>9887.58</v>
      </c>
      <c r="I74" s="93">
        <f>SUM(H74)</f>
        <v>9887.58</v>
      </c>
      <c r="J74" s="93">
        <f>SUM(H75:H76)</f>
        <v>14710</v>
      </c>
      <c r="K74" s="86">
        <f>SUM(I74:J74)</f>
        <v>24597.58</v>
      </c>
      <c r="L74" s="286"/>
      <c r="M74" s="13"/>
    </row>
    <row r="75" spans="1:13" s="4" customFormat="1" x14ac:dyDescent="0.3">
      <c r="A75" s="139"/>
      <c r="B75" s="16"/>
      <c r="C75" s="16" t="s">
        <v>180</v>
      </c>
      <c r="D75" s="16">
        <v>21</v>
      </c>
      <c r="E75" s="16">
        <f t="shared" si="8"/>
        <v>21</v>
      </c>
      <c r="F75" s="16" t="s">
        <v>78</v>
      </c>
      <c r="G75" s="236">
        <v>1564.5</v>
      </c>
      <c r="H75" s="236">
        <f t="shared" si="9"/>
        <v>1564.5</v>
      </c>
      <c r="I75" s="236"/>
      <c r="J75" s="16"/>
      <c r="K75" s="52"/>
      <c r="L75" s="286"/>
      <c r="M75" s="13"/>
    </row>
    <row r="76" spans="1:13" s="4" customFormat="1" x14ac:dyDescent="0.3">
      <c r="A76" s="139"/>
      <c r="B76" s="72"/>
      <c r="C76" s="16" t="s">
        <v>180</v>
      </c>
      <c r="D76" s="64">
        <v>190</v>
      </c>
      <c r="E76" s="64">
        <f t="shared" si="8"/>
        <v>190</v>
      </c>
      <c r="F76" s="64" t="s">
        <v>78</v>
      </c>
      <c r="G76" s="241">
        <v>13145.5</v>
      </c>
      <c r="H76" s="241">
        <f t="shared" si="9"/>
        <v>13145.5</v>
      </c>
      <c r="I76" s="241"/>
      <c r="J76" s="64"/>
      <c r="K76" s="117"/>
      <c r="L76" s="286"/>
      <c r="M76" s="13"/>
    </row>
    <row r="77" spans="1:13" x14ac:dyDescent="0.3">
      <c r="A77" s="139"/>
      <c r="B77" s="123" t="s">
        <v>61</v>
      </c>
      <c r="C77" s="83" t="s">
        <v>49</v>
      </c>
      <c r="D77" s="83">
        <v>471</v>
      </c>
      <c r="E77" s="83">
        <f t="shared" si="8"/>
        <v>471</v>
      </c>
      <c r="F77" s="83" t="s">
        <v>78</v>
      </c>
      <c r="G77" s="235">
        <v>54656.18</v>
      </c>
      <c r="H77" s="235">
        <f t="shared" si="9"/>
        <v>54656.18</v>
      </c>
      <c r="I77" s="93">
        <f>H77+H78+H83+H84+H85+H86+H87+H88+H89+H90+H91+H92</f>
        <v>605361.73</v>
      </c>
      <c r="J77" s="93">
        <f>H85+H92</f>
        <v>2643.32</v>
      </c>
      <c r="K77" s="93">
        <f>SUM(I77:J77)</f>
        <v>608005.04999999993</v>
      </c>
      <c r="L77" s="286"/>
    </row>
    <row r="78" spans="1:13" x14ac:dyDescent="0.3">
      <c r="A78" s="139"/>
      <c r="B78" s="140"/>
      <c r="C78" s="78" t="s">
        <v>49</v>
      </c>
      <c r="D78" s="78"/>
      <c r="E78" s="78">
        <f>SUM(D79:D82)</f>
        <v>2847</v>
      </c>
      <c r="F78" s="78" t="s">
        <v>78</v>
      </c>
      <c r="G78" s="264"/>
      <c r="H78" s="264">
        <f>SUM(G79:G82)</f>
        <v>264269.96000000002</v>
      </c>
      <c r="I78" s="264"/>
      <c r="J78" s="81"/>
      <c r="K78" s="16"/>
      <c r="L78" s="286"/>
    </row>
    <row r="79" spans="1:13" x14ac:dyDescent="0.3">
      <c r="A79" s="139"/>
      <c r="B79" s="16"/>
      <c r="C79" s="16" t="s">
        <v>49</v>
      </c>
      <c r="D79" s="16">
        <v>1358</v>
      </c>
      <c r="E79" s="16"/>
      <c r="F79" s="16" t="s">
        <v>78</v>
      </c>
      <c r="G79" s="236">
        <v>129652.27</v>
      </c>
      <c r="H79" s="236"/>
      <c r="I79" s="236"/>
      <c r="J79" s="16"/>
      <c r="K79" s="16"/>
      <c r="L79" s="286"/>
    </row>
    <row r="80" spans="1:13" x14ac:dyDescent="0.3">
      <c r="A80" s="139"/>
      <c r="B80" s="16"/>
      <c r="C80" s="16" t="s">
        <v>181</v>
      </c>
      <c r="D80" s="16">
        <v>289</v>
      </c>
      <c r="E80" s="16"/>
      <c r="F80" s="16" t="s">
        <v>78</v>
      </c>
      <c r="G80" s="236">
        <v>24971.97</v>
      </c>
      <c r="H80" s="236"/>
      <c r="I80" s="236"/>
      <c r="J80" s="16"/>
      <c r="K80" s="16"/>
      <c r="L80" s="286"/>
    </row>
    <row r="81" spans="1:14" x14ac:dyDescent="0.3">
      <c r="A81" s="139"/>
      <c r="B81" s="16"/>
      <c r="C81" s="16" t="s">
        <v>49</v>
      </c>
      <c r="D81" s="16">
        <v>506</v>
      </c>
      <c r="E81" s="16"/>
      <c r="F81" s="16" t="s">
        <v>78</v>
      </c>
      <c r="G81" s="236">
        <v>48814.58</v>
      </c>
      <c r="H81" s="236"/>
      <c r="I81" s="236"/>
      <c r="J81" s="16"/>
      <c r="K81" s="16"/>
      <c r="L81" s="286"/>
    </row>
    <row r="82" spans="1:14" x14ac:dyDescent="0.3">
      <c r="A82" s="139"/>
      <c r="B82" s="16"/>
      <c r="C82" s="16" t="s">
        <v>49</v>
      </c>
      <c r="D82" s="16">
        <v>694</v>
      </c>
      <c r="E82" s="16"/>
      <c r="F82" s="16" t="s">
        <v>78</v>
      </c>
      <c r="G82" s="236">
        <v>60831.14</v>
      </c>
      <c r="H82" s="236"/>
      <c r="I82" s="236"/>
      <c r="J82" s="16"/>
      <c r="K82" s="16"/>
      <c r="L82" s="286"/>
    </row>
    <row r="83" spans="1:14" x14ac:dyDescent="0.3">
      <c r="A83" s="139"/>
      <c r="B83" s="16"/>
      <c r="C83" s="16" t="s">
        <v>49</v>
      </c>
      <c r="D83" s="16">
        <v>840</v>
      </c>
      <c r="E83" s="16">
        <v>840</v>
      </c>
      <c r="F83" s="16" t="s">
        <v>78</v>
      </c>
      <c r="G83" s="236">
        <v>66084.2</v>
      </c>
      <c r="H83" s="236">
        <f t="shared" ref="H83:H92" si="10">G83</f>
        <v>66084.2</v>
      </c>
      <c r="I83" s="236"/>
      <c r="J83" s="16"/>
      <c r="K83" s="16"/>
      <c r="L83" s="286"/>
    </row>
    <row r="84" spans="1:14" x14ac:dyDescent="0.3">
      <c r="A84" s="139"/>
      <c r="B84" s="16"/>
      <c r="C84" s="16" t="s">
        <v>90</v>
      </c>
      <c r="D84" s="16">
        <v>546.5</v>
      </c>
      <c r="E84" s="16">
        <f>D84</f>
        <v>546.5</v>
      </c>
      <c r="F84" s="16" t="s">
        <v>78</v>
      </c>
      <c r="G84" s="236">
        <v>54240.02</v>
      </c>
      <c r="H84" s="236">
        <f t="shared" si="10"/>
        <v>54240.02</v>
      </c>
      <c r="I84" s="236"/>
      <c r="J84" s="16"/>
      <c r="K84" s="16"/>
      <c r="L84" s="286"/>
    </row>
    <row r="85" spans="1:14" x14ac:dyDescent="0.3">
      <c r="A85" s="139"/>
      <c r="B85" s="16"/>
      <c r="C85" s="16"/>
      <c r="D85" s="16"/>
      <c r="E85" s="16"/>
      <c r="F85" s="16"/>
      <c r="G85" s="236">
        <v>2125.88</v>
      </c>
      <c r="H85" s="236">
        <f t="shared" si="10"/>
        <v>2125.88</v>
      </c>
      <c r="I85" s="236"/>
      <c r="J85" s="16"/>
      <c r="K85" s="16"/>
      <c r="L85" s="286"/>
    </row>
    <row r="86" spans="1:14" x14ac:dyDescent="0.3">
      <c r="A86" s="139"/>
      <c r="B86" s="16"/>
      <c r="C86" s="16" t="s">
        <v>182</v>
      </c>
      <c r="D86" s="16">
        <v>100</v>
      </c>
      <c r="E86" s="16">
        <f>D86</f>
        <v>100</v>
      </c>
      <c r="F86" s="16" t="s">
        <v>78</v>
      </c>
      <c r="G86" s="236">
        <v>10922.16</v>
      </c>
      <c r="H86" s="236">
        <f t="shared" si="10"/>
        <v>10922.16</v>
      </c>
      <c r="I86" s="236"/>
      <c r="J86" s="16"/>
      <c r="K86" s="16"/>
      <c r="L86" s="286"/>
    </row>
    <row r="87" spans="1:14" x14ac:dyDescent="0.3">
      <c r="A87" s="139"/>
      <c r="B87" s="16"/>
      <c r="C87" s="16" t="s">
        <v>49</v>
      </c>
      <c r="D87" s="16">
        <v>1724</v>
      </c>
      <c r="E87" s="16">
        <f>D87</f>
        <v>1724</v>
      </c>
      <c r="F87" s="16" t="s">
        <v>78</v>
      </c>
      <c r="G87" s="236">
        <v>161888.69</v>
      </c>
      <c r="H87" s="236">
        <f t="shared" si="10"/>
        <v>161888.69</v>
      </c>
      <c r="I87" s="236"/>
      <c r="J87" s="16"/>
      <c r="K87" s="16"/>
      <c r="L87" s="286"/>
    </row>
    <row r="88" spans="1:14" x14ac:dyDescent="0.3">
      <c r="A88" s="139"/>
      <c r="B88" s="16"/>
      <c r="C88" s="16" t="s">
        <v>183</v>
      </c>
      <c r="D88" s="16">
        <v>337</v>
      </c>
      <c r="E88" s="16">
        <f>D88</f>
        <v>337</v>
      </c>
      <c r="F88" s="16" t="s">
        <v>78</v>
      </c>
      <c r="G88" s="236">
        <v>12244.35</v>
      </c>
      <c r="H88" s="236">
        <f t="shared" si="10"/>
        <v>12244.35</v>
      </c>
      <c r="I88" s="236"/>
      <c r="J88" s="16"/>
      <c r="K88" s="16"/>
      <c r="L88" s="286"/>
    </row>
    <row r="89" spans="1:14" x14ac:dyDescent="0.3">
      <c r="A89" s="139"/>
      <c r="B89" s="16"/>
      <c r="C89" s="16" t="s">
        <v>184</v>
      </c>
      <c r="D89" s="16">
        <v>45</v>
      </c>
      <c r="E89" s="16">
        <f>D89</f>
        <v>45</v>
      </c>
      <c r="F89" s="16" t="s">
        <v>78</v>
      </c>
      <c r="G89" s="236">
        <v>2352.73</v>
      </c>
      <c r="H89" s="236">
        <f t="shared" si="10"/>
        <v>2352.73</v>
      </c>
      <c r="I89" s="236"/>
      <c r="J89" s="16"/>
      <c r="K89" s="16"/>
      <c r="L89" s="286"/>
    </row>
    <row r="90" spans="1:14" s="4" customFormat="1" x14ac:dyDescent="0.3">
      <c r="A90" s="139"/>
      <c r="B90" s="52"/>
      <c r="C90" s="52"/>
      <c r="D90" s="52"/>
      <c r="E90" s="52"/>
      <c r="F90" s="52"/>
      <c r="G90" s="50">
        <v>115.55</v>
      </c>
      <c r="H90" s="50">
        <f t="shared" si="10"/>
        <v>115.55</v>
      </c>
      <c r="I90" s="50"/>
      <c r="J90" s="52"/>
      <c r="K90" s="52"/>
      <c r="L90" s="286"/>
      <c r="M90" s="13"/>
    </row>
    <row r="91" spans="1:14" s="4" customFormat="1" x14ac:dyDescent="0.3">
      <c r="A91" s="139"/>
      <c r="B91" s="52"/>
      <c r="C91" s="52"/>
      <c r="D91" s="52"/>
      <c r="E91" s="52"/>
      <c r="F91" s="52"/>
      <c r="G91" s="50">
        <v>-24055.43</v>
      </c>
      <c r="H91" s="50">
        <f t="shared" si="10"/>
        <v>-24055.43</v>
      </c>
      <c r="I91" s="50"/>
      <c r="J91" s="52"/>
      <c r="K91" s="52"/>
      <c r="L91" s="286"/>
      <c r="M91" s="13"/>
    </row>
    <row r="92" spans="1:14" s="4" customFormat="1" x14ac:dyDescent="0.3">
      <c r="A92" s="139"/>
      <c r="B92" s="52"/>
      <c r="C92" s="52"/>
      <c r="D92" s="52"/>
      <c r="E92" s="52"/>
      <c r="F92" s="52"/>
      <c r="G92" s="50">
        <v>517.44000000000005</v>
      </c>
      <c r="H92" s="50">
        <f t="shared" si="10"/>
        <v>517.44000000000005</v>
      </c>
      <c r="I92" s="50"/>
      <c r="J92" s="117"/>
      <c r="K92" s="117"/>
      <c r="L92" s="286"/>
      <c r="M92" s="13"/>
    </row>
    <row r="93" spans="1:14" s="4" customFormat="1" x14ac:dyDescent="0.3">
      <c r="A93" s="271"/>
      <c r="B93" s="135" t="s">
        <v>131</v>
      </c>
      <c r="C93" s="136" t="s">
        <v>179</v>
      </c>
      <c r="D93" s="136">
        <v>253</v>
      </c>
      <c r="E93" s="136">
        <f>D93</f>
        <v>253</v>
      </c>
      <c r="F93" s="136" t="s">
        <v>78</v>
      </c>
      <c r="G93" s="265">
        <v>4041</v>
      </c>
      <c r="H93" s="265">
        <f>SUM(G93:G94)</f>
        <v>10910.7</v>
      </c>
      <c r="I93" s="265">
        <f>SUM(H93)</f>
        <v>10910.7</v>
      </c>
      <c r="J93" s="232"/>
      <c r="K93" s="265">
        <f>SUM(I93:J93)</f>
        <v>10910.7</v>
      </c>
      <c r="L93" s="286"/>
      <c r="M93" s="13"/>
    </row>
    <row r="94" spans="1:14" s="4" customFormat="1" x14ac:dyDescent="0.3">
      <c r="A94" s="139"/>
      <c r="B94" s="38"/>
      <c r="C94" s="267"/>
      <c r="D94" s="267"/>
      <c r="E94" s="267"/>
      <c r="F94" s="267"/>
      <c r="G94" s="268">
        <v>6869.7</v>
      </c>
      <c r="H94" s="268"/>
      <c r="I94" s="268"/>
      <c r="J94" s="90"/>
      <c r="K94" s="267"/>
      <c r="L94" s="286"/>
      <c r="M94" s="13"/>
    </row>
    <row r="95" spans="1:14" x14ac:dyDescent="0.3">
      <c r="N95" s="8"/>
    </row>
    <row r="96" spans="1:14" x14ac:dyDescent="0.3">
      <c r="C96" s="20"/>
      <c r="F96" s="1" t="s">
        <v>134</v>
      </c>
      <c r="I96" s="8">
        <f>SUM(I4:I95)</f>
        <v>2388537.83</v>
      </c>
      <c r="J96" s="8">
        <f>SUM(J4:J95)</f>
        <v>155650.04</v>
      </c>
      <c r="K96" s="8">
        <f>SUM(K4:K95)</f>
        <v>2544187.87</v>
      </c>
      <c r="L96" s="25">
        <f>SUM(L4:L94)</f>
        <v>2659301.0099999998</v>
      </c>
    </row>
    <row r="97" spans="10:14" x14ac:dyDescent="0.3">
      <c r="N97" s="11"/>
    </row>
    <row r="98" spans="10:14" x14ac:dyDescent="0.3">
      <c r="J98" s="22"/>
    </row>
    <row r="149" spans="6:10" x14ac:dyDescent="0.3">
      <c r="F149" s="11"/>
      <c r="J149" s="8"/>
    </row>
    <row r="150" spans="6:10" x14ac:dyDescent="0.3">
      <c r="J150" s="8"/>
    </row>
    <row r="156" spans="6:10" x14ac:dyDescent="0.3">
      <c r="J156" s="8"/>
    </row>
    <row r="163" spans="10:10" x14ac:dyDescent="0.3">
      <c r="J163" s="8"/>
    </row>
    <row r="164" spans="10:10" x14ac:dyDescent="0.3">
      <c r="J164" s="8"/>
    </row>
    <row r="165" spans="10:10" x14ac:dyDescent="0.3">
      <c r="J165" s="8"/>
    </row>
    <row r="166" spans="10:10" x14ac:dyDescent="0.3">
      <c r="J166" s="8"/>
    </row>
    <row r="170" spans="10:10" x14ac:dyDescent="0.3">
      <c r="J170" s="20"/>
    </row>
  </sheetData>
  <mergeCells count="6">
    <mergeCell ref="A1:J1"/>
    <mergeCell ref="D3:F3"/>
    <mergeCell ref="L4:L45"/>
    <mergeCell ref="L73:L94"/>
    <mergeCell ref="L68:L72"/>
    <mergeCell ref="L46:L6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D21C-0E68-4370-8369-00177AA9DBF0}">
  <dimension ref="A1:D34"/>
  <sheetViews>
    <sheetView tabSelected="1" topLeftCell="A13" workbookViewId="0">
      <selection activeCell="B23" sqref="B23"/>
    </sheetView>
  </sheetViews>
  <sheetFormatPr defaultRowHeight="14.4" x14ac:dyDescent="0.3"/>
  <cols>
    <col min="1" max="1" width="21.6640625" customWidth="1"/>
    <col min="2" max="2" width="65.77734375" customWidth="1"/>
  </cols>
  <sheetData>
    <row r="1" spans="1:2" x14ac:dyDescent="0.3">
      <c r="A1" t="s">
        <v>213</v>
      </c>
    </row>
    <row r="2" spans="1:2" x14ac:dyDescent="0.3">
      <c r="A2" t="s">
        <v>0</v>
      </c>
      <c r="B2" t="s">
        <v>214</v>
      </c>
    </row>
    <row r="3" spans="1:2" x14ac:dyDescent="0.3">
      <c r="A3" t="s">
        <v>9</v>
      </c>
      <c r="B3" t="s">
        <v>193</v>
      </c>
    </row>
    <row r="4" spans="1:2" x14ac:dyDescent="0.3">
      <c r="B4" t="s">
        <v>209</v>
      </c>
    </row>
    <row r="5" spans="1:2" x14ac:dyDescent="0.3">
      <c r="B5" t="s">
        <v>198</v>
      </c>
    </row>
    <row r="6" spans="1:2" x14ac:dyDescent="0.3">
      <c r="B6" t="s">
        <v>200</v>
      </c>
    </row>
    <row r="7" spans="1:2" x14ac:dyDescent="0.3">
      <c r="B7" t="s">
        <v>201</v>
      </c>
    </row>
    <row r="8" spans="1:2" x14ac:dyDescent="0.3">
      <c r="B8" t="s">
        <v>202</v>
      </c>
    </row>
    <row r="9" spans="1:2" x14ac:dyDescent="0.3">
      <c r="B9" t="s">
        <v>199</v>
      </c>
    </row>
    <row r="10" spans="1:2" x14ac:dyDescent="0.3">
      <c r="B10" t="s">
        <v>216</v>
      </c>
    </row>
    <row r="11" spans="1:2" x14ac:dyDescent="0.3">
      <c r="B11" t="s">
        <v>217</v>
      </c>
    </row>
    <row r="13" spans="1:2" x14ac:dyDescent="0.3">
      <c r="A13" t="s">
        <v>30</v>
      </c>
      <c r="B13" t="s">
        <v>210</v>
      </c>
    </row>
    <row r="14" spans="1:2" x14ac:dyDescent="0.3">
      <c r="B14" t="s">
        <v>186</v>
      </c>
    </row>
    <row r="15" spans="1:2" x14ac:dyDescent="0.3">
      <c r="B15" t="s">
        <v>194</v>
      </c>
    </row>
    <row r="16" spans="1:2" x14ac:dyDescent="0.3">
      <c r="B16" t="s">
        <v>203</v>
      </c>
    </row>
    <row r="17" spans="1:4" x14ac:dyDescent="0.3">
      <c r="B17" t="s">
        <v>200</v>
      </c>
    </row>
    <row r="18" spans="1:4" x14ac:dyDescent="0.3">
      <c r="B18" t="s">
        <v>185</v>
      </c>
    </row>
    <row r="19" spans="1:4" x14ac:dyDescent="0.3">
      <c r="B19" t="s">
        <v>211</v>
      </c>
    </row>
    <row r="20" spans="1:4" x14ac:dyDescent="0.3">
      <c r="B20" t="s">
        <v>212</v>
      </c>
    </row>
    <row r="21" spans="1:4" x14ac:dyDescent="0.3">
      <c r="B21" t="s">
        <v>210</v>
      </c>
    </row>
    <row r="23" spans="1:4" x14ac:dyDescent="0.3">
      <c r="A23" t="s">
        <v>47</v>
      </c>
      <c r="B23" s="273"/>
      <c r="D23" t="s">
        <v>215</v>
      </c>
    </row>
    <row r="25" spans="1:4" x14ac:dyDescent="0.3">
      <c r="A25" t="s">
        <v>208</v>
      </c>
      <c r="B25" t="s">
        <v>187</v>
      </c>
    </row>
    <row r="26" spans="1:4" x14ac:dyDescent="0.3">
      <c r="B26" t="s">
        <v>188</v>
      </c>
    </row>
    <row r="27" spans="1:4" x14ac:dyDescent="0.3">
      <c r="B27" t="s">
        <v>190</v>
      </c>
    </row>
    <row r="28" spans="1:4" x14ac:dyDescent="0.3">
      <c r="B28" t="s">
        <v>189</v>
      </c>
    </row>
    <row r="29" spans="1:4" x14ac:dyDescent="0.3">
      <c r="B29" t="s">
        <v>195</v>
      </c>
    </row>
    <row r="30" spans="1:4" x14ac:dyDescent="0.3">
      <c r="B30" t="s">
        <v>197</v>
      </c>
    </row>
    <row r="31" spans="1:4" x14ac:dyDescent="0.3">
      <c r="B31" t="s">
        <v>191</v>
      </c>
    </row>
    <row r="32" spans="1:4" x14ac:dyDescent="0.3">
      <c r="B32" t="s">
        <v>192</v>
      </c>
    </row>
    <row r="33" spans="2:2" x14ac:dyDescent="0.3">
      <c r="B33" t="s">
        <v>196</v>
      </c>
    </row>
    <row r="34" spans="2:2" x14ac:dyDescent="0.3">
      <c r="B34" t="s">
        <v>218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43605AA20C0147A8E0428250D71D5E" ma:contentTypeVersion="6" ma:contentTypeDescription="Een nieuw document maken." ma:contentTypeScope="" ma:versionID="6a075f99323ef6293e92245031b3a886">
  <xsd:schema xmlns:xsd="http://www.w3.org/2001/XMLSchema" xmlns:xs="http://www.w3.org/2001/XMLSchema" xmlns:p="http://schemas.microsoft.com/office/2006/metadata/properties" xmlns:ns2="2c31c7b5-5bdc-4b82-86b7-c362f8af8530" xmlns:ns3="8fc9a046-2f36-4284-bbe9-fac5ca7702a4" targetNamespace="http://schemas.microsoft.com/office/2006/metadata/properties" ma:root="true" ma:fieldsID="3cf692d633647d41fdd55db918d67ff1" ns2:_="" ns3:_="">
    <xsd:import namespace="2c31c7b5-5bdc-4b82-86b7-c362f8af8530"/>
    <xsd:import namespace="8fc9a046-2f36-4284-bbe9-fac5ca7702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31c7b5-5bdc-4b82-86b7-c362f8af85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c9a046-2f36-4284-bbe9-fac5ca7702a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B1B80C-1621-4A47-9CB5-7D718699EDB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8fc9a046-2f36-4284-bbe9-fac5ca7702a4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2c31c7b5-5bdc-4b82-86b7-c362f8af8530"/>
  </ds:schemaRefs>
</ds:datastoreItem>
</file>

<file path=customXml/itemProps2.xml><?xml version="1.0" encoding="utf-8"?>
<ds:datastoreItem xmlns:ds="http://schemas.openxmlformats.org/officeDocument/2006/customXml" ds:itemID="{48B58399-BD1B-42BC-BB06-79FF5C77F2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B591EC-7B92-42D2-A0A1-407D4304EC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31c7b5-5bdc-4b82-86b7-c362f8af8530"/>
    <ds:schemaRef ds:uri="8fc9a046-2f36-4284-bbe9-fac5ca7702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2023</vt:lpstr>
      <vt:lpstr>2022</vt:lpstr>
      <vt:lpstr>2021</vt:lpstr>
      <vt:lpstr>Functies</vt:lpstr>
    </vt:vector>
  </TitlesOfParts>
  <Company>Gemeente Terneuzen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Chavanne Caboor</dc:creator>
  <cp:lastModifiedBy>Romy Wolfert - HIP</cp:lastModifiedBy>
  <dcterms:created xsi:type="dcterms:W3CDTF">2024-04-09T13:11:46Z</dcterms:created>
  <dcterms:modified xsi:type="dcterms:W3CDTF">2024-05-23T12:34:39Z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0x010100CF43605AA20C0147A8E0428250D71D5E</vt:lpwstr>
  </property>
</Properties>
</file>