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sSettings_Prd_ED3\Bureaublad\"/>
    </mc:Choice>
  </mc:AlternateContent>
  <xr:revisionPtr revIDLastSave="0" documentId="8_{07117B6F-B03F-4751-B04A-9A663D695FEB}" xr6:coauthVersionLast="47" xr6:coauthVersionMax="47" xr10:uidLastSave="{00000000-0000-0000-0000-000000000000}"/>
  <bookViews>
    <workbookView xWindow="-108" yWindow="-108" windowWidth="23256" windowHeight="12576" xr2:uid="{572D9572-97BE-43C9-8318-A6AFF27DCF7E}"/>
  </bookViews>
  <sheets>
    <sheet name="Blad1" sheetId="1" r:id="rId1"/>
    <sheet name="Blad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7" i="1" l="1"/>
  <c r="AD41" i="1"/>
  <c r="AG52" i="1" s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F10" i="1"/>
  <c r="AF11" i="1"/>
  <c r="AF12" i="1"/>
  <c r="AJ12" i="1" s="1"/>
  <c r="AF13" i="1"/>
  <c r="AJ13" i="1" s="1"/>
  <c r="AF14" i="1"/>
  <c r="AJ14" i="1" s="1"/>
  <c r="AF15" i="1"/>
  <c r="AJ15" i="1" s="1"/>
  <c r="AF16" i="1"/>
  <c r="AJ16" i="1" s="1"/>
  <c r="AF17" i="1"/>
  <c r="AJ17" i="1" s="1"/>
  <c r="AF18" i="1"/>
  <c r="AJ18" i="1" s="1"/>
  <c r="AF19" i="1"/>
  <c r="AJ19" i="1" s="1"/>
  <c r="AF20" i="1"/>
  <c r="AJ20" i="1" s="1"/>
  <c r="AF21" i="1"/>
  <c r="AJ21" i="1" s="1"/>
  <c r="AF22" i="1"/>
  <c r="AJ22" i="1" s="1"/>
  <c r="AF23" i="1"/>
  <c r="AJ23" i="1" s="1"/>
  <c r="AF24" i="1"/>
  <c r="AJ24" i="1" s="1"/>
  <c r="AF25" i="1"/>
  <c r="AJ25" i="1" s="1"/>
  <c r="AF26" i="1"/>
  <c r="AJ26" i="1" s="1"/>
  <c r="AF27" i="1"/>
  <c r="AJ27" i="1" s="1"/>
  <c r="AF28" i="1"/>
  <c r="AJ28" i="1" s="1"/>
  <c r="AF29" i="1"/>
  <c r="AJ29" i="1" s="1"/>
  <c r="AF30" i="1"/>
  <c r="AJ30" i="1" s="1"/>
  <c r="AF31" i="1"/>
  <c r="AJ31" i="1" s="1"/>
  <c r="AF32" i="1"/>
  <c r="AJ32" i="1" s="1"/>
  <c r="AF33" i="1"/>
  <c r="AJ33" i="1" s="1"/>
  <c r="AF34" i="1"/>
  <c r="AJ34" i="1" s="1"/>
  <c r="AF35" i="1"/>
  <c r="AJ35" i="1" s="1"/>
  <c r="AF36" i="1"/>
  <c r="AJ36" i="1" s="1"/>
  <c r="AF37" i="1"/>
  <c r="AJ37" i="1" s="1"/>
  <c r="AF38" i="1"/>
  <c r="AJ38" i="1" s="1"/>
  <c r="AF39" i="1"/>
  <c r="AJ39" i="1" s="1"/>
  <c r="AF40" i="1"/>
  <c r="AJ40" i="1" s="1"/>
  <c r="AF41" i="1"/>
  <c r="AJ41" i="1" s="1"/>
  <c r="AF42" i="1"/>
  <c r="AJ42" i="1" s="1"/>
  <c r="AF45" i="1"/>
  <c r="AJ45" i="1" s="1"/>
  <c r="AF46" i="1"/>
  <c r="AJ46" i="1" s="1"/>
  <c r="AD8" i="1"/>
  <c r="AD9" i="1"/>
  <c r="AJ2" i="1"/>
  <c r="AK2" i="1" s="1"/>
  <c r="AJ3" i="1"/>
  <c r="R3" i="1"/>
  <c r="T3" i="1" s="1"/>
  <c r="R2" i="1"/>
  <c r="U2" i="1" s="1"/>
  <c r="AH41" i="1" l="1"/>
  <c r="V2" i="1"/>
  <c r="W2" i="1"/>
  <c r="Z2" i="1" s="1"/>
  <c r="T2" i="1"/>
  <c r="U3" i="1"/>
  <c r="Z11" i="1"/>
  <c r="AD11" i="1" s="1"/>
  <c r="Z44" i="1"/>
  <c r="AD44" i="1" s="1"/>
  <c r="AH44" i="1" s="1"/>
  <c r="AB44" i="1"/>
  <c r="AF44" i="1" s="1"/>
  <c r="AJ44" i="1" s="1"/>
  <c r="W21" i="1"/>
  <c r="Z21" i="1" s="1"/>
  <c r="AD21" i="1" s="1"/>
  <c r="AH21" i="1" s="1"/>
  <c r="V43" i="1"/>
  <c r="X43" i="1" s="1"/>
  <c r="AB43" i="1" s="1"/>
  <c r="AF43" i="1" s="1"/>
  <c r="AJ43" i="1" s="1"/>
  <c r="V42" i="1"/>
  <c r="X42" i="1" s="1"/>
  <c r="V40" i="1"/>
  <c r="X40" i="1" s="1"/>
  <c r="V39" i="1"/>
  <c r="X39" i="1" s="1"/>
  <c r="V38" i="1"/>
  <c r="X38" i="1" s="1"/>
  <c r="V37" i="1"/>
  <c r="X37" i="1" s="1"/>
  <c r="V18" i="1"/>
  <c r="X18" i="1" s="1"/>
  <c r="U42" i="1"/>
  <c r="W42" i="1" s="1"/>
  <c r="Z42" i="1" s="1"/>
  <c r="AD42" i="1" s="1"/>
  <c r="AH42" i="1" s="1"/>
  <c r="U31" i="1"/>
  <c r="W31" i="1" s="1"/>
  <c r="Z31" i="1" s="1"/>
  <c r="AD31" i="1" s="1"/>
  <c r="AH31" i="1" s="1"/>
  <c r="L29" i="1"/>
  <c r="R29" i="1"/>
  <c r="U29" i="1" s="1"/>
  <c r="W29" i="1" s="1"/>
  <c r="Z29" i="1" s="1"/>
  <c r="AD29" i="1" s="1"/>
  <c r="AH29" i="1" s="1"/>
  <c r="L35" i="1"/>
  <c r="R40" i="1"/>
  <c r="U40" i="1" s="1"/>
  <c r="W40" i="1" s="1"/>
  <c r="Z40" i="1" s="1"/>
  <c r="AD40" i="1" s="1"/>
  <c r="AH40" i="1" s="1"/>
  <c r="R39" i="1"/>
  <c r="U39" i="1" s="1"/>
  <c r="W39" i="1" s="1"/>
  <c r="Z39" i="1" s="1"/>
  <c r="AD39" i="1" s="1"/>
  <c r="AH39" i="1" s="1"/>
  <c r="R38" i="1"/>
  <c r="U38" i="1" s="1"/>
  <c r="W38" i="1" s="1"/>
  <c r="Z38" i="1" s="1"/>
  <c r="AD38" i="1" s="1"/>
  <c r="AH38" i="1" s="1"/>
  <c r="R37" i="1"/>
  <c r="U37" i="1" s="1"/>
  <c r="W37" i="1" s="1"/>
  <c r="Z37" i="1" s="1"/>
  <c r="AD37" i="1" s="1"/>
  <c r="AH37" i="1" s="1"/>
  <c r="R36" i="1"/>
  <c r="U36" i="1" s="1"/>
  <c r="W36" i="1" s="1"/>
  <c r="Z36" i="1" s="1"/>
  <c r="AD36" i="1" s="1"/>
  <c r="AH36" i="1" s="1"/>
  <c r="R35" i="1"/>
  <c r="U35" i="1" s="1"/>
  <c r="W35" i="1" s="1"/>
  <c r="Z35" i="1" s="1"/>
  <c r="AD35" i="1" s="1"/>
  <c r="AH35" i="1" s="1"/>
  <c r="R21" i="1"/>
  <c r="R18" i="1"/>
  <c r="U18" i="1" s="1"/>
  <c r="W18" i="1" s="1"/>
  <c r="Z18" i="1" s="1"/>
  <c r="AD18" i="1" s="1"/>
  <c r="AH18" i="1" s="1"/>
  <c r="T46" i="1"/>
  <c r="V46" i="1" s="1"/>
  <c r="X46" i="1" s="1"/>
  <c r="T45" i="1"/>
  <c r="V45" i="1" s="1"/>
  <c r="X45" i="1" s="1"/>
  <c r="T41" i="1"/>
  <c r="V41" i="1" s="1"/>
  <c r="X41" i="1" s="1"/>
  <c r="T36" i="1"/>
  <c r="V36" i="1" s="1"/>
  <c r="X36" i="1" s="1"/>
  <c r="T34" i="1"/>
  <c r="V34" i="1" s="1"/>
  <c r="X34" i="1" s="1"/>
  <c r="T35" i="1"/>
  <c r="V35" i="1" s="1"/>
  <c r="X35" i="1" s="1"/>
  <c r="T33" i="1"/>
  <c r="V33" i="1" s="1"/>
  <c r="X33" i="1" s="1"/>
  <c r="T32" i="1"/>
  <c r="V32" i="1" s="1"/>
  <c r="X32" i="1" s="1"/>
  <c r="T31" i="1"/>
  <c r="V31" i="1" s="1"/>
  <c r="X31" i="1" s="1"/>
  <c r="T30" i="1"/>
  <c r="V30" i="1" s="1"/>
  <c r="X30" i="1" s="1"/>
  <c r="T29" i="1"/>
  <c r="V29" i="1" s="1"/>
  <c r="X29" i="1" s="1"/>
  <c r="T28" i="1"/>
  <c r="V28" i="1" s="1"/>
  <c r="X28" i="1" s="1"/>
  <c r="T27" i="1"/>
  <c r="V27" i="1" s="1"/>
  <c r="X27" i="1" s="1"/>
  <c r="T26" i="1"/>
  <c r="V26" i="1" s="1"/>
  <c r="X26" i="1" s="1"/>
  <c r="T25" i="1"/>
  <c r="V25" i="1" s="1"/>
  <c r="X25" i="1" s="1"/>
  <c r="T24" i="1"/>
  <c r="V24" i="1" s="1"/>
  <c r="X24" i="1" s="1"/>
  <c r="T23" i="1"/>
  <c r="V23" i="1" s="1"/>
  <c r="X23" i="1" s="1"/>
  <c r="T22" i="1"/>
  <c r="V22" i="1" s="1"/>
  <c r="X22" i="1" s="1"/>
  <c r="T21" i="1"/>
  <c r="V21" i="1" s="1"/>
  <c r="X21" i="1" s="1"/>
  <c r="T20" i="1"/>
  <c r="V20" i="1" s="1"/>
  <c r="X20" i="1" s="1"/>
  <c r="T19" i="1"/>
  <c r="V19" i="1" s="1"/>
  <c r="X19" i="1" s="1"/>
  <c r="T17" i="1"/>
  <c r="V17" i="1" s="1"/>
  <c r="X17" i="1" s="1"/>
  <c r="T16" i="1"/>
  <c r="V16" i="1" s="1"/>
  <c r="X16" i="1" s="1"/>
  <c r="T15" i="1"/>
  <c r="V15" i="1" s="1"/>
  <c r="X15" i="1" s="1"/>
  <c r="T14" i="1"/>
  <c r="V14" i="1" s="1"/>
  <c r="X14" i="1" s="1"/>
  <c r="T13" i="1"/>
  <c r="V13" i="1" s="1"/>
  <c r="X13" i="1" s="1"/>
  <c r="T12" i="1"/>
  <c r="V12" i="1" s="1"/>
  <c r="X12" i="1" s="1"/>
  <c r="T11" i="1"/>
  <c r="V11" i="1" s="1"/>
  <c r="X11" i="1" s="1"/>
  <c r="T10" i="1"/>
  <c r="V10" i="1" s="1"/>
  <c r="X10" i="1" s="1"/>
  <c r="T9" i="1"/>
  <c r="V9" i="1" s="1"/>
  <c r="X9" i="1" s="1"/>
  <c r="AB9" i="1" s="1"/>
  <c r="AF9" i="1" s="1"/>
  <c r="T8" i="1"/>
  <c r="V8" i="1" s="1"/>
  <c r="X8" i="1" s="1"/>
  <c r="AB8" i="1" s="1"/>
  <c r="AF8" i="1" s="1"/>
  <c r="T7" i="1"/>
  <c r="K49" i="1"/>
  <c r="J49" i="1"/>
  <c r="I49" i="1"/>
  <c r="L46" i="1"/>
  <c r="L45" i="1"/>
  <c r="L43" i="1"/>
  <c r="L41" i="1"/>
  <c r="L34" i="1"/>
  <c r="L33" i="1"/>
  <c r="L32" i="1"/>
  <c r="L30" i="1"/>
  <c r="L28" i="1"/>
  <c r="L27" i="1"/>
  <c r="L26" i="1"/>
  <c r="L25" i="1"/>
  <c r="L24" i="1"/>
  <c r="L23" i="1"/>
  <c r="L22" i="1"/>
  <c r="L20" i="1"/>
  <c r="L19" i="1"/>
  <c r="L17" i="1"/>
  <c r="L16" i="1"/>
  <c r="L15" i="1"/>
  <c r="L14" i="1"/>
  <c r="L13" i="1"/>
  <c r="L12" i="1"/>
  <c r="L10" i="1"/>
  <c r="L9" i="1"/>
  <c r="L8" i="1"/>
  <c r="L7" i="1"/>
  <c r="AF49" i="1" l="1"/>
  <c r="R7" i="1"/>
  <c r="U7" i="1" s="1"/>
  <c r="W7" i="1" s="1"/>
  <c r="Z7" i="1" s="1"/>
  <c r="AD7" i="1" s="1"/>
  <c r="W3" i="1"/>
  <c r="V3" i="1"/>
  <c r="X2" i="1"/>
  <c r="R30" i="1"/>
  <c r="U30" i="1" s="1"/>
  <c r="W30" i="1" s="1"/>
  <c r="Z30" i="1" s="1"/>
  <c r="AD30" i="1" s="1"/>
  <c r="AH30" i="1" s="1"/>
  <c r="R32" i="1"/>
  <c r="U32" i="1" s="1"/>
  <c r="W32" i="1" s="1"/>
  <c r="Z32" i="1" s="1"/>
  <c r="AD32" i="1" s="1"/>
  <c r="AH32" i="1" s="1"/>
  <c r="R10" i="1"/>
  <c r="U10" i="1" s="1"/>
  <c r="W10" i="1" s="1"/>
  <c r="Z10" i="1" s="1"/>
  <c r="AD10" i="1" s="1"/>
  <c r="R25" i="1"/>
  <c r="U25" i="1" s="1"/>
  <c r="W25" i="1" s="1"/>
  <c r="Z25" i="1" s="1"/>
  <c r="AD25" i="1" s="1"/>
  <c r="AH25" i="1" s="1"/>
  <c r="R26" i="1"/>
  <c r="U26" i="1" s="1"/>
  <c r="W26" i="1" s="1"/>
  <c r="Z26" i="1" s="1"/>
  <c r="AD26" i="1" s="1"/>
  <c r="AH26" i="1" s="1"/>
  <c r="R13" i="1"/>
  <c r="U13" i="1" s="1"/>
  <c r="W13" i="1" s="1"/>
  <c r="Z13" i="1" s="1"/>
  <c r="AD13" i="1" s="1"/>
  <c r="AH13" i="1" s="1"/>
  <c r="R33" i="1"/>
  <c r="U33" i="1" s="1"/>
  <c r="W33" i="1" s="1"/>
  <c r="Z33" i="1" s="1"/>
  <c r="AD33" i="1" s="1"/>
  <c r="AH33" i="1" s="1"/>
  <c r="R28" i="1"/>
  <c r="U28" i="1" s="1"/>
  <c r="W28" i="1" s="1"/>
  <c r="Z28" i="1" s="1"/>
  <c r="AD28" i="1" s="1"/>
  <c r="AH28" i="1" s="1"/>
  <c r="R15" i="1"/>
  <c r="U15" i="1" s="1"/>
  <c r="W15" i="1" s="1"/>
  <c r="Z15" i="1" s="1"/>
  <c r="AD15" i="1" s="1"/>
  <c r="AH15" i="1" s="1"/>
  <c r="R16" i="1"/>
  <c r="U16" i="1" s="1"/>
  <c r="W16" i="1" s="1"/>
  <c r="Z16" i="1" s="1"/>
  <c r="AD16" i="1" s="1"/>
  <c r="AH16" i="1" s="1"/>
  <c r="R19" i="1"/>
  <c r="U19" i="1" s="1"/>
  <c r="W19" i="1" s="1"/>
  <c r="Z19" i="1" s="1"/>
  <c r="AD19" i="1" s="1"/>
  <c r="AH19" i="1" s="1"/>
  <c r="R20" i="1"/>
  <c r="U20" i="1" s="1"/>
  <c r="W20" i="1" s="1"/>
  <c r="Z20" i="1" s="1"/>
  <c r="AD20" i="1" s="1"/>
  <c r="AH20" i="1" s="1"/>
  <c r="R27" i="1"/>
  <c r="U27" i="1" s="1"/>
  <c r="W27" i="1" s="1"/>
  <c r="Z27" i="1" s="1"/>
  <c r="AD27" i="1" s="1"/>
  <c r="AH27" i="1" s="1"/>
  <c r="R14" i="1"/>
  <c r="U14" i="1" s="1"/>
  <c r="W14" i="1" s="1"/>
  <c r="Z14" i="1" s="1"/>
  <c r="AD14" i="1" s="1"/>
  <c r="AH14" i="1" s="1"/>
  <c r="R17" i="1"/>
  <c r="U17" i="1" s="1"/>
  <c r="W17" i="1" s="1"/>
  <c r="Z17" i="1" s="1"/>
  <c r="AD17" i="1" s="1"/>
  <c r="AH17" i="1" s="1"/>
  <c r="R43" i="1"/>
  <c r="U43" i="1" s="1"/>
  <c r="W43" i="1" s="1"/>
  <c r="Z43" i="1" s="1"/>
  <c r="AD43" i="1" s="1"/>
  <c r="AH43" i="1" s="1"/>
  <c r="R23" i="1"/>
  <c r="U23" i="1" s="1"/>
  <c r="W23" i="1" s="1"/>
  <c r="Z23" i="1" s="1"/>
  <c r="AD23" i="1" s="1"/>
  <c r="AH23" i="1" s="1"/>
  <c r="R12" i="1"/>
  <c r="U12" i="1" s="1"/>
  <c r="W12" i="1" s="1"/>
  <c r="Z12" i="1" s="1"/>
  <c r="AD12" i="1" s="1"/>
  <c r="AH12" i="1" s="1"/>
  <c r="R34" i="1"/>
  <c r="U34" i="1" s="1"/>
  <c r="W34" i="1" s="1"/>
  <c r="Z34" i="1" s="1"/>
  <c r="AD34" i="1" s="1"/>
  <c r="AH34" i="1" s="1"/>
  <c r="R41" i="1"/>
  <c r="U41" i="1" s="1"/>
  <c r="W41" i="1" s="1"/>
  <c r="R22" i="1"/>
  <c r="U22" i="1" s="1"/>
  <c r="W22" i="1" s="1"/>
  <c r="Z22" i="1" s="1"/>
  <c r="AD22" i="1" s="1"/>
  <c r="AH22" i="1" s="1"/>
  <c r="R8" i="1"/>
  <c r="U8" i="1" s="1"/>
  <c r="R9" i="1"/>
  <c r="U9" i="1" s="1"/>
  <c r="R24" i="1"/>
  <c r="U24" i="1" s="1"/>
  <c r="W24" i="1" s="1"/>
  <c r="Z24" i="1" s="1"/>
  <c r="AD24" i="1" s="1"/>
  <c r="AH24" i="1" s="1"/>
  <c r="R46" i="1"/>
  <c r="U46" i="1" s="1"/>
  <c r="W46" i="1" s="1"/>
  <c r="Z46" i="1" s="1"/>
  <c r="AD46" i="1" s="1"/>
  <c r="AH46" i="1" s="1"/>
  <c r="AB49" i="1"/>
  <c r="T49" i="1"/>
  <c r="V7" i="1"/>
  <c r="R45" i="1"/>
  <c r="U45" i="1" s="1"/>
  <c r="W45" i="1" s="1"/>
  <c r="Z45" i="1" s="1"/>
  <c r="AD45" i="1" s="1"/>
  <c r="AH45" i="1" s="1"/>
  <c r="AG7" i="1" l="1"/>
  <c r="AD49" i="1"/>
  <c r="X7" i="1"/>
  <c r="X49" i="1" s="1"/>
  <c r="V49" i="1"/>
  <c r="AB2" i="1"/>
  <c r="X3" i="1"/>
  <c r="Z3" i="1"/>
  <c r="R49" i="1"/>
  <c r="U49" i="1"/>
  <c r="AB3" i="1" l="1"/>
  <c r="W49" i="1"/>
  <c r="Z49" i="1"/>
  <c r="AH7" i="1" l="1"/>
  <c r="AK3" i="1"/>
  <c r="AJ8" i="1" l="1"/>
  <c r="AJ9" i="1"/>
  <c r="AJ7" i="1"/>
  <c r="AK7" i="1" s="1"/>
  <c r="AJ10" i="1"/>
  <c r="AJ11" i="1"/>
  <c r="AH8" i="1"/>
  <c r="AH9" i="1"/>
  <c r="AH11" i="1"/>
  <c r="AH10" i="1"/>
  <c r="AG37" i="1" l="1"/>
  <c r="AK37" i="1"/>
  <c r="AG36" i="1"/>
  <c r="AK36" i="1"/>
  <c r="AG16" i="1"/>
  <c r="AK16" i="1"/>
  <c r="AK43" i="1"/>
  <c r="AG43" i="1"/>
  <c r="AK27" i="1"/>
  <c r="AG27" i="1"/>
  <c r="AK15" i="1"/>
  <c r="AG15" i="1"/>
  <c r="AK44" i="1"/>
  <c r="AG44" i="1"/>
  <c r="AK40" i="1"/>
  <c r="AG40" i="1"/>
  <c r="AG45" i="1"/>
  <c r="AK45" i="1"/>
  <c r="AG38" i="1"/>
  <c r="AK38" i="1"/>
  <c r="AG24" i="1"/>
  <c r="AK24" i="1"/>
  <c r="AG12" i="1"/>
  <c r="AK12" i="1"/>
  <c r="AG34" i="1"/>
  <c r="AK34" i="1"/>
  <c r="AG11" i="1"/>
  <c r="AK11" i="1"/>
  <c r="AK20" i="1"/>
  <c r="AG20" i="1"/>
  <c r="AG29" i="1"/>
  <c r="AK29" i="1"/>
  <c r="AK30" i="1"/>
  <c r="AG30" i="1"/>
  <c r="AG28" i="1"/>
  <c r="AK28" i="1"/>
  <c r="AG33" i="1"/>
  <c r="AK33" i="1"/>
  <c r="AG26" i="1"/>
  <c r="AK26" i="1"/>
  <c r="AG10" i="1"/>
  <c r="AK10" i="1"/>
  <c r="AG17" i="1"/>
  <c r="AK17" i="1"/>
  <c r="AG23" i="1"/>
  <c r="AK23" i="1"/>
  <c r="AG35" i="1"/>
  <c r="AK35" i="1"/>
  <c r="AG13" i="1"/>
  <c r="AK13" i="1"/>
  <c r="AG21" i="1"/>
  <c r="AK21" i="1"/>
  <c r="AK32" i="1"/>
  <c r="AG32" i="1"/>
  <c r="AK19" i="1"/>
  <c r="AG19" i="1"/>
  <c r="AK39" i="1"/>
  <c r="AG39" i="1"/>
  <c r="AG14" i="1"/>
  <c r="AK14" i="1"/>
  <c r="AG42" i="1"/>
  <c r="AK42" i="1"/>
  <c r="AG41" i="1"/>
  <c r="AK41" i="1"/>
  <c r="AG22" i="1"/>
  <c r="AK22" i="1"/>
  <c r="AG18" i="1"/>
  <c r="AK18" i="1"/>
  <c r="AG9" i="1"/>
  <c r="AK9" i="1"/>
  <c r="AG46" i="1"/>
  <c r="AK46" i="1"/>
  <c r="AG25" i="1"/>
  <c r="AK25" i="1"/>
  <c r="AK31" i="1"/>
  <c r="AG31" i="1"/>
  <c r="AK8" i="1"/>
  <c r="AG8" i="1"/>
  <c r="AG49" i="1" l="1"/>
  <c r="AG51" i="1" s="1"/>
</calcChain>
</file>

<file path=xl/sharedStrings.xml><?xml version="1.0" encoding="utf-8"?>
<sst xmlns="http://schemas.openxmlformats.org/spreadsheetml/2006/main" count="579" uniqueCount="280">
  <si>
    <t>Grootboek nummer</t>
  </si>
  <si>
    <t>Verzekerde zaak</t>
  </si>
  <si>
    <t>Object</t>
  </si>
  <si>
    <t>Adres</t>
  </si>
  <si>
    <t>Plaats</t>
  </si>
  <si>
    <t>rapport</t>
  </si>
  <si>
    <t>gebouwen</t>
  </si>
  <si>
    <t>Funderingen</t>
  </si>
  <si>
    <t xml:space="preserve">extra </t>
  </si>
  <si>
    <t>totaal gebouw</t>
  </si>
  <si>
    <t>Inventaris</t>
  </si>
  <si>
    <t>gemeentehuis</t>
  </si>
  <si>
    <t>Oranjeplein 1</t>
  </si>
  <si>
    <t>Goirle</t>
  </si>
  <si>
    <t>3200-01</t>
  </si>
  <si>
    <t>3200-50</t>
  </si>
  <si>
    <t>Stemhokjes</t>
  </si>
  <si>
    <t>Diamant Groep</t>
  </si>
  <si>
    <t>Nieuwkerksedijk 21</t>
  </si>
  <si>
    <t>Stembussen</t>
  </si>
  <si>
    <t>OBS Den Bongerd</t>
  </si>
  <si>
    <t>Basisschool</t>
  </si>
  <si>
    <t>Frankische Driehoek 2a + 2b</t>
  </si>
  <si>
    <t>3200-57</t>
  </si>
  <si>
    <t>Open Hof</t>
  </si>
  <si>
    <t>Frankische Driehoek 1 + 2b</t>
  </si>
  <si>
    <t>3200-58</t>
  </si>
  <si>
    <t>t Schrijverke</t>
  </si>
  <si>
    <t>basisschool</t>
  </si>
  <si>
    <t>Guido Gezellelaan 137</t>
  </si>
  <si>
    <t>3200-05</t>
  </si>
  <si>
    <t>3200-54</t>
  </si>
  <si>
    <t>De Kleine Akkers</t>
  </si>
  <si>
    <t>Burg. Philipsenstraat 2</t>
  </si>
  <si>
    <t>3200-06</t>
  </si>
  <si>
    <t>3200-55</t>
  </si>
  <si>
    <t>De Vonder</t>
  </si>
  <si>
    <t>Goirleseweg 3</t>
  </si>
  <si>
    <t>Riel</t>
  </si>
  <si>
    <t>3200-04</t>
  </si>
  <si>
    <t>3200-53</t>
  </si>
  <si>
    <t>De Regenboog</t>
  </si>
  <si>
    <t>Grobbendonckpark 43</t>
  </si>
  <si>
    <t>3200-02</t>
  </si>
  <si>
    <t>3200-51</t>
  </si>
  <si>
    <t>De Bron</t>
  </si>
  <si>
    <t>Waterput 54</t>
  </si>
  <si>
    <t>3200-56</t>
  </si>
  <si>
    <t>De Kameleon</t>
  </si>
  <si>
    <t>Tamboerstraat 4</t>
  </si>
  <si>
    <t>3200-03</t>
  </si>
  <si>
    <t>3200-52</t>
  </si>
  <si>
    <t>Mill Hill</t>
  </si>
  <si>
    <t>Scholengem. VO</t>
  </si>
  <si>
    <t>Venneweg 42</t>
  </si>
  <si>
    <t>3200-07</t>
  </si>
  <si>
    <t>3200-59</t>
  </si>
  <si>
    <t>Milieustraat</t>
  </si>
  <si>
    <t>Kantoor + winkel</t>
  </si>
  <si>
    <t xml:space="preserve">Nobelstraat 18a </t>
  </si>
  <si>
    <t>3200-12</t>
  </si>
  <si>
    <t>Nobelstraat 18b</t>
  </si>
  <si>
    <t>3200-13</t>
  </si>
  <si>
    <t>Kerktoren</t>
  </si>
  <si>
    <t>Kerkstraat 3</t>
  </si>
  <si>
    <t>3200-14</t>
  </si>
  <si>
    <t>zorgcentrum 't Loket</t>
  </si>
  <si>
    <t>kantoor + spreekkamers</t>
  </si>
  <si>
    <t>Thomas van Diessenstraat 4</t>
  </si>
  <si>
    <t>3200-08</t>
  </si>
  <si>
    <t>Dikkie Dik</t>
  </si>
  <si>
    <t>kinderdagverblijf</t>
  </si>
  <si>
    <t>Grobbendonckpark 45</t>
  </si>
  <si>
    <t>3200-26</t>
  </si>
  <si>
    <t>sint Jansstraat 1-06</t>
  </si>
  <si>
    <t>3200-09</t>
  </si>
  <si>
    <t>3200-61</t>
  </si>
  <si>
    <t>clubgebouw</t>
  </si>
  <si>
    <t>Mainframe</t>
  </si>
  <si>
    <t>Jeugd/Jongerengebouw</t>
  </si>
  <si>
    <t>Sint Jansstraat 1-01</t>
  </si>
  <si>
    <t>3200-27</t>
  </si>
  <si>
    <t>De Leybron</t>
  </si>
  <si>
    <t>gemeenschapshuis</t>
  </si>
  <si>
    <t>Dorpsplein 20</t>
  </si>
  <si>
    <t>3200-30</t>
  </si>
  <si>
    <t>De Wildacker</t>
  </si>
  <si>
    <t>wijkcentrum</t>
  </si>
  <si>
    <t>Van Hogendorpplein 73</t>
  </si>
  <si>
    <t>3200-29</t>
  </si>
  <si>
    <t>De Deel</t>
  </si>
  <si>
    <t>Frankische Driehoek 3</t>
  </si>
  <si>
    <t>3200-28</t>
  </si>
  <si>
    <t>Jan van Besouwhuis</t>
  </si>
  <si>
    <t>Cult. Centrum</t>
  </si>
  <si>
    <t>Th. Van Diessenstraat 1</t>
  </si>
  <si>
    <t>3200-31</t>
  </si>
  <si>
    <t>Gilde St. Mauritius</t>
  </si>
  <si>
    <t>Fabrieksstraat 18</t>
  </si>
  <si>
    <t>t Heem</t>
  </si>
  <si>
    <t>museum</t>
  </si>
  <si>
    <t>Nieuwe Rielseweg 41</t>
  </si>
  <si>
    <t>3200-15</t>
  </si>
  <si>
    <t>Brandweerkazerne</t>
  </si>
  <si>
    <t>Kerkstraat 14</t>
  </si>
  <si>
    <t>3200-11</t>
  </si>
  <si>
    <t>Veertels 9</t>
  </si>
  <si>
    <t>3200-10</t>
  </si>
  <si>
    <t>woonwagencentrum</t>
  </si>
  <si>
    <t>6 sanitaire units</t>
  </si>
  <si>
    <t>De Hemeltjes</t>
  </si>
  <si>
    <t>Sportpark</t>
  </si>
  <si>
    <t>pers. Verblijf</t>
  </si>
  <si>
    <t>De Geitenhoef 1a</t>
  </si>
  <si>
    <t>3200-24</t>
  </si>
  <si>
    <t>Handboogver. St. Sebastiaan</t>
  </si>
  <si>
    <t>De Schietberg 2</t>
  </si>
  <si>
    <t>3200-23</t>
  </si>
  <si>
    <t>Hockeyclub MHC</t>
  </si>
  <si>
    <t>De Schietberg 6</t>
  </si>
  <si>
    <t>3200-22</t>
  </si>
  <si>
    <t>3200-66</t>
  </si>
  <si>
    <t>SV VOAB</t>
  </si>
  <si>
    <t>Spoorbaan 45</t>
  </si>
  <si>
    <t>3200-21</t>
  </si>
  <si>
    <t>3200-65</t>
  </si>
  <si>
    <t>Voetbalclub GSBW</t>
  </si>
  <si>
    <t>Wim Rötherlaan 8</t>
  </si>
  <si>
    <t>3200-20</t>
  </si>
  <si>
    <t>3200-64</t>
  </si>
  <si>
    <t>VV Riel</t>
  </si>
  <si>
    <t>Oude Tilburgsebaan 3c</t>
  </si>
  <si>
    <t>3200-19</t>
  </si>
  <si>
    <t>3200-63</t>
  </si>
  <si>
    <t>Tennisvereniging Riel</t>
  </si>
  <si>
    <t>De Haspel</t>
  </si>
  <si>
    <t>sporthal/restaurant/dojo</t>
  </si>
  <si>
    <t>Grobbendonckpark 42</t>
  </si>
  <si>
    <t>3200-18</t>
  </si>
  <si>
    <t>3200-62</t>
  </si>
  <si>
    <t>Parkeergarage De Hovel</t>
  </si>
  <si>
    <t>3200-69</t>
  </si>
  <si>
    <t>Molen</t>
  </si>
  <si>
    <t>3200-16</t>
  </si>
  <si>
    <t>De Wildert</t>
  </si>
  <si>
    <t>Windmolen</t>
  </si>
  <si>
    <t>Nieuwe Rielseweg 39</t>
  </si>
  <si>
    <t>3200-17</t>
  </si>
  <si>
    <t>TOTAAL</t>
  </si>
  <si>
    <t>Taxatie:</t>
  </si>
  <si>
    <t>Riskview</t>
  </si>
  <si>
    <t>waarde 2020</t>
  </si>
  <si>
    <t>waarde 2021</t>
  </si>
  <si>
    <t>opmerkingen</t>
  </si>
  <si>
    <t>parkeergarage</t>
  </si>
  <si>
    <t>brandweerkazerne</t>
  </si>
  <si>
    <t>elders verzekerd.</t>
  </si>
  <si>
    <t>indexcijfer</t>
  </si>
  <si>
    <t>taxatie</t>
  </si>
  <si>
    <t>waarde 2019</t>
  </si>
  <si>
    <t>funderingen</t>
  </si>
  <si>
    <t>Gebouwen: d.d. nov 2019 - jan 2020  (6 jaar geldigheid)</t>
  </si>
  <si>
    <t xml:space="preserve">Inventaris: d.d. nov 2019 - jan 2020 (3 jaar geldigheid) </t>
  </si>
  <si>
    <t>Brandverzekering polisnummer B0100108542</t>
  </si>
  <si>
    <t>Dependance zorgcentrum</t>
  </si>
  <si>
    <t>kantoor</t>
  </si>
  <si>
    <t>waarde 2022</t>
  </si>
  <si>
    <t>Waarde 2023</t>
  </si>
  <si>
    <t>Rapport</t>
  </si>
  <si>
    <t>Totaal gebouw</t>
  </si>
  <si>
    <t>3200-75</t>
  </si>
  <si>
    <t>3200-76</t>
  </si>
  <si>
    <t>3200-77</t>
  </si>
  <si>
    <t>3200-78</t>
  </si>
  <si>
    <t>3200-79</t>
  </si>
  <si>
    <t>3200-80</t>
  </si>
  <si>
    <t>3200-81</t>
  </si>
  <si>
    <t>3200-82</t>
  </si>
  <si>
    <t>3200-83</t>
  </si>
  <si>
    <t>3200-84</t>
  </si>
  <si>
    <t>3200-85</t>
  </si>
  <si>
    <t>3200-86</t>
  </si>
  <si>
    <t>3200-87</t>
  </si>
  <si>
    <t>3200-88</t>
  </si>
  <si>
    <t>3200-89</t>
  </si>
  <si>
    <t>3200-90</t>
  </si>
  <si>
    <t>Opvanglocatie Tilburgseweg</t>
  </si>
  <si>
    <t>Opvang</t>
  </si>
  <si>
    <t>Tilburgseweg 209</t>
  </si>
  <si>
    <t>3200-33</t>
  </si>
  <si>
    <t>Elleboog 13</t>
  </si>
  <si>
    <t>Waarde 2024</t>
  </si>
  <si>
    <t>Troostwijk Index</t>
  </si>
  <si>
    <t>index</t>
  </si>
  <si>
    <t>indexstijging</t>
  </si>
  <si>
    <t>stijging tov VJ</t>
  </si>
  <si>
    <t>Rekenpercentage</t>
  </si>
  <si>
    <t>Totaal</t>
  </si>
  <si>
    <t>Gebouw</t>
  </si>
  <si>
    <t>Waarde 2025</t>
  </si>
  <si>
    <t>brandmeldsysteem zonder doormelding meldkamer</t>
  </si>
  <si>
    <t>inbraakinstallatie zonder doormelding meldkamer</t>
  </si>
  <si>
    <t>inbraakinstallatie met doormelding meldkamer</t>
  </si>
  <si>
    <t>sprinkler-installatie</t>
  </si>
  <si>
    <t xml:space="preserve">leegstand </t>
  </si>
  <si>
    <t>Omheind met hekwerk</t>
  </si>
  <si>
    <r>
      <t xml:space="preserve">brandmeldsysteem </t>
    </r>
    <r>
      <rPr>
        <b/>
        <i/>
        <sz val="10"/>
        <color rgb="FF000000"/>
        <rFont val="Univers (W1)"/>
      </rPr>
      <t xml:space="preserve">met doormelding meldkamer </t>
    </r>
  </si>
  <si>
    <t>Asbest in de panden verwerkt</t>
  </si>
  <si>
    <t xml:space="preserve">zonnepanelen op het dak </t>
  </si>
  <si>
    <t>monument zo ja gemeentelijk of landelijke monumenten status ?</t>
  </si>
  <si>
    <t>Postcode</t>
  </si>
  <si>
    <t xml:space="preserve">Bouwaard </t>
  </si>
  <si>
    <t>R</t>
  </si>
  <si>
    <t>N</t>
  </si>
  <si>
    <t>G</t>
  </si>
  <si>
    <t xml:space="preserve">G </t>
  </si>
  <si>
    <t>J</t>
  </si>
  <si>
    <t>R - gedeeltelijk</t>
  </si>
  <si>
    <t>steen, beton hellende daken staal,hout</t>
  </si>
  <si>
    <t>voornamelijk steen en beton</t>
  </si>
  <si>
    <t>voornamelijk steen en beton hellend dak staal/hout</t>
  </si>
  <si>
    <t>steen beton, plat en hellend dak staal/hout</t>
  </si>
  <si>
    <t>steen, beton, gevelbeplating, platte en hellende daken staal/hout</t>
  </si>
  <si>
    <t xml:space="preserve">voornamelijk steen en beton plattedaken voornamelijk staal </t>
  </si>
  <si>
    <t>voornamelijk steen en beton plattedaken beton</t>
  </si>
  <si>
    <t>traditionele kerktoren</t>
  </si>
  <si>
    <t>gevelsteen, houten zolder en kap</t>
  </si>
  <si>
    <t>steen, beton, plat en hellend dak staal/hout</t>
  </si>
  <si>
    <t>steen met puivulling, platdak hout</t>
  </si>
  <si>
    <t xml:space="preserve">steenachtig, dak </t>
  </si>
  <si>
    <t>oudbouw traditioneel klooster en kapel, nieuwbouw steen, beton en staal</t>
  </si>
  <si>
    <t xml:space="preserve">traditioneel voor bouwjaar </t>
  </si>
  <si>
    <t>steen, beton platdak</t>
  </si>
  <si>
    <t>steen met staalplaat dak en wand</t>
  </si>
  <si>
    <t>steen met houten kap en golfplaat asbestvrij</t>
  </si>
  <si>
    <t>steenachting, plat dak hout</t>
  </si>
  <si>
    <t>steenachtig, platdak hout, hal staalconstructie  met stalen dak en wandplaat</t>
  </si>
  <si>
    <t>beton</t>
  </si>
  <si>
    <r>
      <t xml:space="preserve">Molenstraat </t>
    </r>
    <r>
      <rPr>
        <sz val="10"/>
        <color rgb="FFFF0000"/>
        <rFont val="Arial"/>
        <family val="2"/>
      </rPr>
      <t>80</t>
    </r>
  </si>
  <si>
    <t>Kalverstraat 15</t>
  </si>
  <si>
    <t>traditionele gemetselde molen</t>
  </si>
  <si>
    <t>5051LT</t>
  </si>
  <si>
    <t>5051ML</t>
  </si>
  <si>
    <t>5133TZ</t>
  </si>
  <si>
    <t>5051KR</t>
  </si>
  <si>
    <t>5053EJ</t>
  </si>
  <si>
    <t>5051CR</t>
  </si>
  <si>
    <t>5051JP</t>
  </si>
  <si>
    <t>5051DV</t>
  </si>
  <si>
    <t>5133AJ</t>
  </si>
  <si>
    <t>5051RK</t>
  </si>
  <si>
    <t>5051RG</t>
  </si>
  <si>
    <t>5133AM</t>
  </si>
  <si>
    <t>5051ST</t>
  </si>
  <si>
    <t>5051BL</t>
  </si>
  <si>
    <t>N= niet verdacht</t>
  </si>
  <si>
    <t>geen</t>
  </si>
  <si>
    <t>5051RJ</t>
  </si>
  <si>
    <t>5051PD</t>
  </si>
  <si>
    <t>5051LB</t>
  </si>
  <si>
    <t>5133NL</t>
  </si>
  <si>
    <t>5051JZ</t>
  </si>
  <si>
    <t>5051NZ</t>
  </si>
  <si>
    <t>5051ET</t>
  </si>
  <si>
    <t>5051JS</t>
  </si>
  <si>
    <t>5133BD</t>
  </si>
  <si>
    <t>5051NK</t>
  </si>
  <si>
    <t>5051LH</t>
  </si>
  <si>
    <t>opvang vluchtelingen oekraine</t>
  </si>
  <si>
    <t>Milieustraat, voormalig kantoor</t>
  </si>
  <si>
    <t>Bij mij geen sprinklers bekend</t>
  </si>
  <si>
    <t>G= gemeentelijk- R= rijsmonument</t>
  </si>
  <si>
    <t>Geen reactie ontvangen</t>
  </si>
  <si>
    <t xml:space="preserve">J </t>
  </si>
  <si>
    <t>gebouw betreft de tijdelijke huisvesting voor Open hof en Den Bongerd</t>
  </si>
  <si>
    <t>n</t>
  </si>
  <si>
    <t>niet bekend</t>
  </si>
  <si>
    <t>nee</t>
  </si>
  <si>
    <t>j</t>
  </si>
  <si>
    <t>onbekend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</si>
</sst>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0.000"/>
  </numFmts>
  <fonts count="15">
    <font>
      <sz val="11"/>
      <color theme="1"/>
      <name val="Calibri"/>
      <family val="2"/>
      <scheme val="minor"/>
    </font>
    <font>
      <b/>
      <i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name val="Calibri"/>
      <family val="2"/>
      <scheme val="minor"/>
    </font>
    <font>
      <b/>
      <sz val="20"/>
      <name val="Arial"/>
      <family val="2"/>
    </font>
    <font>
      <sz val="11"/>
      <color theme="0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i/>
      <sz val="10"/>
      <color rgb="FF000000"/>
      <name val="Open Sans"/>
      <family val="2"/>
    </font>
    <font>
      <b/>
      <i/>
      <sz val="10"/>
      <color rgb="FF000000"/>
      <name val="Univers (W1)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rgb="FFCC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1" fillId="0" borderId="0"/>
  </cellStyleXfs>
  <cellXfs count="138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44" fontId="5" fillId="0" borderId="0" xfId="0" applyNumberFormat="1" applyFont="1" applyBorder="1"/>
    <xf numFmtId="0" fontId="5" fillId="0" borderId="1" xfId="0" applyFont="1" applyBorder="1"/>
    <xf numFmtId="0" fontId="3" fillId="0" borderId="3" xfId="0" applyFont="1" applyBorder="1"/>
    <xf numFmtId="0" fontId="5" fillId="0" borderId="3" xfId="0" applyFont="1" applyBorder="1"/>
    <xf numFmtId="0" fontId="2" fillId="0" borderId="3" xfId="0" applyFont="1" applyBorder="1"/>
    <xf numFmtId="44" fontId="5" fillId="0" borderId="2" xfId="0" applyNumberFormat="1" applyFont="1" applyBorder="1"/>
    <xf numFmtId="0" fontId="5" fillId="0" borderId="0" xfId="0" applyFont="1" applyFill="1" applyBorder="1"/>
    <xf numFmtId="44" fontId="5" fillId="0" borderId="0" xfId="0" applyNumberFormat="1" applyFont="1" applyFill="1" applyBorder="1"/>
    <xf numFmtId="164" fontId="5" fillId="0" borderId="0" xfId="0" applyNumberFormat="1" applyFont="1" applyBorder="1"/>
    <xf numFmtId="164" fontId="1" fillId="0" borderId="0" xfId="0" applyNumberFormat="1" applyFont="1" applyBorder="1"/>
    <xf numFmtId="0" fontId="2" fillId="2" borderId="4" xfId="0" applyFont="1" applyFill="1" applyBorder="1" applyAlignment="1"/>
    <xf numFmtId="0" fontId="2" fillId="2" borderId="5" xfId="0" applyFont="1" applyFill="1" applyBorder="1" applyAlignment="1"/>
    <xf numFmtId="0" fontId="7" fillId="0" borderId="0" xfId="0" applyFont="1" applyBorder="1"/>
    <xf numFmtId="44" fontId="7" fillId="0" borderId="0" xfId="0" applyNumberFormat="1" applyFont="1" applyBorder="1"/>
    <xf numFmtId="0" fontId="5" fillId="0" borderId="0" xfId="1" applyNumberFormat="1" applyFont="1" applyBorder="1"/>
    <xf numFmtId="0" fontId="5" fillId="0" borderId="0" xfId="0" applyNumberFormat="1" applyFont="1" applyBorder="1"/>
    <xf numFmtId="0" fontId="3" fillId="3" borderId="2" xfId="0" applyFont="1" applyFill="1" applyBorder="1"/>
    <xf numFmtId="0" fontId="3" fillId="3" borderId="0" xfId="0" applyFont="1" applyFill="1" applyBorder="1"/>
    <xf numFmtId="44" fontId="3" fillId="3" borderId="0" xfId="0" applyNumberFormat="1" applyFont="1" applyFill="1" applyBorder="1"/>
    <xf numFmtId="44" fontId="5" fillId="3" borderId="0" xfId="0" applyNumberFormat="1" applyFont="1" applyFill="1" applyBorder="1"/>
    <xf numFmtId="44" fontId="5" fillId="3" borderId="7" xfId="0" applyNumberFormat="1" applyFont="1" applyFill="1" applyBorder="1"/>
    <xf numFmtId="0" fontId="5" fillId="3" borderId="2" xfId="0" applyFont="1" applyFill="1" applyBorder="1"/>
    <xf numFmtId="0" fontId="5" fillId="3" borderId="0" xfId="0" applyFont="1" applyFill="1" applyBorder="1"/>
    <xf numFmtId="0" fontId="7" fillId="3" borderId="0" xfId="0" applyFont="1" applyFill="1" applyBorder="1"/>
    <xf numFmtId="44" fontId="7" fillId="3" borderId="0" xfId="0" applyNumberFormat="1" applyFont="1" applyFill="1" applyBorder="1"/>
    <xf numFmtId="44" fontId="7" fillId="3" borderId="7" xfId="0" applyNumberFormat="1" applyFont="1" applyFill="1" applyBorder="1"/>
    <xf numFmtId="0" fontId="2" fillId="3" borderId="2" xfId="0" applyFont="1" applyFill="1" applyBorder="1"/>
    <xf numFmtId="0" fontId="2" fillId="3" borderId="8" xfId="0" applyFont="1" applyFill="1" applyBorder="1"/>
    <xf numFmtId="44" fontId="5" fillId="3" borderId="9" xfId="0" applyNumberFormat="1" applyFont="1" applyFill="1" applyBorder="1"/>
    <xf numFmtId="44" fontId="5" fillId="3" borderId="10" xfId="0" applyNumberFormat="1" applyFont="1" applyFill="1" applyBorder="1"/>
    <xf numFmtId="44" fontId="5" fillId="5" borderId="2" xfId="0" applyNumberFormat="1" applyFont="1" applyFill="1" applyBorder="1"/>
    <xf numFmtId="44" fontId="5" fillId="5" borderId="0" xfId="0" applyNumberFormat="1" applyFont="1" applyFill="1" applyBorder="1"/>
    <xf numFmtId="44" fontId="5" fillId="5" borderId="7" xfId="0" applyNumberFormat="1" applyFont="1" applyFill="1" applyBorder="1"/>
    <xf numFmtId="44" fontId="5" fillId="5" borderId="0" xfId="0" applyNumberFormat="1" applyFont="1" applyFill="1" applyBorder="1" applyAlignment="1">
      <alignment horizontal="center" vertical="center"/>
    </xf>
    <xf numFmtId="0" fontId="5" fillId="5" borderId="2" xfId="0" applyFont="1" applyFill="1" applyBorder="1"/>
    <xf numFmtId="0" fontId="5" fillId="5" borderId="0" xfId="0" applyFont="1" applyFill="1" applyBorder="1"/>
    <xf numFmtId="0" fontId="7" fillId="5" borderId="2" xfId="0" applyFont="1" applyFill="1" applyBorder="1"/>
    <xf numFmtId="44" fontId="7" fillId="5" borderId="0" xfId="0" applyNumberFormat="1" applyFont="1" applyFill="1" applyBorder="1"/>
    <xf numFmtId="44" fontId="7" fillId="5" borderId="7" xfId="0" applyNumberFormat="1" applyFont="1" applyFill="1" applyBorder="1"/>
    <xf numFmtId="44" fontId="5" fillId="5" borderId="8" xfId="0" applyNumberFormat="1" applyFont="1" applyFill="1" applyBorder="1"/>
    <xf numFmtId="44" fontId="5" fillId="5" borderId="9" xfId="0" applyNumberFormat="1" applyFont="1" applyFill="1" applyBorder="1"/>
    <xf numFmtId="44" fontId="5" fillId="5" borderId="10" xfId="0" applyNumberFormat="1" applyFont="1" applyFill="1" applyBorder="1"/>
    <xf numFmtId="44" fontId="5" fillId="7" borderId="0" xfId="0" applyNumberFormat="1" applyFont="1" applyFill="1" applyBorder="1"/>
    <xf numFmtId="44" fontId="5" fillId="7" borderId="7" xfId="0" applyNumberFormat="1" applyFont="1" applyFill="1" applyBorder="1"/>
    <xf numFmtId="44" fontId="7" fillId="7" borderId="0" xfId="0" applyNumberFormat="1" applyFont="1" applyFill="1" applyBorder="1"/>
    <xf numFmtId="44" fontId="7" fillId="7" borderId="7" xfId="0" applyNumberFormat="1" applyFont="1" applyFill="1" applyBorder="1"/>
    <xf numFmtId="44" fontId="5" fillId="7" borderId="9" xfId="0" applyNumberFormat="1" applyFont="1" applyFill="1" applyBorder="1"/>
    <xf numFmtId="44" fontId="5" fillId="7" borderId="10" xfId="0" applyNumberFormat="1" applyFont="1" applyFill="1" applyBorder="1"/>
    <xf numFmtId="44" fontId="5" fillId="9" borderId="0" xfId="0" applyNumberFormat="1" applyFont="1" applyFill="1" applyBorder="1"/>
    <xf numFmtId="44" fontId="5" fillId="9" borderId="7" xfId="0" applyNumberFormat="1" applyFont="1" applyFill="1" applyBorder="1"/>
    <xf numFmtId="44" fontId="7" fillId="9" borderId="0" xfId="0" applyNumberFormat="1" applyFont="1" applyFill="1" applyBorder="1"/>
    <xf numFmtId="44" fontId="7" fillId="9" borderId="7" xfId="0" applyNumberFormat="1" applyFont="1" applyFill="1" applyBorder="1"/>
    <xf numFmtId="44" fontId="5" fillId="9" borderId="9" xfId="0" applyNumberFormat="1" applyFont="1" applyFill="1" applyBorder="1"/>
    <xf numFmtId="44" fontId="5" fillId="9" borderId="10" xfId="0" applyNumberFormat="1" applyFont="1" applyFill="1" applyBorder="1"/>
    <xf numFmtId="44" fontId="5" fillId="3" borderId="2" xfId="0" applyNumberFormat="1" applyFont="1" applyFill="1" applyBorder="1"/>
    <xf numFmtId="44" fontId="5" fillId="3" borderId="8" xfId="0" applyNumberFormat="1" applyFont="1" applyFill="1" applyBorder="1"/>
    <xf numFmtId="44" fontId="7" fillId="5" borderId="2" xfId="0" applyNumberFormat="1" applyFont="1" applyFill="1" applyBorder="1"/>
    <xf numFmtId="164" fontId="5" fillId="5" borderId="0" xfId="0" applyNumberFormat="1" applyFont="1" applyFill="1" applyBorder="1"/>
    <xf numFmtId="164" fontId="5" fillId="9" borderId="5" xfId="0" applyNumberFormat="1" applyFont="1" applyFill="1" applyBorder="1"/>
    <xf numFmtId="164" fontId="5" fillId="9" borderId="6" xfId="0" applyNumberFormat="1" applyFont="1" applyFill="1" applyBorder="1"/>
    <xf numFmtId="164" fontId="5" fillId="3" borderId="3" xfId="0" applyNumberFormat="1" applyFont="1" applyFill="1" applyBorder="1"/>
    <xf numFmtId="164" fontId="5" fillId="3" borderId="11" xfId="0" applyNumberFormat="1" applyFont="1" applyFill="1" applyBorder="1"/>
    <xf numFmtId="164" fontId="5" fillId="3" borderId="8" xfId="0" applyNumberFormat="1" applyFont="1" applyFill="1" applyBorder="1"/>
    <xf numFmtId="164" fontId="5" fillId="3" borderId="9" xfId="0" applyNumberFormat="1" applyFont="1" applyFill="1" applyBorder="1"/>
    <xf numFmtId="164" fontId="5" fillId="5" borderId="8" xfId="0" applyNumberFormat="1" applyFont="1" applyFill="1" applyBorder="1"/>
    <xf numFmtId="164" fontId="5" fillId="5" borderId="9" xfId="0" applyNumberFormat="1" applyFont="1" applyFill="1" applyBorder="1"/>
    <xf numFmtId="164" fontId="5" fillId="5" borderId="10" xfId="0" applyNumberFormat="1" applyFont="1" applyFill="1" applyBorder="1"/>
    <xf numFmtId="164" fontId="5" fillId="7" borderId="12" xfId="0" applyNumberFormat="1" applyFont="1" applyFill="1" applyBorder="1"/>
    <xf numFmtId="0" fontId="2" fillId="4" borderId="2" xfId="0" applyFont="1" applyFill="1" applyBorder="1" applyAlignment="1">
      <alignment horizontal="center"/>
    </xf>
    <xf numFmtId="164" fontId="5" fillId="7" borderId="11" xfId="0" applyNumberFormat="1" applyFont="1" applyFill="1" applyBorder="1"/>
    <xf numFmtId="0" fontId="2" fillId="4" borderId="0" xfId="0" applyFont="1" applyFill="1" applyBorder="1" applyAlignment="1">
      <alignment horizontal="center"/>
    </xf>
    <xf numFmtId="0" fontId="10" fillId="0" borderId="0" xfId="0" applyFont="1" applyBorder="1"/>
    <xf numFmtId="0" fontId="5" fillId="0" borderId="2" xfId="0" applyNumberFormat="1" applyFont="1" applyBorder="1"/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0" borderId="9" xfId="0" applyNumberFormat="1" applyFont="1" applyBorder="1"/>
    <xf numFmtId="0" fontId="5" fillId="0" borderId="10" xfId="0" applyNumberFormat="1" applyFont="1" applyBorder="1"/>
    <xf numFmtId="165" fontId="5" fillId="0" borderId="0" xfId="0" applyNumberFormat="1" applyFont="1" applyBorder="1"/>
    <xf numFmtId="165" fontId="5" fillId="0" borderId="7" xfId="0" applyNumberFormat="1" applyFont="1" applyBorder="1"/>
    <xf numFmtId="165" fontId="5" fillId="0" borderId="9" xfId="0" applyNumberFormat="1" applyFont="1" applyBorder="1"/>
    <xf numFmtId="44" fontId="10" fillId="0" borderId="0" xfId="0" applyNumberFormat="1" applyFont="1" applyBorder="1"/>
    <xf numFmtId="44" fontId="10" fillId="0" borderId="4" xfId="0" applyNumberFormat="1" applyFont="1" applyBorder="1"/>
    <xf numFmtId="44" fontId="10" fillId="0" borderId="5" xfId="0" applyNumberFormat="1" applyFont="1" applyBorder="1"/>
    <xf numFmtId="44" fontId="10" fillId="0" borderId="6" xfId="0" applyNumberFormat="1" applyFont="1" applyBorder="1"/>
    <xf numFmtId="44" fontId="10" fillId="0" borderId="2" xfId="0" applyNumberFormat="1" applyFont="1" applyBorder="1"/>
    <xf numFmtId="165" fontId="5" fillId="0" borderId="2" xfId="0" applyNumberFormat="1" applyFont="1" applyBorder="1"/>
    <xf numFmtId="165" fontId="5" fillId="0" borderId="8" xfId="0" applyNumberFormat="1" applyFont="1" applyBorder="1"/>
    <xf numFmtId="164" fontId="5" fillId="5" borderId="2" xfId="0" applyNumberFormat="1" applyFont="1" applyFill="1" applyBorder="1"/>
    <xf numFmtId="0" fontId="10" fillId="0" borderId="6" xfId="0" applyNumberFormat="1" applyFont="1" applyBorder="1"/>
    <xf numFmtId="0" fontId="5" fillId="0" borderId="7" xfId="1" applyNumberFormat="1" applyFont="1" applyBorder="1"/>
    <xf numFmtId="0" fontId="5" fillId="0" borderId="7" xfId="2" applyNumberFormat="1" applyFont="1" applyBorder="1"/>
    <xf numFmtId="0" fontId="5" fillId="5" borderId="7" xfId="0" applyNumberFormat="1" applyFont="1" applyFill="1" applyBorder="1"/>
    <xf numFmtId="164" fontId="5" fillId="7" borderId="2" xfId="0" applyNumberFormat="1" applyFont="1" applyFill="1" applyBorder="1"/>
    <xf numFmtId="164" fontId="5" fillId="7" borderId="0" xfId="0" applyNumberFormat="1" applyFont="1" applyFill="1" applyBorder="1"/>
    <xf numFmtId="0" fontId="5" fillId="7" borderId="7" xfId="0" applyNumberFormat="1" applyFont="1" applyFill="1" applyBorder="1"/>
    <xf numFmtId="44" fontId="5" fillId="7" borderId="2" xfId="0" applyNumberFormat="1" applyFont="1" applyFill="1" applyBorder="1"/>
    <xf numFmtId="165" fontId="9" fillId="0" borderId="2" xfId="0" applyNumberFormat="1" applyFont="1" applyBorder="1"/>
    <xf numFmtId="165" fontId="5" fillId="0" borderId="7" xfId="1" applyNumberFormat="1" applyFont="1" applyBorder="1"/>
    <xf numFmtId="44" fontId="5" fillId="10" borderId="0" xfId="0" applyNumberFormat="1" applyFont="1" applyFill="1" applyBorder="1"/>
    <xf numFmtId="44" fontId="5" fillId="10" borderId="9" xfId="0" applyNumberFormat="1" applyFont="1" applyFill="1" applyBorder="1"/>
    <xf numFmtId="44" fontId="7" fillId="10" borderId="0" xfId="0" applyNumberFormat="1" applyFont="1" applyFill="1" applyBorder="1"/>
    <xf numFmtId="49" fontId="12" fillId="11" borderId="13" xfId="3" quotePrefix="1" applyNumberFormat="1" applyFont="1" applyFill="1" applyBorder="1" applyAlignment="1">
      <alignment horizontal="center" vertical="top" wrapText="1"/>
    </xf>
    <xf numFmtId="43" fontId="12" fillId="11" borderId="13" xfId="3" applyNumberFormat="1" applyFont="1" applyFill="1" applyBorder="1" applyAlignment="1">
      <alignment horizontal="center" vertical="top" wrapText="1"/>
    </xf>
    <xf numFmtId="0" fontId="10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44" fontId="5" fillId="3" borderId="0" xfId="0" applyNumberFormat="1" applyFont="1" applyFill="1" applyBorder="1" applyAlignment="1">
      <alignment horizontal="left"/>
    </xf>
    <xf numFmtId="0" fontId="6" fillId="4" borderId="0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44" fontId="5" fillId="3" borderId="0" xfId="0" applyNumberFormat="1" applyFont="1" applyFill="1" applyBorder="1" applyAlignment="1">
      <alignment horizontal="center" vertical="center"/>
    </xf>
    <xf numFmtId="44" fontId="5" fillId="0" borderId="5" xfId="0" applyNumberFormat="1" applyFont="1" applyFill="1" applyBorder="1" applyAlignment="1">
      <alignment horizontal="center"/>
    </xf>
    <xf numFmtId="44" fontId="5" fillId="0" borderId="6" xfId="0" applyNumberFormat="1" applyFont="1" applyFill="1" applyBorder="1" applyAlignment="1">
      <alignment horizontal="center"/>
    </xf>
    <xf numFmtId="44" fontId="5" fillId="0" borderId="0" xfId="0" applyNumberFormat="1" applyFont="1" applyBorder="1" applyAlignment="1">
      <alignment horizontal="left" vertical="center" wrapText="1"/>
    </xf>
    <xf numFmtId="44" fontId="5" fillId="5" borderId="0" xfId="0" applyNumberFormat="1" applyFont="1" applyFill="1" applyBorder="1" applyAlignment="1">
      <alignment horizontal="center" vertical="center"/>
    </xf>
    <xf numFmtId="44" fontId="5" fillId="7" borderId="0" xfId="0" applyNumberFormat="1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/>
    </xf>
    <xf numFmtId="44" fontId="5" fillId="9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6" borderId="2" xfId="0" applyNumberFormat="1" applyFont="1" applyFill="1" applyBorder="1" applyAlignment="1">
      <alignment horizontal="center"/>
    </xf>
    <xf numFmtId="0" fontId="6" fillId="6" borderId="0" xfId="0" applyNumberFormat="1" applyFont="1" applyFill="1" applyBorder="1" applyAlignment="1">
      <alignment horizontal="center"/>
    </xf>
    <xf numFmtId="0" fontId="6" fillId="6" borderId="7" xfId="0" applyNumberFormat="1" applyFont="1" applyFill="1" applyBorder="1" applyAlignment="1">
      <alignment horizontal="center"/>
    </xf>
  </cellXfs>
  <cellStyles count="4">
    <cellStyle name="Komma" xfId="1" builtinId="3"/>
    <cellStyle name="Procent" xfId="2" builtinId="5"/>
    <cellStyle name="Standaard" xfId="0" builtinId="0"/>
    <cellStyle name="Standaard 2" xfId="3" xr:uid="{2D77373C-0800-49B3-87B4-6691ECAAC1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1981200</xdr:colOff>
      <xdr:row>0</xdr:row>
      <xdr:rowOff>180975</xdr:rowOff>
    </xdr:from>
    <xdr:to>
      <xdr:col>3</xdr:col>
      <xdr:colOff>609600</xdr:colOff>
      <xdr:row>2</xdr:row>
      <xdr:rowOff>98152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684FEFA-6E03-2FFC-51C8-66D2A6499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1200" y="180975"/>
          <a:ext cx="2743200" cy="290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D483F-BCF1-4243-AD31-70F6DBDA1B59}">
  <dimension ref="A1:AW66"/>
  <sheetViews>
    <sheetView tabSelected="1" topLeftCell="B1" zoomScale="85" zoomScaleNormal="85" workbookViewId="0">
      <pane xSplit="2" ySplit="6" topLeftCell="AN31" activePane="bottomRight" state="frozen"/>
      <selection activeCell="B1" sqref="B1"/>
      <selection pane="topRight" activeCell="D1" sqref="D1"/>
      <selection pane="bottomLeft" activeCell="B7" sqref="B7"/>
      <selection pane="bottomRight" activeCell="AN48" sqref="AN48"/>
    </sheetView>
  </sheetViews>
  <sheetFormatPr defaultRowHeight="14.4"/>
  <cols>
    <col min="1" max="1" width="18.88671875" style="6" hidden="1" customWidth="1"/>
    <col min="2" max="2" width="38.109375" style="6" customWidth="1"/>
    <col min="3" max="3" width="23.5546875" style="6" bestFit="1" customWidth="1"/>
    <col min="4" max="4" width="51.6640625" style="111" customWidth="1"/>
    <col min="5" max="5" width="26" style="6" bestFit="1" customWidth="1"/>
    <col min="6" max="6" width="12.88671875" style="6" customWidth="1"/>
    <col min="7" max="7" width="6.5546875" style="6" bestFit="1" customWidth="1"/>
    <col min="8" max="8" width="11.109375" style="6" hidden="1" customWidth="1"/>
    <col min="9" max="9" width="15.109375" style="6" hidden="1" customWidth="1"/>
    <col min="10" max="11" width="15.109375" style="7" hidden="1" customWidth="1"/>
    <col min="12" max="12" width="16.109375" style="7" hidden="1" customWidth="1"/>
    <col min="13" max="14" width="15.109375" style="7" hidden="1" customWidth="1"/>
    <col min="15" max="15" width="8.44140625" style="7" hidden="1" customWidth="1"/>
    <col min="16" max="17" width="15.109375" style="7" hidden="1" customWidth="1"/>
    <col min="18" max="18" width="16.109375" style="7" hidden="1" customWidth="1"/>
    <col min="19" max="19" width="8.44140625" style="7" hidden="1" customWidth="1"/>
    <col min="20" max="20" width="15.109375" style="7" hidden="1" customWidth="1"/>
    <col min="21" max="21" width="16.109375" style="7" hidden="1" customWidth="1"/>
    <col min="22" max="22" width="15.109375" style="7" hidden="1" customWidth="1"/>
    <col min="23" max="23" width="16.109375" style="7" hidden="1" customWidth="1"/>
    <col min="24" max="24" width="15.109375" style="7" hidden="1" customWidth="1"/>
    <col min="25" max="25" width="8.88671875" style="7" hidden="1" customWidth="1"/>
    <col min="26" max="26" width="16.109375" style="7" hidden="1" customWidth="1"/>
    <col min="27" max="27" width="8.88671875" style="7" hidden="1" customWidth="1"/>
    <col min="28" max="28" width="15.109375" style="12" hidden="1" customWidth="1"/>
    <col min="29" max="29" width="16.109375" style="7" hidden="1" customWidth="1"/>
    <col min="30" max="30" width="16.109375" style="7" bestFit="1" customWidth="1"/>
    <col min="31" max="31" width="15.5546875" style="7" hidden="1" customWidth="1"/>
    <col min="32" max="32" width="15.109375" style="7" bestFit="1" customWidth="1"/>
    <col min="33" max="33" width="17.6640625" style="22" bestFit="1" customWidth="1"/>
    <col min="34" max="34" width="15.109375" style="7" hidden="1" customWidth="1"/>
    <col min="35" max="35" width="15.5546875" style="7" hidden="1" customWidth="1"/>
    <col min="36" max="36" width="15" style="7" hidden="1" customWidth="1"/>
    <col min="37" max="37" width="17.6640625" style="22" hidden="1" customWidth="1"/>
    <col min="38" max="38" width="17.5546875" style="7" bestFit="1" customWidth="1"/>
    <col min="39" max="39" width="19.33203125" style="7" customWidth="1"/>
    <col min="40" max="40" width="31.109375" style="7" customWidth="1"/>
    <col min="41" max="41" width="22.88671875" style="7" customWidth="1"/>
    <col min="42" max="42" width="25.44140625" style="7" customWidth="1"/>
    <col min="43" max="43" width="23.5546875" style="7" customWidth="1"/>
    <col min="44" max="44" width="17.44140625" style="6" customWidth="1"/>
    <col min="45" max="45" width="18" style="6" customWidth="1"/>
    <col min="46" max="46" width="16.5546875" style="6" customWidth="1"/>
    <col min="47" max="47" width="13" style="6" customWidth="1"/>
    <col min="48" max="48" width="14.6640625" style="6" customWidth="1"/>
    <col min="49" max="49" width="41.109375" style="6" customWidth="1"/>
    <col min="50" max="277" width="9.109375" style="6"/>
    <col min="278" max="278" width="14.6640625" style="6" customWidth="1"/>
    <col min="279" max="279" width="26.33203125" style="6" customWidth="1"/>
    <col min="280" max="280" width="20.5546875" style="6" customWidth="1"/>
    <col min="281" max="281" width="27.44140625" style="6" customWidth="1"/>
    <col min="282" max="282" width="6.44140625" style="6" customWidth="1"/>
    <col min="283" max="283" width="11.109375" style="6" bestFit="1" customWidth="1"/>
    <col min="284" max="285" width="15.5546875" style="6" bestFit="1" customWidth="1"/>
    <col min="286" max="286" width="12.88671875" style="6" bestFit="1" customWidth="1"/>
    <col min="287" max="287" width="15.5546875" style="6" bestFit="1" customWidth="1"/>
    <col min="288" max="289" width="15.5546875" style="6" customWidth="1"/>
    <col min="290" max="533" width="9.109375" style="6"/>
    <col min="534" max="534" width="14.6640625" style="6" customWidth="1"/>
    <col min="535" max="535" width="26.33203125" style="6" customWidth="1"/>
    <col min="536" max="536" width="20.5546875" style="6" customWidth="1"/>
    <col min="537" max="537" width="27.44140625" style="6" customWidth="1"/>
    <col min="538" max="538" width="6.44140625" style="6" customWidth="1"/>
    <col min="539" max="539" width="11.109375" style="6" bestFit="1" customWidth="1"/>
    <col min="540" max="541" width="15.5546875" style="6" bestFit="1" customWidth="1"/>
    <col min="542" max="542" width="12.88671875" style="6" bestFit="1" customWidth="1"/>
    <col min="543" max="543" width="15.5546875" style="6" bestFit="1" customWidth="1"/>
    <col min="544" max="545" width="15.5546875" style="6" customWidth="1"/>
    <col min="546" max="789" width="9.109375" style="6"/>
    <col min="790" max="790" width="14.6640625" style="6" customWidth="1"/>
    <col min="791" max="791" width="26.33203125" style="6" customWidth="1"/>
    <col min="792" max="792" width="20.5546875" style="6" customWidth="1"/>
    <col min="793" max="793" width="27.44140625" style="6" customWidth="1"/>
    <col min="794" max="794" width="6.44140625" style="6" customWidth="1"/>
    <col min="795" max="795" width="11.109375" style="6" bestFit="1" customWidth="1"/>
    <col min="796" max="797" width="15.5546875" style="6" bestFit="1" customWidth="1"/>
    <col min="798" max="798" width="12.88671875" style="6" bestFit="1" customWidth="1"/>
    <col min="799" max="799" width="15.5546875" style="6" bestFit="1" customWidth="1"/>
    <col min="800" max="801" width="15.5546875" style="6" customWidth="1"/>
    <col min="802" max="1045" width="9.109375" style="6"/>
    <col min="1046" max="1046" width="14.6640625" style="6" customWidth="1"/>
    <col min="1047" max="1047" width="26.33203125" style="6" customWidth="1"/>
    <col min="1048" max="1048" width="20.5546875" style="6" customWidth="1"/>
    <col min="1049" max="1049" width="27.44140625" style="6" customWidth="1"/>
    <col min="1050" max="1050" width="6.44140625" style="6" customWidth="1"/>
    <col min="1051" max="1051" width="11.109375" style="6" bestFit="1" customWidth="1"/>
    <col min="1052" max="1053" width="15.5546875" style="6" bestFit="1" customWidth="1"/>
    <col min="1054" max="1054" width="12.88671875" style="6" bestFit="1" customWidth="1"/>
    <col min="1055" max="1055" width="15.5546875" style="6" bestFit="1" customWidth="1"/>
    <col min="1056" max="1057" width="15.5546875" style="6" customWidth="1"/>
    <col min="1058" max="1301" width="9.109375" style="6"/>
    <col min="1302" max="1302" width="14.6640625" style="6" customWidth="1"/>
    <col min="1303" max="1303" width="26.33203125" style="6" customWidth="1"/>
    <col min="1304" max="1304" width="20.5546875" style="6" customWidth="1"/>
    <col min="1305" max="1305" width="27.44140625" style="6" customWidth="1"/>
    <col min="1306" max="1306" width="6.44140625" style="6" customWidth="1"/>
    <col min="1307" max="1307" width="11.109375" style="6" bestFit="1" customWidth="1"/>
    <col min="1308" max="1309" width="15.5546875" style="6" bestFit="1" customWidth="1"/>
    <col min="1310" max="1310" width="12.88671875" style="6" bestFit="1" customWidth="1"/>
    <col min="1311" max="1311" width="15.5546875" style="6" bestFit="1" customWidth="1"/>
    <col min="1312" max="1313" width="15.5546875" style="6" customWidth="1"/>
    <col min="1314" max="1557" width="9.109375" style="6"/>
    <col min="1558" max="1558" width="14.6640625" style="6" customWidth="1"/>
    <col min="1559" max="1559" width="26.33203125" style="6" customWidth="1"/>
    <col min="1560" max="1560" width="20.5546875" style="6" customWidth="1"/>
    <col min="1561" max="1561" width="27.44140625" style="6" customWidth="1"/>
    <col min="1562" max="1562" width="6.44140625" style="6" customWidth="1"/>
    <col min="1563" max="1563" width="11.109375" style="6" bestFit="1" customWidth="1"/>
    <col min="1564" max="1565" width="15.5546875" style="6" bestFit="1" customWidth="1"/>
    <col min="1566" max="1566" width="12.88671875" style="6" bestFit="1" customWidth="1"/>
    <col min="1567" max="1567" width="15.5546875" style="6" bestFit="1" customWidth="1"/>
    <col min="1568" max="1569" width="15.5546875" style="6" customWidth="1"/>
    <col min="1570" max="1813" width="9.109375" style="6"/>
    <col min="1814" max="1814" width="14.6640625" style="6" customWidth="1"/>
    <col min="1815" max="1815" width="26.33203125" style="6" customWidth="1"/>
    <col min="1816" max="1816" width="20.5546875" style="6" customWidth="1"/>
    <col min="1817" max="1817" width="27.44140625" style="6" customWidth="1"/>
    <col min="1818" max="1818" width="6.44140625" style="6" customWidth="1"/>
    <col min="1819" max="1819" width="11.109375" style="6" bestFit="1" customWidth="1"/>
    <col min="1820" max="1821" width="15.5546875" style="6" bestFit="1" customWidth="1"/>
    <col min="1822" max="1822" width="12.88671875" style="6" bestFit="1" customWidth="1"/>
    <col min="1823" max="1823" width="15.5546875" style="6" bestFit="1" customWidth="1"/>
    <col min="1824" max="1825" width="15.5546875" style="6" customWidth="1"/>
    <col min="1826" max="2069" width="9.109375" style="6"/>
    <col min="2070" max="2070" width="14.6640625" style="6" customWidth="1"/>
    <col min="2071" max="2071" width="26.33203125" style="6" customWidth="1"/>
    <col min="2072" max="2072" width="20.5546875" style="6" customWidth="1"/>
    <col min="2073" max="2073" width="27.44140625" style="6" customWidth="1"/>
    <col min="2074" max="2074" width="6.44140625" style="6" customWidth="1"/>
    <col min="2075" max="2075" width="11.109375" style="6" bestFit="1" customWidth="1"/>
    <col min="2076" max="2077" width="15.5546875" style="6" bestFit="1" customWidth="1"/>
    <col min="2078" max="2078" width="12.88671875" style="6" bestFit="1" customWidth="1"/>
    <col min="2079" max="2079" width="15.5546875" style="6" bestFit="1" customWidth="1"/>
    <col min="2080" max="2081" width="15.5546875" style="6" customWidth="1"/>
    <col min="2082" max="2325" width="9.109375" style="6"/>
    <col min="2326" max="2326" width="14.6640625" style="6" customWidth="1"/>
    <col min="2327" max="2327" width="26.33203125" style="6" customWidth="1"/>
    <col min="2328" max="2328" width="20.5546875" style="6" customWidth="1"/>
    <col min="2329" max="2329" width="27.44140625" style="6" customWidth="1"/>
    <col min="2330" max="2330" width="6.44140625" style="6" customWidth="1"/>
    <col min="2331" max="2331" width="11.109375" style="6" bestFit="1" customWidth="1"/>
    <col min="2332" max="2333" width="15.5546875" style="6" bestFit="1" customWidth="1"/>
    <col min="2334" max="2334" width="12.88671875" style="6" bestFit="1" customWidth="1"/>
    <col min="2335" max="2335" width="15.5546875" style="6" bestFit="1" customWidth="1"/>
    <col min="2336" max="2337" width="15.5546875" style="6" customWidth="1"/>
    <col min="2338" max="2581" width="9.109375" style="6"/>
    <col min="2582" max="2582" width="14.6640625" style="6" customWidth="1"/>
    <col min="2583" max="2583" width="26.33203125" style="6" customWidth="1"/>
    <col min="2584" max="2584" width="20.5546875" style="6" customWidth="1"/>
    <col min="2585" max="2585" width="27.44140625" style="6" customWidth="1"/>
    <col min="2586" max="2586" width="6.44140625" style="6" customWidth="1"/>
    <col min="2587" max="2587" width="11.109375" style="6" bestFit="1" customWidth="1"/>
    <col min="2588" max="2589" width="15.5546875" style="6" bestFit="1" customWidth="1"/>
    <col min="2590" max="2590" width="12.88671875" style="6" bestFit="1" customWidth="1"/>
    <col min="2591" max="2591" width="15.5546875" style="6" bestFit="1" customWidth="1"/>
    <col min="2592" max="2593" width="15.5546875" style="6" customWidth="1"/>
    <col min="2594" max="2837" width="9.109375" style="6"/>
    <col min="2838" max="2838" width="14.6640625" style="6" customWidth="1"/>
    <col min="2839" max="2839" width="26.33203125" style="6" customWidth="1"/>
    <col min="2840" max="2840" width="20.5546875" style="6" customWidth="1"/>
    <col min="2841" max="2841" width="27.44140625" style="6" customWidth="1"/>
    <col min="2842" max="2842" width="6.44140625" style="6" customWidth="1"/>
    <col min="2843" max="2843" width="11.109375" style="6" bestFit="1" customWidth="1"/>
    <col min="2844" max="2845" width="15.5546875" style="6" bestFit="1" customWidth="1"/>
    <col min="2846" max="2846" width="12.88671875" style="6" bestFit="1" customWidth="1"/>
    <col min="2847" max="2847" width="15.5546875" style="6" bestFit="1" customWidth="1"/>
    <col min="2848" max="2849" width="15.5546875" style="6" customWidth="1"/>
    <col min="2850" max="3093" width="9.109375" style="6"/>
    <col min="3094" max="3094" width="14.6640625" style="6" customWidth="1"/>
    <col min="3095" max="3095" width="26.33203125" style="6" customWidth="1"/>
    <col min="3096" max="3096" width="20.5546875" style="6" customWidth="1"/>
    <col min="3097" max="3097" width="27.44140625" style="6" customWidth="1"/>
    <col min="3098" max="3098" width="6.44140625" style="6" customWidth="1"/>
    <col min="3099" max="3099" width="11.109375" style="6" bestFit="1" customWidth="1"/>
    <col min="3100" max="3101" width="15.5546875" style="6" bestFit="1" customWidth="1"/>
    <col min="3102" max="3102" width="12.88671875" style="6" bestFit="1" customWidth="1"/>
    <col min="3103" max="3103" width="15.5546875" style="6" bestFit="1" customWidth="1"/>
    <col min="3104" max="3105" width="15.5546875" style="6" customWidth="1"/>
    <col min="3106" max="3349" width="9.109375" style="6"/>
    <col min="3350" max="3350" width="14.6640625" style="6" customWidth="1"/>
    <col min="3351" max="3351" width="26.33203125" style="6" customWidth="1"/>
    <col min="3352" max="3352" width="20.5546875" style="6" customWidth="1"/>
    <col min="3353" max="3353" width="27.44140625" style="6" customWidth="1"/>
    <col min="3354" max="3354" width="6.44140625" style="6" customWidth="1"/>
    <col min="3355" max="3355" width="11.109375" style="6" bestFit="1" customWidth="1"/>
    <col min="3356" max="3357" width="15.5546875" style="6" bestFit="1" customWidth="1"/>
    <col min="3358" max="3358" width="12.88671875" style="6" bestFit="1" customWidth="1"/>
    <col min="3359" max="3359" width="15.5546875" style="6" bestFit="1" customWidth="1"/>
    <col min="3360" max="3361" width="15.5546875" style="6" customWidth="1"/>
    <col min="3362" max="3605" width="9.109375" style="6"/>
    <col min="3606" max="3606" width="14.6640625" style="6" customWidth="1"/>
    <col min="3607" max="3607" width="26.33203125" style="6" customWidth="1"/>
    <col min="3608" max="3608" width="20.5546875" style="6" customWidth="1"/>
    <col min="3609" max="3609" width="27.44140625" style="6" customWidth="1"/>
    <col min="3610" max="3610" width="6.44140625" style="6" customWidth="1"/>
    <col min="3611" max="3611" width="11.109375" style="6" bestFit="1" customWidth="1"/>
    <col min="3612" max="3613" width="15.5546875" style="6" bestFit="1" customWidth="1"/>
    <col min="3614" max="3614" width="12.88671875" style="6" bestFit="1" customWidth="1"/>
    <col min="3615" max="3615" width="15.5546875" style="6" bestFit="1" customWidth="1"/>
    <col min="3616" max="3617" width="15.5546875" style="6" customWidth="1"/>
    <col min="3618" max="3861" width="9.109375" style="6"/>
    <col min="3862" max="3862" width="14.6640625" style="6" customWidth="1"/>
    <col min="3863" max="3863" width="26.33203125" style="6" customWidth="1"/>
    <col min="3864" max="3864" width="20.5546875" style="6" customWidth="1"/>
    <col min="3865" max="3865" width="27.44140625" style="6" customWidth="1"/>
    <col min="3866" max="3866" width="6.44140625" style="6" customWidth="1"/>
    <col min="3867" max="3867" width="11.109375" style="6" bestFit="1" customWidth="1"/>
    <col min="3868" max="3869" width="15.5546875" style="6" bestFit="1" customWidth="1"/>
    <col min="3870" max="3870" width="12.88671875" style="6" bestFit="1" customWidth="1"/>
    <col min="3871" max="3871" width="15.5546875" style="6" bestFit="1" customWidth="1"/>
    <col min="3872" max="3873" width="15.5546875" style="6" customWidth="1"/>
    <col min="3874" max="4117" width="9.109375" style="6"/>
    <col min="4118" max="4118" width="14.6640625" style="6" customWidth="1"/>
    <col min="4119" max="4119" width="26.33203125" style="6" customWidth="1"/>
    <col min="4120" max="4120" width="20.5546875" style="6" customWidth="1"/>
    <col min="4121" max="4121" width="27.44140625" style="6" customWidth="1"/>
    <col min="4122" max="4122" width="6.44140625" style="6" customWidth="1"/>
    <col min="4123" max="4123" width="11.109375" style="6" bestFit="1" customWidth="1"/>
    <col min="4124" max="4125" width="15.5546875" style="6" bestFit="1" customWidth="1"/>
    <col min="4126" max="4126" width="12.88671875" style="6" bestFit="1" customWidth="1"/>
    <col min="4127" max="4127" width="15.5546875" style="6" bestFit="1" customWidth="1"/>
    <col min="4128" max="4129" width="15.5546875" style="6" customWidth="1"/>
    <col min="4130" max="4373" width="9.109375" style="6"/>
    <col min="4374" max="4374" width="14.6640625" style="6" customWidth="1"/>
    <col min="4375" max="4375" width="26.33203125" style="6" customWidth="1"/>
    <col min="4376" max="4376" width="20.5546875" style="6" customWidth="1"/>
    <col min="4377" max="4377" width="27.44140625" style="6" customWidth="1"/>
    <col min="4378" max="4378" width="6.44140625" style="6" customWidth="1"/>
    <col min="4379" max="4379" width="11.109375" style="6" bestFit="1" customWidth="1"/>
    <col min="4380" max="4381" width="15.5546875" style="6" bestFit="1" customWidth="1"/>
    <col min="4382" max="4382" width="12.88671875" style="6" bestFit="1" customWidth="1"/>
    <col min="4383" max="4383" width="15.5546875" style="6" bestFit="1" customWidth="1"/>
    <col min="4384" max="4385" width="15.5546875" style="6" customWidth="1"/>
    <col min="4386" max="4629" width="9.109375" style="6"/>
    <col min="4630" max="4630" width="14.6640625" style="6" customWidth="1"/>
    <col min="4631" max="4631" width="26.33203125" style="6" customWidth="1"/>
    <col min="4632" max="4632" width="20.5546875" style="6" customWidth="1"/>
    <col min="4633" max="4633" width="27.44140625" style="6" customWidth="1"/>
    <col min="4634" max="4634" width="6.44140625" style="6" customWidth="1"/>
    <col min="4635" max="4635" width="11.109375" style="6" bestFit="1" customWidth="1"/>
    <col min="4636" max="4637" width="15.5546875" style="6" bestFit="1" customWidth="1"/>
    <col min="4638" max="4638" width="12.88671875" style="6" bestFit="1" customWidth="1"/>
    <col min="4639" max="4639" width="15.5546875" style="6" bestFit="1" customWidth="1"/>
    <col min="4640" max="4641" width="15.5546875" style="6" customWidth="1"/>
    <col min="4642" max="4885" width="9.109375" style="6"/>
    <col min="4886" max="4886" width="14.6640625" style="6" customWidth="1"/>
    <col min="4887" max="4887" width="26.33203125" style="6" customWidth="1"/>
    <col min="4888" max="4888" width="20.5546875" style="6" customWidth="1"/>
    <col min="4889" max="4889" width="27.44140625" style="6" customWidth="1"/>
    <col min="4890" max="4890" width="6.44140625" style="6" customWidth="1"/>
    <col min="4891" max="4891" width="11.109375" style="6" bestFit="1" customWidth="1"/>
    <col min="4892" max="4893" width="15.5546875" style="6" bestFit="1" customWidth="1"/>
    <col min="4894" max="4894" width="12.88671875" style="6" bestFit="1" customWidth="1"/>
    <col min="4895" max="4895" width="15.5546875" style="6" bestFit="1" customWidth="1"/>
    <col min="4896" max="4897" width="15.5546875" style="6" customWidth="1"/>
    <col min="4898" max="5141" width="9.109375" style="6"/>
    <col min="5142" max="5142" width="14.6640625" style="6" customWidth="1"/>
    <col min="5143" max="5143" width="26.33203125" style="6" customWidth="1"/>
    <col min="5144" max="5144" width="20.5546875" style="6" customWidth="1"/>
    <col min="5145" max="5145" width="27.44140625" style="6" customWidth="1"/>
    <col min="5146" max="5146" width="6.44140625" style="6" customWidth="1"/>
    <col min="5147" max="5147" width="11.109375" style="6" bestFit="1" customWidth="1"/>
    <col min="5148" max="5149" width="15.5546875" style="6" bestFit="1" customWidth="1"/>
    <col min="5150" max="5150" width="12.88671875" style="6" bestFit="1" customWidth="1"/>
    <col min="5151" max="5151" width="15.5546875" style="6" bestFit="1" customWidth="1"/>
    <col min="5152" max="5153" width="15.5546875" style="6" customWidth="1"/>
    <col min="5154" max="5397" width="9.109375" style="6"/>
    <col min="5398" max="5398" width="14.6640625" style="6" customWidth="1"/>
    <col min="5399" max="5399" width="26.33203125" style="6" customWidth="1"/>
    <col min="5400" max="5400" width="20.5546875" style="6" customWidth="1"/>
    <col min="5401" max="5401" width="27.44140625" style="6" customWidth="1"/>
    <col min="5402" max="5402" width="6.44140625" style="6" customWidth="1"/>
    <col min="5403" max="5403" width="11.109375" style="6" bestFit="1" customWidth="1"/>
    <col min="5404" max="5405" width="15.5546875" style="6" bestFit="1" customWidth="1"/>
    <col min="5406" max="5406" width="12.88671875" style="6" bestFit="1" customWidth="1"/>
    <col min="5407" max="5407" width="15.5546875" style="6" bestFit="1" customWidth="1"/>
    <col min="5408" max="5409" width="15.5546875" style="6" customWidth="1"/>
    <col min="5410" max="5653" width="9.109375" style="6"/>
    <col min="5654" max="5654" width="14.6640625" style="6" customWidth="1"/>
    <col min="5655" max="5655" width="26.33203125" style="6" customWidth="1"/>
    <col min="5656" max="5656" width="20.5546875" style="6" customWidth="1"/>
    <col min="5657" max="5657" width="27.44140625" style="6" customWidth="1"/>
    <col min="5658" max="5658" width="6.44140625" style="6" customWidth="1"/>
    <col min="5659" max="5659" width="11.109375" style="6" bestFit="1" customWidth="1"/>
    <col min="5660" max="5661" width="15.5546875" style="6" bestFit="1" customWidth="1"/>
    <col min="5662" max="5662" width="12.88671875" style="6" bestFit="1" customWidth="1"/>
    <col min="5663" max="5663" width="15.5546875" style="6" bestFit="1" customWidth="1"/>
    <col min="5664" max="5665" width="15.5546875" style="6" customWidth="1"/>
    <col min="5666" max="5909" width="9.109375" style="6"/>
    <col min="5910" max="5910" width="14.6640625" style="6" customWidth="1"/>
    <col min="5911" max="5911" width="26.33203125" style="6" customWidth="1"/>
    <col min="5912" max="5912" width="20.5546875" style="6" customWidth="1"/>
    <col min="5913" max="5913" width="27.44140625" style="6" customWidth="1"/>
    <col min="5914" max="5914" width="6.44140625" style="6" customWidth="1"/>
    <col min="5915" max="5915" width="11.109375" style="6" bestFit="1" customWidth="1"/>
    <col min="5916" max="5917" width="15.5546875" style="6" bestFit="1" customWidth="1"/>
    <col min="5918" max="5918" width="12.88671875" style="6" bestFit="1" customWidth="1"/>
    <col min="5919" max="5919" width="15.5546875" style="6" bestFit="1" customWidth="1"/>
    <col min="5920" max="5921" width="15.5546875" style="6" customWidth="1"/>
    <col min="5922" max="6165" width="9.109375" style="6"/>
    <col min="6166" max="6166" width="14.6640625" style="6" customWidth="1"/>
    <col min="6167" max="6167" width="26.33203125" style="6" customWidth="1"/>
    <col min="6168" max="6168" width="20.5546875" style="6" customWidth="1"/>
    <col min="6169" max="6169" width="27.44140625" style="6" customWidth="1"/>
    <col min="6170" max="6170" width="6.44140625" style="6" customWidth="1"/>
    <col min="6171" max="6171" width="11.109375" style="6" bestFit="1" customWidth="1"/>
    <col min="6172" max="6173" width="15.5546875" style="6" bestFit="1" customWidth="1"/>
    <col min="6174" max="6174" width="12.88671875" style="6" bestFit="1" customWidth="1"/>
    <col min="6175" max="6175" width="15.5546875" style="6" bestFit="1" customWidth="1"/>
    <col min="6176" max="6177" width="15.5546875" style="6" customWidth="1"/>
    <col min="6178" max="6421" width="9.109375" style="6"/>
    <col min="6422" max="6422" width="14.6640625" style="6" customWidth="1"/>
    <col min="6423" max="6423" width="26.33203125" style="6" customWidth="1"/>
    <col min="6424" max="6424" width="20.5546875" style="6" customWidth="1"/>
    <col min="6425" max="6425" width="27.44140625" style="6" customWidth="1"/>
    <col min="6426" max="6426" width="6.44140625" style="6" customWidth="1"/>
    <col min="6427" max="6427" width="11.109375" style="6" bestFit="1" customWidth="1"/>
    <col min="6428" max="6429" width="15.5546875" style="6" bestFit="1" customWidth="1"/>
    <col min="6430" max="6430" width="12.88671875" style="6" bestFit="1" customWidth="1"/>
    <col min="6431" max="6431" width="15.5546875" style="6" bestFit="1" customWidth="1"/>
    <col min="6432" max="6433" width="15.5546875" style="6" customWidth="1"/>
    <col min="6434" max="6677" width="9.109375" style="6"/>
    <col min="6678" max="6678" width="14.6640625" style="6" customWidth="1"/>
    <col min="6679" max="6679" width="26.33203125" style="6" customWidth="1"/>
    <col min="6680" max="6680" width="20.5546875" style="6" customWidth="1"/>
    <col min="6681" max="6681" width="27.44140625" style="6" customWidth="1"/>
    <col min="6682" max="6682" width="6.44140625" style="6" customWidth="1"/>
    <col min="6683" max="6683" width="11.109375" style="6" bestFit="1" customWidth="1"/>
    <col min="6684" max="6685" width="15.5546875" style="6" bestFit="1" customWidth="1"/>
    <col min="6686" max="6686" width="12.88671875" style="6" bestFit="1" customWidth="1"/>
    <col min="6687" max="6687" width="15.5546875" style="6" bestFit="1" customWidth="1"/>
    <col min="6688" max="6689" width="15.5546875" style="6" customWidth="1"/>
    <col min="6690" max="6933" width="9.109375" style="6"/>
    <col min="6934" max="6934" width="14.6640625" style="6" customWidth="1"/>
    <col min="6935" max="6935" width="26.33203125" style="6" customWidth="1"/>
    <col min="6936" max="6936" width="20.5546875" style="6" customWidth="1"/>
    <col min="6937" max="6937" width="27.44140625" style="6" customWidth="1"/>
    <col min="6938" max="6938" width="6.44140625" style="6" customWidth="1"/>
    <col min="6939" max="6939" width="11.109375" style="6" bestFit="1" customWidth="1"/>
    <col min="6940" max="6941" width="15.5546875" style="6" bestFit="1" customWidth="1"/>
    <col min="6942" max="6942" width="12.88671875" style="6" bestFit="1" customWidth="1"/>
    <col min="6943" max="6943" width="15.5546875" style="6" bestFit="1" customWidth="1"/>
    <col min="6944" max="6945" width="15.5546875" style="6" customWidth="1"/>
    <col min="6946" max="7189" width="9.109375" style="6"/>
    <col min="7190" max="7190" width="14.6640625" style="6" customWidth="1"/>
    <col min="7191" max="7191" width="26.33203125" style="6" customWidth="1"/>
    <col min="7192" max="7192" width="20.5546875" style="6" customWidth="1"/>
    <col min="7193" max="7193" width="27.44140625" style="6" customWidth="1"/>
    <col min="7194" max="7194" width="6.44140625" style="6" customWidth="1"/>
    <col min="7195" max="7195" width="11.109375" style="6" bestFit="1" customWidth="1"/>
    <col min="7196" max="7197" width="15.5546875" style="6" bestFit="1" customWidth="1"/>
    <col min="7198" max="7198" width="12.88671875" style="6" bestFit="1" customWidth="1"/>
    <col min="7199" max="7199" width="15.5546875" style="6" bestFit="1" customWidth="1"/>
    <col min="7200" max="7201" width="15.5546875" style="6" customWidth="1"/>
    <col min="7202" max="7445" width="9.109375" style="6"/>
    <col min="7446" max="7446" width="14.6640625" style="6" customWidth="1"/>
    <col min="7447" max="7447" width="26.33203125" style="6" customWidth="1"/>
    <col min="7448" max="7448" width="20.5546875" style="6" customWidth="1"/>
    <col min="7449" max="7449" width="27.44140625" style="6" customWidth="1"/>
    <col min="7450" max="7450" width="6.44140625" style="6" customWidth="1"/>
    <col min="7451" max="7451" width="11.109375" style="6" bestFit="1" customWidth="1"/>
    <col min="7452" max="7453" width="15.5546875" style="6" bestFit="1" customWidth="1"/>
    <col min="7454" max="7454" width="12.88671875" style="6" bestFit="1" customWidth="1"/>
    <col min="7455" max="7455" width="15.5546875" style="6" bestFit="1" customWidth="1"/>
    <col min="7456" max="7457" width="15.5546875" style="6" customWidth="1"/>
    <col min="7458" max="7701" width="9.109375" style="6"/>
    <col min="7702" max="7702" width="14.6640625" style="6" customWidth="1"/>
    <col min="7703" max="7703" width="26.33203125" style="6" customWidth="1"/>
    <col min="7704" max="7704" width="20.5546875" style="6" customWidth="1"/>
    <col min="7705" max="7705" width="27.44140625" style="6" customWidth="1"/>
    <col min="7706" max="7706" width="6.44140625" style="6" customWidth="1"/>
    <col min="7707" max="7707" width="11.109375" style="6" bestFit="1" customWidth="1"/>
    <col min="7708" max="7709" width="15.5546875" style="6" bestFit="1" customWidth="1"/>
    <col min="7710" max="7710" width="12.88671875" style="6" bestFit="1" customWidth="1"/>
    <col min="7711" max="7711" width="15.5546875" style="6" bestFit="1" customWidth="1"/>
    <col min="7712" max="7713" width="15.5546875" style="6" customWidth="1"/>
    <col min="7714" max="7957" width="9.109375" style="6"/>
    <col min="7958" max="7958" width="14.6640625" style="6" customWidth="1"/>
    <col min="7959" max="7959" width="26.33203125" style="6" customWidth="1"/>
    <col min="7960" max="7960" width="20.5546875" style="6" customWidth="1"/>
    <col min="7961" max="7961" width="27.44140625" style="6" customWidth="1"/>
    <col min="7962" max="7962" width="6.44140625" style="6" customWidth="1"/>
    <col min="7963" max="7963" width="11.109375" style="6" bestFit="1" customWidth="1"/>
    <col min="7964" max="7965" width="15.5546875" style="6" bestFit="1" customWidth="1"/>
    <col min="7966" max="7966" width="12.88671875" style="6" bestFit="1" customWidth="1"/>
    <col min="7967" max="7967" width="15.5546875" style="6" bestFit="1" customWidth="1"/>
    <col min="7968" max="7969" width="15.5546875" style="6" customWidth="1"/>
    <col min="7970" max="8213" width="9.109375" style="6"/>
    <col min="8214" max="8214" width="14.6640625" style="6" customWidth="1"/>
    <col min="8215" max="8215" width="26.33203125" style="6" customWidth="1"/>
    <col min="8216" max="8216" width="20.5546875" style="6" customWidth="1"/>
    <col min="8217" max="8217" width="27.44140625" style="6" customWidth="1"/>
    <col min="8218" max="8218" width="6.44140625" style="6" customWidth="1"/>
    <col min="8219" max="8219" width="11.109375" style="6" bestFit="1" customWidth="1"/>
    <col min="8220" max="8221" width="15.5546875" style="6" bestFit="1" customWidth="1"/>
    <col min="8222" max="8222" width="12.88671875" style="6" bestFit="1" customWidth="1"/>
    <col min="8223" max="8223" width="15.5546875" style="6" bestFit="1" customWidth="1"/>
    <col min="8224" max="8225" width="15.5546875" style="6" customWidth="1"/>
    <col min="8226" max="8469" width="9.109375" style="6"/>
    <col min="8470" max="8470" width="14.6640625" style="6" customWidth="1"/>
    <col min="8471" max="8471" width="26.33203125" style="6" customWidth="1"/>
    <col min="8472" max="8472" width="20.5546875" style="6" customWidth="1"/>
    <col min="8473" max="8473" width="27.44140625" style="6" customWidth="1"/>
    <col min="8474" max="8474" width="6.44140625" style="6" customWidth="1"/>
    <col min="8475" max="8475" width="11.109375" style="6" bestFit="1" customWidth="1"/>
    <col min="8476" max="8477" width="15.5546875" style="6" bestFit="1" customWidth="1"/>
    <col min="8478" max="8478" width="12.88671875" style="6" bestFit="1" customWidth="1"/>
    <col min="8479" max="8479" width="15.5546875" style="6" bestFit="1" customWidth="1"/>
    <col min="8480" max="8481" width="15.5546875" style="6" customWidth="1"/>
    <col min="8482" max="8725" width="9.109375" style="6"/>
    <col min="8726" max="8726" width="14.6640625" style="6" customWidth="1"/>
    <col min="8727" max="8727" width="26.33203125" style="6" customWidth="1"/>
    <col min="8728" max="8728" width="20.5546875" style="6" customWidth="1"/>
    <col min="8729" max="8729" width="27.44140625" style="6" customWidth="1"/>
    <col min="8730" max="8730" width="6.44140625" style="6" customWidth="1"/>
    <col min="8731" max="8731" width="11.109375" style="6" bestFit="1" customWidth="1"/>
    <col min="8732" max="8733" width="15.5546875" style="6" bestFit="1" customWidth="1"/>
    <col min="8734" max="8734" width="12.88671875" style="6" bestFit="1" customWidth="1"/>
    <col min="8735" max="8735" width="15.5546875" style="6" bestFit="1" customWidth="1"/>
    <col min="8736" max="8737" width="15.5546875" style="6" customWidth="1"/>
    <col min="8738" max="8981" width="9.109375" style="6"/>
    <col min="8982" max="8982" width="14.6640625" style="6" customWidth="1"/>
    <col min="8983" max="8983" width="26.33203125" style="6" customWidth="1"/>
    <col min="8984" max="8984" width="20.5546875" style="6" customWidth="1"/>
    <col min="8985" max="8985" width="27.44140625" style="6" customWidth="1"/>
    <col min="8986" max="8986" width="6.44140625" style="6" customWidth="1"/>
    <col min="8987" max="8987" width="11.109375" style="6" bestFit="1" customWidth="1"/>
    <col min="8988" max="8989" width="15.5546875" style="6" bestFit="1" customWidth="1"/>
    <col min="8990" max="8990" width="12.88671875" style="6" bestFit="1" customWidth="1"/>
    <col min="8991" max="8991" width="15.5546875" style="6" bestFit="1" customWidth="1"/>
    <col min="8992" max="8993" width="15.5546875" style="6" customWidth="1"/>
    <col min="8994" max="9237" width="9.109375" style="6"/>
    <col min="9238" max="9238" width="14.6640625" style="6" customWidth="1"/>
    <col min="9239" max="9239" width="26.33203125" style="6" customWidth="1"/>
    <col min="9240" max="9240" width="20.5546875" style="6" customWidth="1"/>
    <col min="9241" max="9241" width="27.44140625" style="6" customWidth="1"/>
    <col min="9242" max="9242" width="6.44140625" style="6" customWidth="1"/>
    <col min="9243" max="9243" width="11.109375" style="6" bestFit="1" customWidth="1"/>
    <col min="9244" max="9245" width="15.5546875" style="6" bestFit="1" customWidth="1"/>
    <col min="9246" max="9246" width="12.88671875" style="6" bestFit="1" customWidth="1"/>
    <col min="9247" max="9247" width="15.5546875" style="6" bestFit="1" customWidth="1"/>
    <col min="9248" max="9249" width="15.5546875" style="6" customWidth="1"/>
    <col min="9250" max="9493" width="9.109375" style="6"/>
    <col min="9494" max="9494" width="14.6640625" style="6" customWidth="1"/>
    <col min="9495" max="9495" width="26.33203125" style="6" customWidth="1"/>
    <col min="9496" max="9496" width="20.5546875" style="6" customWidth="1"/>
    <col min="9497" max="9497" width="27.44140625" style="6" customWidth="1"/>
    <col min="9498" max="9498" width="6.44140625" style="6" customWidth="1"/>
    <col min="9499" max="9499" width="11.109375" style="6" bestFit="1" customWidth="1"/>
    <col min="9500" max="9501" width="15.5546875" style="6" bestFit="1" customWidth="1"/>
    <col min="9502" max="9502" width="12.88671875" style="6" bestFit="1" customWidth="1"/>
    <col min="9503" max="9503" width="15.5546875" style="6" bestFit="1" customWidth="1"/>
    <col min="9504" max="9505" width="15.5546875" style="6" customWidth="1"/>
    <col min="9506" max="9749" width="9.109375" style="6"/>
    <col min="9750" max="9750" width="14.6640625" style="6" customWidth="1"/>
    <col min="9751" max="9751" width="26.33203125" style="6" customWidth="1"/>
    <col min="9752" max="9752" width="20.5546875" style="6" customWidth="1"/>
    <col min="9753" max="9753" width="27.44140625" style="6" customWidth="1"/>
    <col min="9754" max="9754" width="6.44140625" style="6" customWidth="1"/>
    <col min="9755" max="9755" width="11.109375" style="6" bestFit="1" customWidth="1"/>
    <col min="9756" max="9757" width="15.5546875" style="6" bestFit="1" customWidth="1"/>
    <col min="9758" max="9758" width="12.88671875" style="6" bestFit="1" customWidth="1"/>
    <col min="9759" max="9759" width="15.5546875" style="6" bestFit="1" customWidth="1"/>
    <col min="9760" max="9761" width="15.5546875" style="6" customWidth="1"/>
    <col min="9762" max="10005" width="9.109375" style="6"/>
    <col min="10006" max="10006" width="14.6640625" style="6" customWidth="1"/>
    <col min="10007" max="10007" width="26.33203125" style="6" customWidth="1"/>
    <col min="10008" max="10008" width="20.5546875" style="6" customWidth="1"/>
    <col min="10009" max="10009" width="27.44140625" style="6" customWidth="1"/>
    <col min="10010" max="10010" width="6.44140625" style="6" customWidth="1"/>
    <col min="10011" max="10011" width="11.109375" style="6" bestFit="1" customWidth="1"/>
    <col min="10012" max="10013" width="15.5546875" style="6" bestFit="1" customWidth="1"/>
    <col min="10014" max="10014" width="12.88671875" style="6" bestFit="1" customWidth="1"/>
    <col min="10015" max="10015" width="15.5546875" style="6" bestFit="1" customWidth="1"/>
    <col min="10016" max="10017" width="15.5546875" style="6" customWidth="1"/>
    <col min="10018" max="10261" width="9.109375" style="6"/>
    <col min="10262" max="10262" width="14.6640625" style="6" customWidth="1"/>
    <col min="10263" max="10263" width="26.33203125" style="6" customWidth="1"/>
    <col min="10264" max="10264" width="20.5546875" style="6" customWidth="1"/>
    <col min="10265" max="10265" width="27.44140625" style="6" customWidth="1"/>
    <col min="10266" max="10266" width="6.44140625" style="6" customWidth="1"/>
    <col min="10267" max="10267" width="11.109375" style="6" bestFit="1" customWidth="1"/>
    <col min="10268" max="10269" width="15.5546875" style="6" bestFit="1" customWidth="1"/>
    <col min="10270" max="10270" width="12.88671875" style="6" bestFit="1" customWidth="1"/>
    <col min="10271" max="10271" width="15.5546875" style="6" bestFit="1" customWidth="1"/>
    <col min="10272" max="10273" width="15.5546875" style="6" customWidth="1"/>
    <col min="10274" max="10517" width="9.109375" style="6"/>
    <col min="10518" max="10518" width="14.6640625" style="6" customWidth="1"/>
    <col min="10519" max="10519" width="26.33203125" style="6" customWidth="1"/>
    <col min="10520" max="10520" width="20.5546875" style="6" customWidth="1"/>
    <col min="10521" max="10521" width="27.44140625" style="6" customWidth="1"/>
    <col min="10522" max="10522" width="6.44140625" style="6" customWidth="1"/>
    <col min="10523" max="10523" width="11.109375" style="6" bestFit="1" customWidth="1"/>
    <col min="10524" max="10525" width="15.5546875" style="6" bestFit="1" customWidth="1"/>
    <col min="10526" max="10526" width="12.88671875" style="6" bestFit="1" customWidth="1"/>
    <col min="10527" max="10527" width="15.5546875" style="6" bestFit="1" customWidth="1"/>
    <col min="10528" max="10529" width="15.5546875" style="6" customWidth="1"/>
    <col min="10530" max="10773" width="9.109375" style="6"/>
    <col min="10774" max="10774" width="14.6640625" style="6" customWidth="1"/>
    <col min="10775" max="10775" width="26.33203125" style="6" customWidth="1"/>
    <col min="10776" max="10776" width="20.5546875" style="6" customWidth="1"/>
    <col min="10777" max="10777" width="27.44140625" style="6" customWidth="1"/>
    <col min="10778" max="10778" width="6.44140625" style="6" customWidth="1"/>
    <col min="10779" max="10779" width="11.109375" style="6" bestFit="1" customWidth="1"/>
    <col min="10780" max="10781" width="15.5546875" style="6" bestFit="1" customWidth="1"/>
    <col min="10782" max="10782" width="12.88671875" style="6" bestFit="1" customWidth="1"/>
    <col min="10783" max="10783" width="15.5546875" style="6" bestFit="1" customWidth="1"/>
    <col min="10784" max="10785" width="15.5546875" style="6" customWidth="1"/>
    <col min="10786" max="11029" width="9.109375" style="6"/>
    <col min="11030" max="11030" width="14.6640625" style="6" customWidth="1"/>
    <col min="11031" max="11031" width="26.33203125" style="6" customWidth="1"/>
    <col min="11032" max="11032" width="20.5546875" style="6" customWidth="1"/>
    <col min="11033" max="11033" width="27.44140625" style="6" customWidth="1"/>
    <col min="11034" max="11034" width="6.44140625" style="6" customWidth="1"/>
    <col min="11035" max="11035" width="11.109375" style="6" bestFit="1" customWidth="1"/>
    <col min="11036" max="11037" width="15.5546875" style="6" bestFit="1" customWidth="1"/>
    <col min="11038" max="11038" width="12.88671875" style="6" bestFit="1" customWidth="1"/>
    <col min="11039" max="11039" width="15.5546875" style="6" bestFit="1" customWidth="1"/>
    <col min="11040" max="11041" width="15.5546875" style="6" customWidth="1"/>
    <col min="11042" max="11285" width="9.109375" style="6"/>
    <col min="11286" max="11286" width="14.6640625" style="6" customWidth="1"/>
    <col min="11287" max="11287" width="26.33203125" style="6" customWidth="1"/>
    <col min="11288" max="11288" width="20.5546875" style="6" customWidth="1"/>
    <col min="11289" max="11289" width="27.44140625" style="6" customWidth="1"/>
    <col min="11290" max="11290" width="6.44140625" style="6" customWidth="1"/>
    <col min="11291" max="11291" width="11.109375" style="6" bestFit="1" customWidth="1"/>
    <col min="11292" max="11293" width="15.5546875" style="6" bestFit="1" customWidth="1"/>
    <col min="11294" max="11294" width="12.88671875" style="6" bestFit="1" customWidth="1"/>
    <col min="11295" max="11295" width="15.5546875" style="6" bestFit="1" customWidth="1"/>
    <col min="11296" max="11297" width="15.5546875" style="6" customWidth="1"/>
    <col min="11298" max="11541" width="9.109375" style="6"/>
    <col min="11542" max="11542" width="14.6640625" style="6" customWidth="1"/>
    <col min="11543" max="11543" width="26.33203125" style="6" customWidth="1"/>
    <col min="11544" max="11544" width="20.5546875" style="6" customWidth="1"/>
    <col min="11545" max="11545" width="27.44140625" style="6" customWidth="1"/>
    <col min="11546" max="11546" width="6.44140625" style="6" customWidth="1"/>
    <col min="11547" max="11547" width="11.109375" style="6" bestFit="1" customWidth="1"/>
    <col min="11548" max="11549" width="15.5546875" style="6" bestFit="1" customWidth="1"/>
    <col min="11550" max="11550" width="12.88671875" style="6" bestFit="1" customWidth="1"/>
    <col min="11551" max="11551" width="15.5546875" style="6" bestFit="1" customWidth="1"/>
    <col min="11552" max="11553" width="15.5546875" style="6" customWidth="1"/>
    <col min="11554" max="11797" width="9.109375" style="6"/>
    <col min="11798" max="11798" width="14.6640625" style="6" customWidth="1"/>
    <col min="11799" max="11799" width="26.33203125" style="6" customWidth="1"/>
    <col min="11800" max="11800" width="20.5546875" style="6" customWidth="1"/>
    <col min="11801" max="11801" width="27.44140625" style="6" customWidth="1"/>
    <col min="11802" max="11802" width="6.44140625" style="6" customWidth="1"/>
    <col min="11803" max="11803" width="11.109375" style="6" bestFit="1" customWidth="1"/>
    <col min="11804" max="11805" width="15.5546875" style="6" bestFit="1" customWidth="1"/>
    <col min="11806" max="11806" width="12.88671875" style="6" bestFit="1" customWidth="1"/>
    <col min="11807" max="11807" width="15.5546875" style="6" bestFit="1" customWidth="1"/>
    <col min="11808" max="11809" width="15.5546875" style="6" customWidth="1"/>
    <col min="11810" max="12053" width="9.109375" style="6"/>
    <col min="12054" max="12054" width="14.6640625" style="6" customWidth="1"/>
    <col min="12055" max="12055" width="26.33203125" style="6" customWidth="1"/>
    <col min="12056" max="12056" width="20.5546875" style="6" customWidth="1"/>
    <col min="12057" max="12057" width="27.44140625" style="6" customWidth="1"/>
    <col min="12058" max="12058" width="6.44140625" style="6" customWidth="1"/>
    <col min="12059" max="12059" width="11.109375" style="6" bestFit="1" customWidth="1"/>
    <col min="12060" max="12061" width="15.5546875" style="6" bestFit="1" customWidth="1"/>
    <col min="12062" max="12062" width="12.88671875" style="6" bestFit="1" customWidth="1"/>
    <col min="12063" max="12063" width="15.5546875" style="6" bestFit="1" customWidth="1"/>
    <col min="12064" max="12065" width="15.5546875" style="6" customWidth="1"/>
    <col min="12066" max="12309" width="9.109375" style="6"/>
    <col min="12310" max="12310" width="14.6640625" style="6" customWidth="1"/>
    <col min="12311" max="12311" width="26.33203125" style="6" customWidth="1"/>
    <col min="12312" max="12312" width="20.5546875" style="6" customWidth="1"/>
    <col min="12313" max="12313" width="27.44140625" style="6" customWidth="1"/>
    <col min="12314" max="12314" width="6.44140625" style="6" customWidth="1"/>
    <col min="12315" max="12315" width="11.109375" style="6" bestFit="1" customWidth="1"/>
    <col min="12316" max="12317" width="15.5546875" style="6" bestFit="1" customWidth="1"/>
    <col min="12318" max="12318" width="12.88671875" style="6" bestFit="1" customWidth="1"/>
    <col min="12319" max="12319" width="15.5546875" style="6" bestFit="1" customWidth="1"/>
    <col min="12320" max="12321" width="15.5546875" style="6" customWidth="1"/>
    <col min="12322" max="12565" width="9.109375" style="6"/>
    <col min="12566" max="12566" width="14.6640625" style="6" customWidth="1"/>
    <col min="12567" max="12567" width="26.33203125" style="6" customWidth="1"/>
    <col min="12568" max="12568" width="20.5546875" style="6" customWidth="1"/>
    <col min="12569" max="12569" width="27.44140625" style="6" customWidth="1"/>
    <col min="12570" max="12570" width="6.44140625" style="6" customWidth="1"/>
    <col min="12571" max="12571" width="11.109375" style="6" bestFit="1" customWidth="1"/>
    <col min="12572" max="12573" width="15.5546875" style="6" bestFit="1" customWidth="1"/>
    <col min="12574" max="12574" width="12.88671875" style="6" bestFit="1" customWidth="1"/>
    <col min="12575" max="12575" width="15.5546875" style="6" bestFit="1" customWidth="1"/>
    <col min="12576" max="12577" width="15.5546875" style="6" customWidth="1"/>
    <col min="12578" max="12821" width="9.109375" style="6"/>
    <col min="12822" max="12822" width="14.6640625" style="6" customWidth="1"/>
    <col min="12823" max="12823" width="26.33203125" style="6" customWidth="1"/>
    <col min="12824" max="12824" width="20.5546875" style="6" customWidth="1"/>
    <col min="12825" max="12825" width="27.44140625" style="6" customWidth="1"/>
    <col min="12826" max="12826" width="6.44140625" style="6" customWidth="1"/>
    <col min="12827" max="12827" width="11.109375" style="6" bestFit="1" customWidth="1"/>
    <col min="12828" max="12829" width="15.5546875" style="6" bestFit="1" customWidth="1"/>
    <col min="12830" max="12830" width="12.88671875" style="6" bestFit="1" customWidth="1"/>
    <col min="12831" max="12831" width="15.5546875" style="6" bestFit="1" customWidth="1"/>
    <col min="12832" max="12833" width="15.5546875" style="6" customWidth="1"/>
    <col min="12834" max="13077" width="9.109375" style="6"/>
    <col min="13078" max="13078" width="14.6640625" style="6" customWidth="1"/>
    <col min="13079" max="13079" width="26.33203125" style="6" customWidth="1"/>
    <col min="13080" max="13080" width="20.5546875" style="6" customWidth="1"/>
    <col min="13081" max="13081" width="27.44140625" style="6" customWidth="1"/>
    <col min="13082" max="13082" width="6.44140625" style="6" customWidth="1"/>
    <col min="13083" max="13083" width="11.109375" style="6" bestFit="1" customWidth="1"/>
    <col min="13084" max="13085" width="15.5546875" style="6" bestFit="1" customWidth="1"/>
    <col min="13086" max="13086" width="12.88671875" style="6" bestFit="1" customWidth="1"/>
    <col min="13087" max="13087" width="15.5546875" style="6" bestFit="1" customWidth="1"/>
    <col min="13088" max="13089" width="15.5546875" style="6" customWidth="1"/>
    <col min="13090" max="13333" width="9.109375" style="6"/>
    <col min="13334" max="13334" width="14.6640625" style="6" customWidth="1"/>
    <col min="13335" max="13335" width="26.33203125" style="6" customWidth="1"/>
    <col min="13336" max="13336" width="20.5546875" style="6" customWidth="1"/>
    <col min="13337" max="13337" width="27.44140625" style="6" customWidth="1"/>
    <col min="13338" max="13338" width="6.44140625" style="6" customWidth="1"/>
    <col min="13339" max="13339" width="11.109375" style="6" bestFit="1" customWidth="1"/>
    <col min="13340" max="13341" width="15.5546875" style="6" bestFit="1" customWidth="1"/>
    <col min="13342" max="13342" width="12.88671875" style="6" bestFit="1" customWidth="1"/>
    <col min="13343" max="13343" width="15.5546875" style="6" bestFit="1" customWidth="1"/>
    <col min="13344" max="13345" width="15.5546875" style="6" customWidth="1"/>
    <col min="13346" max="13589" width="9.109375" style="6"/>
    <col min="13590" max="13590" width="14.6640625" style="6" customWidth="1"/>
    <col min="13591" max="13591" width="26.33203125" style="6" customWidth="1"/>
    <col min="13592" max="13592" width="20.5546875" style="6" customWidth="1"/>
    <col min="13593" max="13593" width="27.44140625" style="6" customWidth="1"/>
    <col min="13594" max="13594" width="6.44140625" style="6" customWidth="1"/>
    <col min="13595" max="13595" width="11.109375" style="6" bestFit="1" customWidth="1"/>
    <col min="13596" max="13597" width="15.5546875" style="6" bestFit="1" customWidth="1"/>
    <col min="13598" max="13598" width="12.88671875" style="6" bestFit="1" customWidth="1"/>
    <col min="13599" max="13599" width="15.5546875" style="6" bestFit="1" customWidth="1"/>
    <col min="13600" max="13601" width="15.5546875" style="6" customWidth="1"/>
    <col min="13602" max="13845" width="9.109375" style="6"/>
    <col min="13846" max="13846" width="14.6640625" style="6" customWidth="1"/>
    <col min="13847" max="13847" width="26.33203125" style="6" customWidth="1"/>
    <col min="13848" max="13848" width="20.5546875" style="6" customWidth="1"/>
    <col min="13849" max="13849" width="27.44140625" style="6" customWidth="1"/>
    <col min="13850" max="13850" width="6.44140625" style="6" customWidth="1"/>
    <col min="13851" max="13851" width="11.109375" style="6" bestFit="1" customWidth="1"/>
    <col min="13852" max="13853" width="15.5546875" style="6" bestFit="1" customWidth="1"/>
    <col min="13854" max="13854" width="12.88671875" style="6" bestFit="1" customWidth="1"/>
    <col min="13855" max="13855" width="15.5546875" style="6" bestFit="1" customWidth="1"/>
    <col min="13856" max="13857" width="15.5546875" style="6" customWidth="1"/>
    <col min="13858" max="14101" width="9.109375" style="6"/>
    <col min="14102" max="14102" width="14.6640625" style="6" customWidth="1"/>
    <col min="14103" max="14103" width="26.33203125" style="6" customWidth="1"/>
    <col min="14104" max="14104" width="20.5546875" style="6" customWidth="1"/>
    <col min="14105" max="14105" width="27.44140625" style="6" customWidth="1"/>
    <col min="14106" max="14106" width="6.44140625" style="6" customWidth="1"/>
    <col min="14107" max="14107" width="11.109375" style="6" bestFit="1" customWidth="1"/>
    <col min="14108" max="14109" width="15.5546875" style="6" bestFit="1" customWidth="1"/>
    <col min="14110" max="14110" width="12.88671875" style="6" bestFit="1" customWidth="1"/>
    <col min="14111" max="14111" width="15.5546875" style="6" bestFit="1" customWidth="1"/>
    <col min="14112" max="14113" width="15.5546875" style="6" customWidth="1"/>
    <col min="14114" max="14357" width="9.109375" style="6"/>
    <col min="14358" max="14358" width="14.6640625" style="6" customWidth="1"/>
    <col min="14359" max="14359" width="26.33203125" style="6" customWidth="1"/>
    <col min="14360" max="14360" width="20.5546875" style="6" customWidth="1"/>
    <col min="14361" max="14361" width="27.44140625" style="6" customWidth="1"/>
    <col min="14362" max="14362" width="6.44140625" style="6" customWidth="1"/>
    <col min="14363" max="14363" width="11.109375" style="6" bestFit="1" customWidth="1"/>
    <col min="14364" max="14365" width="15.5546875" style="6" bestFit="1" customWidth="1"/>
    <col min="14366" max="14366" width="12.88671875" style="6" bestFit="1" customWidth="1"/>
    <col min="14367" max="14367" width="15.5546875" style="6" bestFit="1" customWidth="1"/>
    <col min="14368" max="14369" width="15.5546875" style="6" customWidth="1"/>
    <col min="14370" max="14613" width="9.109375" style="6"/>
    <col min="14614" max="14614" width="14.6640625" style="6" customWidth="1"/>
    <col min="14615" max="14615" width="26.33203125" style="6" customWidth="1"/>
    <col min="14616" max="14616" width="20.5546875" style="6" customWidth="1"/>
    <col min="14617" max="14617" width="27.44140625" style="6" customWidth="1"/>
    <col min="14618" max="14618" width="6.44140625" style="6" customWidth="1"/>
    <col min="14619" max="14619" width="11.109375" style="6" bestFit="1" customWidth="1"/>
    <col min="14620" max="14621" width="15.5546875" style="6" bestFit="1" customWidth="1"/>
    <col min="14622" max="14622" width="12.88671875" style="6" bestFit="1" customWidth="1"/>
    <col min="14623" max="14623" width="15.5546875" style="6" bestFit="1" customWidth="1"/>
    <col min="14624" max="14625" width="15.5546875" style="6" customWidth="1"/>
    <col min="14626" max="14869" width="9.109375" style="6"/>
    <col min="14870" max="14870" width="14.6640625" style="6" customWidth="1"/>
    <col min="14871" max="14871" width="26.33203125" style="6" customWidth="1"/>
    <col min="14872" max="14872" width="20.5546875" style="6" customWidth="1"/>
    <col min="14873" max="14873" width="27.44140625" style="6" customWidth="1"/>
    <col min="14874" max="14874" width="6.44140625" style="6" customWidth="1"/>
    <col min="14875" max="14875" width="11.109375" style="6" bestFit="1" customWidth="1"/>
    <col min="14876" max="14877" width="15.5546875" style="6" bestFit="1" customWidth="1"/>
    <col min="14878" max="14878" width="12.88671875" style="6" bestFit="1" customWidth="1"/>
    <col min="14879" max="14879" width="15.5546875" style="6" bestFit="1" customWidth="1"/>
    <col min="14880" max="14881" width="15.5546875" style="6" customWidth="1"/>
    <col min="14882" max="15125" width="9.109375" style="6"/>
    <col min="15126" max="15126" width="14.6640625" style="6" customWidth="1"/>
    <col min="15127" max="15127" width="26.33203125" style="6" customWidth="1"/>
    <col min="15128" max="15128" width="20.5546875" style="6" customWidth="1"/>
    <col min="15129" max="15129" width="27.44140625" style="6" customWidth="1"/>
    <col min="15130" max="15130" width="6.44140625" style="6" customWidth="1"/>
    <col min="15131" max="15131" width="11.109375" style="6" bestFit="1" customWidth="1"/>
    <col min="15132" max="15133" width="15.5546875" style="6" bestFit="1" customWidth="1"/>
    <col min="15134" max="15134" width="12.88671875" style="6" bestFit="1" customWidth="1"/>
    <col min="15135" max="15135" width="15.5546875" style="6" bestFit="1" customWidth="1"/>
    <col min="15136" max="15137" width="15.5546875" style="6" customWidth="1"/>
    <col min="15138" max="15381" width="9.109375" style="6"/>
    <col min="15382" max="15382" width="14.6640625" style="6" customWidth="1"/>
    <col min="15383" max="15383" width="26.33203125" style="6" customWidth="1"/>
    <col min="15384" max="15384" width="20.5546875" style="6" customWidth="1"/>
    <col min="15385" max="15385" width="27.44140625" style="6" customWidth="1"/>
    <col min="15386" max="15386" width="6.44140625" style="6" customWidth="1"/>
    <col min="15387" max="15387" width="11.109375" style="6" bestFit="1" customWidth="1"/>
    <col min="15388" max="15389" width="15.5546875" style="6" bestFit="1" customWidth="1"/>
    <col min="15390" max="15390" width="12.88671875" style="6" bestFit="1" customWidth="1"/>
    <col min="15391" max="15391" width="15.5546875" style="6" bestFit="1" customWidth="1"/>
    <col min="15392" max="15393" width="15.5546875" style="6" customWidth="1"/>
    <col min="15394" max="15637" width="9.109375" style="6"/>
    <col min="15638" max="15638" width="14.6640625" style="6" customWidth="1"/>
    <col min="15639" max="15639" width="26.33203125" style="6" customWidth="1"/>
    <col min="15640" max="15640" width="20.5546875" style="6" customWidth="1"/>
    <col min="15641" max="15641" width="27.44140625" style="6" customWidth="1"/>
    <col min="15642" max="15642" width="6.44140625" style="6" customWidth="1"/>
    <col min="15643" max="15643" width="11.109375" style="6" bestFit="1" customWidth="1"/>
    <col min="15644" max="15645" width="15.5546875" style="6" bestFit="1" customWidth="1"/>
    <col min="15646" max="15646" width="12.88671875" style="6" bestFit="1" customWidth="1"/>
    <col min="15647" max="15647" width="15.5546875" style="6" bestFit="1" customWidth="1"/>
    <col min="15648" max="15649" width="15.5546875" style="6" customWidth="1"/>
    <col min="15650" max="15893" width="9.109375" style="6"/>
    <col min="15894" max="15894" width="14.6640625" style="6" customWidth="1"/>
    <col min="15895" max="15895" width="26.33203125" style="6" customWidth="1"/>
    <col min="15896" max="15896" width="20.5546875" style="6" customWidth="1"/>
    <col min="15897" max="15897" width="27.44140625" style="6" customWidth="1"/>
    <col min="15898" max="15898" width="6.44140625" style="6" customWidth="1"/>
    <col min="15899" max="15899" width="11.109375" style="6" bestFit="1" customWidth="1"/>
    <col min="15900" max="15901" width="15.5546875" style="6" bestFit="1" customWidth="1"/>
    <col min="15902" max="15902" width="12.88671875" style="6" bestFit="1" customWidth="1"/>
    <col min="15903" max="15903" width="15.5546875" style="6" bestFit="1" customWidth="1"/>
    <col min="15904" max="15905" width="15.5546875" style="6" customWidth="1"/>
    <col min="15906" max="16149" width="9.109375" style="6"/>
    <col min="16150" max="16150" width="14.6640625" style="6" customWidth="1"/>
    <col min="16151" max="16151" width="26.33203125" style="6" customWidth="1"/>
    <col min="16152" max="16152" width="20.5546875" style="6" customWidth="1"/>
    <col min="16153" max="16153" width="27.44140625" style="6" customWidth="1"/>
    <col min="16154" max="16154" width="6.44140625" style="6" customWidth="1"/>
    <col min="16155" max="16155" width="11.109375" style="6" bestFit="1" customWidth="1"/>
    <col min="16156" max="16157" width="15.5546875" style="6" bestFit="1" customWidth="1"/>
    <col min="16158" max="16158" width="12.88671875" style="6" bestFit="1" customWidth="1"/>
    <col min="16159" max="16159" width="15.5546875" style="6" bestFit="1" customWidth="1"/>
    <col min="16160" max="16161" width="15.5546875" style="6" customWidth="1"/>
    <col min="16162" max="16382" width="9.109375" style="6"/>
    <col min="16383" max="16384" width="9.109375" style="6" customWidth="1"/>
  </cols>
  <sheetData>
    <row r="1" spans="1:49" s="78" customFormat="1">
      <c r="D1" s="110"/>
      <c r="E1" s="78" t="s">
        <v>192</v>
      </c>
      <c r="J1" s="87"/>
      <c r="K1" s="87"/>
      <c r="L1" s="87"/>
      <c r="M1" s="87"/>
      <c r="N1" s="87" t="s">
        <v>194</v>
      </c>
      <c r="O1" s="88"/>
      <c r="P1" s="89"/>
      <c r="Q1" s="89"/>
      <c r="R1" s="89" t="s">
        <v>193</v>
      </c>
      <c r="S1" s="90" t="s">
        <v>195</v>
      </c>
      <c r="T1" s="90"/>
      <c r="U1" s="89" t="s">
        <v>193</v>
      </c>
      <c r="V1" s="90" t="s">
        <v>195</v>
      </c>
      <c r="W1" s="91" t="s">
        <v>193</v>
      </c>
      <c r="X1" s="87" t="s">
        <v>195</v>
      </c>
      <c r="Y1" s="88"/>
      <c r="Z1" s="88" t="s">
        <v>193</v>
      </c>
      <c r="AA1" s="89"/>
      <c r="AB1" s="89" t="s">
        <v>195</v>
      </c>
      <c r="AC1" s="88"/>
      <c r="AD1" s="89" t="s">
        <v>193</v>
      </c>
      <c r="AE1" s="89"/>
      <c r="AF1" s="89"/>
      <c r="AG1" s="95"/>
      <c r="AH1" s="88" t="s">
        <v>193</v>
      </c>
      <c r="AI1" s="89"/>
      <c r="AJ1" s="89" t="s">
        <v>195</v>
      </c>
      <c r="AK1" s="95" t="s">
        <v>196</v>
      </c>
      <c r="AL1" s="87"/>
      <c r="AM1" s="87"/>
      <c r="AN1" s="87"/>
      <c r="AO1" s="87"/>
      <c r="AP1" s="87"/>
      <c r="AQ1" s="87"/>
    </row>
    <row r="2" spans="1:49">
      <c r="E2" s="6" t="s">
        <v>6</v>
      </c>
      <c r="N2" s="22">
        <v>100</v>
      </c>
      <c r="O2" s="79"/>
      <c r="P2" s="22"/>
      <c r="Q2" s="22"/>
      <c r="R2" s="22">
        <f>N2*R4</f>
        <v>110.68</v>
      </c>
      <c r="S2" s="22"/>
      <c r="T2" s="80">
        <f>R2-N2</f>
        <v>10.680000000000007</v>
      </c>
      <c r="U2" s="84">
        <f>R2*U4</f>
        <v>113.845448</v>
      </c>
      <c r="V2" s="85">
        <f>U2-R2</f>
        <v>3.1654479999999978</v>
      </c>
      <c r="W2" s="92">
        <f>U2*W4</f>
        <v>116.37281694560001</v>
      </c>
      <c r="X2" s="84">
        <f>W2-U2</f>
        <v>2.5273689456000028</v>
      </c>
      <c r="Y2" s="79"/>
      <c r="Z2" s="92">
        <f>W2+12.3</f>
        <v>128.6728169456</v>
      </c>
      <c r="AA2" s="84"/>
      <c r="AB2" s="84">
        <f>Z2-W2</f>
        <v>12.299999999999997</v>
      </c>
      <c r="AC2" s="79"/>
      <c r="AD2" s="84">
        <v>128.4</v>
      </c>
      <c r="AE2" s="22"/>
      <c r="AF2" s="84"/>
      <c r="AG2" s="104"/>
      <c r="AH2" s="103">
        <v>128.4</v>
      </c>
      <c r="AI2" s="22"/>
      <c r="AJ2" s="84">
        <f>AH2-AD2</f>
        <v>0</v>
      </c>
      <c r="AK2" s="96">
        <f>100+AJ2</f>
        <v>100</v>
      </c>
      <c r="AL2" s="22"/>
    </row>
    <row r="3" spans="1:49">
      <c r="E3" s="6" t="s">
        <v>10</v>
      </c>
      <c r="N3" s="22">
        <v>100</v>
      </c>
      <c r="O3" s="81"/>
      <c r="P3" s="82"/>
      <c r="Q3" s="82"/>
      <c r="R3" s="82">
        <f>N3*T4</f>
        <v>104.3</v>
      </c>
      <c r="S3" s="82"/>
      <c r="T3" s="83">
        <f>R3-N3</f>
        <v>4.2999999999999972</v>
      </c>
      <c r="U3" s="86">
        <f>R3*V4</f>
        <v>106.25040999999999</v>
      </c>
      <c r="V3" s="85">
        <f>U3-R3</f>
        <v>1.9504099999999909</v>
      </c>
      <c r="W3" s="93">
        <f>U3*X4</f>
        <v>107.99291672399998</v>
      </c>
      <c r="X3" s="84">
        <f>W3-U3</f>
        <v>1.7425067239999947</v>
      </c>
      <c r="Y3" s="81"/>
      <c r="Z3" s="93">
        <f>W3+16</f>
        <v>123.99291672399998</v>
      </c>
      <c r="AA3" s="86"/>
      <c r="AB3" s="86">
        <f>Z3-W3</f>
        <v>16</v>
      </c>
      <c r="AC3" s="79"/>
      <c r="AD3" s="84">
        <v>124.4</v>
      </c>
      <c r="AE3" s="22"/>
      <c r="AF3" s="84"/>
      <c r="AG3" s="97"/>
      <c r="AH3" s="103">
        <v>124.4</v>
      </c>
      <c r="AI3" s="22"/>
      <c r="AJ3" s="84">
        <f>AH3-AD3</f>
        <v>0</v>
      </c>
      <c r="AK3" s="97">
        <f>100+AJ3</f>
        <v>100</v>
      </c>
      <c r="AL3" s="22"/>
    </row>
    <row r="4" spans="1:49" s="15" customFormat="1">
      <c r="B4" s="16" t="s">
        <v>163</v>
      </c>
      <c r="D4" s="112"/>
      <c r="H4" s="67"/>
      <c r="I4" s="68"/>
      <c r="J4" s="68"/>
      <c r="K4" s="68"/>
      <c r="L4" s="68"/>
      <c r="M4" s="68"/>
      <c r="N4" s="68"/>
      <c r="O4" s="71"/>
      <c r="P4" s="72"/>
      <c r="Q4" s="72"/>
      <c r="R4" s="72">
        <v>1.1068</v>
      </c>
      <c r="S4" s="72"/>
      <c r="T4" s="73">
        <v>1.0429999999999999</v>
      </c>
      <c r="U4" s="76">
        <v>1.0286</v>
      </c>
      <c r="V4" s="74">
        <v>1.0186999999999999</v>
      </c>
      <c r="W4" s="65">
        <v>1.0222</v>
      </c>
      <c r="X4" s="66">
        <v>1.0164</v>
      </c>
      <c r="Y4" s="69"/>
      <c r="Z4" s="70">
        <v>1.123</v>
      </c>
      <c r="AA4" s="70"/>
      <c r="AB4" s="70">
        <v>1.1599999999999999</v>
      </c>
      <c r="AC4" s="94"/>
      <c r="AD4" s="64">
        <v>1.284</v>
      </c>
      <c r="AE4" s="64"/>
      <c r="AF4" s="64">
        <v>1.244</v>
      </c>
      <c r="AG4" s="98"/>
      <c r="AH4" s="99"/>
      <c r="AI4" s="100"/>
      <c r="AJ4" s="100"/>
      <c r="AK4" s="101"/>
      <c r="AL4" s="15" t="s">
        <v>157</v>
      </c>
    </row>
    <row r="5" spans="1:49" s="13" customFormat="1" ht="37.5" customHeight="1">
      <c r="D5" s="113"/>
      <c r="H5" s="17" t="s">
        <v>158</v>
      </c>
      <c r="I5" s="18"/>
      <c r="J5" s="18"/>
      <c r="K5" s="18"/>
      <c r="L5" s="119" t="s">
        <v>159</v>
      </c>
      <c r="M5" s="119"/>
      <c r="N5" s="120"/>
      <c r="O5" s="75" t="s">
        <v>158</v>
      </c>
      <c r="P5" s="77"/>
      <c r="Q5" s="77"/>
      <c r="R5" s="122" t="s">
        <v>151</v>
      </c>
      <c r="S5" s="122"/>
      <c r="T5" s="123"/>
      <c r="U5" s="124" t="s">
        <v>152</v>
      </c>
      <c r="V5" s="124"/>
      <c r="W5" s="131" t="s">
        <v>166</v>
      </c>
      <c r="X5" s="131"/>
      <c r="Y5" s="133" t="s">
        <v>167</v>
      </c>
      <c r="Z5" s="133"/>
      <c r="AA5" s="133"/>
      <c r="AB5" s="133"/>
      <c r="AC5" s="134" t="s">
        <v>191</v>
      </c>
      <c r="AD5" s="122"/>
      <c r="AE5" s="122"/>
      <c r="AF5" s="122"/>
      <c r="AG5" s="123"/>
      <c r="AH5" s="135" t="s">
        <v>199</v>
      </c>
      <c r="AI5" s="136"/>
      <c r="AJ5" s="136"/>
      <c r="AK5" s="137"/>
      <c r="AL5" s="126" t="s">
        <v>153</v>
      </c>
      <c r="AM5" s="127"/>
      <c r="AN5" s="108" t="s">
        <v>200</v>
      </c>
      <c r="AO5" s="109" t="s">
        <v>206</v>
      </c>
      <c r="AP5" s="108" t="s">
        <v>201</v>
      </c>
      <c r="AQ5" s="108" t="s">
        <v>202</v>
      </c>
      <c r="AR5" s="108" t="s">
        <v>203</v>
      </c>
      <c r="AS5" s="108" t="s">
        <v>208</v>
      </c>
      <c r="AT5" s="108" t="s">
        <v>207</v>
      </c>
      <c r="AU5" s="108" t="s">
        <v>204</v>
      </c>
      <c r="AV5" s="108" t="s">
        <v>205</v>
      </c>
      <c r="AW5" s="108" t="s">
        <v>209</v>
      </c>
    </row>
    <row r="6" spans="1:49">
      <c r="A6" s="4" t="s">
        <v>0</v>
      </c>
      <c r="B6" s="1" t="s">
        <v>1</v>
      </c>
      <c r="C6" s="1" t="s">
        <v>2</v>
      </c>
      <c r="D6" s="114" t="s">
        <v>211</v>
      </c>
      <c r="E6" s="1" t="s">
        <v>3</v>
      </c>
      <c r="F6" s="9" t="s">
        <v>210</v>
      </c>
      <c r="G6" s="9" t="s">
        <v>4</v>
      </c>
      <c r="H6" s="23" t="s">
        <v>5</v>
      </c>
      <c r="I6" s="24" t="s">
        <v>6</v>
      </c>
      <c r="J6" s="25" t="s">
        <v>7</v>
      </c>
      <c r="K6" s="25" t="s">
        <v>8</v>
      </c>
      <c r="L6" s="26" t="s">
        <v>9</v>
      </c>
      <c r="M6" s="26" t="s">
        <v>5</v>
      </c>
      <c r="N6" s="27" t="s">
        <v>10</v>
      </c>
      <c r="O6" s="37" t="s">
        <v>5</v>
      </c>
      <c r="P6" s="38" t="s">
        <v>6</v>
      </c>
      <c r="Q6" s="38" t="s">
        <v>160</v>
      </c>
      <c r="R6" s="38" t="s">
        <v>9</v>
      </c>
      <c r="S6" s="38" t="s">
        <v>5</v>
      </c>
      <c r="T6" s="39" t="s">
        <v>10</v>
      </c>
      <c r="U6" s="49" t="s">
        <v>9</v>
      </c>
      <c r="V6" s="50" t="s">
        <v>10</v>
      </c>
      <c r="W6" s="55" t="s">
        <v>9</v>
      </c>
      <c r="X6" s="56" t="s">
        <v>10</v>
      </c>
      <c r="Y6" s="26" t="s">
        <v>168</v>
      </c>
      <c r="Z6" s="26" t="s">
        <v>169</v>
      </c>
      <c r="AA6" s="26" t="s">
        <v>168</v>
      </c>
      <c r="AB6" s="26" t="s">
        <v>10</v>
      </c>
      <c r="AC6" s="37" t="s">
        <v>168</v>
      </c>
      <c r="AD6" s="38" t="s">
        <v>198</v>
      </c>
      <c r="AE6" s="38" t="s">
        <v>168</v>
      </c>
      <c r="AF6" s="38" t="s">
        <v>10</v>
      </c>
      <c r="AG6" s="98" t="s">
        <v>197</v>
      </c>
      <c r="AH6" s="102" t="s">
        <v>198</v>
      </c>
      <c r="AI6" s="49" t="s">
        <v>168</v>
      </c>
      <c r="AJ6" s="49" t="s">
        <v>10</v>
      </c>
      <c r="AK6" s="101" t="s">
        <v>197</v>
      </c>
      <c r="AR6" s="118" t="s">
        <v>270</v>
      </c>
      <c r="AT6" s="6" t="s">
        <v>255</v>
      </c>
      <c r="AU6" s="78" t="s">
        <v>256</v>
      </c>
      <c r="AW6" s="6" t="s">
        <v>271</v>
      </c>
    </row>
    <row r="7" spans="1:49">
      <c r="B7" s="8" t="s">
        <v>11</v>
      </c>
      <c r="C7" s="8"/>
      <c r="D7" s="115" t="s">
        <v>218</v>
      </c>
      <c r="E7" s="8" t="s">
        <v>12</v>
      </c>
      <c r="F7" s="10" t="s">
        <v>241</v>
      </c>
      <c r="G7" s="10" t="s">
        <v>13</v>
      </c>
      <c r="H7" s="28" t="s">
        <v>14</v>
      </c>
      <c r="I7" s="26">
        <v>10285000</v>
      </c>
      <c r="J7" s="26">
        <v>380000</v>
      </c>
      <c r="K7" s="26">
        <v>140000</v>
      </c>
      <c r="L7" s="26">
        <f>I7+J7+K7</f>
        <v>10805000</v>
      </c>
      <c r="M7" s="26" t="s">
        <v>15</v>
      </c>
      <c r="N7" s="27">
        <v>1925000</v>
      </c>
      <c r="O7" s="37"/>
      <c r="P7" s="38"/>
      <c r="Q7" s="38"/>
      <c r="R7" s="38">
        <f>L7*1.1068</f>
        <v>11958974</v>
      </c>
      <c r="S7" s="38"/>
      <c r="T7" s="39">
        <f t="shared" ref="T7:T17" si="0">N7*1.043</f>
        <v>2007774.9999999998</v>
      </c>
      <c r="U7" s="49">
        <f>R7*1.0286</f>
        <v>12301000.656399999</v>
      </c>
      <c r="V7" s="50">
        <f t="shared" ref="V7:V46" si="1">T7*1.0187</f>
        <v>2045320.3924999996</v>
      </c>
      <c r="W7" s="55">
        <f>U7*1.0222</f>
        <v>12574082.870972078</v>
      </c>
      <c r="X7" s="56">
        <f>V7*1.0164</f>
        <v>2078863.6469369996</v>
      </c>
      <c r="Y7" s="26"/>
      <c r="Z7" s="105">
        <f>W7*$Z$4</f>
        <v>14120695.064101644</v>
      </c>
      <c r="AA7" s="105" t="s">
        <v>170</v>
      </c>
      <c r="AB7" s="105">
        <v>2383000</v>
      </c>
      <c r="AC7" s="37"/>
      <c r="AD7" s="38">
        <f t="shared" ref="AD7:AD46" si="2">ROUNDUP(Z7/124*$AD$2,-3)</f>
        <v>14622000</v>
      </c>
      <c r="AE7" s="38" t="s">
        <v>170</v>
      </c>
      <c r="AF7" s="38">
        <f t="shared" ref="AF7:AF46" si="3">ROUND(AB7/122*$AD$3,-3)</f>
        <v>2430000</v>
      </c>
      <c r="AG7" s="39">
        <f>AD7+AF7</f>
        <v>17052000</v>
      </c>
      <c r="AH7" s="102">
        <f>AD7*$AK$2%</f>
        <v>14622000</v>
      </c>
      <c r="AI7" s="49" t="s">
        <v>170</v>
      </c>
      <c r="AJ7" s="49">
        <f>AF7*$AK$3%</f>
        <v>2430000</v>
      </c>
      <c r="AK7" s="50">
        <f>AH7+AJ7</f>
        <v>17052000</v>
      </c>
      <c r="AO7" s="7" t="s">
        <v>216</v>
      </c>
      <c r="AQ7" s="7" t="s">
        <v>216</v>
      </c>
      <c r="AS7" s="6" t="s">
        <v>216</v>
      </c>
      <c r="AT7" s="6" t="s">
        <v>213</v>
      </c>
    </row>
    <row r="8" spans="1:49">
      <c r="B8" s="8" t="s">
        <v>16</v>
      </c>
      <c r="C8" s="8" t="s">
        <v>17</v>
      </c>
      <c r="D8" s="115"/>
      <c r="E8" s="8" t="s">
        <v>18</v>
      </c>
      <c r="F8" s="10"/>
      <c r="G8" s="10" t="s">
        <v>13</v>
      </c>
      <c r="H8" s="28"/>
      <c r="I8" s="26"/>
      <c r="J8" s="26"/>
      <c r="K8" s="26"/>
      <c r="L8" s="26">
        <f t="shared" ref="L8:L46" si="4">I8+J8+K8</f>
        <v>0</v>
      </c>
      <c r="M8" s="26"/>
      <c r="N8" s="27">
        <v>50000</v>
      </c>
      <c r="O8" s="37"/>
      <c r="P8" s="38"/>
      <c r="Q8" s="38"/>
      <c r="R8" s="38">
        <f>L8*1.1068</f>
        <v>0</v>
      </c>
      <c r="S8" s="38"/>
      <c r="T8" s="39">
        <f t="shared" si="0"/>
        <v>52149.999999999993</v>
      </c>
      <c r="U8" s="49">
        <f>R8*1.0286</f>
        <v>0</v>
      </c>
      <c r="V8" s="50">
        <f t="shared" si="1"/>
        <v>53125.204999999987</v>
      </c>
      <c r="W8" s="55"/>
      <c r="X8" s="56">
        <f>V8*1.0164</f>
        <v>53996.458361999983</v>
      </c>
      <c r="Y8" s="26"/>
      <c r="Z8" s="105"/>
      <c r="AA8" s="105"/>
      <c r="AB8" s="105">
        <f>X8*AB4</f>
        <v>62635.891699919979</v>
      </c>
      <c r="AC8" s="37"/>
      <c r="AD8" s="38">
        <f t="shared" si="2"/>
        <v>0</v>
      </c>
      <c r="AE8" s="38"/>
      <c r="AF8" s="38">
        <f t="shared" si="3"/>
        <v>64000</v>
      </c>
      <c r="AG8" s="39">
        <f t="shared" ref="AG8:AG46" si="5">AD8+AF8</f>
        <v>64000</v>
      </c>
      <c r="AH8" s="102">
        <f t="shared" ref="AH8:AH11" si="6">AD8*$AK$2%</f>
        <v>0</v>
      </c>
      <c r="AI8" s="49"/>
      <c r="AJ8" s="49">
        <f t="shared" ref="AJ8:AJ11" si="7">AF8*$AK$3%</f>
        <v>64000</v>
      </c>
      <c r="AK8" s="50">
        <f t="shared" ref="AK8:AK46" si="8">AH8+AJ8</f>
        <v>64000</v>
      </c>
    </row>
    <row r="9" spans="1:49">
      <c r="B9" s="8" t="s">
        <v>19</v>
      </c>
      <c r="C9" s="8" t="s">
        <v>17</v>
      </c>
      <c r="D9" s="115"/>
      <c r="E9" s="8" t="s">
        <v>18</v>
      </c>
      <c r="F9" s="10"/>
      <c r="G9" s="10" t="s">
        <v>13</v>
      </c>
      <c r="H9" s="28"/>
      <c r="I9" s="26"/>
      <c r="J9" s="26"/>
      <c r="K9" s="26"/>
      <c r="L9" s="26">
        <f t="shared" si="4"/>
        <v>0</v>
      </c>
      <c r="M9" s="26"/>
      <c r="N9" s="27">
        <v>17500</v>
      </c>
      <c r="O9" s="37"/>
      <c r="P9" s="38"/>
      <c r="Q9" s="38"/>
      <c r="R9" s="38">
        <f>L9*1.1068</f>
        <v>0</v>
      </c>
      <c r="S9" s="38"/>
      <c r="T9" s="39">
        <f t="shared" si="0"/>
        <v>18252.5</v>
      </c>
      <c r="U9" s="49">
        <f>R9*1.0286</f>
        <v>0</v>
      </c>
      <c r="V9" s="50">
        <f t="shared" si="1"/>
        <v>18593.821749999999</v>
      </c>
      <c r="W9" s="55"/>
      <c r="X9" s="56">
        <f t="shared" ref="X9:X18" si="9">V9*1.0164</f>
        <v>18898.760426699999</v>
      </c>
      <c r="Y9" s="26"/>
      <c r="Z9" s="105"/>
      <c r="AA9" s="105"/>
      <c r="AB9" s="105">
        <f>X9*AB4</f>
        <v>21922.562094971996</v>
      </c>
      <c r="AC9" s="37"/>
      <c r="AD9" s="38">
        <f t="shared" si="2"/>
        <v>0</v>
      </c>
      <c r="AE9" s="38"/>
      <c r="AF9" s="38">
        <f t="shared" si="3"/>
        <v>22000</v>
      </c>
      <c r="AG9" s="39">
        <f t="shared" si="5"/>
        <v>22000</v>
      </c>
      <c r="AH9" s="102">
        <f t="shared" si="6"/>
        <v>0</v>
      </c>
      <c r="AI9" s="49"/>
      <c r="AJ9" s="49">
        <f t="shared" si="7"/>
        <v>22000</v>
      </c>
      <c r="AK9" s="50">
        <f t="shared" si="8"/>
        <v>22000</v>
      </c>
    </row>
    <row r="10" spans="1:49">
      <c r="B10" s="8" t="s">
        <v>20</v>
      </c>
      <c r="C10" s="8" t="s">
        <v>21</v>
      </c>
      <c r="D10" s="115"/>
      <c r="E10" s="8" t="s">
        <v>22</v>
      </c>
      <c r="F10" s="10"/>
      <c r="G10" s="10" t="s">
        <v>13</v>
      </c>
      <c r="H10" s="28"/>
      <c r="I10" s="121">
        <v>472300</v>
      </c>
      <c r="J10" s="26"/>
      <c r="K10" s="26"/>
      <c r="L10" s="125">
        <f t="shared" si="4"/>
        <v>472300</v>
      </c>
      <c r="M10" s="26" t="s">
        <v>23</v>
      </c>
      <c r="N10" s="27">
        <v>1314000</v>
      </c>
      <c r="O10" s="37"/>
      <c r="P10" s="38"/>
      <c r="Q10" s="38"/>
      <c r="R10" s="129">
        <f>L10*1.1068</f>
        <v>522741.64</v>
      </c>
      <c r="S10" s="40"/>
      <c r="T10" s="39">
        <f t="shared" si="0"/>
        <v>1370502</v>
      </c>
      <c r="U10" s="130">
        <f>R10*1.0286</f>
        <v>537692.05090399995</v>
      </c>
      <c r="V10" s="50">
        <f t="shared" si="1"/>
        <v>1396130.3873999999</v>
      </c>
      <c r="W10" s="132">
        <f>U10*1.0222</f>
        <v>549628.81443406874</v>
      </c>
      <c r="X10" s="56">
        <f t="shared" si="9"/>
        <v>1419026.9257533599</v>
      </c>
      <c r="Y10" s="26"/>
      <c r="Z10" s="105">
        <f t="shared" ref="Z10:Z46" si="10">W10*$Z$4</f>
        <v>617233.15860945918</v>
      </c>
      <c r="AA10" s="105" t="s">
        <v>177</v>
      </c>
      <c r="AB10" s="105">
        <v>1502000</v>
      </c>
      <c r="AC10" s="37"/>
      <c r="AD10" s="38">
        <f t="shared" si="2"/>
        <v>640000</v>
      </c>
      <c r="AE10" s="38" t="s">
        <v>177</v>
      </c>
      <c r="AF10" s="38">
        <f t="shared" si="3"/>
        <v>1532000</v>
      </c>
      <c r="AG10" s="39">
        <f t="shared" si="5"/>
        <v>2172000</v>
      </c>
      <c r="AH10" s="102">
        <f t="shared" si="6"/>
        <v>640000</v>
      </c>
      <c r="AI10" s="49" t="s">
        <v>177</v>
      </c>
      <c r="AJ10" s="49">
        <f t="shared" si="7"/>
        <v>1532000</v>
      </c>
      <c r="AK10" s="50">
        <f t="shared" si="8"/>
        <v>2172000</v>
      </c>
      <c r="AL10" s="128" t="s">
        <v>274</v>
      </c>
      <c r="AM10" s="128"/>
      <c r="AO10" s="7" t="s">
        <v>216</v>
      </c>
      <c r="AQ10" s="7" t="s">
        <v>216</v>
      </c>
      <c r="AT10" s="6" t="s">
        <v>213</v>
      </c>
      <c r="AV10" s="6" t="s">
        <v>216</v>
      </c>
    </row>
    <row r="11" spans="1:49">
      <c r="B11" s="8" t="s">
        <v>24</v>
      </c>
      <c r="C11" s="8" t="s">
        <v>21</v>
      </c>
      <c r="D11" s="115" t="s">
        <v>218</v>
      </c>
      <c r="E11" s="8" t="s">
        <v>25</v>
      </c>
      <c r="F11" s="10"/>
      <c r="G11" s="10" t="s">
        <v>13</v>
      </c>
      <c r="H11" s="28"/>
      <c r="I11" s="121"/>
      <c r="J11" s="26"/>
      <c r="K11" s="26"/>
      <c r="L11" s="125"/>
      <c r="M11" s="26" t="s">
        <v>26</v>
      </c>
      <c r="N11" s="27">
        <v>526000</v>
      </c>
      <c r="O11" s="37"/>
      <c r="P11" s="38"/>
      <c r="Q11" s="38"/>
      <c r="R11" s="129"/>
      <c r="S11" s="40"/>
      <c r="T11" s="39">
        <f t="shared" si="0"/>
        <v>548618</v>
      </c>
      <c r="U11" s="130"/>
      <c r="V11" s="50">
        <f t="shared" si="1"/>
        <v>558877.15659999999</v>
      </c>
      <c r="W11" s="132"/>
      <c r="X11" s="56">
        <f t="shared" si="9"/>
        <v>568042.74196824001</v>
      </c>
      <c r="Y11" s="26"/>
      <c r="Z11" s="105">
        <f t="shared" si="10"/>
        <v>0</v>
      </c>
      <c r="AA11" s="105" t="s">
        <v>178</v>
      </c>
      <c r="AB11" s="105">
        <v>621000</v>
      </c>
      <c r="AC11" s="37"/>
      <c r="AD11" s="38">
        <f t="shared" si="2"/>
        <v>0</v>
      </c>
      <c r="AE11" s="38" t="s">
        <v>178</v>
      </c>
      <c r="AF11" s="38">
        <f t="shared" si="3"/>
        <v>633000</v>
      </c>
      <c r="AG11" s="39">
        <f t="shared" si="5"/>
        <v>633000</v>
      </c>
      <c r="AH11" s="102">
        <f t="shared" si="6"/>
        <v>0</v>
      </c>
      <c r="AI11" s="49" t="s">
        <v>178</v>
      </c>
      <c r="AJ11" s="49">
        <f t="shared" si="7"/>
        <v>633000</v>
      </c>
      <c r="AK11" s="50">
        <f t="shared" si="8"/>
        <v>633000</v>
      </c>
      <c r="AL11" s="128"/>
      <c r="AM11" s="128"/>
      <c r="AO11" s="7" t="s">
        <v>216</v>
      </c>
      <c r="AQ11" s="7" t="s">
        <v>216</v>
      </c>
      <c r="AT11" s="6" t="s">
        <v>213</v>
      </c>
      <c r="AV11" s="6" t="s">
        <v>216</v>
      </c>
    </row>
    <row r="12" spans="1:49">
      <c r="B12" s="8" t="s">
        <v>27</v>
      </c>
      <c r="C12" s="8" t="s">
        <v>28</v>
      </c>
      <c r="D12" s="115" t="s">
        <v>218</v>
      </c>
      <c r="E12" s="8" t="s">
        <v>29</v>
      </c>
      <c r="F12" s="10" t="s">
        <v>242</v>
      </c>
      <c r="G12" s="10" t="s">
        <v>13</v>
      </c>
      <c r="H12" s="28" t="s">
        <v>30</v>
      </c>
      <c r="I12" s="26">
        <v>6345000</v>
      </c>
      <c r="J12" s="26">
        <v>230000</v>
      </c>
      <c r="K12" s="26">
        <v>0</v>
      </c>
      <c r="L12" s="26">
        <f t="shared" si="4"/>
        <v>6575000</v>
      </c>
      <c r="M12" s="26" t="s">
        <v>31</v>
      </c>
      <c r="N12" s="27">
        <v>1268000</v>
      </c>
      <c r="O12" s="37"/>
      <c r="P12" s="38"/>
      <c r="Q12" s="38"/>
      <c r="R12" s="38">
        <f t="shared" ref="R12:R17" si="11">L12*1.1068</f>
        <v>7277210</v>
      </c>
      <c r="S12" s="38"/>
      <c r="T12" s="39">
        <f t="shared" si="0"/>
        <v>1322524</v>
      </c>
      <c r="U12" s="49">
        <f t="shared" ref="U12:U20" si="12">R12*1.0286</f>
        <v>7485338.2059999993</v>
      </c>
      <c r="V12" s="50">
        <f t="shared" si="1"/>
        <v>1347255.1987999999</v>
      </c>
      <c r="W12" s="55">
        <f t="shared" ref="W12:W18" si="13">U12*1.0222</f>
        <v>7651512.7141731996</v>
      </c>
      <c r="X12" s="56">
        <f t="shared" si="9"/>
        <v>1369350.1840603198</v>
      </c>
      <c r="Y12" s="26"/>
      <c r="Z12" s="105">
        <f t="shared" si="10"/>
        <v>8592648.7780165039</v>
      </c>
      <c r="AA12" s="105" t="s">
        <v>174</v>
      </c>
      <c r="AB12" s="105">
        <v>1457000</v>
      </c>
      <c r="AC12" s="37"/>
      <c r="AD12" s="38">
        <f t="shared" si="2"/>
        <v>8898000</v>
      </c>
      <c r="AE12" s="38" t="s">
        <v>174</v>
      </c>
      <c r="AF12" s="38">
        <f t="shared" si="3"/>
        <v>1486000</v>
      </c>
      <c r="AG12" s="39">
        <f t="shared" si="5"/>
        <v>10384000</v>
      </c>
      <c r="AH12" s="102">
        <f>ROUNDUP(AD12/$AD$2*$AH$2,-3)</f>
        <v>8898000</v>
      </c>
      <c r="AI12" s="102" t="e">
        <f t="shared" ref="AI12:AJ27" si="14">ROUNDUP(AE12/$AD$2*$AH$2,-3)</f>
        <v>#VALUE!</v>
      </c>
      <c r="AJ12" s="102">
        <f t="shared" si="14"/>
        <v>1486000</v>
      </c>
      <c r="AK12" s="50">
        <f t="shared" si="8"/>
        <v>10384000</v>
      </c>
      <c r="AO12" s="7" t="s">
        <v>216</v>
      </c>
      <c r="AQ12" s="7" t="s">
        <v>216</v>
      </c>
      <c r="AV12" s="6" t="s">
        <v>216</v>
      </c>
    </row>
    <row r="13" spans="1:49">
      <c r="B13" s="8" t="s">
        <v>32</v>
      </c>
      <c r="C13" s="8" t="s">
        <v>28</v>
      </c>
      <c r="D13" s="115" t="s">
        <v>219</v>
      </c>
      <c r="E13" s="8" t="s">
        <v>33</v>
      </c>
      <c r="F13" s="10" t="s">
        <v>246</v>
      </c>
      <c r="G13" s="10" t="s">
        <v>13</v>
      </c>
      <c r="H13" s="28" t="s">
        <v>34</v>
      </c>
      <c r="I13" s="26">
        <v>2330000</v>
      </c>
      <c r="J13" s="26">
        <v>80000</v>
      </c>
      <c r="K13" s="26">
        <v>0</v>
      </c>
      <c r="L13" s="26">
        <f t="shared" si="4"/>
        <v>2410000</v>
      </c>
      <c r="M13" s="26" t="s">
        <v>35</v>
      </c>
      <c r="N13" s="27">
        <v>502000</v>
      </c>
      <c r="O13" s="37"/>
      <c r="P13" s="38"/>
      <c r="Q13" s="38"/>
      <c r="R13" s="38">
        <f t="shared" si="11"/>
        <v>2667388</v>
      </c>
      <c r="S13" s="38"/>
      <c r="T13" s="39">
        <f t="shared" si="0"/>
        <v>523585.99999999994</v>
      </c>
      <c r="U13" s="49">
        <f t="shared" si="12"/>
        <v>2743675.2967999997</v>
      </c>
      <c r="V13" s="50">
        <f t="shared" si="1"/>
        <v>533377.05819999985</v>
      </c>
      <c r="W13" s="55">
        <f t="shared" si="13"/>
        <v>2804584.8883889597</v>
      </c>
      <c r="X13" s="56">
        <f t="shared" si="9"/>
        <v>542124.44195447979</v>
      </c>
      <c r="Y13" s="26"/>
      <c r="Z13" s="105">
        <f t="shared" si="10"/>
        <v>3149548.8296608017</v>
      </c>
      <c r="AA13" s="105" t="s">
        <v>175</v>
      </c>
      <c r="AB13" s="105">
        <v>603000</v>
      </c>
      <c r="AC13" s="37"/>
      <c r="AD13" s="38">
        <f t="shared" si="2"/>
        <v>3262000</v>
      </c>
      <c r="AE13" s="38" t="s">
        <v>175</v>
      </c>
      <c r="AF13" s="38">
        <f t="shared" si="3"/>
        <v>615000</v>
      </c>
      <c r="AG13" s="39">
        <f t="shared" si="5"/>
        <v>3877000</v>
      </c>
      <c r="AH13" s="102">
        <f t="shared" ref="AH13:AH46" si="15">ROUNDUP(AD13/$AD$2*$AH$2,-3)</f>
        <v>3262000</v>
      </c>
      <c r="AI13" s="102" t="e">
        <f t="shared" si="14"/>
        <v>#VALUE!</v>
      </c>
      <c r="AJ13" s="102">
        <f t="shared" si="14"/>
        <v>615000</v>
      </c>
      <c r="AK13" s="50">
        <f t="shared" si="8"/>
        <v>3877000</v>
      </c>
      <c r="AO13" s="7" t="s">
        <v>272</v>
      </c>
      <c r="AS13" s="6" t="s">
        <v>216</v>
      </c>
      <c r="AT13" s="6" t="s">
        <v>213</v>
      </c>
      <c r="AV13" s="6" t="s">
        <v>216</v>
      </c>
    </row>
    <row r="14" spans="1:49">
      <c r="B14" s="8" t="s">
        <v>36</v>
      </c>
      <c r="C14" s="8" t="s">
        <v>21</v>
      </c>
      <c r="D14" s="115" t="s">
        <v>220</v>
      </c>
      <c r="E14" s="2" t="s">
        <v>37</v>
      </c>
      <c r="F14" s="10" t="s">
        <v>243</v>
      </c>
      <c r="G14" s="10" t="s">
        <v>38</v>
      </c>
      <c r="H14" s="28" t="s">
        <v>39</v>
      </c>
      <c r="I14" s="26">
        <v>3825000</v>
      </c>
      <c r="J14" s="26">
        <v>140000</v>
      </c>
      <c r="K14" s="26">
        <v>0</v>
      </c>
      <c r="L14" s="26">
        <f t="shared" si="4"/>
        <v>3965000</v>
      </c>
      <c r="M14" s="26" t="s">
        <v>40</v>
      </c>
      <c r="N14" s="27">
        <v>649000</v>
      </c>
      <c r="O14" s="37"/>
      <c r="P14" s="38"/>
      <c r="Q14" s="38"/>
      <c r="R14" s="38">
        <f t="shared" si="11"/>
        <v>4388462</v>
      </c>
      <c r="S14" s="38"/>
      <c r="T14" s="39">
        <f t="shared" si="0"/>
        <v>676907</v>
      </c>
      <c r="U14" s="49">
        <f t="shared" si="12"/>
        <v>4513972.0131999999</v>
      </c>
      <c r="V14" s="50">
        <f t="shared" si="1"/>
        <v>689565.1608999999</v>
      </c>
      <c r="W14" s="55">
        <f t="shared" si="13"/>
        <v>4614182.1918930402</v>
      </c>
      <c r="X14" s="56">
        <f t="shared" si="9"/>
        <v>700874.02953875985</v>
      </c>
      <c r="Y14" s="26"/>
      <c r="Z14" s="105">
        <f t="shared" si="10"/>
        <v>5181726.6014958844</v>
      </c>
      <c r="AA14" s="105" t="s">
        <v>173</v>
      </c>
      <c r="AB14" s="105">
        <v>855000</v>
      </c>
      <c r="AC14" s="37"/>
      <c r="AD14" s="38">
        <f t="shared" si="2"/>
        <v>5366000</v>
      </c>
      <c r="AE14" s="38" t="s">
        <v>173</v>
      </c>
      <c r="AF14" s="38">
        <f t="shared" si="3"/>
        <v>872000</v>
      </c>
      <c r="AG14" s="39">
        <f t="shared" si="5"/>
        <v>6238000</v>
      </c>
      <c r="AH14" s="102">
        <f t="shared" si="15"/>
        <v>5366000</v>
      </c>
      <c r="AI14" s="102" t="e">
        <f t="shared" si="14"/>
        <v>#VALUE!</v>
      </c>
      <c r="AJ14" s="102">
        <f t="shared" si="14"/>
        <v>872000</v>
      </c>
      <c r="AK14" s="50">
        <f t="shared" si="8"/>
        <v>6238000</v>
      </c>
      <c r="AO14" s="7" t="s">
        <v>216</v>
      </c>
      <c r="AQ14" s="7" t="s">
        <v>216</v>
      </c>
      <c r="AS14" s="6" t="s">
        <v>216</v>
      </c>
      <c r="AT14" s="6" t="s">
        <v>213</v>
      </c>
      <c r="AV14" s="6" t="s">
        <v>216</v>
      </c>
    </row>
    <row r="15" spans="1:49">
      <c r="B15" s="8" t="s">
        <v>41</v>
      </c>
      <c r="C15" s="8" t="s">
        <v>28</v>
      </c>
      <c r="D15" s="115" t="s">
        <v>221</v>
      </c>
      <c r="E15" s="8" t="s">
        <v>42</v>
      </c>
      <c r="F15" s="10" t="s">
        <v>244</v>
      </c>
      <c r="G15" s="10" t="s">
        <v>13</v>
      </c>
      <c r="H15" s="28" t="s">
        <v>43</v>
      </c>
      <c r="I15" s="26">
        <v>2980000</v>
      </c>
      <c r="J15" s="26">
        <v>100000</v>
      </c>
      <c r="K15" s="26">
        <v>0</v>
      </c>
      <c r="L15" s="26">
        <f t="shared" si="4"/>
        <v>3080000</v>
      </c>
      <c r="M15" s="26" t="s">
        <v>44</v>
      </c>
      <c r="N15" s="27">
        <v>763000</v>
      </c>
      <c r="O15" s="37"/>
      <c r="P15" s="38"/>
      <c r="Q15" s="38"/>
      <c r="R15" s="38">
        <f t="shared" si="11"/>
        <v>3408944</v>
      </c>
      <c r="S15" s="38"/>
      <c r="T15" s="39">
        <f t="shared" si="0"/>
        <v>795809</v>
      </c>
      <c r="U15" s="49">
        <f t="shared" si="12"/>
        <v>3506439.7983999997</v>
      </c>
      <c r="V15" s="50">
        <f t="shared" si="1"/>
        <v>810690.62829999998</v>
      </c>
      <c r="W15" s="55">
        <f t="shared" si="13"/>
        <v>3584282.7619244796</v>
      </c>
      <c r="X15" s="56">
        <f t="shared" si="9"/>
        <v>823985.95460411999</v>
      </c>
      <c r="Y15" s="26"/>
      <c r="Z15" s="105">
        <f t="shared" si="10"/>
        <v>4025149.5416411906</v>
      </c>
      <c r="AA15" s="105" t="s">
        <v>171</v>
      </c>
      <c r="AB15" s="105">
        <v>824000</v>
      </c>
      <c r="AC15" s="37"/>
      <c r="AD15" s="38">
        <f t="shared" si="2"/>
        <v>4168000</v>
      </c>
      <c r="AE15" s="38" t="s">
        <v>171</v>
      </c>
      <c r="AF15" s="38">
        <f t="shared" si="3"/>
        <v>840000</v>
      </c>
      <c r="AG15" s="39">
        <f t="shared" si="5"/>
        <v>5008000</v>
      </c>
      <c r="AH15" s="102">
        <f t="shared" si="15"/>
        <v>4168000</v>
      </c>
      <c r="AI15" s="102" t="e">
        <f t="shared" si="14"/>
        <v>#VALUE!</v>
      </c>
      <c r="AJ15" s="102">
        <f t="shared" si="14"/>
        <v>840000</v>
      </c>
      <c r="AK15" s="50">
        <f t="shared" si="8"/>
        <v>5008000</v>
      </c>
      <c r="AO15" s="7" t="s">
        <v>216</v>
      </c>
      <c r="AQ15" s="7" t="s">
        <v>216</v>
      </c>
      <c r="AV15" s="6" t="s">
        <v>216</v>
      </c>
    </row>
    <row r="16" spans="1:49">
      <c r="B16" s="8" t="s">
        <v>45</v>
      </c>
      <c r="C16" s="8" t="s">
        <v>28</v>
      </c>
      <c r="D16" s="115" t="s">
        <v>219</v>
      </c>
      <c r="E16" s="8" t="s">
        <v>46</v>
      </c>
      <c r="F16" s="10" t="s">
        <v>245</v>
      </c>
      <c r="G16" s="10" t="s">
        <v>13</v>
      </c>
      <c r="H16" s="28"/>
      <c r="I16" s="26"/>
      <c r="J16" s="26"/>
      <c r="K16" s="26"/>
      <c r="L16" s="26">
        <f t="shared" si="4"/>
        <v>0</v>
      </c>
      <c r="M16" s="26" t="s">
        <v>47</v>
      </c>
      <c r="N16" s="27">
        <v>887000</v>
      </c>
      <c r="O16" s="37"/>
      <c r="P16" s="38"/>
      <c r="Q16" s="38"/>
      <c r="R16" s="38">
        <f t="shared" si="11"/>
        <v>0</v>
      </c>
      <c r="S16" s="38"/>
      <c r="T16" s="39">
        <f t="shared" si="0"/>
        <v>925140.99999999988</v>
      </c>
      <c r="U16" s="49">
        <f t="shared" si="12"/>
        <v>0</v>
      </c>
      <c r="V16" s="50">
        <f t="shared" si="1"/>
        <v>942441.1366999998</v>
      </c>
      <c r="W16" s="55">
        <f t="shared" si="13"/>
        <v>0</v>
      </c>
      <c r="X16" s="56">
        <f t="shared" si="9"/>
        <v>957897.17134187976</v>
      </c>
      <c r="Y16" s="26"/>
      <c r="Z16" s="105">
        <f t="shared" si="10"/>
        <v>0</v>
      </c>
      <c r="AA16" s="105" t="s">
        <v>176</v>
      </c>
      <c r="AB16" s="105">
        <v>1099000</v>
      </c>
      <c r="AC16" s="37"/>
      <c r="AD16" s="38">
        <f t="shared" si="2"/>
        <v>0</v>
      </c>
      <c r="AE16" s="38" t="s">
        <v>176</v>
      </c>
      <c r="AF16" s="38">
        <f t="shared" si="3"/>
        <v>1121000</v>
      </c>
      <c r="AG16" s="39">
        <f t="shared" si="5"/>
        <v>1121000</v>
      </c>
      <c r="AH16" s="102">
        <f t="shared" si="15"/>
        <v>0</v>
      </c>
      <c r="AI16" s="102" t="e">
        <f t="shared" si="14"/>
        <v>#VALUE!</v>
      </c>
      <c r="AJ16" s="102">
        <f t="shared" si="14"/>
        <v>1121000</v>
      </c>
      <c r="AK16" s="50">
        <f t="shared" si="8"/>
        <v>1121000</v>
      </c>
      <c r="AO16" s="7" t="s">
        <v>216</v>
      </c>
      <c r="AQ16" s="7" t="s">
        <v>216</v>
      </c>
      <c r="AT16" s="6" t="s">
        <v>213</v>
      </c>
      <c r="AV16" s="6" t="s">
        <v>216</v>
      </c>
    </row>
    <row r="17" spans="1:49">
      <c r="B17" s="8" t="s">
        <v>48</v>
      </c>
      <c r="C17" s="8" t="s">
        <v>28</v>
      </c>
      <c r="D17" s="115" t="s">
        <v>219</v>
      </c>
      <c r="E17" s="8" t="s">
        <v>49</v>
      </c>
      <c r="F17" s="10" t="s">
        <v>247</v>
      </c>
      <c r="G17" s="10" t="s">
        <v>13</v>
      </c>
      <c r="H17" s="28" t="s">
        <v>50</v>
      </c>
      <c r="I17" s="26">
        <v>2150000</v>
      </c>
      <c r="J17" s="26">
        <v>80000</v>
      </c>
      <c r="K17" s="26">
        <v>0</v>
      </c>
      <c r="L17" s="26">
        <f t="shared" si="4"/>
        <v>2230000</v>
      </c>
      <c r="M17" s="26" t="s">
        <v>51</v>
      </c>
      <c r="N17" s="27">
        <v>476500</v>
      </c>
      <c r="O17" s="37"/>
      <c r="P17" s="38"/>
      <c r="Q17" s="38"/>
      <c r="R17" s="38">
        <f t="shared" si="11"/>
        <v>2468164</v>
      </c>
      <c r="S17" s="38"/>
      <c r="T17" s="39">
        <f t="shared" si="0"/>
        <v>496989.49999999994</v>
      </c>
      <c r="U17" s="49">
        <f t="shared" si="12"/>
        <v>2538753.4904</v>
      </c>
      <c r="V17" s="50">
        <f t="shared" si="1"/>
        <v>506283.20364999992</v>
      </c>
      <c r="W17" s="55">
        <f t="shared" si="13"/>
        <v>2595113.8178868801</v>
      </c>
      <c r="X17" s="56">
        <f t="shared" si="9"/>
        <v>514586.24818985991</v>
      </c>
      <c r="Y17" s="26"/>
      <c r="Z17" s="105">
        <f t="shared" si="10"/>
        <v>2914312.8174869665</v>
      </c>
      <c r="AA17" s="105" t="s">
        <v>172</v>
      </c>
      <c r="AB17" s="105">
        <v>528000</v>
      </c>
      <c r="AC17" s="37"/>
      <c r="AD17" s="38">
        <f t="shared" si="2"/>
        <v>3018000</v>
      </c>
      <c r="AE17" s="38" t="s">
        <v>172</v>
      </c>
      <c r="AF17" s="38">
        <f t="shared" si="3"/>
        <v>538000</v>
      </c>
      <c r="AG17" s="39">
        <f t="shared" si="5"/>
        <v>3556000</v>
      </c>
      <c r="AH17" s="102">
        <f t="shared" si="15"/>
        <v>3018000</v>
      </c>
      <c r="AI17" s="102" t="e">
        <f t="shared" si="14"/>
        <v>#VALUE!</v>
      </c>
      <c r="AJ17" s="102">
        <f t="shared" si="14"/>
        <v>538000</v>
      </c>
      <c r="AK17" s="50">
        <f t="shared" si="8"/>
        <v>3556000</v>
      </c>
      <c r="AO17" s="7" t="s">
        <v>216</v>
      </c>
      <c r="AQ17" s="7" t="s">
        <v>273</v>
      </c>
      <c r="AT17" s="6" t="s">
        <v>213</v>
      </c>
      <c r="AV17" s="6" t="s">
        <v>216</v>
      </c>
    </row>
    <row r="18" spans="1:49" ht="28.8">
      <c r="B18" s="8" t="s">
        <v>52</v>
      </c>
      <c r="C18" s="8" t="s">
        <v>53</v>
      </c>
      <c r="D18" s="115" t="s">
        <v>222</v>
      </c>
      <c r="E18" s="8" t="s">
        <v>54</v>
      </c>
      <c r="F18" s="10"/>
      <c r="G18" s="10" t="s">
        <v>13</v>
      </c>
      <c r="H18" s="29"/>
      <c r="I18" s="26">
        <v>0</v>
      </c>
      <c r="J18" s="26">
        <v>0</v>
      </c>
      <c r="K18" s="26">
        <v>0</v>
      </c>
      <c r="L18" s="26">
        <v>0</v>
      </c>
      <c r="M18" s="26"/>
      <c r="N18" s="27">
        <v>0</v>
      </c>
      <c r="O18" s="41" t="s">
        <v>55</v>
      </c>
      <c r="P18" s="38">
        <v>20000000</v>
      </c>
      <c r="Q18" s="38">
        <v>625000</v>
      </c>
      <c r="R18" s="38">
        <f>SUM(P18:Q18)</f>
        <v>20625000</v>
      </c>
      <c r="S18" s="42" t="s">
        <v>56</v>
      </c>
      <c r="T18" s="39">
        <v>4490000</v>
      </c>
      <c r="U18" s="49">
        <f t="shared" si="12"/>
        <v>21214875</v>
      </c>
      <c r="V18" s="50">
        <f t="shared" si="1"/>
        <v>4573963</v>
      </c>
      <c r="W18" s="55">
        <f t="shared" si="13"/>
        <v>21685845.225000001</v>
      </c>
      <c r="X18" s="56">
        <f t="shared" si="9"/>
        <v>4648975.9931999994</v>
      </c>
      <c r="Y18" s="26"/>
      <c r="Z18" s="105">
        <f t="shared" si="10"/>
        <v>24353204.187675003</v>
      </c>
      <c r="AA18" s="105" t="s">
        <v>179</v>
      </c>
      <c r="AB18" s="105">
        <v>5755000</v>
      </c>
      <c r="AC18" s="37"/>
      <c r="AD18" s="38">
        <f t="shared" si="2"/>
        <v>25218000</v>
      </c>
      <c r="AE18" s="38" t="s">
        <v>179</v>
      </c>
      <c r="AF18" s="38">
        <f t="shared" si="3"/>
        <v>5868000</v>
      </c>
      <c r="AG18" s="39">
        <f t="shared" si="5"/>
        <v>31086000</v>
      </c>
      <c r="AH18" s="102">
        <f t="shared" si="15"/>
        <v>25218000</v>
      </c>
      <c r="AI18" s="102" t="e">
        <f t="shared" si="14"/>
        <v>#VALUE!</v>
      </c>
      <c r="AJ18" s="102">
        <f t="shared" si="14"/>
        <v>5868000</v>
      </c>
      <c r="AK18" s="50">
        <f t="shared" si="8"/>
        <v>31086000</v>
      </c>
      <c r="AO18" s="7" t="s">
        <v>216</v>
      </c>
      <c r="AQ18" s="7" t="s">
        <v>216</v>
      </c>
      <c r="AT18" s="6" t="s">
        <v>216</v>
      </c>
      <c r="AV18" s="6" t="s">
        <v>216</v>
      </c>
    </row>
    <row r="19" spans="1:49">
      <c r="B19" s="8" t="s">
        <v>57</v>
      </c>
      <c r="C19" s="8" t="s">
        <v>58</v>
      </c>
      <c r="D19" s="115" t="s">
        <v>223</v>
      </c>
      <c r="E19" s="2" t="s">
        <v>59</v>
      </c>
      <c r="F19" s="10" t="s">
        <v>248</v>
      </c>
      <c r="G19" s="10" t="s">
        <v>13</v>
      </c>
      <c r="H19" s="28" t="s">
        <v>60</v>
      </c>
      <c r="I19" s="26">
        <v>1065000</v>
      </c>
      <c r="J19" s="26">
        <v>40000</v>
      </c>
      <c r="K19" s="26">
        <v>0</v>
      </c>
      <c r="L19" s="26">
        <f t="shared" si="4"/>
        <v>1105000</v>
      </c>
      <c r="M19" s="26"/>
      <c r="N19" s="27">
        <v>0</v>
      </c>
      <c r="O19" s="37"/>
      <c r="P19" s="38"/>
      <c r="Q19" s="38"/>
      <c r="R19" s="38">
        <f>L19*1.1068</f>
        <v>1223014</v>
      </c>
      <c r="S19" s="42"/>
      <c r="T19" s="39">
        <f t="shared" ref="T19:T36" si="16">N19*1.043</f>
        <v>0</v>
      </c>
      <c r="U19" s="49">
        <f t="shared" si="12"/>
        <v>1257992.2004</v>
      </c>
      <c r="V19" s="50">
        <f t="shared" si="1"/>
        <v>0</v>
      </c>
      <c r="W19" s="55">
        <f>U19*1.022</f>
        <v>1285668.0288088</v>
      </c>
      <c r="X19" s="56">
        <f t="shared" ref="X19:X46" si="17">V19*1.0187</f>
        <v>0</v>
      </c>
      <c r="Y19" s="26"/>
      <c r="Z19" s="105">
        <f t="shared" si="10"/>
        <v>1443805.1963522825</v>
      </c>
      <c r="AA19" s="105"/>
      <c r="AB19" s="105"/>
      <c r="AC19" s="37"/>
      <c r="AD19" s="38">
        <f t="shared" si="2"/>
        <v>1496000</v>
      </c>
      <c r="AE19" s="38"/>
      <c r="AF19" s="38">
        <f t="shared" si="3"/>
        <v>0</v>
      </c>
      <c r="AG19" s="39">
        <f t="shared" si="5"/>
        <v>1496000</v>
      </c>
      <c r="AH19" s="102">
        <f t="shared" si="15"/>
        <v>1496000</v>
      </c>
      <c r="AI19" s="102">
        <f t="shared" si="14"/>
        <v>0</v>
      </c>
      <c r="AJ19" s="102">
        <f t="shared" si="14"/>
        <v>0</v>
      </c>
      <c r="AK19" s="50">
        <f t="shared" si="8"/>
        <v>1496000</v>
      </c>
      <c r="AN19" s="7" t="s">
        <v>276</v>
      </c>
      <c r="AO19" s="7" t="s">
        <v>276</v>
      </c>
      <c r="AP19" s="7" t="s">
        <v>276</v>
      </c>
      <c r="AQ19" s="7" t="s">
        <v>276</v>
      </c>
      <c r="AR19" s="6" t="s">
        <v>277</v>
      </c>
      <c r="AS19" s="6" t="s">
        <v>216</v>
      </c>
      <c r="AT19" s="6" t="s">
        <v>213</v>
      </c>
      <c r="AU19" s="6" t="s">
        <v>277</v>
      </c>
      <c r="AV19" s="6" t="s">
        <v>216</v>
      </c>
    </row>
    <row r="20" spans="1:49">
      <c r="B20" s="8" t="s">
        <v>269</v>
      </c>
      <c r="C20" s="8" t="s">
        <v>268</v>
      </c>
      <c r="D20" s="115" t="s">
        <v>224</v>
      </c>
      <c r="E20" s="2" t="s">
        <v>61</v>
      </c>
      <c r="F20" s="10" t="s">
        <v>248</v>
      </c>
      <c r="G20" s="10"/>
      <c r="H20" s="28" t="s">
        <v>62</v>
      </c>
      <c r="I20" s="26">
        <v>670000</v>
      </c>
      <c r="J20" s="26">
        <v>20000</v>
      </c>
      <c r="K20" s="26">
        <v>0</v>
      </c>
      <c r="L20" s="26">
        <f t="shared" si="4"/>
        <v>690000</v>
      </c>
      <c r="M20" s="26"/>
      <c r="N20" s="27">
        <v>0</v>
      </c>
      <c r="O20" s="37"/>
      <c r="P20" s="38"/>
      <c r="Q20" s="38"/>
      <c r="R20" s="38">
        <f>L20*1.1068</f>
        <v>763692</v>
      </c>
      <c r="S20" s="38"/>
      <c r="T20" s="39">
        <f t="shared" si="16"/>
        <v>0</v>
      </c>
      <c r="U20" s="49">
        <f t="shared" si="12"/>
        <v>785533.59120000002</v>
      </c>
      <c r="V20" s="50">
        <f t="shared" si="1"/>
        <v>0</v>
      </c>
      <c r="W20" s="55">
        <f>U20*1.022</f>
        <v>802815.33020640002</v>
      </c>
      <c r="X20" s="56">
        <f t="shared" si="17"/>
        <v>0</v>
      </c>
      <c r="Y20" s="26"/>
      <c r="Z20" s="105">
        <f t="shared" si="10"/>
        <v>901561.61582178727</v>
      </c>
      <c r="AA20" s="105"/>
      <c r="AB20" s="105"/>
      <c r="AC20" s="37"/>
      <c r="AD20" s="38">
        <f t="shared" si="2"/>
        <v>934000</v>
      </c>
      <c r="AE20" s="38"/>
      <c r="AF20" s="38">
        <f t="shared" si="3"/>
        <v>0</v>
      </c>
      <c r="AG20" s="39">
        <f t="shared" si="5"/>
        <v>934000</v>
      </c>
      <c r="AH20" s="102">
        <f t="shared" si="15"/>
        <v>934000</v>
      </c>
      <c r="AI20" s="102">
        <f t="shared" si="14"/>
        <v>0</v>
      </c>
      <c r="AJ20" s="102">
        <f t="shared" si="14"/>
        <v>0</v>
      </c>
      <c r="AK20" s="50">
        <f t="shared" si="8"/>
        <v>934000</v>
      </c>
      <c r="AN20" s="7" t="s">
        <v>276</v>
      </c>
      <c r="AO20" s="7" t="s">
        <v>276</v>
      </c>
      <c r="AP20" s="7" t="s">
        <v>276</v>
      </c>
      <c r="AQ20" s="7" t="s">
        <v>276</v>
      </c>
      <c r="AR20" s="6" t="s">
        <v>277</v>
      </c>
      <c r="AS20" s="6" t="s">
        <v>216</v>
      </c>
      <c r="AT20" s="6" t="s">
        <v>213</v>
      </c>
      <c r="AU20" s="6" t="s">
        <v>277</v>
      </c>
      <c r="AV20" s="6" t="s">
        <v>278</v>
      </c>
    </row>
    <row r="21" spans="1:49" s="19" customFormat="1">
      <c r="B21" s="8" t="s">
        <v>63</v>
      </c>
      <c r="C21" s="8"/>
      <c r="D21" s="115" t="s">
        <v>225</v>
      </c>
      <c r="E21" s="2" t="s">
        <v>64</v>
      </c>
      <c r="F21" s="10" t="s">
        <v>249</v>
      </c>
      <c r="G21" s="10" t="s">
        <v>38</v>
      </c>
      <c r="H21" s="30"/>
      <c r="I21" s="31">
        <v>0</v>
      </c>
      <c r="J21" s="31">
        <v>0</v>
      </c>
      <c r="K21" s="31">
        <v>0</v>
      </c>
      <c r="L21" s="31">
        <v>0</v>
      </c>
      <c r="M21" s="31"/>
      <c r="N21" s="32">
        <v>0</v>
      </c>
      <c r="O21" s="43" t="s">
        <v>65</v>
      </c>
      <c r="P21" s="44">
        <v>1650000</v>
      </c>
      <c r="Q21" s="44">
        <v>0</v>
      </c>
      <c r="R21" s="44">
        <f>SUM(P21:Q21)</f>
        <v>1650000</v>
      </c>
      <c r="S21" s="44"/>
      <c r="T21" s="45">
        <f t="shared" si="16"/>
        <v>0</v>
      </c>
      <c r="U21" s="51">
        <v>0</v>
      </c>
      <c r="V21" s="52">
        <f t="shared" si="1"/>
        <v>0</v>
      </c>
      <c r="W21" s="57">
        <f t="shared" ref="W21:W46" si="18">U21*1.0222</f>
        <v>0</v>
      </c>
      <c r="X21" s="58">
        <f t="shared" si="17"/>
        <v>0</v>
      </c>
      <c r="Y21" s="31"/>
      <c r="Z21" s="105">
        <f t="shared" si="10"/>
        <v>0</v>
      </c>
      <c r="AA21" s="107"/>
      <c r="AB21" s="107"/>
      <c r="AC21" s="63"/>
      <c r="AD21" s="38">
        <f t="shared" si="2"/>
        <v>0</v>
      </c>
      <c r="AE21" s="44"/>
      <c r="AF21" s="38">
        <f t="shared" si="3"/>
        <v>0</v>
      </c>
      <c r="AG21" s="39">
        <f t="shared" si="5"/>
        <v>0</v>
      </c>
      <c r="AH21" s="102">
        <f t="shared" si="15"/>
        <v>0</v>
      </c>
      <c r="AI21" s="102">
        <f t="shared" si="14"/>
        <v>0</v>
      </c>
      <c r="AJ21" s="102">
        <f t="shared" si="14"/>
        <v>0</v>
      </c>
      <c r="AK21" s="50">
        <f t="shared" si="8"/>
        <v>0</v>
      </c>
      <c r="AL21" s="7" t="s">
        <v>156</v>
      </c>
      <c r="AM21" s="20"/>
      <c r="AN21" s="19" t="s">
        <v>277</v>
      </c>
      <c r="AO21" s="20" t="s">
        <v>277</v>
      </c>
      <c r="AP21" s="20" t="s">
        <v>277</v>
      </c>
      <c r="AQ21" s="20" t="s">
        <v>277</v>
      </c>
      <c r="AR21" s="19" t="s">
        <v>277</v>
      </c>
      <c r="AS21" s="19" t="s">
        <v>277</v>
      </c>
      <c r="AT21" s="6" t="s">
        <v>278</v>
      </c>
      <c r="AU21" s="6" t="s">
        <v>277</v>
      </c>
      <c r="AV21" s="19" t="s">
        <v>275</v>
      </c>
      <c r="AW21" s="6" t="s">
        <v>212</v>
      </c>
    </row>
    <row r="22" spans="1:49">
      <c r="B22" s="8" t="s">
        <v>66</v>
      </c>
      <c r="C22" s="8" t="s">
        <v>67</v>
      </c>
      <c r="D22" s="115" t="s">
        <v>226</v>
      </c>
      <c r="E22" s="8" t="s">
        <v>68</v>
      </c>
      <c r="F22" s="10" t="s">
        <v>250</v>
      </c>
      <c r="G22" s="10" t="s">
        <v>13</v>
      </c>
      <c r="H22" s="28" t="s">
        <v>69</v>
      </c>
      <c r="I22" s="26">
        <v>2014500</v>
      </c>
      <c r="J22" s="26">
        <v>75000</v>
      </c>
      <c r="K22" s="26">
        <v>0</v>
      </c>
      <c r="L22" s="26">
        <f t="shared" si="4"/>
        <v>2089500</v>
      </c>
      <c r="M22" s="26"/>
      <c r="N22" s="27">
        <v>0</v>
      </c>
      <c r="O22" s="37"/>
      <c r="P22" s="38"/>
      <c r="Q22" s="38"/>
      <c r="R22" s="38">
        <f t="shared" ref="R22:R28" si="19">L22*1.1068</f>
        <v>2312658.6</v>
      </c>
      <c r="S22" s="38"/>
      <c r="T22" s="39">
        <f t="shared" si="16"/>
        <v>0</v>
      </c>
      <c r="U22" s="49">
        <f t="shared" ref="U22:U46" si="20">R22*1.0286</f>
        <v>2378800.6359600001</v>
      </c>
      <c r="V22" s="50">
        <f t="shared" si="1"/>
        <v>0</v>
      </c>
      <c r="W22" s="55">
        <f t="shared" si="18"/>
        <v>2431610.0100783119</v>
      </c>
      <c r="X22" s="56">
        <f t="shared" si="17"/>
        <v>0</v>
      </c>
      <c r="Y22" s="26"/>
      <c r="Z22" s="105">
        <f t="shared" si="10"/>
        <v>2730698.0413179444</v>
      </c>
      <c r="AA22" s="105"/>
      <c r="AB22" s="105"/>
      <c r="AC22" s="37"/>
      <c r="AD22" s="38">
        <f t="shared" si="2"/>
        <v>2828000</v>
      </c>
      <c r="AE22" s="38"/>
      <c r="AF22" s="38">
        <f t="shared" si="3"/>
        <v>0</v>
      </c>
      <c r="AG22" s="39">
        <f t="shared" si="5"/>
        <v>2828000</v>
      </c>
      <c r="AH22" s="102">
        <f t="shared" si="15"/>
        <v>2828000</v>
      </c>
      <c r="AI22" s="102">
        <f t="shared" si="14"/>
        <v>0</v>
      </c>
      <c r="AJ22" s="102">
        <f t="shared" si="14"/>
        <v>0</v>
      </c>
      <c r="AK22" s="50">
        <f t="shared" si="8"/>
        <v>2828000</v>
      </c>
      <c r="AN22" s="7" t="s">
        <v>276</v>
      </c>
      <c r="AO22" s="7" t="s">
        <v>276</v>
      </c>
      <c r="AP22" s="7" t="s">
        <v>276</v>
      </c>
      <c r="AQ22" s="7" t="s">
        <v>276</v>
      </c>
      <c r="AR22" s="6" t="s">
        <v>277</v>
      </c>
      <c r="AS22" s="6" t="s">
        <v>277</v>
      </c>
      <c r="AT22" s="6" t="s">
        <v>216</v>
      </c>
      <c r="AU22" s="6" t="s">
        <v>277</v>
      </c>
      <c r="AV22" s="6" t="s">
        <v>275</v>
      </c>
    </row>
    <row r="23" spans="1:49">
      <c r="B23" s="8" t="s">
        <v>70</v>
      </c>
      <c r="C23" s="8" t="s">
        <v>71</v>
      </c>
      <c r="D23" s="115" t="s">
        <v>227</v>
      </c>
      <c r="E23" s="8" t="s">
        <v>72</v>
      </c>
      <c r="F23" s="10" t="s">
        <v>244</v>
      </c>
      <c r="G23" s="10" t="s">
        <v>13</v>
      </c>
      <c r="H23" s="28" t="s">
        <v>73</v>
      </c>
      <c r="I23" s="26">
        <v>1560000</v>
      </c>
      <c r="J23" s="26">
        <v>55000</v>
      </c>
      <c r="K23" s="26">
        <v>0</v>
      </c>
      <c r="L23" s="26">
        <f t="shared" si="4"/>
        <v>1615000</v>
      </c>
      <c r="M23" s="26"/>
      <c r="N23" s="27">
        <v>0</v>
      </c>
      <c r="O23" s="37"/>
      <c r="P23" s="38"/>
      <c r="Q23" s="38"/>
      <c r="R23" s="38">
        <f t="shared" si="19"/>
        <v>1787482</v>
      </c>
      <c r="S23" s="38"/>
      <c r="T23" s="39">
        <f t="shared" si="16"/>
        <v>0</v>
      </c>
      <c r="U23" s="49">
        <f t="shared" si="20"/>
        <v>1838603.9852</v>
      </c>
      <c r="V23" s="50">
        <f t="shared" si="1"/>
        <v>0</v>
      </c>
      <c r="W23" s="55">
        <f t="shared" si="18"/>
        <v>1879420.9936714401</v>
      </c>
      <c r="X23" s="56">
        <f t="shared" si="17"/>
        <v>0</v>
      </c>
      <c r="Y23" s="26"/>
      <c r="Z23" s="105">
        <f t="shared" si="10"/>
        <v>2110589.775893027</v>
      </c>
      <c r="AA23" s="105"/>
      <c r="AB23" s="105"/>
      <c r="AC23" s="37"/>
      <c r="AD23" s="38">
        <f t="shared" si="2"/>
        <v>2186000</v>
      </c>
      <c r="AE23" s="38"/>
      <c r="AF23" s="38">
        <f t="shared" si="3"/>
        <v>0</v>
      </c>
      <c r="AG23" s="39">
        <f t="shared" si="5"/>
        <v>2186000</v>
      </c>
      <c r="AH23" s="102">
        <f t="shared" si="15"/>
        <v>2186000</v>
      </c>
      <c r="AI23" s="102">
        <f t="shared" si="14"/>
        <v>0</v>
      </c>
      <c r="AJ23" s="102">
        <f t="shared" si="14"/>
        <v>0</v>
      </c>
      <c r="AK23" s="50">
        <f t="shared" si="8"/>
        <v>2186000</v>
      </c>
      <c r="AN23" s="7" t="s">
        <v>276</v>
      </c>
      <c r="AO23" s="7" t="s">
        <v>276</v>
      </c>
      <c r="AP23" s="7" t="s">
        <v>276</v>
      </c>
      <c r="AQ23" s="7" t="s">
        <v>276</v>
      </c>
      <c r="AR23" s="6" t="s">
        <v>277</v>
      </c>
      <c r="AS23" s="6" t="s">
        <v>277</v>
      </c>
      <c r="AT23" s="6" t="s">
        <v>278</v>
      </c>
      <c r="AU23" s="6" t="s">
        <v>277</v>
      </c>
      <c r="AV23" s="6" t="s">
        <v>278</v>
      </c>
    </row>
    <row r="24" spans="1:49">
      <c r="A24" s="3"/>
      <c r="B24" s="2" t="s">
        <v>164</v>
      </c>
      <c r="C24" s="2" t="s">
        <v>165</v>
      </c>
      <c r="D24" s="116" t="s">
        <v>228</v>
      </c>
      <c r="E24" s="2" t="s">
        <v>74</v>
      </c>
      <c r="F24" s="10" t="s">
        <v>251</v>
      </c>
      <c r="G24" s="11" t="s">
        <v>13</v>
      </c>
      <c r="H24" s="33" t="s">
        <v>75</v>
      </c>
      <c r="I24" s="26">
        <v>485000</v>
      </c>
      <c r="J24" s="26">
        <v>15000</v>
      </c>
      <c r="K24" s="26">
        <v>0</v>
      </c>
      <c r="L24" s="26">
        <f t="shared" si="4"/>
        <v>500000</v>
      </c>
      <c r="M24" s="26" t="s">
        <v>76</v>
      </c>
      <c r="N24" s="27">
        <v>93000</v>
      </c>
      <c r="O24" s="37"/>
      <c r="P24" s="38"/>
      <c r="Q24" s="38"/>
      <c r="R24" s="38">
        <f t="shared" si="19"/>
        <v>553400</v>
      </c>
      <c r="S24" s="38"/>
      <c r="T24" s="39">
        <f t="shared" si="16"/>
        <v>96999</v>
      </c>
      <c r="U24" s="49">
        <f t="shared" si="20"/>
        <v>569227.24</v>
      </c>
      <c r="V24" s="50">
        <f t="shared" si="1"/>
        <v>98812.881299999994</v>
      </c>
      <c r="W24" s="55">
        <f t="shared" si="18"/>
        <v>581864.08472799999</v>
      </c>
      <c r="X24" s="56">
        <f>V24*1.0164</f>
        <v>100433.41255331998</v>
      </c>
      <c r="Y24" s="26"/>
      <c r="Z24" s="105">
        <f t="shared" si="10"/>
        <v>653433.36714954395</v>
      </c>
      <c r="AA24" s="105" t="s">
        <v>180</v>
      </c>
      <c r="AB24" s="105">
        <v>78000</v>
      </c>
      <c r="AC24" s="37"/>
      <c r="AD24" s="38">
        <f t="shared" si="2"/>
        <v>677000</v>
      </c>
      <c r="AE24" s="38" t="s">
        <v>180</v>
      </c>
      <c r="AF24" s="38">
        <f t="shared" si="3"/>
        <v>80000</v>
      </c>
      <c r="AG24" s="39">
        <f t="shared" si="5"/>
        <v>757000</v>
      </c>
      <c r="AH24" s="102">
        <f t="shared" si="15"/>
        <v>677000</v>
      </c>
      <c r="AI24" s="102" t="e">
        <f t="shared" si="14"/>
        <v>#VALUE!</v>
      </c>
      <c r="AJ24" s="102">
        <f t="shared" si="14"/>
        <v>80000</v>
      </c>
      <c r="AK24" s="50">
        <f t="shared" si="8"/>
        <v>757000</v>
      </c>
      <c r="AN24" s="7" t="s">
        <v>276</v>
      </c>
      <c r="AO24" s="7" t="s">
        <v>276</v>
      </c>
      <c r="AP24" s="7" t="s">
        <v>276</v>
      </c>
      <c r="AQ24" s="7" t="s">
        <v>276</v>
      </c>
      <c r="AR24" s="6" t="s">
        <v>277</v>
      </c>
      <c r="AS24" s="6" t="s">
        <v>277</v>
      </c>
      <c r="AT24" s="3" t="s">
        <v>278</v>
      </c>
      <c r="AU24" s="6" t="s">
        <v>277</v>
      </c>
      <c r="AV24" s="6" t="s">
        <v>278</v>
      </c>
      <c r="AW24" s="3"/>
    </row>
    <row r="25" spans="1:49">
      <c r="B25" s="2" t="s">
        <v>78</v>
      </c>
      <c r="C25" s="8" t="s">
        <v>79</v>
      </c>
      <c r="D25" s="115" t="s">
        <v>229</v>
      </c>
      <c r="E25" s="8" t="s">
        <v>80</v>
      </c>
      <c r="F25" s="10" t="s">
        <v>251</v>
      </c>
      <c r="G25" s="10" t="s">
        <v>13</v>
      </c>
      <c r="H25" s="28" t="s">
        <v>81</v>
      </c>
      <c r="I25" s="26">
        <v>1925000</v>
      </c>
      <c r="J25" s="26">
        <v>65000</v>
      </c>
      <c r="K25" s="26">
        <v>0</v>
      </c>
      <c r="L25" s="26">
        <f t="shared" si="4"/>
        <v>1990000</v>
      </c>
      <c r="M25" s="26"/>
      <c r="N25" s="27">
        <v>0</v>
      </c>
      <c r="O25" s="37"/>
      <c r="P25" s="38"/>
      <c r="Q25" s="38"/>
      <c r="R25" s="38">
        <f t="shared" si="19"/>
        <v>2202532</v>
      </c>
      <c r="S25" s="38"/>
      <c r="T25" s="39">
        <f t="shared" si="16"/>
        <v>0</v>
      </c>
      <c r="U25" s="49">
        <f t="shared" si="20"/>
        <v>2265524.4151999997</v>
      </c>
      <c r="V25" s="50">
        <f t="shared" si="1"/>
        <v>0</v>
      </c>
      <c r="W25" s="55">
        <f t="shared" si="18"/>
        <v>2315819.0572174396</v>
      </c>
      <c r="X25" s="56">
        <f t="shared" si="17"/>
        <v>0</v>
      </c>
      <c r="Y25" s="26"/>
      <c r="Z25" s="105">
        <f t="shared" si="10"/>
        <v>2600664.8012551847</v>
      </c>
      <c r="AA25" s="105"/>
      <c r="AB25" s="105"/>
      <c r="AC25" s="37"/>
      <c r="AD25" s="38">
        <f t="shared" si="2"/>
        <v>2693000</v>
      </c>
      <c r="AE25" s="38"/>
      <c r="AF25" s="38">
        <f t="shared" si="3"/>
        <v>0</v>
      </c>
      <c r="AG25" s="39">
        <f t="shared" si="5"/>
        <v>2693000</v>
      </c>
      <c r="AH25" s="102">
        <f t="shared" si="15"/>
        <v>2693000</v>
      </c>
      <c r="AI25" s="102">
        <f t="shared" si="14"/>
        <v>0</v>
      </c>
      <c r="AJ25" s="102">
        <f t="shared" si="14"/>
        <v>0</v>
      </c>
      <c r="AK25" s="50">
        <f t="shared" si="8"/>
        <v>2693000</v>
      </c>
      <c r="AN25" s="7" t="s">
        <v>276</v>
      </c>
      <c r="AO25" s="7" t="s">
        <v>276</v>
      </c>
      <c r="AP25" s="7" t="s">
        <v>276</v>
      </c>
      <c r="AQ25" s="7" t="s">
        <v>276</v>
      </c>
      <c r="AR25" s="6" t="s">
        <v>277</v>
      </c>
      <c r="AS25" s="6" t="s">
        <v>277</v>
      </c>
      <c r="AT25" s="7" t="s">
        <v>276</v>
      </c>
      <c r="AU25" s="6" t="s">
        <v>277</v>
      </c>
      <c r="AV25" s="6" t="s">
        <v>275</v>
      </c>
    </row>
    <row r="26" spans="1:49">
      <c r="B26" s="8" t="s">
        <v>82</v>
      </c>
      <c r="C26" s="8" t="s">
        <v>83</v>
      </c>
      <c r="D26" s="115"/>
      <c r="E26" s="8" t="s">
        <v>84</v>
      </c>
      <c r="F26" s="10" t="s">
        <v>252</v>
      </c>
      <c r="G26" s="10" t="s">
        <v>38</v>
      </c>
      <c r="H26" s="28" t="s">
        <v>85</v>
      </c>
      <c r="I26" s="26">
        <v>1495000</v>
      </c>
      <c r="J26" s="26">
        <v>53000</v>
      </c>
      <c r="K26" s="26">
        <v>0</v>
      </c>
      <c r="L26" s="26">
        <f t="shared" si="4"/>
        <v>1548000</v>
      </c>
      <c r="M26" s="26"/>
      <c r="N26" s="27">
        <v>0</v>
      </c>
      <c r="O26" s="37"/>
      <c r="P26" s="38"/>
      <c r="Q26" s="38"/>
      <c r="R26" s="38">
        <f t="shared" si="19"/>
        <v>1713326.4</v>
      </c>
      <c r="S26" s="38"/>
      <c r="T26" s="39">
        <f t="shared" si="16"/>
        <v>0</v>
      </c>
      <c r="U26" s="49">
        <f t="shared" si="20"/>
        <v>1762327.5350399998</v>
      </c>
      <c r="V26" s="50">
        <f t="shared" si="1"/>
        <v>0</v>
      </c>
      <c r="W26" s="55">
        <f t="shared" si="18"/>
        <v>1801451.2063178876</v>
      </c>
      <c r="X26" s="56">
        <f t="shared" si="17"/>
        <v>0</v>
      </c>
      <c r="Y26" s="26"/>
      <c r="Z26" s="105">
        <f t="shared" si="10"/>
        <v>2023029.7046949877</v>
      </c>
      <c r="AA26" s="105"/>
      <c r="AB26" s="105"/>
      <c r="AC26" s="37"/>
      <c r="AD26" s="38">
        <f t="shared" si="2"/>
        <v>2095000</v>
      </c>
      <c r="AE26" s="38"/>
      <c r="AF26" s="38">
        <f t="shared" si="3"/>
        <v>0</v>
      </c>
      <c r="AG26" s="39">
        <f t="shared" si="5"/>
        <v>2095000</v>
      </c>
      <c r="AH26" s="102">
        <f t="shared" si="15"/>
        <v>2095000</v>
      </c>
      <c r="AI26" s="102">
        <f t="shared" si="14"/>
        <v>0</v>
      </c>
      <c r="AJ26" s="102">
        <f t="shared" si="14"/>
        <v>0</v>
      </c>
      <c r="AK26" s="50">
        <f t="shared" si="8"/>
        <v>2095000</v>
      </c>
      <c r="AN26" s="7" t="s">
        <v>276</v>
      </c>
      <c r="AO26" s="7" t="s">
        <v>276</v>
      </c>
      <c r="AP26" s="7" t="s">
        <v>276</v>
      </c>
      <c r="AQ26" s="7" t="s">
        <v>276</v>
      </c>
      <c r="AR26" s="6" t="s">
        <v>277</v>
      </c>
      <c r="AS26" s="6" t="s">
        <v>216</v>
      </c>
      <c r="AT26" s="6" t="s">
        <v>275</v>
      </c>
      <c r="AU26" s="6" t="s">
        <v>277</v>
      </c>
      <c r="AV26" s="6" t="s">
        <v>275</v>
      </c>
    </row>
    <row r="27" spans="1:49">
      <c r="B27" s="8" t="s">
        <v>86</v>
      </c>
      <c r="C27" s="8" t="s">
        <v>87</v>
      </c>
      <c r="D27" s="115"/>
      <c r="E27" s="8" t="s">
        <v>88</v>
      </c>
      <c r="F27" s="10" t="s">
        <v>253</v>
      </c>
      <c r="G27" s="10" t="s">
        <v>13</v>
      </c>
      <c r="H27" s="28" t="s">
        <v>89</v>
      </c>
      <c r="I27" s="26">
        <v>1025000</v>
      </c>
      <c r="J27" s="26">
        <v>35000</v>
      </c>
      <c r="K27" s="26">
        <v>0</v>
      </c>
      <c r="L27" s="26">
        <f t="shared" si="4"/>
        <v>1060000</v>
      </c>
      <c r="M27" s="26"/>
      <c r="N27" s="27">
        <v>0</v>
      </c>
      <c r="O27" s="37"/>
      <c r="P27" s="38"/>
      <c r="Q27" s="38"/>
      <c r="R27" s="38">
        <f t="shared" si="19"/>
        <v>1173208</v>
      </c>
      <c r="S27" s="38"/>
      <c r="T27" s="39">
        <f t="shared" si="16"/>
        <v>0</v>
      </c>
      <c r="U27" s="49">
        <f t="shared" si="20"/>
        <v>1206761.7487999999</v>
      </c>
      <c r="V27" s="50">
        <f t="shared" si="1"/>
        <v>0</v>
      </c>
      <c r="W27" s="55">
        <f t="shared" si="18"/>
        <v>1233551.85962336</v>
      </c>
      <c r="X27" s="56">
        <f t="shared" si="17"/>
        <v>0</v>
      </c>
      <c r="Y27" s="26"/>
      <c r="Z27" s="105">
        <f t="shared" si="10"/>
        <v>1385278.7383570333</v>
      </c>
      <c r="AA27" s="105"/>
      <c r="AB27" s="105"/>
      <c r="AC27" s="37"/>
      <c r="AD27" s="38">
        <f t="shared" si="2"/>
        <v>1435000</v>
      </c>
      <c r="AE27" s="38"/>
      <c r="AF27" s="38">
        <f t="shared" si="3"/>
        <v>0</v>
      </c>
      <c r="AG27" s="39">
        <f t="shared" si="5"/>
        <v>1435000</v>
      </c>
      <c r="AH27" s="102">
        <f t="shared" si="15"/>
        <v>1435000</v>
      </c>
      <c r="AI27" s="102">
        <f t="shared" si="14"/>
        <v>0</v>
      </c>
      <c r="AJ27" s="102">
        <f t="shared" si="14"/>
        <v>0</v>
      </c>
      <c r="AK27" s="50">
        <f t="shared" si="8"/>
        <v>1435000</v>
      </c>
      <c r="AN27" s="7" t="s">
        <v>276</v>
      </c>
      <c r="AO27" s="7" t="s">
        <v>276</v>
      </c>
      <c r="AP27" s="7" t="s">
        <v>276</v>
      </c>
      <c r="AQ27" s="7" t="s">
        <v>276</v>
      </c>
      <c r="AR27" s="6" t="s">
        <v>277</v>
      </c>
      <c r="AS27" s="6" t="s">
        <v>277</v>
      </c>
      <c r="AT27" s="6" t="s">
        <v>278</v>
      </c>
      <c r="AU27" s="6" t="s">
        <v>277</v>
      </c>
      <c r="AV27" s="6" t="s">
        <v>275</v>
      </c>
    </row>
    <row r="28" spans="1:49">
      <c r="B28" s="8" t="s">
        <v>90</v>
      </c>
      <c r="C28" s="8" t="s">
        <v>87</v>
      </c>
      <c r="D28" s="115"/>
      <c r="E28" s="8" t="s">
        <v>91</v>
      </c>
      <c r="F28" s="10" t="s">
        <v>254</v>
      </c>
      <c r="G28" s="10" t="s">
        <v>13</v>
      </c>
      <c r="H28" s="28" t="s">
        <v>92</v>
      </c>
      <c r="I28" s="26">
        <v>1025000</v>
      </c>
      <c r="J28" s="26">
        <v>45000</v>
      </c>
      <c r="K28" s="26">
        <v>0</v>
      </c>
      <c r="L28" s="26">
        <f t="shared" si="4"/>
        <v>1070000</v>
      </c>
      <c r="M28" s="26"/>
      <c r="N28" s="27">
        <v>0</v>
      </c>
      <c r="O28" s="37"/>
      <c r="P28" s="38"/>
      <c r="Q28" s="38"/>
      <c r="R28" s="38">
        <f t="shared" si="19"/>
        <v>1184276</v>
      </c>
      <c r="S28" s="38"/>
      <c r="T28" s="39">
        <f t="shared" si="16"/>
        <v>0</v>
      </c>
      <c r="U28" s="49">
        <f t="shared" si="20"/>
        <v>1218146.2936</v>
      </c>
      <c r="V28" s="50">
        <f t="shared" si="1"/>
        <v>0</v>
      </c>
      <c r="W28" s="55">
        <f t="shared" si="18"/>
        <v>1245189.1413179201</v>
      </c>
      <c r="X28" s="56">
        <f t="shared" si="17"/>
        <v>0</v>
      </c>
      <c r="Y28" s="26"/>
      <c r="Z28" s="105">
        <f t="shared" si="10"/>
        <v>1398347.4057000242</v>
      </c>
      <c r="AA28" s="105"/>
      <c r="AB28" s="105"/>
      <c r="AC28" s="37"/>
      <c r="AD28" s="38">
        <f t="shared" si="2"/>
        <v>1448000</v>
      </c>
      <c r="AE28" s="38"/>
      <c r="AF28" s="38">
        <f t="shared" si="3"/>
        <v>0</v>
      </c>
      <c r="AG28" s="39">
        <f t="shared" si="5"/>
        <v>1448000</v>
      </c>
      <c r="AH28" s="102">
        <f t="shared" si="15"/>
        <v>1448000</v>
      </c>
      <c r="AI28" s="102">
        <f t="shared" ref="AI28:AI46" si="21">ROUNDUP(AE28/$AD$2*$AH$2,-3)</f>
        <v>0</v>
      </c>
      <c r="AJ28" s="102">
        <f t="shared" ref="AJ28:AJ46" si="22">ROUNDUP(AF28/$AD$2*$AH$2,-3)</f>
        <v>0</v>
      </c>
      <c r="AK28" s="50">
        <f t="shared" si="8"/>
        <v>1448000</v>
      </c>
      <c r="AN28" s="7" t="s">
        <v>276</v>
      </c>
      <c r="AO28" s="7" t="s">
        <v>276</v>
      </c>
      <c r="AP28" s="7" t="s">
        <v>276</v>
      </c>
      <c r="AQ28" s="7" t="s">
        <v>276</v>
      </c>
      <c r="AR28" s="6" t="s">
        <v>277</v>
      </c>
      <c r="AS28" s="6" t="s">
        <v>277</v>
      </c>
      <c r="AT28" s="6" t="s">
        <v>278</v>
      </c>
      <c r="AU28" s="6" t="s">
        <v>277</v>
      </c>
      <c r="AV28" s="6" t="s">
        <v>275</v>
      </c>
    </row>
    <row r="29" spans="1:49" ht="28.8">
      <c r="B29" s="8" t="s">
        <v>93</v>
      </c>
      <c r="C29" s="8" t="s">
        <v>94</v>
      </c>
      <c r="D29" s="115" t="s">
        <v>230</v>
      </c>
      <c r="E29" s="8" t="s">
        <v>95</v>
      </c>
      <c r="F29" s="10" t="s">
        <v>257</v>
      </c>
      <c r="G29" s="10" t="s">
        <v>13</v>
      </c>
      <c r="H29" s="28"/>
      <c r="I29" s="26">
        <v>0</v>
      </c>
      <c r="J29" s="26">
        <v>0</v>
      </c>
      <c r="K29" s="26">
        <v>0</v>
      </c>
      <c r="L29" s="26">
        <f>I29+J29+K29</f>
        <v>0</v>
      </c>
      <c r="M29" s="26"/>
      <c r="N29" s="27">
        <v>0</v>
      </c>
      <c r="O29" s="41" t="s">
        <v>96</v>
      </c>
      <c r="P29" s="38">
        <v>24600000</v>
      </c>
      <c r="Q29" s="38">
        <v>915000</v>
      </c>
      <c r="R29" s="38">
        <f>SUM(P29:Q29)</f>
        <v>25515000</v>
      </c>
      <c r="S29" s="38"/>
      <c r="T29" s="39">
        <f t="shared" si="16"/>
        <v>0</v>
      </c>
      <c r="U29" s="49">
        <f t="shared" si="20"/>
        <v>26244729</v>
      </c>
      <c r="V29" s="50">
        <f t="shared" si="1"/>
        <v>0</v>
      </c>
      <c r="W29" s="55">
        <f t="shared" si="18"/>
        <v>26827361.983800001</v>
      </c>
      <c r="X29" s="56">
        <f t="shared" si="17"/>
        <v>0</v>
      </c>
      <c r="Y29" s="26"/>
      <c r="Z29" s="105">
        <f t="shared" si="10"/>
        <v>30127127.5078074</v>
      </c>
      <c r="AA29" s="105"/>
      <c r="AB29" s="105"/>
      <c r="AC29" s="37"/>
      <c r="AD29" s="38">
        <f t="shared" si="2"/>
        <v>31197000</v>
      </c>
      <c r="AE29" s="38"/>
      <c r="AF29" s="38">
        <f t="shared" si="3"/>
        <v>0</v>
      </c>
      <c r="AG29" s="39">
        <f t="shared" si="5"/>
        <v>31197000</v>
      </c>
      <c r="AH29" s="102">
        <f t="shared" si="15"/>
        <v>31197000</v>
      </c>
      <c r="AI29" s="102">
        <f t="shared" si="21"/>
        <v>0</v>
      </c>
      <c r="AJ29" s="102">
        <f t="shared" si="22"/>
        <v>0</v>
      </c>
      <c r="AK29" s="50">
        <f t="shared" si="8"/>
        <v>31197000</v>
      </c>
      <c r="AO29" s="7" t="s">
        <v>216</v>
      </c>
      <c r="AQ29" s="7" t="s">
        <v>216</v>
      </c>
      <c r="AS29" s="6" t="s">
        <v>216</v>
      </c>
      <c r="AW29" s="6" t="s">
        <v>217</v>
      </c>
    </row>
    <row r="30" spans="1:49">
      <c r="B30" s="8" t="s">
        <v>97</v>
      </c>
      <c r="C30" s="8" t="s">
        <v>77</v>
      </c>
      <c r="D30" s="115"/>
      <c r="E30" s="8" t="s">
        <v>98</v>
      </c>
      <c r="F30" s="10"/>
      <c r="G30" s="10" t="s">
        <v>13</v>
      </c>
      <c r="H30" s="28"/>
      <c r="I30" s="26">
        <v>0</v>
      </c>
      <c r="J30" s="26">
        <v>0</v>
      </c>
      <c r="K30" s="26">
        <v>0</v>
      </c>
      <c r="L30" s="26">
        <f t="shared" si="4"/>
        <v>0</v>
      </c>
      <c r="M30" s="26"/>
      <c r="N30" s="27">
        <v>0</v>
      </c>
      <c r="O30" s="37"/>
      <c r="P30" s="38"/>
      <c r="Q30" s="38"/>
      <c r="R30" s="38">
        <f>L30*1.1068</f>
        <v>0</v>
      </c>
      <c r="S30" s="38"/>
      <c r="T30" s="39">
        <f t="shared" si="16"/>
        <v>0</v>
      </c>
      <c r="U30" s="49">
        <f t="shared" si="20"/>
        <v>0</v>
      </c>
      <c r="V30" s="50">
        <f t="shared" si="1"/>
        <v>0</v>
      </c>
      <c r="W30" s="55">
        <f t="shared" si="18"/>
        <v>0</v>
      </c>
      <c r="X30" s="56">
        <f t="shared" si="17"/>
        <v>0</v>
      </c>
      <c r="Y30" s="26"/>
      <c r="Z30" s="105">
        <f t="shared" si="10"/>
        <v>0</v>
      </c>
      <c r="AA30" s="105"/>
      <c r="AB30" s="105"/>
      <c r="AC30" s="37"/>
      <c r="AD30" s="38">
        <f t="shared" si="2"/>
        <v>0</v>
      </c>
      <c r="AE30" s="38"/>
      <c r="AF30" s="38">
        <f t="shared" si="3"/>
        <v>0</v>
      </c>
      <c r="AG30" s="39">
        <f t="shared" si="5"/>
        <v>0</v>
      </c>
      <c r="AH30" s="102">
        <f t="shared" si="15"/>
        <v>0</v>
      </c>
      <c r="AI30" s="102">
        <f t="shared" si="21"/>
        <v>0</v>
      </c>
      <c r="AJ30" s="102">
        <f t="shared" si="22"/>
        <v>0</v>
      </c>
      <c r="AK30" s="50">
        <f t="shared" si="8"/>
        <v>0</v>
      </c>
      <c r="AR30" s="6" t="s">
        <v>277</v>
      </c>
      <c r="AS30" s="6" t="s">
        <v>277</v>
      </c>
      <c r="AT30" s="6" t="s">
        <v>278</v>
      </c>
      <c r="AU30" s="6" t="s">
        <v>278</v>
      </c>
      <c r="AV30" s="6" t="s">
        <v>216</v>
      </c>
    </row>
    <row r="31" spans="1:49">
      <c r="B31" s="8" t="s">
        <v>99</v>
      </c>
      <c r="C31" s="8" t="s">
        <v>100</v>
      </c>
      <c r="D31" s="115" t="s">
        <v>231</v>
      </c>
      <c r="E31" s="8" t="s">
        <v>101</v>
      </c>
      <c r="F31" s="10" t="s">
        <v>258</v>
      </c>
      <c r="G31" s="8" t="s">
        <v>13</v>
      </c>
      <c r="H31" s="29"/>
      <c r="I31" s="26">
        <v>0</v>
      </c>
      <c r="J31" s="26">
        <v>0</v>
      </c>
      <c r="K31" s="26">
        <v>0</v>
      </c>
      <c r="L31" s="26">
        <v>0</v>
      </c>
      <c r="M31" s="26"/>
      <c r="N31" s="27">
        <v>0</v>
      </c>
      <c r="O31" s="41" t="s">
        <v>102</v>
      </c>
      <c r="P31" s="38">
        <v>1542500</v>
      </c>
      <c r="Q31" s="38">
        <v>60500</v>
      </c>
      <c r="R31" s="38">
        <v>1603000</v>
      </c>
      <c r="S31" s="38"/>
      <c r="T31" s="39">
        <f t="shared" si="16"/>
        <v>0</v>
      </c>
      <c r="U31" s="49">
        <f t="shared" si="20"/>
        <v>1648845.8</v>
      </c>
      <c r="V31" s="50">
        <f t="shared" si="1"/>
        <v>0</v>
      </c>
      <c r="W31" s="55">
        <f t="shared" si="18"/>
        <v>1685450.1767599999</v>
      </c>
      <c r="X31" s="56">
        <f t="shared" si="17"/>
        <v>0</v>
      </c>
      <c r="Y31" s="26"/>
      <c r="Z31" s="105">
        <f t="shared" si="10"/>
        <v>1892760.5485014799</v>
      </c>
      <c r="AA31" s="105"/>
      <c r="AB31" s="105"/>
      <c r="AC31" s="37"/>
      <c r="AD31" s="38">
        <f t="shared" si="2"/>
        <v>1960000</v>
      </c>
      <c r="AE31" s="38"/>
      <c r="AF31" s="38">
        <f t="shared" si="3"/>
        <v>0</v>
      </c>
      <c r="AG31" s="39">
        <f t="shared" si="5"/>
        <v>1960000</v>
      </c>
      <c r="AH31" s="102">
        <f t="shared" si="15"/>
        <v>1960000</v>
      </c>
      <c r="AI31" s="102">
        <f t="shared" si="21"/>
        <v>0</v>
      </c>
      <c r="AJ31" s="102">
        <f t="shared" si="22"/>
        <v>0</v>
      </c>
      <c r="AK31" s="50">
        <f t="shared" si="8"/>
        <v>1960000</v>
      </c>
      <c r="AT31" s="6" t="s">
        <v>216</v>
      </c>
      <c r="AV31" s="6" t="s">
        <v>216</v>
      </c>
      <c r="AW31" s="6" t="s">
        <v>214</v>
      </c>
    </row>
    <row r="32" spans="1:49">
      <c r="B32" s="8" t="s">
        <v>103</v>
      </c>
      <c r="C32" s="8" t="s">
        <v>155</v>
      </c>
      <c r="D32" s="115" t="s">
        <v>231</v>
      </c>
      <c r="E32" s="8" t="s">
        <v>104</v>
      </c>
      <c r="F32" s="10" t="s">
        <v>259</v>
      </c>
      <c r="G32" s="10" t="s">
        <v>13</v>
      </c>
      <c r="H32" s="28" t="s">
        <v>105</v>
      </c>
      <c r="I32" s="26">
        <v>985000</v>
      </c>
      <c r="J32" s="26">
        <v>37500</v>
      </c>
      <c r="K32" s="26">
        <v>0</v>
      </c>
      <c r="L32" s="26">
        <f t="shared" si="4"/>
        <v>1022500</v>
      </c>
      <c r="M32" s="26"/>
      <c r="N32" s="27">
        <v>0</v>
      </c>
      <c r="O32" s="37"/>
      <c r="P32" s="38"/>
      <c r="Q32" s="38"/>
      <c r="R32" s="38">
        <f>L32*1.1068</f>
        <v>1131703</v>
      </c>
      <c r="S32" s="38"/>
      <c r="T32" s="39">
        <f t="shared" si="16"/>
        <v>0</v>
      </c>
      <c r="U32" s="49">
        <f t="shared" si="20"/>
        <v>1164069.7057999999</v>
      </c>
      <c r="V32" s="50">
        <f t="shared" si="1"/>
        <v>0</v>
      </c>
      <c r="W32" s="55">
        <f t="shared" si="18"/>
        <v>1189912.05326876</v>
      </c>
      <c r="X32" s="56">
        <f t="shared" si="17"/>
        <v>0</v>
      </c>
      <c r="Y32" s="26"/>
      <c r="Z32" s="105">
        <f t="shared" si="10"/>
        <v>1336271.2358208175</v>
      </c>
      <c r="AA32" s="105"/>
      <c r="AB32" s="105"/>
      <c r="AC32" s="37"/>
      <c r="AD32" s="38">
        <f t="shared" si="2"/>
        <v>1384000</v>
      </c>
      <c r="AE32" s="38"/>
      <c r="AF32" s="38">
        <f t="shared" si="3"/>
        <v>0</v>
      </c>
      <c r="AG32" s="39">
        <f t="shared" si="5"/>
        <v>1384000</v>
      </c>
      <c r="AH32" s="102">
        <f t="shared" si="15"/>
        <v>1384000</v>
      </c>
      <c r="AI32" s="102">
        <f t="shared" si="21"/>
        <v>0</v>
      </c>
      <c r="AJ32" s="102">
        <f t="shared" si="22"/>
        <v>0</v>
      </c>
      <c r="AK32" s="50">
        <f t="shared" si="8"/>
        <v>1384000</v>
      </c>
      <c r="AN32" s="7" t="s">
        <v>276</v>
      </c>
      <c r="AO32" s="7" t="s">
        <v>276</v>
      </c>
      <c r="AQ32" s="7" t="s">
        <v>216</v>
      </c>
      <c r="AR32" s="6" t="s">
        <v>277</v>
      </c>
      <c r="AS32" s="6" t="s">
        <v>277</v>
      </c>
      <c r="AT32" s="6" t="s">
        <v>278</v>
      </c>
      <c r="AU32" s="6" t="s">
        <v>277</v>
      </c>
      <c r="AV32" s="6" t="s">
        <v>278</v>
      </c>
      <c r="AW32" s="6" t="s">
        <v>215</v>
      </c>
    </row>
    <row r="33" spans="1:49">
      <c r="A33" s="3"/>
      <c r="B33" s="2" t="s">
        <v>103</v>
      </c>
      <c r="C33" s="2" t="s">
        <v>155</v>
      </c>
      <c r="D33" s="116" t="s">
        <v>232</v>
      </c>
      <c r="E33" s="2" t="s">
        <v>106</v>
      </c>
      <c r="F33" s="10" t="s">
        <v>260</v>
      </c>
      <c r="G33" s="11" t="s">
        <v>38</v>
      </c>
      <c r="H33" s="33" t="s">
        <v>107</v>
      </c>
      <c r="I33" s="26">
        <v>700000</v>
      </c>
      <c r="J33" s="26">
        <v>25000</v>
      </c>
      <c r="K33" s="26">
        <v>0</v>
      </c>
      <c r="L33" s="26">
        <f t="shared" si="4"/>
        <v>725000</v>
      </c>
      <c r="M33" s="26"/>
      <c r="N33" s="27">
        <v>0</v>
      </c>
      <c r="O33" s="37"/>
      <c r="P33" s="38"/>
      <c r="Q33" s="38"/>
      <c r="R33" s="38">
        <f>L33*1.1068</f>
        <v>802430</v>
      </c>
      <c r="S33" s="38"/>
      <c r="T33" s="39">
        <f t="shared" si="16"/>
        <v>0</v>
      </c>
      <c r="U33" s="49">
        <f t="shared" si="20"/>
        <v>825379.49800000002</v>
      </c>
      <c r="V33" s="50">
        <f t="shared" si="1"/>
        <v>0</v>
      </c>
      <c r="W33" s="55">
        <f t="shared" si="18"/>
        <v>843702.92285560002</v>
      </c>
      <c r="X33" s="56">
        <f t="shared" si="17"/>
        <v>0</v>
      </c>
      <c r="Y33" s="26"/>
      <c r="Z33" s="105">
        <f t="shared" si="10"/>
        <v>947478.38236683886</v>
      </c>
      <c r="AA33" s="105"/>
      <c r="AB33" s="105"/>
      <c r="AC33" s="37"/>
      <c r="AD33" s="38">
        <f t="shared" si="2"/>
        <v>982000</v>
      </c>
      <c r="AE33" s="38"/>
      <c r="AF33" s="38">
        <f t="shared" si="3"/>
        <v>0</v>
      </c>
      <c r="AG33" s="39">
        <f t="shared" si="5"/>
        <v>982000</v>
      </c>
      <c r="AH33" s="102">
        <f t="shared" si="15"/>
        <v>982000</v>
      </c>
      <c r="AI33" s="102">
        <f t="shared" si="21"/>
        <v>0</v>
      </c>
      <c r="AJ33" s="102">
        <f t="shared" si="22"/>
        <v>0</v>
      </c>
      <c r="AK33" s="50">
        <f t="shared" si="8"/>
        <v>982000</v>
      </c>
      <c r="AN33" s="7" t="s">
        <v>276</v>
      </c>
      <c r="AO33" s="7" t="s">
        <v>276</v>
      </c>
      <c r="AQ33" s="7" t="s">
        <v>216</v>
      </c>
      <c r="AR33" s="6" t="s">
        <v>277</v>
      </c>
      <c r="AS33" s="6" t="s">
        <v>277</v>
      </c>
      <c r="AT33" s="3" t="s">
        <v>213</v>
      </c>
      <c r="AU33" s="6" t="s">
        <v>277</v>
      </c>
      <c r="AV33" s="6" t="s">
        <v>278</v>
      </c>
      <c r="AW33" s="3"/>
    </row>
    <row r="34" spans="1:49">
      <c r="B34" s="8" t="s">
        <v>108</v>
      </c>
      <c r="C34" s="8" t="s">
        <v>109</v>
      </c>
      <c r="D34" s="115"/>
      <c r="E34" s="8" t="s">
        <v>110</v>
      </c>
      <c r="F34" s="10"/>
      <c r="G34" s="10" t="s">
        <v>13</v>
      </c>
      <c r="H34" s="28"/>
      <c r="I34" s="26"/>
      <c r="J34" s="26"/>
      <c r="K34" s="26"/>
      <c r="L34" s="26">
        <f t="shared" si="4"/>
        <v>0</v>
      </c>
      <c r="M34" s="26"/>
      <c r="N34" s="27">
        <v>0</v>
      </c>
      <c r="O34" s="37"/>
      <c r="P34" s="38"/>
      <c r="Q34" s="38"/>
      <c r="R34" s="38">
        <f>L34*1.1068</f>
        <v>0</v>
      </c>
      <c r="S34" s="38"/>
      <c r="T34" s="39">
        <f t="shared" si="16"/>
        <v>0</v>
      </c>
      <c r="U34" s="49">
        <f t="shared" si="20"/>
        <v>0</v>
      </c>
      <c r="V34" s="50">
        <f t="shared" si="1"/>
        <v>0</v>
      </c>
      <c r="W34" s="55">
        <f t="shared" si="18"/>
        <v>0</v>
      </c>
      <c r="X34" s="56">
        <f t="shared" si="17"/>
        <v>0</v>
      </c>
      <c r="Y34" s="26"/>
      <c r="Z34" s="105">
        <f t="shared" si="10"/>
        <v>0</v>
      </c>
      <c r="AA34" s="105"/>
      <c r="AB34" s="105"/>
      <c r="AC34" s="37"/>
      <c r="AD34" s="38">
        <f t="shared" si="2"/>
        <v>0</v>
      </c>
      <c r="AE34" s="38"/>
      <c r="AF34" s="38">
        <f t="shared" si="3"/>
        <v>0</v>
      </c>
      <c r="AG34" s="39">
        <f t="shared" si="5"/>
        <v>0</v>
      </c>
      <c r="AH34" s="102">
        <f t="shared" si="15"/>
        <v>0</v>
      </c>
      <c r="AI34" s="102">
        <f t="shared" si="21"/>
        <v>0</v>
      </c>
      <c r="AJ34" s="102">
        <f t="shared" si="22"/>
        <v>0</v>
      </c>
      <c r="AK34" s="50">
        <f t="shared" si="8"/>
        <v>0</v>
      </c>
      <c r="AN34" s="7" t="s">
        <v>277</v>
      </c>
      <c r="AO34" s="7" t="s">
        <v>277</v>
      </c>
      <c r="AP34" s="7" t="s">
        <v>277</v>
      </c>
      <c r="AQ34" s="7" t="s">
        <v>277</v>
      </c>
      <c r="AR34" s="6" t="s">
        <v>277</v>
      </c>
      <c r="AS34" s="6" t="s">
        <v>277</v>
      </c>
      <c r="AT34" s="6" t="s">
        <v>279</v>
      </c>
      <c r="AU34" s="6" t="s">
        <v>277</v>
      </c>
      <c r="AV34" s="6" t="s">
        <v>278</v>
      </c>
    </row>
    <row r="35" spans="1:49">
      <c r="B35" s="8" t="s">
        <v>111</v>
      </c>
      <c r="C35" s="8" t="s">
        <v>112</v>
      </c>
      <c r="D35" s="115" t="s">
        <v>234</v>
      </c>
      <c r="E35" s="8" t="s">
        <v>113</v>
      </c>
      <c r="F35" s="10" t="s">
        <v>261</v>
      </c>
      <c r="G35" s="10" t="s">
        <v>13</v>
      </c>
      <c r="H35" s="28"/>
      <c r="I35" s="26">
        <v>0</v>
      </c>
      <c r="J35" s="26">
        <v>0</v>
      </c>
      <c r="K35" s="26">
        <v>0</v>
      </c>
      <c r="L35" s="26">
        <f>I35+J35+K35</f>
        <v>0</v>
      </c>
      <c r="M35" s="26"/>
      <c r="N35" s="27">
        <v>0</v>
      </c>
      <c r="O35" s="41" t="s">
        <v>114</v>
      </c>
      <c r="P35" s="38">
        <v>132500</v>
      </c>
      <c r="Q35" s="38">
        <v>5250</v>
      </c>
      <c r="R35" s="38">
        <f t="shared" ref="R35:R40" si="23">SUM(P35:Q35)</f>
        <v>137750</v>
      </c>
      <c r="S35" s="38"/>
      <c r="T35" s="39">
        <f t="shared" si="16"/>
        <v>0</v>
      </c>
      <c r="U35" s="49">
        <f t="shared" si="20"/>
        <v>141689.65</v>
      </c>
      <c r="V35" s="50">
        <f t="shared" si="1"/>
        <v>0</v>
      </c>
      <c r="W35" s="55">
        <f t="shared" si="18"/>
        <v>144835.16022999998</v>
      </c>
      <c r="X35" s="56">
        <f t="shared" si="17"/>
        <v>0</v>
      </c>
      <c r="Y35" s="26"/>
      <c r="Z35" s="105">
        <f t="shared" si="10"/>
        <v>162649.88493828996</v>
      </c>
      <c r="AA35" s="105"/>
      <c r="AB35" s="105"/>
      <c r="AC35" s="37"/>
      <c r="AD35" s="38">
        <f t="shared" si="2"/>
        <v>169000</v>
      </c>
      <c r="AE35" s="38"/>
      <c r="AF35" s="38">
        <f t="shared" si="3"/>
        <v>0</v>
      </c>
      <c r="AG35" s="39">
        <f t="shared" si="5"/>
        <v>169000</v>
      </c>
      <c r="AH35" s="102">
        <f t="shared" si="15"/>
        <v>169000</v>
      </c>
      <c r="AI35" s="102">
        <f t="shared" si="21"/>
        <v>0</v>
      </c>
      <c r="AJ35" s="102">
        <f t="shared" si="22"/>
        <v>0</v>
      </c>
      <c r="AK35" s="50">
        <f t="shared" si="8"/>
        <v>169000</v>
      </c>
      <c r="AT35" s="6" t="s">
        <v>213</v>
      </c>
      <c r="AV35" s="6" t="s">
        <v>216</v>
      </c>
    </row>
    <row r="36" spans="1:49">
      <c r="B36" s="8" t="s">
        <v>115</v>
      </c>
      <c r="C36" s="8" t="s">
        <v>77</v>
      </c>
      <c r="D36" s="115" t="s">
        <v>233</v>
      </c>
      <c r="E36" s="8" t="s">
        <v>116</v>
      </c>
      <c r="F36" s="10" t="s">
        <v>262</v>
      </c>
      <c r="G36" s="10" t="s">
        <v>13</v>
      </c>
      <c r="H36" s="28"/>
      <c r="I36" s="26">
        <v>0</v>
      </c>
      <c r="J36" s="26">
        <v>0</v>
      </c>
      <c r="K36" s="26">
        <v>0</v>
      </c>
      <c r="L36" s="26">
        <v>0</v>
      </c>
      <c r="M36" s="26"/>
      <c r="N36" s="27">
        <v>0</v>
      </c>
      <c r="O36" s="41" t="s">
        <v>117</v>
      </c>
      <c r="P36" s="38">
        <v>145000</v>
      </c>
      <c r="Q36" s="38">
        <v>5500</v>
      </c>
      <c r="R36" s="38">
        <f t="shared" si="23"/>
        <v>150500</v>
      </c>
      <c r="S36" s="38"/>
      <c r="T36" s="39">
        <f t="shared" si="16"/>
        <v>0</v>
      </c>
      <c r="U36" s="49">
        <f t="shared" si="20"/>
        <v>154804.29999999999</v>
      </c>
      <c r="V36" s="50">
        <f t="shared" si="1"/>
        <v>0</v>
      </c>
      <c r="W36" s="55">
        <f t="shared" si="18"/>
        <v>158240.95546</v>
      </c>
      <c r="X36" s="56">
        <f t="shared" si="17"/>
        <v>0</v>
      </c>
      <c r="Y36" s="26"/>
      <c r="Z36" s="105">
        <f t="shared" si="10"/>
        <v>177704.59298158</v>
      </c>
      <c r="AA36" s="105"/>
      <c r="AB36" s="105"/>
      <c r="AC36" s="37"/>
      <c r="AD36" s="38">
        <f t="shared" si="2"/>
        <v>185000</v>
      </c>
      <c r="AE36" s="38"/>
      <c r="AF36" s="38">
        <f t="shared" si="3"/>
        <v>0</v>
      </c>
      <c r="AG36" s="39">
        <f t="shared" si="5"/>
        <v>185000</v>
      </c>
      <c r="AH36" s="102">
        <f t="shared" si="15"/>
        <v>185000</v>
      </c>
      <c r="AI36" s="102">
        <f t="shared" si="21"/>
        <v>0</v>
      </c>
      <c r="AJ36" s="102">
        <f t="shared" si="22"/>
        <v>0</v>
      </c>
      <c r="AK36" s="50">
        <f t="shared" si="8"/>
        <v>185000</v>
      </c>
      <c r="AT36" s="6" t="s">
        <v>213</v>
      </c>
      <c r="AV36" s="6" t="s">
        <v>216</v>
      </c>
    </row>
    <row r="37" spans="1:49">
      <c r="B37" s="8" t="s">
        <v>118</v>
      </c>
      <c r="C37" s="8" t="s">
        <v>77</v>
      </c>
      <c r="D37" s="115" t="s">
        <v>235</v>
      </c>
      <c r="E37" s="8" t="s">
        <v>119</v>
      </c>
      <c r="F37" s="10" t="s">
        <v>262</v>
      </c>
      <c r="G37" s="10" t="s">
        <v>13</v>
      </c>
      <c r="H37" s="28"/>
      <c r="I37" s="26">
        <v>0</v>
      </c>
      <c r="J37" s="26">
        <v>0</v>
      </c>
      <c r="K37" s="26">
        <v>0</v>
      </c>
      <c r="L37" s="26">
        <v>0</v>
      </c>
      <c r="M37" s="26"/>
      <c r="N37" s="27">
        <v>0</v>
      </c>
      <c r="O37" s="41" t="s">
        <v>120</v>
      </c>
      <c r="P37" s="38">
        <v>350000</v>
      </c>
      <c r="Q37" s="38">
        <v>15000</v>
      </c>
      <c r="R37" s="38">
        <f t="shared" si="23"/>
        <v>365000</v>
      </c>
      <c r="S37" s="42" t="s">
        <v>121</v>
      </c>
      <c r="T37" s="39">
        <v>14750</v>
      </c>
      <c r="U37" s="49">
        <f t="shared" si="20"/>
        <v>375439</v>
      </c>
      <c r="V37" s="50">
        <f t="shared" si="1"/>
        <v>15025.824999999999</v>
      </c>
      <c r="W37" s="55">
        <f t="shared" si="18"/>
        <v>383773.74579999998</v>
      </c>
      <c r="X37" s="56">
        <f>V37*1.0164</f>
        <v>15272.248529999999</v>
      </c>
      <c r="Y37" s="26"/>
      <c r="Z37" s="105">
        <f t="shared" si="10"/>
        <v>430977.91653339996</v>
      </c>
      <c r="AA37" s="105" t="s">
        <v>185</v>
      </c>
      <c r="AB37" s="105">
        <v>17000</v>
      </c>
      <c r="AC37" s="37"/>
      <c r="AD37" s="38">
        <f t="shared" si="2"/>
        <v>447000</v>
      </c>
      <c r="AE37" s="38" t="s">
        <v>185</v>
      </c>
      <c r="AF37" s="38">
        <f t="shared" si="3"/>
        <v>17000</v>
      </c>
      <c r="AG37" s="39">
        <f t="shared" si="5"/>
        <v>464000</v>
      </c>
      <c r="AH37" s="102">
        <f t="shared" si="15"/>
        <v>447000</v>
      </c>
      <c r="AI37" s="102" t="e">
        <f t="shared" si="21"/>
        <v>#VALUE!</v>
      </c>
      <c r="AJ37" s="102">
        <f t="shared" si="22"/>
        <v>17000</v>
      </c>
      <c r="AK37" s="50">
        <f t="shared" si="8"/>
        <v>464000</v>
      </c>
      <c r="AQ37" s="7" t="s">
        <v>216</v>
      </c>
      <c r="AT37" s="6" t="s">
        <v>213</v>
      </c>
      <c r="AV37" s="6" t="s">
        <v>216</v>
      </c>
    </row>
    <row r="38" spans="1:49">
      <c r="B38" s="8" t="s">
        <v>122</v>
      </c>
      <c r="C38" s="8" t="s">
        <v>77</v>
      </c>
      <c r="D38" s="115" t="s">
        <v>235</v>
      </c>
      <c r="E38" s="8" t="s">
        <v>123</v>
      </c>
      <c r="F38" s="10" t="s">
        <v>263</v>
      </c>
      <c r="G38" s="10" t="s">
        <v>13</v>
      </c>
      <c r="H38" s="28"/>
      <c r="I38" s="26">
        <v>0</v>
      </c>
      <c r="J38" s="26">
        <v>0</v>
      </c>
      <c r="K38" s="26">
        <v>0</v>
      </c>
      <c r="L38" s="26">
        <v>0</v>
      </c>
      <c r="M38" s="26"/>
      <c r="N38" s="27">
        <v>0</v>
      </c>
      <c r="O38" s="41" t="s">
        <v>124</v>
      </c>
      <c r="P38" s="38">
        <v>1235000</v>
      </c>
      <c r="Q38" s="38">
        <v>60000</v>
      </c>
      <c r="R38" s="38">
        <f t="shared" si="23"/>
        <v>1295000</v>
      </c>
      <c r="S38" s="42" t="s">
        <v>125</v>
      </c>
      <c r="T38" s="39">
        <v>54000</v>
      </c>
      <c r="U38" s="49">
        <f t="shared" si="20"/>
        <v>1332037</v>
      </c>
      <c r="V38" s="50">
        <f t="shared" si="1"/>
        <v>55009.799999999996</v>
      </c>
      <c r="W38" s="55">
        <f t="shared" si="18"/>
        <v>1361608.2213999999</v>
      </c>
      <c r="X38" s="56">
        <f>V38*1.0164</f>
        <v>55911.960719999995</v>
      </c>
      <c r="Y38" s="26"/>
      <c r="Z38" s="105">
        <f t="shared" si="10"/>
        <v>1529086.0326321998</v>
      </c>
      <c r="AA38" s="105" t="s">
        <v>184</v>
      </c>
      <c r="AB38" s="105">
        <v>63000</v>
      </c>
      <c r="AC38" s="37"/>
      <c r="AD38" s="38">
        <f t="shared" si="2"/>
        <v>1584000</v>
      </c>
      <c r="AE38" s="38" t="s">
        <v>184</v>
      </c>
      <c r="AF38" s="38">
        <f t="shared" si="3"/>
        <v>64000</v>
      </c>
      <c r="AG38" s="39">
        <f t="shared" si="5"/>
        <v>1648000</v>
      </c>
      <c r="AH38" s="102">
        <f t="shared" si="15"/>
        <v>1584000</v>
      </c>
      <c r="AI38" s="102" t="e">
        <f t="shared" si="21"/>
        <v>#VALUE!</v>
      </c>
      <c r="AJ38" s="102">
        <f t="shared" si="22"/>
        <v>64000</v>
      </c>
      <c r="AK38" s="50">
        <f t="shared" si="8"/>
        <v>1648000</v>
      </c>
      <c r="AT38" s="6" t="s">
        <v>213</v>
      </c>
      <c r="AV38" s="6" t="s">
        <v>216</v>
      </c>
    </row>
    <row r="39" spans="1:49">
      <c r="B39" s="8" t="s">
        <v>126</v>
      </c>
      <c r="C39" s="8" t="s">
        <v>77</v>
      </c>
      <c r="D39" s="115" t="s">
        <v>235</v>
      </c>
      <c r="E39" s="8" t="s">
        <v>127</v>
      </c>
      <c r="F39" s="10" t="s">
        <v>264</v>
      </c>
      <c r="G39" s="10" t="s">
        <v>13</v>
      </c>
      <c r="H39" s="28"/>
      <c r="I39" s="26">
        <v>0</v>
      </c>
      <c r="J39" s="26">
        <v>0</v>
      </c>
      <c r="K39" s="26">
        <v>0</v>
      </c>
      <c r="L39" s="26">
        <v>0</v>
      </c>
      <c r="M39" s="26"/>
      <c r="N39" s="27">
        <v>0</v>
      </c>
      <c r="O39" s="41" t="s">
        <v>128</v>
      </c>
      <c r="P39" s="38">
        <v>915000</v>
      </c>
      <c r="Q39" s="38">
        <v>33000</v>
      </c>
      <c r="R39" s="38">
        <f t="shared" si="23"/>
        <v>948000</v>
      </c>
      <c r="S39" s="42" t="s">
        <v>129</v>
      </c>
      <c r="T39" s="39">
        <v>46000</v>
      </c>
      <c r="U39" s="49">
        <f t="shared" si="20"/>
        <v>975112.79999999993</v>
      </c>
      <c r="V39" s="50">
        <f t="shared" si="1"/>
        <v>46860.2</v>
      </c>
      <c r="W39" s="55">
        <f t="shared" si="18"/>
        <v>996760.30415999994</v>
      </c>
      <c r="X39" s="56">
        <f>V39*1.0164</f>
        <v>47628.707279999995</v>
      </c>
      <c r="Y39" s="26"/>
      <c r="Z39" s="105">
        <f t="shared" si="10"/>
        <v>1119361.82157168</v>
      </c>
      <c r="AA39" s="105" t="s">
        <v>183</v>
      </c>
      <c r="AB39" s="105">
        <v>54000</v>
      </c>
      <c r="AC39" s="37"/>
      <c r="AD39" s="38">
        <f t="shared" si="2"/>
        <v>1160000</v>
      </c>
      <c r="AE39" s="38" t="s">
        <v>183</v>
      </c>
      <c r="AF39" s="38">
        <f t="shared" si="3"/>
        <v>55000</v>
      </c>
      <c r="AG39" s="39">
        <f t="shared" si="5"/>
        <v>1215000</v>
      </c>
      <c r="AH39" s="102">
        <f t="shared" si="15"/>
        <v>1160000</v>
      </c>
      <c r="AI39" s="102" t="e">
        <f t="shared" si="21"/>
        <v>#VALUE!</v>
      </c>
      <c r="AJ39" s="102">
        <f t="shared" si="22"/>
        <v>55000</v>
      </c>
      <c r="AK39" s="50">
        <f t="shared" si="8"/>
        <v>1215000</v>
      </c>
      <c r="AT39" s="6" t="s">
        <v>213</v>
      </c>
      <c r="AV39" s="6" t="s">
        <v>216</v>
      </c>
    </row>
    <row r="40" spans="1:49">
      <c r="B40" s="8" t="s">
        <v>130</v>
      </c>
      <c r="C40" s="8" t="s">
        <v>77</v>
      </c>
      <c r="D40" s="115" t="s">
        <v>235</v>
      </c>
      <c r="E40" s="8" t="s">
        <v>131</v>
      </c>
      <c r="F40" s="10" t="s">
        <v>265</v>
      </c>
      <c r="G40" s="10" t="s">
        <v>38</v>
      </c>
      <c r="H40" s="28"/>
      <c r="I40" s="26">
        <v>0</v>
      </c>
      <c r="J40" s="26">
        <v>0</v>
      </c>
      <c r="K40" s="26">
        <v>0</v>
      </c>
      <c r="L40" s="26">
        <v>0</v>
      </c>
      <c r="M40" s="26"/>
      <c r="N40" s="27">
        <v>0</v>
      </c>
      <c r="O40" s="41" t="s">
        <v>132</v>
      </c>
      <c r="P40" s="38">
        <v>415000</v>
      </c>
      <c r="Q40" s="38">
        <v>15500</v>
      </c>
      <c r="R40" s="38">
        <f t="shared" si="23"/>
        <v>430500</v>
      </c>
      <c r="S40" s="42" t="s">
        <v>133</v>
      </c>
      <c r="T40" s="39">
        <v>21500</v>
      </c>
      <c r="U40" s="49">
        <f t="shared" si="20"/>
        <v>442812.3</v>
      </c>
      <c r="V40" s="50">
        <f t="shared" si="1"/>
        <v>21902.05</v>
      </c>
      <c r="W40" s="55">
        <f t="shared" si="18"/>
        <v>452642.73306</v>
      </c>
      <c r="X40" s="56">
        <f>V40*1.0164</f>
        <v>22261.243619999997</v>
      </c>
      <c r="Y40" s="26"/>
      <c r="Z40" s="105">
        <f t="shared" si="10"/>
        <v>508317.78922638</v>
      </c>
      <c r="AA40" s="105" t="s">
        <v>182</v>
      </c>
      <c r="AB40" s="105">
        <v>26000</v>
      </c>
      <c r="AC40" s="37"/>
      <c r="AD40" s="38">
        <f t="shared" si="2"/>
        <v>527000</v>
      </c>
      <c r="AE40" s="38" t="s">
        <v>182</v>
      </c>
      <c r="AF40" s="38">
        <f t="shared" si="3"/>
        <v>27000</v>
      </c>
      <c r="AG40" s="39">
        <f t="shared" si="5"/>
        <v>554000</v>
      </c>
      <c r="AH40" s="102">
        <f t="shared" si="15"/>
        <v>527000</v>
      </c>
      <c r="AI40" s="102" t="e">
        <f t="shared" si="21"/>
        <v>#VALUE!</v>
      </c>
      <c r="AJ40" s="102">
        <f t="shared" si="22"/>
        <v>27000</v>
      </c>
      <c r="AK40" s="50">
        <f t="shared" si="8"/>
        <v>554000</v>
      </c>
      <c r="AS40" s="6" t="s">
        <v>216</v>
      </c>
      <c r="AV40" s="6" t="s">
        <v>216</v>
      </c>
    </row>
    <row r="41" spans="1:49">
      <c r="B41" s="8" t="s">
        <v>134</v>
      </c>
      <c r="C41" s="8" t="s">
        <v>77</v>
      </c>
      <c r="D41" s="115"/>
      <c r="E41" s="8" t="s">
        <v>190</v>
      </c>
      <c r="F41" s="10"/>
      <c r="G41" s="10" t="s">
        <v>38</v>
      </c>
      <c r="H41" s="28"/>
      <c r="I41" s="26"/>
      <c r="J41" s="26"/>
      <c r="K41" s="26"/>
      <c r="L41" s="26">
        <f t="shared" si="4"/>
        <v>0</v>
      </c>
      <c r="M41" s="26"/>
      <c r="N41" s="27">
        <v>0</v>
      </c>
      <c r="O41" s="37"/>
      <c r="P41" s="38"/>
      <c r="Q41" s="38"/>
      <c r="R41" s="38">
        <f>L41*1.1068</f>
        <v>0</v>
      </c>
      <c r="S41" s="38"/>
      <c r="T41" s="39">
        <f>N41*1.043</f>
        <v>0</v>
      </c>
      <c r="U41" s="49">
        <f t="shared" si="20"/>
        <v>0</v>
      </c>
      <c r="V41" s="50">
        <f t="shared" si="1"/>
        <v>0</v>
      </c>
      <c r="W41" s="55">
        <f t="shared" si="18"/>
        <v>0</v>
      </c>
      <c r="X41" s="56">
        <f t="shared" si="17"/>
        <v>0</v>
      </c>
      <c r="Y41" s="26" t="s">
        <v>189</v>
      </c>
      <c r="Z41" s="105">
        <v>606500</v>
      </c>
      <c r="AA41" s="105"/>
      <c r="AB41" s="105"/>
      <c r="AC41" s="37"/>
      <c r="AD41" s="38">
        <f t="shared" si="2"/>
        <v>629000</v>
      </c>
      <c r="AE41" s="38"/>
      <c r="AF41" s="38">
        <f t="shared" si="3"/>
        <v>0</v>
      </c>
      <c r="AG41" s="39">
        <f t="shared" si="5"/>
        <v>629000</v>
      </c>
      <c r="AH41" s="102">
        <f t="shared" si="15"/>
        <v>629000</v>
      </c>
      <c r="AI41" s="102">
        <f t="shared" si="21"/>
        <v>0</v>
      </c>
      <c r="AJ41" s="102">
        <f t="shared" si="22"/>
        <v>0</v>
      </c>
      <c r="AK41" s="50">
        <f t="shared" si="8"/>
        <v>629000</v>
      </c>
    </row>
    <row r="42" spans="1:49" ht="28.8">
      <c r="B42" s="8" t="s">
        <v>135</v>
      </c>
      <c r="C42" s="8" t="s">
        <v>136</v>
      </c>
      <c r="D42" s="115" t="s">
        <v>236</v>
      </c>
      <c r="E42" s="8" t="s">
        <v>137</v>
      </c>
      <c r="F42" s="8" t="s">
        <v>244</v>
      </c>
      <c r="G42" s="8" t="s">
        <v>13</v>
      </c>
      <c r="H42" s="29"/>
      <c r="I42" s="26">
        <v>0</v>
      </c>
      <c r="J42" s="26">
        <v>0</v>
      </c>
      <c r="K42" s="26">
        <v>0</v>
      </c>
      <c r="L42" s="26">
        <v>0</v>
      </c>
      <c r="M42" s="26"/>
      <c r="N42" s="27">
        <v>0</v>
      </c>
      <c r="O42" s="41" t="s">
        <v>138</v>
      </c>
      <c r="P42" s="38">
        <v>4400000</v>
      </c>
      <c r="Q42" s="38">
        <v>165000</v>
      </c>
      <c r="R42" s="38">
        <v>4565000</v>
      </c>
      <c r="S42" s="42" t="s">
        <v>139</v>
      </c>
      <c r="T42" s="39">
        <v>206000</v>
      </c>
      <c r="U42" s="49">
        <f t="shared" si="20"/>
        <v>4695559</v>
      </c>
      <c r="V42" s="50">
        <f t="shared" si="1"/>
        <v>209852.19999999998</v>
      </c>
      <c r="W42" s="55">
        <f t="shared" si="18"/>
        <v>4799800.4097999996</v>
      </c>
      <c r="X42" s="56">
        <f>V42*1.0164</f>
        <v>213293.77607999998</v>
      </c>
      <c r="Y42" s="26"/>
      <c r="Z42" s="105">
        <f t="shared" si="10"/>
        <v>5390175.8602053998</v>
      </c>
      <c r="AA42" s="105" t="s">
        <v>181</v>
      </c>
      <c r="AB42" s="105">
        <v>230000</v>
      </c>
      <c r="AC42" s="37"/>
      <c r="AD42" s="38">
        <f t="shared" si="2"/>
        <v>5582000</v>
      </c>
      <c r="AE42" s="38" t="s">
        <v>181</v>
      </c>
      <c r="AF42" s="38">
        <f t="shared" si="3"/>
        <v>235000</v>
      </c>
      <c r="AG42" s="39">
        <f t="shared" si="5"/>
        <v>5817000</v>
      </c>
      <c r="AH42" s="102">
        <f t="shared" si="15"/>
        <v>5582000</v>
      </c>
      <c r="AI42" s="102" t="e">
        <f t="shared" si="21"/>
        <v>#VALUE!</v>
      </c>
      <c r="AJ42" s="102">
        <f t="shared" si="22"/>
        <v>235000</v>
      </c>
      <c r="AK42" s="50">
        <f t="shared" si="8"/>
        <v>5817000</v>
      </c>
      <c r="AN42" s="7" t="s">
        <v>278</v>
      </c>
      <c r="AR42" s="6" t="s">
        <v>277</v>
      </c>
      <c r="AS42" s="6" t="s">
        <v>216</v>
      </c>
      <c r="AT42" s="6" t="s">
        <v>278</v>
      </c>
      <c r="AU42" s="6" t="s">
        <v>277</v>
      </c>
      <c r="AV42" s="6" t="s">
        <v>275</v>
      </c>
    </row>
    <row r="43" spans="1:49">
      <c r="B43" s="8" t="s">
        <v>140</v>
      </c>
      <c r="C43" s="8" t="s">
        <v>154</v>
      </c>
      <c r="D43" s="115" t="s">
        <v>237</v>
      </c>
      <c r="E43" s="2" t="s">
        <v>239</v>
      </c>
      <c r="F43" s="11" t="s">
        <v>266</v>
      </c>
      <c r="G43" s="11" t="s">
        <v>13</v>
      </c>
      <c r="H43" s="33"/>
      <c r="I43" s="26"/>
      <c r="J43" s="26"/>
      <c r="K43" s="26"/>
      <c r="L43" s="26">
        <f t="shared" si="4"/>
        <v>0</v>
      </c>
      <c r="M43" s="26"/>
      <c r="N43" s="27">
        <v>0</v>
      </c>
      <c r="O43" s="37"/>
      <c r="P43" s="38"/>
      <c r="Q43" s="38"/>
      <c r="R43" s="38">
        <f>L43*1.1068</f>
        <v>0</v>
      </c>
      <c r="S43" s="42" t="s">
        <v>141</v>
      </c>
      <c r="T43" s="39">
        <v>65500</v>
      </c>
      <c r="U43" s="49">
        <f t="shared" si="20"/>
        <v>0</v>
      </c>
      <c r="V43" s="50">
        <f t="shared" si="1"/>
        <v>66724.849999999991</v>
      </c>
      <c r="W43" s="55">
        <f t="shared" si="18"/>
        <v>0</v>
      </c>
      <c r="X43" s="56">
        <f>V43*1.0164</f>
        <v>67819.137539999996</v>
      </c>
      <c r="Y43" s="26"/>
      <c r="Z43" s="105">
        <f t="shared" si="10"/>
        <v>0</v>
      </c>
      <c r="AA43" s="105"/>
      <c r="AB43" s="105">
        <f>X43*AB4</f>
        <v>78670.199546399992</v>
      </c>
      <c r="AC43" s="37"/>
      <c r="AD43" s="38">
        <f t="shared" si="2"/>
        <v>0</v>
      </c>
      <c r="AE43" s="38"/>
      <c r="AF43" s="38">
        <f t="shared" si="3"/>
        <v>80000</v>
      </c>
      <c r="AG43" s="39">
        <f t="shared" si="5"/>
        <v>80000</v>
      </c>
      <c r="AH43" s="102">
        <f t="shared" si="15"/>
        <v>0</v>
      </c>
      <c r="AI43" s="102">
        <f t="shared" si="21"/>
        <v>0</v>
      </c>
      <c r="AJ43" s="102">
        <f t="shared" si="22"/>
        <v>80000</v>
      </c>
      <c r="AK43" s="50">
        <f t="shared" si="8"/>
        <v>80000</v>
      </c>
      <c r="AO43" s="7" t="s">
        <v>216</v>
      </c>
      <c r="AQ43" s="7" t="s">
        <v>216</v>
      </c>
      <c r="AT43" s="6" t="s">
        <v>213</v>
      </c>
    </row>
    <row r="44" spans="1:49">
      <c r="B44" s="8" t="s">
        <v>186</v>
      </c>
      <c r="C44" s="8" t="s">
        <v>187</v>
      </c>
      <c r="D44" s="115"/>
      <c r="E44" s="2" t="s">
        <v>188</v>
      </c>
      <c r="F44" s="11"/>
      <c r="G44" s="11" t="s">
        <v>13</v>
      </c>
      <c r="H44" s="33"/>
      <c r="I44" s="26"/>
      <c r="J44" s="26"/>
      <c r="K44" s="26"/>
      <c r="L44" s="26"/>
      <c r="M44" s="26"/>
      <c r="N44" s="27"/>
      <c r="O44" s="37"/>
      <c r="P44" s="38"/>
      <c r="Q44" s="38"/>
      <c r="R44" s="38"/>
      <c r="S44" s="42"/>
      <c r="T44" s="39"/>
      <c r="U44" s="49"/>
      <c r="V44" s="50"/>
      <c r="W44" s="55"/>
      <c r="X44" s="56"/>
      <c r="Y44" s="26"/>
      <c r="Z44" s="105">
        <f t="shared" si="10"/>
        <v>0</v>
      </c>
      <c r="AA44" s="105"/>
      <c r="AB44" s="105">
        <f>100000*AB4</f>
        <v>115999.99999999999</v>
      </c>
      <c r="AC44" s="37"/>
      <c r="AD44" s="38">
        <f t="shared" si="2"/>
        <v>0</v>
      </c>
      <c r="AE44" s="38"/>
      <c r="AF44" s="38">
        <f t="shared" si="3"/>
        <v>118000</v>
      </c>
      <c r="AG44" s="39">
        <f t="shared" si="5"/>
        <v>118000</v>
      </c>
      <c r="AH44" s="102">
        <f t="shared" si="15"/>
        <v>0</v>
      </c>
      <c r="AI44" s="102">
        <f t="shared" si="21"/>
        <v>0</v>
      </c>
      <c r="AJ44" s="102">
        <f t="shared" si="22"/>
        <v>118000</v>
      </c>
      <c r="AK44" s="50">
        <f t="shared" si="8"/>
        <v>118000</v>
      </c>
    </row>
    <row r="45" spans="1:49">
      <c r="B45" s="8" t="s">
        <v>142</v>
      </c>
      <c r="C45" s="8" t="s">
        <v>145</v>
      </c>
      <c r="D45" s="115" t="s">
        <v>240</v>
      </c>
      <c r="E45" s="2" t="s">
        <v>238</v>
      </c>
      <c r="F45" s="11" t="s">
        <v>267</v>
      </c>
      <c r="G45" s="11" t="s">
        <v>13</v>
      </c>
      <c r="H45" s="33" t="s">
        <v>143</v>
      </c>
      <c r="I45" s="26">
        <v>1175000</v>
      </c>
      <c r="J45" s="26">
        <v>0</v>
      </c>
      <c r="K45" s="26">
        <v>0</v>
      </c>
      <c r="L45" s="26">
        <f t="shared" si="4"/>
        <v>1175000</v>
      </c>
      <c r="M45" s="26"/>
      <c r="N45" s="27">
        <v>0</v>
      </c>
      <c r="O45" s="37"/>
      <c r="P45" s="38"/>
      <c r="Q45" s="38"/>
      <c r="R45" s="38">
        <f>L45*1.1068</f>
        <v>1300490</v>
      </c>
      <c r="S45" s="38"/>
      <c r="T45" s="39">
        <f>N45*1.043</f>
        <v>0</v>
      </c>
      <c r="U45" s="49">
        <f t="shared" si="20"/>
        <v>1337684.014</v>
      </c>
      <c r="V45" s="50">
        <f t="shared" si="1"/>
        <v>0</v>
      </c>
      <c r="W45" s="55">
        <f t="shared" si="18"/>
        <v>1367380.5991108001</v>
      </c>
      <c r="X45" s="56">
        <f t="shared" si="17"/>
        <v>0</v>
      </c>
      <c r="Y45" s="61"/>
      <c r="Z45" s="105">
        <f t="shared" si="10"/>
        <v>1535568.4128014285</v>
      </c>
      <c r="AA45" s="105"/>
      <c r="AB45" s="105"/>
      <c r="AC45" s="37"/>
      <c r="AD45" s="38">
        <f t="shared" si="2"/>
        <v>1591000</v>
      </c>
      <c r="AE45" s="38"/>
      <c r="AF45" s="38">
        <f t="shared" si="3"/>
        <v>0</v>
      </c>
      <c r="AG45" s="39">
        <f t="shared" si="5"/>
        <v>1591000</v>
      </c>
      <c r="AH45" s="102">
        <f t="shared" si="15"/>
        <v>1591000</v>
      </c>
      <c r="AI45" s="102">
        <f t="shared" si="21"/>
        <v>0</v>
      </c>
      <c r="AJ45" s="102">
        <f t="shared" si="22"/>
        <v>0</v>
      </c>
      <c r="AK45" s="50">
        <f t="shared" si="8"/>
        <v>1591000</v>
      </c>
      <c r="AW45" s="6" t="s">
        <v>212</v>
      </c>
    </row>
    <row r="46" spans="1:49">
      <c r="B46" s="8" t="s">
        <v>144</v>
      </c>
      <c r="C46" s="8" t="s">
        <v>145</v>
      </c>
      <c r="D46" s="115" t="s">
        <v>240</v>
      </c>
      <c r="E46" s="2" t="s">
        <v>146</v>
      </c>
      <c r="F46" s="11" t="s">
        <v>258</v>
      </c>
      <c r="G46" s="11" t="s">
        <v>13</v>
      </c>
      <c r="H46" s="34" t="s">
        <v>147</v>
      </c>
      <c r="I46" s="35">
        <v>1325000</v>
      </c>
      <c r="J46" s="35">
        <v>0</v>
      </c>
      <c r="K46" s="35">
        <v>0</v>
      </c>
      <c r="L46" s="35">
        <f t="shared" si="4"/>
        <v>1325000</v>
      </c>
      <c r="M46" s="35"/>
      <c r="N46" s="36">
        <v>0</v>
      </c>
      <c r="O46" s="46"/>
      <c r="P46" s="47"/>
      <c r="Q46" s="47"/>
      <c r="R46" s="47">
        <f>L46*1.1068</f>
        <v>1466510</v>
      </c>
      <c r="S46" s="47"/>
      <c r="T46" s="48">
        <f>N46*1.043</f>
        <v>0</v>
      </c>
      <c r="U46" s="53">
        <f t="shared" si="20"/>
        <v>1508452.186</v>
      </c>
      <c r="V46" s="54">
        <f t="shared" si="1"/>
        <v>0</v>
      </c>
      <c r="W46" s="59">
        <f t="shared" si="18"/>
        <v>1541939.8245292001</v>
      </c>
      <c r="X46" s="60">
        <f t="shared" si="17"/>
        <v>0</v>
      </c>
      <c r="Y46" s="62"/>
      <c r="Z46" s="106">
        <f t="shared" si="10"/>
        <v>1731598.4229462917</v>
      </c>
      <c r="AA46" s="106"/>
      <c r="AB46" s="106"/>
      <c r="AC46" s="46"/>
      <c r="AD46" s="47">
        <f t="shared" si="2"/>
        <v>1794000</v>
      </c>
      <c r="AE46" s="47"/>
      <c r="AF46" s="47">
        <f t="shared" si="3"/>
        <v>0</v>
      </c>
      <c r="AG46" s="48">
        <f t="shared" si="5"/>
        <v>1794000</v>
      </c>
      <c r="AH46" s="102">
        <f t="shared" si="15"/>
        <v>1794000</v>
      </c>
      <c r="AI46" s="102">
        <f t="shared" si="21"/>
        <v>0</v>
      </c>
      <c r="AJ46" s="102">
        <f t="shared" si="22"/>
        <v>0</v>
      </c>
      <c r="AK46" s="54">
        <f t="shared" si="8"/>
        <v>1794000</v>
      </c>
      <c r="AW46" s="6" t="s">
        <v>212</v>
      </c>
    </row>
    <row r="47" spans="1:49">
      <c r="I47" s="7"/>
      <c r="U47" s="14"/>
      <c r="V47" s="14"/>
      <c r="W47" s="14"/>
      <c r="X47" s="14"/>
      <c r="Y47" s="14"/>
      <c r="Z47" s="14"/>
      <c r="AA47" s="14"/>
    </row>
    <row r="48" spans="1:49">
      <c r="I48" s="7"/>
    </row>
    <row r="49" spans="1:43">
      <c r="A49" s="4"/>
      <c r="B49" s="4" t="s">
        <v>148</v>
      </c>
      <c r="C49" s="4"/>
      <c r="D49" s="117"/>
      <c r="E49" s="4"/>
      <c r="F49" s="4"/>
      <c r="G49" s="4"/>
      <c r="H49" s="4"/>
      <c r="I49" s="7">
        <f>SUM(I7:I46)</f>
        <v>43836800</v>
      </c>
      <c r="J49" s="7">
        <f>SUM(J7:J46)</f>
        <v>1475500</v>
      </c>
      <c r="K49" s="7">
        <f>SUM(K7:K46)</f>
        <v>140000</v>
      </c>
      <c r="R49" s="7">
        <f>SUM(R7:R46)</f>
        <v>107591355.64</v>
      </c>
      <c r="T49" s="7">
        <f>SUM(T7:T48)</f>
        <v>13733003</v>
      </c>
      <c r="U49" s="7">
        <f>SUM(U7:U46)</f>
        <v>108971278.411304</v>
      </c>
      <c r="V49" s="7">
        <f>SUM(V7:V46)</f>
        <v>13989810.156099997</v>
      </c>
      <c r="W49" s="7">
        <f>SUM(W7:W46)</f>
        <v>111390032.08687663</v>
      </c>
      <c r="X49" s="7">
        <f>SUM(X7:X46)</f>
        <v>14219243.042660037</v>
      </c>
      <c r="Z49" s="7">
        <f>SUM(Z7:Z46)</f>
        <v>125697506.03356244</v>
      </c>
      <c r="AB49" s="12">
        <f>SUM(AB7:AB46)</f>
        <v>16374228.653341293</v>
      </c>
      <c r="AD49" s="7">
        <f>SUM(AD7:AD46)</f>
        <v>130175000</v>
      </c>
      <c r="AF49" s="7">
        <f>SUM(AF7:AF46)</f>
        <v>16697000</v>
      </c>
      <c r="AG49" s="7">
        <f>SUM(AG7:AG46)</f>
        <v>146872000</v>
      </c>
    </row>
    <row r="51" spans="1:43">
      <c r="B51" s="5" t="s">
        <v>149</v>
      </c>
      <c r="AG51" s="7">
        <f>AG49-AB49-Z49-AD41</f>
        <v>4171265.31309627</v>
      </c>
    </row>
    <row r="52" spans="1:43">
      <c r="B52" s="5"/>
      <c r="AB52" s="7"/>
      <c r="AG52" s="7">
        <f>AD41</f>
        <v>629000</v>
      </c>
      <c r="AP52" s="6"/>
      <c r="AQ52" s="6"/>
    </row>
    <row r="53" spans="1:43">
      <c r="B53" s="6" t="s">
        <v>150</v>
      </c>
      <c r="AB53" s="21"/>
      <c r="AC53" s="22"/>
      <c r="AD53" s="22"/>
      <c r="AG53" s="7"/>
      <c r="AH53" s="22"/>
      <c r="AP53" s="6"/>
      <c r="AQ53" s="6"/>
    </row>
    <row r="54" spans="1:43">
      <c r="B54" s="6" t="s">
        <v>161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 s="22"/>
      <c r="AP54" s="6"/>
      <c r="AQ54" s="6"/>
    </row>
    <row r="55" spans="1:43">
      <c r="B55" s="6" t="s">
        <v>162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 s="22"/>
      <c r="AP55" s="6"/>
      <c r="AQ55" s="6"/>
    </row>
    <row r="56" spans="1:43"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 s="22"/>
      <c r="AP56" s="6"/>
      <c r="AQ56" s="6"/>
    </row>
    <row r="57" spans="1:43"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 s="22"/>
      <c r="AP57" s="6"/>
      <c r="AQ57" s="6"/>
    </row>
    <row r="58" spans="1:43"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 s="22"/>
      <c r="AP58" s="6"/>
      <c r="AQ58" s="6"/>
    </row>
    <row r="59" spans="1:43">
      <c r="AP59" s="6"/>
      <c r="AQ59" s="6"/>
    </row>
    <row r="66" spans="15:19">
      <c r="O66" s="21"/>
      <c r="R66" s="22"/>
      <c r="S66" s="22"/>
    </row>
  </sheetData>
  <mergeCells count="14">
    <mergeCell ref="AL5:AM5"/>
    <mergeCell ref="AL10:AM11"/>
    <mergeCell ref="R10:R11"/>
    <mergeCell ref="U10:U11"/>
    <mergeCell ref="W5:X5"/>
    <mergeCell ref="W10:W11"/>
    <mergeCell ref="Y5:AB5"/>
    <mergeCell ref="AC5:AG5"/>
    <mergeCell ref="AH5:AK5"/>
    <mergeCell ref="L5:N5"/>
    <mergeCell ref="I10:I11"/>
    <mergeCell ref="R5:T5"/>
    <mergeCell ref="U5:V5"/>
    <mergeCell ref="L10:L1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&amp;L&amp;F
Uniek nr. e-ABS XXXXXXXXXXXXXXXXXXX</oddFooter>
  </headerFooter>
  <colBreaks count="1" manualBreakCount="1">
    <brk id="2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4E4B5-FF3A-4E92-ABDB-6162C179DD1F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Luckman</dc:creator>
  <cp:lastModifiedBy>Dimitri Potolidis</cp:lastModifiedBy>
  <cp:lastPrinted>2024-02-09T09:12:17Z</cp:lastPrinted>
  <dcterms:created xsi:type="dcterms:W3CDTF">2021-03-24T08:36:22Z</dcterms:created>
  <dcterms:modified xsi:type="dcterms:W3CDTF">2024-10-03T09:45:46Z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2024-02-07T14:30:24Z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7b38ab43-cf12-4f89-86ed-a8abce8b8933</vt:lpwstr>
  </property>
  <property fmtid="{D5CDD505-2E9C-101B-9397-08002B2CF9AE}" pid="8" name="MSIP_Label_9043f10a-881e-4653-a55e-02ca2cc829dc_ContentBits">
    <vt:lpwstr>0</vt:lpwstr>
  </property>
</Properties>
</file>