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wijneninkoop-my.sharepoint.com/personal/lourens_wijneninkoopadvies_nl/Documents/0. Wijnen Inkoopadvies/2024-02 Noorderbasis Hardware/2. Aanbestedingsfase/review Geke/Aanbestedingsdocumenten/"/>
    </mc:Choice>
  </mc:AlternateContent>
  <xr:revisionPtr revIDLastSave="1028" documentId="8_{1A88C7E6-7D53-4969-BF78-B5C97B5C852F}" xr6:coauthVersionLast="47" xr6:coauthVersionMax="47" xr10:uidLastSave="{A102B5B3-ADE6-4D6E-B193-605E1D2CEF74}"/>
  <bookViews>
    <workbookView xWindow="-110" yWindow="-110" windowWidth="19420" windowHeight="10300" firstSheet="2" activeTab="2" xr2:uid="{BA72C558-8314-4D54-B43C-903DFA831FFB}"/>
  </bookViews>
  <sheets>
    <sheet name="rekenvoorbeelden gunningsmethod" sheetId="1" state="hidden" r:id="rId1"/>
    <sheet name="GOW prijsmodel HW - NB2024" sheetId="2" state="hidden" r:id="rId2"/>
    <sheet name="Prijs" sheetId="4" r:id="rId3"/>
    <sheet name="K1 en opslagpercentage"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3" l="1"/>
  <c r="H15" i="3"/>
  <c r="H18" i="3"/>
  <c r="H21" i="3"/>
  <c r="H12" i="3"/>
  <c r="H32" i="3"/>
  <c r="H38" i="3" s="1"/>
  <c r="D42" i="3" s="1"/>
  <c r="F33" i="3"/>
  <c r="F34" i="3"/>
  <c r="F35" i="3"/>
  <c r="F36" i="3"/>
  <c r="F37" i="3"/>
  <c r="F32" i="3"/>
  <c r="D5" i="3"/>
  <c r="B24" i="3"/>
  <c r="I11" i="4"/>
  <c r="I9" i="4"/>
  <c r="I10" i="4"/>
  <c r="I8" i="4"/>
  <c r="H25" i="3" l="1"/>
  <c r="D41" i="3" s="1"/>
  <c r="I12" i="4"/>
  <c r="I15" i="4" s="1"/>
  <c r="D2" i="3" s="1"/>
  <c r="D40" i="3" s="1"/>
  <c r="D43" i="3" l="1"/>
  <c r="B22" i="2"/>
  <c r="C22" i="2" s="1"/>
  <c r="J22" i="2" s="1"/>
  <c r="H14" i="2"/>
  <c r="H16" i="2"/>
  <c r="I16" i="2" s="1"/>
  <c r="H15" i="2"/>
  <c r="H13" i="2"/>
  <c r="K16" i="2"/>
  <c r="K13" i="2"/>
  <c r="S12" i="2"/>
  <c r="F16" i="2" s="1"/>
  <c r="S10" i="2"/>
  <c r="F15" i="2" s="1"/>
  <c r="S8" i="2"/>
  <c r="F14" i="2" s="1"/>
  <c r="S6" i="2"/>
  <c r="F13" i="2" s="1"/>
  <c r="G39" i="2"/>
  <c r="I39" i="2" s="1"/>
  <c r="E39" i="2"/>
  <c r="G38" i="2"/>
  <c r="I38" i="2" s="1"/>
  <c r="E38" i="2"/>
  <c r="G37" i="2"/>
  <c r="I37" i="2" s="1"/>
  <c r="E37" i="2"/>
  <c r="G36" i="2"/>
  <c r="I36" i="2" s="1"/>
  <c r="E36" i="2"/>
  <c r="G33" i="2"/>
  <c r="I33" i="2" s="1"/>
  <c r="G32" i="2"/>
  <c r="I32" i="2" s="1"/>
  <c r="G31" i="2"/>
  <c r="G30" i="2"/>
  <c r="J16" i="2"/>
  <c r="G16" i="2"/>
  <c r="J15" i="2"/>
  <c r="K15" i="2" s="1"/>
  <c r="G15" i="2"/>
  <c r="J14" i="2"/>
  <c r="K14" i="2" s="1"/>
  <c r="G14" i="2"/>
  <c r="E14" i="2"/>
  <c r="J13" i="2"/>
  <c r="G13" i="2"/>
  <c r="R12" i="2"/>
  <c r="E16" i="2" s="1"/>
  <c r="R10" i="2"/>
  <c r="E32" i="2" s="1"/>
  <c r="R8" i="2"/>
  <c r="E31" i="2" s="1"/>
  <c r="F36" i="2"/>
  <c r="R6" i="2"/>
  <c r="E30" i="2" s="1"/>
  <c r="R6" i="1"/>
  <c r="S6" i="1"/>
  <c r="T6" i="1"/>
  <c r="R8" i="1"/>
  <c r="S8" i="1"/>
  <c r="T8" i="1"/>
  <c r="R10" i="1"/>
  <c r="S10" i="1"/>
  <c r="T10" i="1"/>
  <c r="R12" i="1"/>
  <c r="S12" i="1"/>
  <c r="T12" i="1"/>
  <c r="E13" i="1"/>
  <c r="F13" i="1"/>
  <c r="G13" i="1"/>
  <c r="J13" i="1"/>
  <c r="K13" i="1"/>
  <c r="E14" i="1"/>
  <c r="F14" i="1"/>
  <c r="G14" i="1"/>
  <c r="J14" i="1"/>
  <c r="K14" i="1"/>
  <c r="E15" i="1"/>
  <c r="F15" i="1"/>
  <c r="G15" i="1"/>
  <c r="J15" i="1"/>
  <c r="K15" i="1"/>
  <c r="E16" i="1"/>
  <c r="F16" i="1"/>
  <c r="G16" i="1"/>
  <c r="I16" i="1"/>
  <c r="J16" i="1"/>
  <c r="K16" i="1"/>
  <c r="L16" i="1"/>
  <c r="B22" i="1"/>
  <c r="C22" i="1"/>
  <c r="F22" i="1"/>
  <c r="J22" i="1"/>
  <c r="K22" i="1"/>
  <c r="L22" i="1"/>
  <c r="F23" i="1"/>
  <c r="J23" i="1"/>
  <c r="K23" i="1"/>
  <c r="L23" i="1"/>
  <c r="F24" i="1"/>
  <c r="K24" i="1"/>
  <c r="L24" i="1"/>
  <c r="F25" i="1"/>
  <c r="J25" i="1"/>
  <c r="K25" i="1"/>
  <c r="L25" i="1"/>
  <c r="J26" i="1"/>
  <c r="K26" i="1"/>
  <c r="L26" i="1"/>
  <c r="E30" i="1"/>
  <c r="F30" i="1"/>
  <c r="G30" i="1"/>
  <c r="I30" i="1"/>
  <c r="K30" i="1"/>
  <c r="L30" i="1"/>
  <c r="E31" i="1"/>
  <c r="F31" i="1"/>
  <c r="G31" i="1"/>
  <c r="I31" i="1"/>
  <c r="K31" i="1"/>
  <c r="L31" i="1"/>
  <c r="E32" i="1"/>
  <c r="F32" i="1"/>
  <c r="G32" i="1"/>
  <c r="I32" i="1"/>
  <c r="K32" i="1"/>
  <c r="L32" i="1"/>
  <c r="E33" i="1"/>
  <c r="F33" i="1"/>
  <c r="G33" i="1"/>
  <c r="I33" i="1"/>
  <c r="K33" i="1"/>
  <c r="L33" i="1"/>
  <c r="M32" i="1" s="1" a="1"/>
  <c r="M32" i="1" s="1"/>
  <c r="M33" i="1" a="1"/>
  <c r="M33" i="1"/>
  <c r="E36" i="1"/>
  <c r="F36" i="1"/>
  <c r="G36" i="1"/>
  <c r="I36" i="1"/>
  <c r="K36" i="1"/>
  <c r="L36" i="1"/>
  <c r="E37" i="1"/>
  <c r="F37" i="1"/>
  <c r="G37" i="1"/>
  <c r="I37" i="1"/>
  <c r="K37" i="1"/>
  <c r="L37" i="1"/>
  <c r="E38" i="1"/>
  <c r="F38" i="1"/>
  <c r="G38" i="1"/>
  <c r="I38" i="1"/>
  <c r="K38" i="1"/>
  <c r="L38" i="1"/>
  <c r="E39" i="1"/>
  <c r="F39" i="1"/>
  <c r="G39" i="1"/>
  <c r="I39" i="1"/>
  <c r="K39" i="1"/>
  <c r="L39" i="1"/>
  <c r="M38" i="1" s="1" a="1"/>
  <c r="M38" i="1" s="1"/>
  <c r="M39" i="1" a="1"/>
  <c r="M39" i="1"/>
  <c r="K38" i="2" l="1"/>
  <c r="K39" i="2"/>
  <c r="K32" i="2"/>
  <c r="K33" i="2"/>
  <c r="K36" i="2"/>
  <c r="L36" i="2" s="1"/>
  <c r="K30" i="2"/>
  <c r="K31" i="2"/>
  <c r="K37" i="2"/>
  <c r="L16" i="2"/>
  <c r="E15" i="2"/>
  <c r="E13" i="2"/>
  <c r="E33" i="2"/>
  <c r="F30" i="2"/>
  <c r="F31" i="2"/>
  <c r="F32" i="2"/>
  <c r="F33" i="2"/>
  <c r="F37" i="2"/>
  <c r="F38" i="2"/>
  <c r="L38" i="2" s="1"/>
  <c r="F39" i="2"/>
  <c r="J25" i="2"/>
  <c r="J23" i="2"/>
  <c r="J26" i="2"/>
  <c r="F22" i="2"/>
  <c r="M37" i="1" a="1"/>
  <c r="M37" i="1" s="1"/>
  <c r="M36" i="1" a="1"/>
  <c r="M36" i="1" s="1"/>
  <c r="M31" i="1" a="1"/>
  <c r="M31" i="1" s="1"/>
  <c r="M30" i="1" a="1"/>
  <c r="M30" i="1" s="1"/>
  <c r="H13" i="1"/>
  <c r="H14" i="1"/>
  <c r="H15" i="1"/>
  <c r="L30" i="2" l="1"/>
  <c r="L39" i="2"/>
  <c r="M39" i="2" s="1" a="1"/>
  <c r="M39" i="2" s="1"/>
  <c r="L32" i="2"/>
  <c r="L37" i="2"/>
  <c r="L33" i="2"/>
  <c r="L31" i="2"/>
  <c r="M30" i="2" s="1" a="1"/>
  <c r="M30" i="2" s="1"/>
  <c r="M33" i="2" a="1"/>
  <c r="M33" i="2" s="1"/>
  <c r="F24" i="2"/>
  <c r="F23" i="2"/>
  <c r="F25" i="2"/>
  <c r="M36" i="2" a="1"/>
  <c r="M36" i="2" s="1"/>
  <c r="M38" i="2" a="1"/>
  <c r="M38" i="2" s="1"/>
  <c r="M37" i="2" a="1"/>
  <c r="M37" i="2" s="1"/>
  <c r="L14" i="2"/>
  <c r="I14" i="2"/>
  <c r="L13" i="2"/>
  <c r="I13" i="2"/>
  <c r="I15" i="2"/>
  <c r="L15" i="2"/>
  <c r="I15" i="1"/>
  <c r="L15" i="1"/>
  <c r="I14" i="1"/>
  <c r="L14" i="1"/>
  <c r="I13" i="1"/>
  <c r="L13" i="1"/>
  <c r="M32" i="2" l="1" a="1"/>
  <c r="M32" i="2" s="1"/>
  <c r="M15" i="2" a="1"/>
  <c r="M15" i="2" s="1"/>
  <c r="M31" i="2" a="1"/>
  <c r="M31" i="2" s="1"/>
  <c r="M13" i="2" a="1"/>
  <c r="M13" i="2" s="1"/>
  <c r="M16" i="2" a="1"/>
  <c r="M16" i="2" s="1"/>
  <c r="M14" i="2" a="1"/>
  <c r="M14" i="2" s="1"/>
  <c r="M13" i="1" a="1"/>
  <c r="M13" i="1" s="1"/>
  <c r="M16" i="1" a="1"/>
  <c r="M16" i="1" s="1"/>
  <c r="M14" i="1" a="1"/>
  <c r="M14" i="1" s="1"/>
  <c r="M15" i="1" a="1"/>
  <c r="M1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<sst xmlns="http://schemas.openxmlformats.org/spreadsheetml/2006/main" count="231" uniqueCount="120">
  <si>
    <t>D</t>
  </si>
  <si>
    <t>C</t>
  </si>
  <si>
    <t>B</t>
  </si>
  <si>
    <t>A</t>
  </si>
  <si>
    <t>scoreoptie 2</t>
  </si>
  <si>
    <t>% meerwaarde</t>
  </si>
  <si>
    <t>Prijs</t>
  </si>
  <si>
    <t>scoreoptie 1</t>
  </si>
  <si>
    <t>Meerwaarde</t>
  </si>
  <si>
    <t>onvoldoende</t>
  </si>
  <si>
    <t>matig</t>
  </si>
  <si>
    <t>neutraal</t>
  </si>
  <si>
    <t>goed</t>
  </si>
  <si>
    <t>Uitstekend</t>
  </si>
  <si>
    <t>96 stks</t>
  </si>
  <si>
    <t>1 paneel</t>
  </si>
  <si>
    <t>Gunnen op waarde</t>
  </si>
  <si>
    <t>Goed</t>
  </si>
  <si>
    <t>RANG</t>
  </si>
  <si>
    <t>Tot.</t>
  </si>
  <si>
    <t>Q</t>
  </si>
  <si>
    <t>verschil</t>
  </si>
  <si>
    <t>pnt.</t>
  </si>
  <si>
    <t>voor 24 stk</t>
  </si>
  <si>
    <t>Matig</t>
  </si>
  <si>
    <t>Onvoldoende</t>
  </si>
  <si>
    <t>200pnt</t>
  </si>
  <si>
    <t>kwaliteit =</t>
  </si>
  <si>
    <t>800pnt</t>
  </si>
  <si>
    <t>prijs =</t>
  </si>
  <si>
    <t>Neutraal</t>
  </si>
  <si>
    <t>kwaliteit wordt x% van maximaal te behalen aantal punten (x% x 200pnt)</t>
  </si>
  <si>
    <t>Andere scoren naar rato</t>
  </si>
  <si>
    <t>laagste prijs heeft maximale score.</t>
  </si>
  <si>
    <t>Scoreopties</t>
  </si>
  <si>
    <t>80/20</t>
  </si>
  <si>
    <t>Gewogen factor score</t>
  </si>
  <si>
    <t>48stk</t>
  </si>
  <si>
    <t>24stk</t>
  </si>
  <si>
    <t>1 stk</t>
  </si>
  <si>
    <t>inschrijfprijs p.bwp</t>
  </si>
  <si>
    <t>Q score</t>
  </si>
  <si>
    <t>Inschrijver</t>
  </si>
  <si>
    <t>AANPASSEN NAAR BELIEVEN</t>
  </si>
  <si>
    <t>Ficitieve inschrijvingen</t>
  </si>
  <si>
    <t>Rekenvoorbeelden</t>
  </si>
  <si>
    <t>675stks</t>
  </si>
  <si>
    <t>voor 675 stk</t>
  </si>
  <si>
    <t>pnt</t>
  </si>
  <si>
    <t>1stks</t>
  </si>
  <si>
    <t>Naam Inschrijver</t>
  </si>
  <si>
    <t>Aangeboden MFC's inclusief onderhoud/ service cf. PvE</t>
  </si>
  <si>
    <t>Prijs per stuk (excl. BTW)</t>
  </si>
  <si>
    <t>Aantal</t>
  </si>
  <si>
    <t>Instructies t.b.v. het invullen van het prijzenblad.</t>
  </si>
  <si>
    <t>Merk, type, evt. uitvoering</t>
  </si>
  <si>
    <t>Totaal prijs</t>
  </si>
  <si>
    <t>Laptop voor zakelijk gebruik</t>
  </si>
  <si>
    <t>Inschrijfprijs</t>
  </si>
  <si>
    <t>Totaal inschrijfprijs (neemt het bestand over van tabblad 1)</t>
  </si>
  <si>
    <t>Uw Inschrijfprijs</t>
  </si>
  <si>
    <t>Uw product en mogelijke meerwaarde</t>
  </si>
  <si>
    <t>Aspect / onderdeel</t>
  </si>
  <si>
    <t>Minimale eis (zie PvE)</t>
  </si>
  <si>
    <t>Controlecel</t>
  </si>
  <si>
    <t>Gewicht (€)</t>
  </si>
  <si>
    <t>Geef aan welke eigenschap uw product heeft door "X" achter de betreffende waarde in te voeren</t>
  </si>
  <si>
    <t>Scorebereik</t>
  </si>
  <si>
    <t>Verdiende meerwaarde</t>
  </si>
  <si>
    <t>te behalen meerwaarde</t>
  </si>
  <si>
    <t>8Gb</t>
  </si>
  <si>
    <t>Eigenschap</t>
  </si>
  <si>
    <t>Uw product 
(kies eigenschap uit lijst)</t>
  </si>
  <si>
    <t>Maximaal te behalen meerwaarde - opslagpercentage</t>
  </si>
  <si>
    <t>Maximaal te behalen meerwaarde - TOTAAL</t>
  </si>
  <si>
    <t>Opslagpercentage</t>
  </si>
  <si>
    <t>n.v.t.</t>
  </si>
  <si>
    <t>Opslagper-centage</t>
  </si>
  <si>
    <t>Uw  opslagpercentage</t>
  </si>
  <si>
    <t>Uw opslagpercentage en mogelijke meerwaarde</t>
  </si>
  <si>
    <t>Geef aan welke opslagpercentage u voor overige hardware gaat hanteren</t>
  </si>
  <si>
    <t>Prijzenblad t.b.v. de Raamovereenkomst Devices en overige hardware 2024 Noorderbasis</t>
  </si>
  <si>
    <t>Werkgeheugen</t>
  </si>
  <si>
    <t>Processor</t>
  </si>
  <si>
    <t>Accuduur</t>
  </si>
  <si>
    <t>i5-1335P/U</t>
  </si>
  <si>
    <t>i5-1440P of i5-1445U</t>
  </si>
  <si>
    <t>16(+)Gb</t>
  </si>
  <si>
    <t>12Gb</t>
  </si>
  <si>
    <t>0-0,5%</t>
  </si>
  <si>
    <t>0,51-1,0%</t>
  </si>
  <si>
    <t>1,01-1,5%</t>
  </si>
  <si>
    <t>1,51-3%</t>
  </si>
  <si>
    <t>3,01-5%</t>
  </si>
  <si>
    <t>&gt;5%</t>
  </si>
  <si>
    <t>Behaalde meerwaarde - K1a</t>
  </si>
  <si>
    <t>Behaalde meerwaarde - K1b opslagpercentage</t>
  </si>
  <si>
    <t>Behaalde meerwaarde - K1b</t>
  </si>
  <si>
    <t>Maximaal te behalen meerwaarde - specificaties device medewerker</t>
  </si>
  <si>
    <t>Port replicator</t>
  </si>
  <si>
    <t>Desktop PC ( 1 per school, inclusief toetsenbord en muis)</t>
  </si>
  <si>
    <t>Accessoires (draadloze muis)</t>
  </si>
  <si>
    <t>fabrieksopgave</t>
  </si>
  <si>
    <t>Garantie - soort</t>
  </si>
  <si>
    <t>Garantie - looptijd</t>
  </si>
  <si>
    <t>2 jaar</t>
  </si>
  <si>
    <t>Carry-in</t>
  </si>
  <si>
    <t>3 jaar</t>
  </si>
  <si>
    <t>carry-in</t>
  </si>
  <si>
    <t>pick-up &amp; return</t>
  </si>
  <si>
    <t>On-site</t>
  </si>
  <si>
    <t>16(+)</t>
  </si>
  <si>
    <t>Uw evaluatieprijs (voor beoordeling)</t>
  </si>
  <si>
    <t>4(+) jaar</t>
  </si>
  <si>
    <t xml:space="preserve"> </t>
  </si>
  <si>
    <t>&lt;Vul hier uw % in&gt;</t>
  </si>
  <si>
    <t>Selecteer hieronder de bandbreedte waarin uw percentage valt:</t>
  </si>
  <si>
    <t>groter of gelijk aan i7</t>
  </si>
  <si>
    <t xml:space="preserve">1. U vult alle lichtblauw gearceerde cellen in. Wanneer niet alle lichtblauw gearceerde cellen zijn ingevuld, betekent dit dat de inschrijving onvolledig is. 
2. Het aanpassen van de overige cellen of het manipuleren van formules leidt tot uitsluiting van de aanbesteding.
3. De door u opgegeven prijzen zijn vanaf € 0,- en hoger. Er mogen geen negatieve prijzen worden opgegeven.  
4.  Met het invullen van dit prijzenblad verklaart u dat de door u aangeboden oplossing  ten minste voldoet en blijft voldoen aan de minimale eisen zoals verwoord in het Programma van eisen.
5. Uw totaalprijs voor inschrijving (Inschrijfprijs) wordt automatisch berekend en weergegeven in de oranje cel
6. Niet opgevoerde kosten in dit Prijzenblad komen achteraf niet voor facturatie in aanmerking.
7. Indexering van de prijzen geschiedt op basis van hetgeen daarover is bepaald in het Programma van Eisen.
8. U dient het ingevulde prijzenblad zowel in Excel als in PDF format bij uw Inschrijving in te dienen. 
</t>
  </si>
  <si>
    <t>Plafondbudget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</si>
</sst>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0.0"/>
    <numFmt numFmtId="165" formatCode="[$€-2]\ #,##0.00"/>
    <numFmt numFmtId="166" formatCode="_([$€-2]\ * #,##0.00_);_([$€-2]\ * \(#,##0.00\);_([$€-2]\ * &quot;-&quot;??_);_(@_)"/>
    <numFmt numFmtId="167" formatCode="_(&quot;€&quot;\ * #,##0.00_);_(&quot;€&quot;\ * \(#,##0.00\);_(&quot;€&quot;\ * &quot;-&quot;??_);_(@_)"/>
    <numFmt numFmtId="168" formatCode="&quot;€&quot;\ #,##0"/>
  </numFmts>
  <fonts count="13" x14ac:knownFonts="1">
    <font>
      <sz val="10"/>
      <name val="Arial"/>
    </font>
    <font>
      <sz val="10"/>
      <name val="Arial"/>
      <family val="2"/>
    </font>
    <font>
      <b/>
      <sz val="10"/>
      <name val="Arial"/>
      <family val="2"/>
    </font>
    <font>
      <b/>
      <sz val="14"/>
      <name val="Arial"/>
      <family val="2"/>
    </font>
    <font>
      <sz val="10"/>
      <name val="Arial"/>
    </font>
    <font>
      <sz val="12"/>
      <color theme="1"/>
      <name val="Aptos Narrow"/>
      <family val="2"/>
      <scheme val="minor"/>
    </font>
    <font>
      <b/>
      <sz val="20"/>
      <color theme="1"/>
      <name val="Aptos Narrow"/>
      <family val="2"/>
      <scheme val="minor"/>
    </font>
    <font>
      <b/>
      <sz val="12"/>
      <color theme="1"/>
      <name val="Aptos Narrow"/>
      <family val="2"/>
      <scheme val="minor"/>
    </font>
    <font>
      <sz val="12"/>
      <color theme="0"/>
      <name val="Aptos Narrow"/>
      <family val="2"/>
      <scheme val="minor"/>
    </font>
    <font>
      <b/>
      <sz val="12"/>
      <color theme="0"/>
      <name val="Aptos Narrow"/>
      <family val="2"/>
      <scheme val="minor"/>
    </font>
    <font>
      <b/>
      <sz val="14"/>
      <color theme="1"/>
      <name val="Aptos Narrow"/>
      <family val="2"/>
      <scheme val="minor"/>
    </font>
    <font>
      <b/>
      <sz val="14"/>
      <color theme="0"/>
      <name val="Aptos Narrow"/>
      <family val="2"/>
      <scheme val="minor"/>
    </font>
    <font>
      <sz val="10"/>
      <color theme="1"/>
      <name val="Aptos Narrow"/>
      <family val="2"/>
      <scheme val="minor"/>
    </font>
  </fonts>
  <fills count="12">
    <fill>
      <patternFill patternType="none"/>
    </fill>
    <fill>
      <patternFill patternType="gray125"/>
    </fill>
    <fill>
      <patternFill patternType="solid">
        <fgColor theme="7" tint="0.79998168889431442"/>
        <bgColor indexed="64"/>
      </patternFill>
    </fill>
    <fill>
      <patternFill patternType="solid">
        <fgColor theme="9"/>
      </patternFill>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theme="4" tint="0.59999389629810485"/>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indexed="64"/>
      </left>
      <right/>
      <top/>
      <bottom/>
      <diagonal/>
    </border>
    <border>
      <left/>
      <right style="thin">
        <color theme="0" tint="-0.499984740745262"/>
      </right>
      <top/>
      <bottom/>
      <diagonal/>
    </border>
    <border>
      <left/>
      <right/>
      <top/>
      <bottom style="thin">
        <color theme="0" tint="-0.499984740745262"/>
      </bottom>
      <diagonal/>
    </border>
    <border>
      <left/>
      <right style="thin">
        <color theme="2"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style="medium">
        <color indexed="64"/>
      </top>
      <bottom/>
      <diagonal/>
    </border>
    <border>
      <left style="thin">
        <color theme="0" tint="-0.499984740745262"/>
      </left>
      <right style="thin">
        <color theme="0" tint="-0.499984740745262"/>
      </right>
      <top style="medium">
        <color indexed="64"/>
      </top>
      <bottom style="thin">
        <color indexed="64"/>
      </bottom>
      <diagonal/>
    </border>
    <border>
      <left style="thin">
        <color theme="1" tint="0.499984740745262"/>
      </left>
      <right style="medium">
        <color indexed="64"/>
      </right>
      <top style="medium">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top style="thin">
        <color theme="0" tint="-0.499984740745262"/>
      </top>
      <bottom/>
      <diagonal/>
    </border>
    <border>
      <left style="thin">
        <color theme="1" tint="0.499984740745262"/>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thin">
        <color theme="1" tint="0.499984740745262"/>
      </bottom>
      <diagonal/>
    </border>
    <border>
      <left style="medium">
        <color indexed="64"/>
      </left>
      <right/>
      <top style="thin">
        <color theme="0" tint="-0.499984740745262"/>
      </top>
      <bottom style="thin">
        <color theme="1" tint="0.499984740745262"/>
      </bottom>
      <diagonal/>
    </border>
    <border>
      <left style="medium">
        <color indexed="64"/>
      </left>
      <right style="thin">
        <color indexed="64"/>
      </right>
      <top style="thin">
        <color theme="1" tint="0.499984740745262"/>
      </top>
      <bottom style="thin">
        <color indexed="64"/>
      </bottom>
      <diagonal/>
    </border>
    <border>
      <left style="thin">
        <color indexed="64"/>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bottom style="thin">
        <color indexed="64"/>
      </bottom>
      <diagonal/>
    </border>
    <border>
      <left style="thin">
        <color theme="1" tint="0.499984740745262"/>
      </left>
      <right style="medium">
        <color indexed="64"/>
      </right>
      <top/>
      <bottom style="thin">
        <color indexed="64"/>
      </bottom>
      <diagonal/>
    </border>
    <border>
      <left style="medium">
        <color indexed="64"/>
      </left>
      <right style="thin">
        <color theme="2" tint="-0.499984740745262"/>
      </right>
      <top/>
      <bottom style="medium">
        <color indexed="64"/>
      </bottom>
      <diagonal/>
    </border>
    <border>
      <left style="thin">
        <color theme="2" tint="-0.499984740745262"/>
      </left>
      <right style="thin">
        <color theme="2" tint="-0.499984740745262"/>
      </right>
      <top style="thin">
        <color indexed="64"/>
      </top>
      <bottom style="medium">
        <color indexed="64"/>
      </bottom>
      <diagonal/>
    </border>
    <border>
      <left style="thin">
        <color theme="2" tint="-0.499984740745262"/>
      </left>
      <right/>
      <top/>
      <bottom style="medium">
        <color indexed="64"/>
      </bottom>
      <diagonal/>
    </border>
    <border>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1" tint="0.499984740745262"/>
      </left>
      <right style="medium">
        <color indexed="64"/>
      </right>
      <top/>
      <bottom style="medium">
        <color indexed="64"/>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5" fillId="0" borderId="0"/>
    <xf numFmtId="0" fontId="8" fillId="3" borderId="0" applyNumberFormat="0" applyBorder="0" applyAlignment="0" applyProtection="0"/>
  </cellStyleXfs>
  <cellXfs count="196">
    <xf numFmtId="0" fontId="0" fillId="0" borderId="0" xfId="0"/>
    <xf numFmtId="9" fontId="1" fillId="0" borderId="0" xfId="0" applyNumberFormat="1" applyFont="1"/>
    <xf numFmtId="9" fontId="0" fillId="0" borderId="0" xfId="0" applyNumberFormat="1"/>
    <xf numFmtId="0" fontId="1" fillId="0" borderId="0" xfId="0" applyFont="1"/>
    <xf numFmtId="0" fontId="2" fillId="0" borderId="0" xfId="0" applyFont="1"/>
    <xf numFmtId="164" fontId="1" fillId="0" borderId="0" xfId="0" applyNumberFormat="1" applyFont="1"/>
    <xf numFmtId="1" fontId="0" fillId="0" borderId="0" xfId="0" applyNumberFormat="1"/>
    <xf numFmtId="164" fontId="0" fillId="0" borderId="0" xfId="0" applyNumberFormat="1"/>
    <xf numFmtId="0" fontId="0" fillId="0" borderId="1" xfId="0" applyBorder="1"/>
    <xf numFmtId="9" fontId="0" fillId="0" borderId="2" xfId="0" applyNumberFormat="1" applyBorder="1"/>
    <xf numFmtId="0" fontId="0" fillId="0" borderId="2" xfId="0" applyBorder="1"/>
    <xf numFmtId="0" fontId="0" fillId="0" borderId="3" xfId="0" applyBorder="1"/>
    <xf numFmtId="0" fontId="0" fillId="0" borderId="4" xfId="0" applyBorder="1"/>
    <xf numFmtId="0" fontId="0" fillId="0" borderId="5" xfId="0" applyBorder="1"/>
    <xf numFmtId="0" fontId="2" fillId="0" borderId="4" xfId="0" applyFont="1" applyBorder="1"/>
    <xf numFmtId="9" fontId="2" fillId="0" borderId="0" xfId="0" applyNumberFormat="1" applyFont="1"/>
    <xf numFmtId="0" fontId="2" fillId="0" borderId="5" xfId="0" applyFont="1" applyBorder="1"/>
    <xf numFmtId="0" fontId="1" fillId="0" borderId="6" xfId="0" applyFont="1" applyBorder="1"/>
    <xf numFmtId="164" fontId="0" fillId="0" borderId="7" xfId="0" applyNumberFormat="1" applyBorder="1"/>
    <xf numFmtId="0" fontId="1" fillId="0" borderId="7" xfId="0" applyFont="1" applyBorder="1"/>
    <xf numFmtId="0" fontId="0" fillId="0" borderId="7" xfId="0" applyBorder="1"/>
    <xf numFmtId="0" fontId="2" fillId="0" borderId="7" xfId="0" applyFont="1" applyBorder="1"/>
    <xf numFmtId="0" fontId="2" fillId="0" borderId="8" xfId="0" applyFont="1" applyBorder="1"/>
    <xf numFmtId="0" fontId="0" fillId="2" borderId="2" xfId="0" applyFill="1" applyBorder="1"/>
    <xf numFmtId="0" fontId="1" fillId="2" borderId="2" xfId="0" applyFont="1" applyFill="1" applyBorder="1"/>
    <xf numFmtId="0" fontId="2" fillId="0" borderId="3" xfId="0" applyFont="1" applyBorder="1"/>
    <xf numFmtId="0" fontId="0" fillId="2" borderId="0" xfId="0" applyFill="1"/>
    <xf numFmtId="0" fontId="1" fillId="2" borderId="0" xfId="0" applyFont="1" applyFill="1"/>
    <xf numFmtId="0" fontId="1" fillId="0" borderId="2" xfId="0" applyFont="1" applyBorder="1"/>
    <xf numFmtId="0" fontId="0" fillId="0" borderId="6" xfId="0" applyBorder="1"/>
    <xf numFmtId="0" fontId="2" fillId="0" borderId="6" xfId="0" applyFont="1" applyBorder="1"/>
    <xf numFmtId="0" fontId="3" fillId="0" borderId="0" xfId="0" applyFont="1"/>
    <xf numFmtId="165" fontId="5" fillId="8" borderId="18" xfId="2" applyNumberFormat="1" applyFill="1" applyBorder="1" applyAlignment="1" applyProtection="1">
      <alignment horizontal="left" vertical="top" wrapText="1"/>
      <protection locked="0"/>
    </xf>
    <xf numFmtId="0" fontId="5" fillId="8" borderId="10" xfId="2" applyFill="1" applyBorder="1" applyAlignment="1" applyProtection="1">
      <alignment horizontal="left" vertical="top" wrapText="1"/>
      <protection locked="0"/>
    </xf>
    <xf numFmtId="0" fontId="5" fillId="8" borderId="11" xfId="2" applyFill="1" applyBorder="1" applyAlignment="1" applyProtection="1">
      <alignment horizontal="left" vertical="top" wrapText="1"/>
      <protection locked="0"/>
    </xf>
    <xf numFmtId="165" fontId="5" fillId="8" borderId="20" xfId="2" applyNumberFormat="1" applyFill="1" applyBorder="1" applyAlignment="1" applyProtection="1">
      <alignment horizontal="left" vertical="top" wrapText="1"/>
      <protection locked="0"/>
    </xf>
    <xf numFmtId="166" fontId="9" fillId="0" borderId="0" xfId="3" applyNumberFormat="1" applyFont="1" applyFill="1" applyBorder="1" applyAlignment="1" applyProtection="1">
      <alignment vertical="top" wrapText="1"/>
    </xf>
    <xf numFmtId="166" fontId="8" fillId="0" borderId="0" xfId="3" applyNumberFormat="1" applyFill="1" applyBorder="1" applyAlignment="1" applyProtection="1">
      <alignment vertical="top" wrapText="1"/>
    </xf>
    <xf numFmtId="165" fontId="9" fillId="10" borderId="25" xfId="3" applyNumberFormat="1" applyFont="1" applyFill="1" applyBorder="1" applyAlignment="1" applyProtection="1">
      <alignment vertical="top" wrapText="1"/>
    </xf>
    <xf numFmtId="165" fontId="8" fillId="10" borderId="25" xfId="3" applyNumberFormat="1" applyFill="1" applyBorder="1" applyAlignment="1" applyProtection="1">
      <alignment vertical="top" wrapText="1"/>
    </xf>
    <xf numFmtId="166" fontId="9" fillId="3" borderId="25" xfId="3" applyNumberFormat="1" applyFont="1" applyBorder="1" applyAlignment="1" applyProtection="1">
      <alignment vertical="top" wrapText="1"/>
    </xf>
    <xf numFmtId="165" fontId="11" fillId="10" borderId="25" xfId="3" applyNumberFormat="1" applyFont="1" applyFill="1" applyBorder="1" applyAlignment="1" applyProtection="1">
      <alignment vertical="top" wrapText="1"/>
    </xf>
    <xf numFmtId="0" fontId="5" fillId="8" borderId="66" xfId="2" applyFill="1" applyBorder="1" applyAlignment="1" applyProtection="1">
      <alignment horizontal="left" vertical="top" wrapText="1"/>
      <protection locked="0"/>
    </xf>
    <xf numFmtId="0" fontId="5" fillId="8" borderId="67" xfId="2" applyFill="1" applyBorder="1" applyAlignment="1" applyProtection="1">
      <alignment horizontal="left" vertical="top" wrapText="1"/>
      <protection locked="0"/>
    </xf>
    <xf numFmtId="0" fontId="5" fillId="8" borderId="72" xfId="2" applyFill="1" applyBorder="1" applyAlignment="1" applyProtection="1">
      <alignment horizontal="left" vertical="top" wrapText="1"/>
      <protection locked="0"/>
    </xf>
    <xf numFmtId="0" fontId="5" fillId="8" borderId="73" xfId="2" applyFill="1" applyBorder="1" applyAlignment="1" applyProtection="1">
      <alignment horizontal="left" vertical="top" wrapText="1"/>
      <protection locked="0"/>
    </xf>
    <xf numFmtId="165" fontId="5" fillId="8" borderId="74" xfId="2" applyNumberFormat="1" applyFill="1" applyBorder="1" applyAlignment="1" applyProtection="1">
      <alignment horizontal="left" vertical="top" wrapText="1"/>
      <protection locked="0"/>
    </xf>
    <xf numFmtId="0" fontId="5" fillId="4" borderId="0" xfId="2" applyFill="1" applyAlignment="1">
      <alignment horizontal="left" vertical="top" wrapText="1"/>
    </xf>
    <xf numFmtId="0" fontId="5" fillId="4" borderId="0" xfId="2" applyFill="1" applyAlignment="1">
      <alignment vertical="top" wrapText="1"/>
    </xf>
    <xf numFmtId="0" fontId="5" fillId="0" borderId="0" xfId="2" applyAlignment="1">
      <alignment horizontal="left" vertical="top" wrapText="1"/>
    </xf>
    <xf numFmtId="0" fontId="5" fillId="0" borderId="0" xfId="2" applyAlignment="1">
      <alignment vertical="top" wrapText="1"/>
    </xf>
    <xf numFmtId="0" fontId="5" fillId="0" borderId="0" xfId="2" applyAlignment="1">
      <alignment horizontal="center" vertical="top" wrapText="1"/>
    </xf>
    <xf numFmtId="167" fontId="5" fillId="4" borderId="0" xfId="2" applyNumberFormat="1" applyFill="1" applyAlignment="1">
      <alignment vertical="top" wrapText="1"/>
    </xf>
    <xf numFmtId="0" fontId="5" fillId="9" borderId="74" xfId="2" applyFill="1" applyBorder="1" applyAlignment="1">
      <alignment vertical="top" wrapText="1"/>
    </xf>
    <xf numFmtId="165" fontId="5" fillId="9" borderId="75" xfId="2" applyNumberFormat="1" applyFill="1" applyBorder="1" applyAlignment="1">
      <alignment vertical="top" wrapText="1"/>
    </xf>
    <xf numFmtId="9" fontId="5" fillId="4" borderId="0" xfId="2" applyNumberFormat="1" applyFill="1" applyAlignment="1">
      <alignment vertical="top" wrapText="1"/>
    </xf>
    <xf numFmtId="0" fontId="5" fillId="7" borderId="70" xfId="2" applyFill="1" applyBorder="1" applyAlignment="1">
      <alignment horizontal="left" vertical="top" wrapText="1"/>
    </xf>
    <xf numFmtId="44" fontId="5" fillId="7" borderId="71" xfId="2" applyNumberFormat="1" applyFill="1" applyBorder="1" applyAlignment="1">
      <alignment horizontal="left" vertical="top" wrapText="1"/>
    </xf>
    <xf numFmtId="0" fontId="5" fillId="9" borderId="68" xfId="2" applyFill="1" applyBorder="1" applyAlignment="1">
      <alignment vertical="top" wrapText="1"/>
    </xf>
    <xf numFmtId="165" fontId="5" fillId="9" borderId="69" xfId="2" applyNumberFormat="1" applyFill="1" applyBorder="1" applyAlignment="1">
      <alignment vertical="top" wrapText="1"/>
    </xf>
    <xf numFmtId="0" fontId="5" fillId="7" borderId="65" xfId="2" applyFill="1" applyBorder="1" applyAlignment="1">
      <alignment horizontal="left" vertical="top" wrapText="1"/>
    </xf>
    <xf numFmtId="44" fontId="5" fillId="7" borderId="16" xfId="2" applyNumberFormat="1" applyFill="1" applyBorder="1" applyAlignment="1">
      <alignment horizontal="left" vertical="top" wrapText="1"/>
    </xf>
    <xf numFmtId="0" fontId="5" fillId="7" borderId="64" xfId="2" applyFill="1" applyBorder="1" applyAlignment="1">
      <alignment horizontal="left" vertical="top" wrapText="1"/>
    </xf>
    <xf numFmtId="0" fontId="5" fillId="9" borderId="18" xfId="2" applyFill="1" applyBorder="1" applyAlignment="1">
      <alignment vertical="top" wrapText="1"/>
    </xf>
    <xf numFmtId="165" fontId="5" fillId="9" borderId="19" xfId="2" applyNumberFormat="1" applyFill="1" applyBorder="1" applyAlignment="1">
      <alignment vertical="top" wrapText="1"/>
    </xf>
    <xf numFmtId="0" fontId="5" fillId="7" borderId="63" xfId="2" applyFill="1" applyBorder="1" applyAlignment="1">
      <alignment horizontal="left" vertical="top" wrapText="1"/>
    </xf>
    <xf numFmtId="44" fontId="5" fillId="7" borderId="29" xfId="2" applyNumberFormat="1" applyFill="1" applyBorder="1" applyAlignment="1">
      <alignment horizontal="left" vertical="top" wrapText="1"/>
    </xf>
    <xf numFmtId="0" fontId="7" fillId="4" borderId="62" xfId="2" applyFont="1" applyFill="1" applyBorder="1" applyAlignment="1">
      <alignment horizontal="left" vertical="center" wrapText="1"/>
    </xf>
    <xf numFmtId="0" fontId="6" fillId="4" borderId="62" xfId="2" applyFont="1" applyFill="1" applyBorder="1" applyAlignment="1">
      <alignment horizontal="left" vertical="top" wrapText="1"/>
    </xf>
    <xf numFmtId="0" fontId="6" fillId="4" borderId="0" xfId="2" applyFont="1" applyFill="1" applyAlignment="1">
      <alignment horizontal="center" vertical="center" wrapText="1"/>
    </xf>
    <xf numFmtId="0" fontId="7" fillId="7" borderId="76" xfId="2" applyFont="1" applyFill="1" applyBorder="1" applyAlignment="1">
      <alignment horizontal="left" vertical="center" wrapText="1"/>
    </xf>
    <xf numFmtId="0" fontId="7" fillId="7" borderId="24" xfId="2" applyFont="1" applyFill="1" applyBorder="1" applyAlignment="1">
      <alignment horizontal="left" vertical="center" wrapText="1"/>
    </xf>
    <xf numFmtId="0" fontId="7" fillId="7" borderId="78" xfId="2" applyFont="1" applyFill="1" applyBorder="1" applyAlignment="1">
      <alignment horizontal="left" vertical="center" wrapText="1"/>
    </xf>
    <xf numFmtId="0" fontId="7" fillId="7" borderId="79" xfId="2" applyFont="1" applyFill="1" applyBorder="1" applyAlignment="1">
      <alignment horizontal="left" vertical="center" wrapText="1"/>
    </xf>
    <xf numFmtId="0" fontId="6" fillId="5" borderId="14" xfId="2" applyFont="1" applyFill="1" applyBorder="1" applyAlignment="1">
      <alignment horizontal="center" vertical="center" wrapText="1"/>
    </xf>
    <xf numFmtId="0" fontId="6" fillId="5" borderId="15" xfId="2" applyFont="1" applyFill="1" applyBorder="1" applyAlignment="1">
      <alignment horizontal="center" vertical="center" wrapText="1"/>
    </xf>
    <xf numFmtId="0" fontId="7" fillId="5" borderId="16" xfId="2" applyFont="1" applyFill="1" applyBorder="1" applyAlignment="1">
      <alignment horizontal="left" vertical="center" wrapText="1"/>
    </xf>
    <xf numFmtId="10" fontId="5" fillId="8" borderId="25" xfId="2" applyNumberFormat="1" applyFill="1" applyBorder="1" applyAlignment="1" applyProtection="1">
      <alignment horizontal="left" vertical="top" wrapText="1"/>
      <protection locked="0"/>
    </xf>
    <xf numFmtId="0" fontId="5" fillId="7" borderId="23" xfId="2" applyFill="1" applyBorder="1" applyAlignment="1">
      <alignment horizontal="left" vertical="top" wrapText="1"/>
    </xf>
    <xf numFmtId="9" fontId="5" fillId="7" borderId="50" xfId="2" applyNumberFormat="1" applyFill="1" applyBorder="1" applyAlignment="1">
      <alignment horizontal="left" vertical="top" wrapText="1"/>
    </xf>
    <xf numFmtId="0" fontId="5" fillId="7" borderId="53" xfId="2" applyFill="1" applyBorder="1" applyAlignment="1">
      <alignment horizontal="left" vertical="top" wrapText="1"/>
    </xf>
    <xf numFmtId="168" fontId="5" fillId="7" borderId="53" xfId="2" applyNumberFormat="1" applyFill="1" applyBorder="1" applyAlignment="1">
      <alignment horizontal="left" vertical="top" wrapText="1"/>
    </xf>
    <xf numFmtId="9" fontId="5" fillId="7" borderId="51" xfId="2" applyNumberFormat="1" applyFill="1" applyBorder="1" applyAlignment="1">
      <alignment horizontal="left" vertical="top" wrapText="1"/>
    </xf>
    <xf numFmtId="0" fontId="5" fillId="7" borderId="54" xfId="2" applyFill="1" applyBorder="1" applyAlignment="1">
      <alignment horizontal="left" vertical="top" wrapText="1"/>
    </xf>
    <xf numFmtId="168" fontId="5" fillId="7" borderId="54" xfId="2" applyNumberFormat="1" applyFill="1" applyBorder="1" applyAlignment="1">
      <alignment horizontal="left" vertical="top" wrapText="1"/>
    </xf>
    <xf numFmtId="9" fontId="5" fillId="7" borderId="52" xfId="2" applyNumberFormat="1" applyFill="1" applyBorder="1" applyAlignment="1">
      <alignment horizontal="left" vertical="top" wrapText="1"/>
    </xf>
    <xf numFmtId="0" fontId="5" fillId="7" borderId="55" xfId="2" applyFill="1" applyBorder="1" applyAlignment="1">
      <alignment horizontal="left" vertical="top" wrapText="1"/>
    </xf>
    <xf numFmtId="168" fontId="5" fillId="7" borderId="55" xfId="2" applyNumberFormat="1" applyFill="1" applyBorder="1" applyAlignment="1">
      <alignment horizontal="left" vertical="top" wrapText="1"/>
    </xf>
    <xf numFmtId="0" fontId="7" fillId="7" borderId="0" xfId="2" applyFont="1" applyFill="1" applyAlignment="1">
      <alignment horizontal="left" vertical="center" wrapText="1"/>
    </xf>
    <xf numFmtId="0" fontId="7" fillId="7" borderId="5" xfId="2" applyFont="1" applyFill="1" applyBorder="1" applyAlignment="1">
      <alignment vertical="center" wrapText="1"/>
    </xf>
    <xf numFmtId="0" fontId="7" fillId="7" borderId="44" xfId="2" applyFont="1" applyFill="1" applyBorder="1" applyAlignment="1">
      <alignment vertical="center" wrapText="1"/>
    </xf>
    <xf numFmtId="165" fontId="12" fillId="7" borderId="39" xfId="2" applyNumberFormat="1" applyFont="1" applyFill="1" applyBorder="1" applyAlignment="1">
      <alignment horizontal="left" vertical="top" wrapText="1"/>
    </xf>
    <xf numFmtId="0" fontId="7" fillId="7" borderId="43" xfId="2" applyFont="1" applyFill="1" applyBorder="1" applyAlignment="1">
      <alignment horizontal="left" vertical="center" wrapText="1"/>
    </xf>
    <xf numFmtId="0" fontId="7" fillId="7" borderId="43" xfId="2" applyFont="1" applyFill="1" applyBorder="1" applyAlignment="1">
      <alignment vertical="center" wrapText="1"/>
    </xf>
    <xf numFmtId="0" fontId="5" fillId="7" borderId="23" xfId="2" applyFill="1" applyBorder="1" applyAlignment="1">
      <alignment horizontal="right" vertical="top" wrapText="1"/>
    </xf>
    <xf numFmtId="0" fontId="7" fillId="7" borderId="34" xfId="2" applyFont="1" applyFill="1" applyBorder="1" applyAlignment="1">
      <alignment horizontal="left" vertical="top" wrapText="1"/>
    </xf>
    <xf numFmtId="0" fontId="5" fillId="7" borderId="35" xfId="2" applyFill="1" applyBorder="1" applyAlignment="1">
      <alignment horizontal="left" vertical="top" wrapText="1"/>
    </xf>
    <xf numFmtId="3" fontId="5" fillId="7" borderId="35" xfId="2" applyNumberFormat="1" applyFill="1" applyBorder="1" applyAlignment="1">
      <alignment horizontal="left" vertical="top" wrapText="1"/>
    </xf>
    <xf numFmtId="3" fontId="5" fillId="9" borderId="59" xfId="2" applyNumberFormat="1" applyFill="1" applyBorder="1" applyAlignment="1">
      <alignment vertical="top" wrapText="1"/>
    </xf>
    <xf numFmtId="0" fontId="7" fillId="7" borderId="27" xfId="2" applyFont="1" applyFill="1" applyBorder="1" applyAlignment="1">
      <alignment horizontal="left" vertical="center" wrapText="1"/>
    </xf>
    <xf numFmtId="0" fontId="7" fillId="7" borderId="37" xfId="2" applyFont="1" applyFill="1" applyBorder="1" applyAlignment="1">
      <alignment vertical="center" wrapText="1"/>
    </xf>
    <xf numFmtId="0" fontId="7" fillId="7" borderId="4" xfId="2" applyFont="1" applyFill="1" applyBorder="1" applyAlignment="1">
      <alignment horizontal="left" vertical="center" wrapText="1"/>
    </xf>
    <xf numFmtId="9" fontId="5" fillId="7" borderId="38" xfId="2" applyNumberFormat="1" applyFill="1" applyBorder="1" applyAlignment="1">
      <alignment horizontal="left" vertical="top" wrapText="1"/>
    </xf>
    <xf numFmtId="0" fontId="5" fillId="7" borderId="36" xfId="2" applyFill="1" applyBorder="1" applyAlignment="1">
      <alignment horizontal="left" vertical="top" wrapText="1"/>
    </xf>
    <xf numFmtId="168" fontId="5" fillId="7" borderId="32" xfId="2" applyNumberFormat="1" applyFill="1" applyBorder="1" applyAlignment="1">
      <alignment horizontal="left" vertical="top" wrapText="1"/>
    </xf>
    <xf numFmtId="0" fontId="5" fillId="7" borderId="28" xfId="2" applyFill="1" applyBorder="1" applyAlignment="1">
      <alignment horizontal="left" vertical="top" wrapText="1"/>
    </xf>
    <xf numFmtId="168" fontId="5" fillId="7" borderId="16" xfId="2" applyNumberFormat="1" applyFill="1" applyBorder="1" applyAlignment="1">
      <alignment horizontal="left" vertical="top" wrapText="1"/>
    </xf>
    <xf numFmtId="9" fontId="5" fillId="7" borderId="41" xfId="2" applyNumberFormat="1" applyFill="1" applyBorder="1" applyAlignment="1">
      <alignment horizontal="left" vertical="top" wrapText="1"/>
    </xf>
    <xf numFmtId="168" fontId="5" fillId="7" borderId="28" xfId="2" applyNumberFormat="1" applyFill="1" applyBorder="1" applyAlignment="1">
      <alignment horizontal="left" vertical="top" wrapText="1"/>
    </xf>
    <xf numFmtId="9" fontId="5" fillId="7" borderId="60" xfId="2" applyNumberFormat="1" applyFill="1" applyBorder="1" applyAlignment="1">
      <alignment horizontal="left" vertical="top" wrapText="1"/>
    </xf>
    <xf numFmtId="0" fontId="5" fillId="7" borderId="45" xfId="2" applyFill="1" applyBorder="1" applyAlignment="1">
      <alignment horizontal="left" vertical="top" wrapText="1"/>
    </xf>
    <xf numFmtId="168" fontId="5" fillId="7" borderId="29" xfId="2" applyNumberFormat="1" applyFill="1" applyBorder="1" applyAlignment="1">
      <alignment horizontal="left" vertical="top" wrapText="1"/>
    </xf>
    <xf numFmtId="9" fontId="5" fillId="7" borderId="61" xfId="2" applyNumberFormat="1" applyFill="1" applyBorder="1" applyAlignment="1">
      <alignment horizontal="left" vertical="top" wrapText="1"/>
    </xf>
    <xf numFmtId="9" fontId="5" fillId="7" borderId="55" xfId="2" applyNumberFormat="1" applyFill="1" applyBorder="1" applyAlignment="1">
      <alignment horizontal="left" vertical="top" wrapText="1"/>
    </xf>
    <xf numFmtId="0" fontId="5" fillId="7" borderId="31" xfId="2" applyFill="1" applyBorder="1" applyAlignment="1">
      <alignment horizontal="left" vertical="top" wrapText="1"/>
    </xf>
    <xf numFmtId="168" fontId="5" fillId="7" borderId="40" xfId="2" applyNumberFormat="1" applyFill="1" applyBorder="1" applyAlignment="1">
      <alignment horizontal="left" vertical="top" wrapText="1"/>
    </xf>
    <xf numFmtId="9" fontId="5" fillId="7" borderId="42" xfId="2" applyNumberFormat="1" applyFill="1" applyBorder="1" applyAlignment="1">
      <alignment horizontal="left" vertical="top" wrapText="1"/>
    </xf>
    <xf numFmtId="0" fontId="5" fillId="7" borderId="29" xfId="2" applyFill="1" applyBorder="1" applyAlignment="1">
      <alignment horizontal="left" vertical="top" wrapText="1"/>
    </xf>
    <xf numFmtId="0" fontId="5" fillId="7" borderId="16" xfId="2" applyFill="1" applyBorder="1" applyAlignment="1">
      <alignment horizontal="left" vertical="top" wrapText="1"/>
    </xf>
    <xf numFmtId="9" fontId="5" fillId="7" borderId="40" xfId="2" applyNumberFormat="1" applyFill="1" applyBorder="1" applyAlignment="1">
      <alignment horizontal="left" vertical="top" wrapText="1"/>
    </xf>
    <xf numFmtId="168" fontId="5" fillId="7" borderId="31" xfId="2" applyNumberFormat="1" applyFill="1" applyBorder="1" applyAlignment="1">
      <alignment horizontal="left" vertical="top" wrapText="1"/>
    </xf>
    <xf numFmtId="0" fontId="5" fillId="7" borderId="32" xfId="2" applyFill="1" applyBorder="1" applyAlignment="1">
      <alignment horizontal="left" vertical="top" wrapText="1"/>
    </xf>
    <xf numFmtId="9" fontId="5" fillId="7" borderId="30" xfId="2" applyNumberFormat="1" applyFill="1" applyBorder="1" applyAlignment="1">
      <alignment horizontal="left" vertical="top" wrapText="1"/>
    </xf>
    <xf numFmtId="9" fontId="5" fillId="7" borderId="33" xfId="2" applyNumberFormat="1" applyFill="1" applyBorder="1" applyAlignment="1">
      <alignment horizontal="left" vertical="top" wrapText="1"/>
    </xf>
    <xf numFmtId="0" fontId="7" fillId="7" borderId="3" xfId="2" applyFont="1" applyFill="1" applyBorder="1" applyAlignment="1">
      <alignment vertical="center" wrapText="1"/>
    </xf>
    <xf numFmtId="0" fontId="7" fillId="7" borderId="58" xfId="2" applyFont="1" applyFill="1" applyBorder="1" applyAlignment="1">
      <alignment vertical="center" wrapText="1"/>
    </xf>
    <xf numFmtId="0" fontId="7" fillId="7" borderId="58" xfId="2" applyFont="1" applyFill="1" applyBorder="1" applyAlignment="1">
      <alignment horizontal="left" vertical="center" wrapText="1"/>
    </xf>
    <xf numFmtId="0" fontId="7" fillId="7" borderId="23" xfId="2" applyFont="1" applyFill="1" applyBorder="1" applyAlignment="1">
      <alignment horizontal="center" vertical="top" wrapText="1"/>
    </xf>
    <xf numFmtId="0" fontId="7" fillId="7" borderId="24" xfId="2" applyFont="1" applyFill="1" applyBorder="1" applyAlignment="1">
      <alignment horizontal="center" vertical="top" wrapText="1"/>
    </xf>
    <xf numFmtId="0" fontId="7" fillId="5" borderId="26" xfId="2" applyFont="1" applyFill="1" applyBorder="1" applyAlignment="1">
      <alignment horizontal="left" vertical="top" wrapText="1"/>
    </xf>
    <xf numFmtId="0" fontId="7" fillId="5" borderId="10" xfId="2" applyFont="1" applyFill="1" applyBorder="1" applyAlignment="1">
      <alignment horizontal="left" vertical="top" wrapText="1"/>
    </xf>
    <xf numFmtId="0" fontId="7" fillId="5" borderId="11" xfId="2" applyFont="1" applyFill="1" applyBorder="1" applyAlignment="1">
      <alignment horizontal="left" vertical="top" wrapText="1"/>
    </xf>
    <xf numFmtId="49" fontId="5" fillId="0" borderId="21" xfId="2" applyNumberFormat="1" applyBorder="1" applyAlignment="1">
      <alignment horizontal="left" vertical="top" wrapText="1"/>
    </xf>
    <xf numFmtId="49" fontId="5" fillId="0" borderId="14" xfId="2" applyNumberFormat="1" applyBorder="1" applyAlignment="1">
      <alignment horizontal="left" vertical="top" wrapText="1"/>
    </xf>
    <xf numFmtId="49" fontId="5" fillId="0" borderId="22" xfId="2" applyNumberFormat="1" applyBorder="1" applyAlignment="1">
      <alignment horizontal="left" vertical="top" wrapText="1"/>
    </xf>
    <xf numFmtId="0" fontId="6" fillId="5" borderId="9" xfId="2" applyFont="1" applyFill="1" applyBorder="1" applyAlignment="1">
      <alignment horizontal="center" vertical="center" wrapText="1"/>
    </xf>
    <xf numFmtId="0" fontId="6" fillId="5" borderId="10" xfId="2" applyFont="1" applyFill="1" applyBorder="1" applyAlignment="1">
      <alignment horizontal="center" vertical="center" wrapText="1"/>
    </xf>
    <xf numFmtId="0" fontId="6" fillId="5" borderId="11" xfId="2" applyFont="1" applyFill="1" applyBorder="1" applyAlignment="1">
      <alignment horizontal="center" vertical="center" wrapText="1"/>
    </xf>
    <xf numFmtId="0" fontId="6" fillId="5" borderId="12" xfId="2" applyFont="1" applyFill="1" applyBorder="1" applyAlignment="1">
      <alignment horizontal="center" vertical="center" wrapText="1"/>
    </xf>
    <xf numFmtId="0" fontId="6" fillId="5" borderId="0" xfId="2" applyFont="1" applyFill="1" applyAlignment="1">
      <alignment horizontal="center" vertical="center" wrapText="1"/>
    </xf>
    <xf numFmtId="0" fontId="6" fillId="5" borderId="13" xfId="2" applyFont="1" applyFill="1" applyBorder="1" applyAlignment="1">
      <alignment horizontal="center" vertical="center" wrapText="1"/>
    </xf>
    <xf numFmtId="0" fontId="7" fillId="6" borderId="28" xfId="2" applyFont="1" applyFill="1" applyBorder="1" applyAlignment="1">
      <alignment horizontal="left" vertical="center" wrapText="1"/>
    </xf>
    <xf numFmtId="0" fontId="5" fillId="6" borderId="28" xfId="2" applyFill="1" applyBorder="1" applyAlignment="1">
      <alignment horizontal="left" wrapText="1"/>
    </xf>
    <xf numFmtId="0" fontId="7" fillId="7" borderId="77" xfId="2" applyFont="1" applyFill="1" applyBorder="1" applyAlignment="1">
      <alignment horizontal="center" vertical="center" wrapText="1"/>
    </xf>
    <xf numFmtId="0" fontId="7" fillId="7" borderId="39" xfId="2" applyFont="1" applyFill="1" applyBorder="1" applyAlignment="1">
      <alignment horizontal="center" vertical="center" wrapText="1"/>
    </xf>
    <xf numFmtId="0" fontId="5" fillId="8" borderId="7" xfId="2" applyFill="1" applyBorder="1" applyAlignment="1" applyProtection="1">
      <alignment horizontal="left" vertical="top" wrapText="1"/>
      <protection locked="0"/>
    </xf>
    <xf numFmtId="0" fontId="5" fillId="8" borderId="17" xfId="2" applyFill="1" applyBorder="1" applyAlignment="1" applyProtection="1">
      <alignment horizontal="left" vertical="top" wrapText="1"/>
      <protection locked="0"/>
    </xf>
    <xf numFmtId="0" fontId="5" fillId="7" borderId="23" xfId="2" applyFill="1" applyBorder="1" applyAlignment="1">
      <alignment horizontal="center" vertical="top" wrapText="1"/>
    </xf>
    <xf numFmtId="0" fontId="5" fillId="7" borderId="24" xfId="2" applyFill="1" applyBorder="1" applyAlignment="1">
      <alignment horizontal="center" vertical="top" wrapText="1"/>
    </xf>
    <xf numFmtId="0" fontId="7" fillId="11" borderId="16" xfId="2" applyFont="1" applyFill="1" applyBorder="1" applyAlignment="1">
      <alignment horizontal="center" vertical="center" wrapText="1"/>
    </xf>
    <xf numFmtId="0" fontId="5" fillId="7" borderId="37" xfId="2" applyFill="1" applyBorder="1" applyAlignment="1">
      <alignment horizontal="center" vertical="top" wrapText="1"/>
    </xf>
    <xf numFmtId="0" fontId="5" fillId="7" borderId="43" xfId="2" applyFill="1" applyBorder="1" applyAlignment="1">
      <alignment horizontal="center" vertical="top" wrapText="1"/>
    </xf>
    <xf numFmtId="168" fontId="5" fillId="7" borderId="37" xfId="2" applyNumberFormat="1" applyFill="1" applyBorder="1" applyAlignment="1">
      <alignment horizontal="center" vertical="top" wrapText="1"/>
    </xf>
    <xf numFmtId="168" fontId="5" fillId="7" borderId="43" xfId="2" applyNumberFormat="1" applyFill="1" applyBorder="1" applyAlignment="1">
      <alignment horizontal="center" vertical="top" wrapText="1"/>
    </xf>
    <xf numFmtId="165" fontId="5" fillId="8" borderId="45" xfId="2" applyNumberFormat="1" applyFill="1" applyBorder="1" applyAlignment="1" applyProtection="1">
      <alignment horizontal="center" vertical="top" wrapText="1"/>
      <protection locked="0"/>
    </xf>
    <xf numFmtId="165" fontId="5" fillId="8" borderId="36" xfId="2" applyNumberFormat="1" applyFill="1" applyBorder="1" applyAlignment="1" applyProtection="1">
      <alignment horizontal="center" vertical="top" wrapText="1"/>
      <protection locked="0"/>
    </xf>
    <xf numFmtId="165" fontId="5" fillId="8" borderId="48" xfId="2" applyNumberFormat="1" applyFill="1" applyBorder="1" applyAlignment="1" applyProtection="1">
      <alignment horizontal="center" vertical="top" wrapText="1"/>
      <protection locked="0"/>
    </xf>
    <xf numFmtId="168" fontId="5" fillId="9" borderId="46" xfId="2" applyNumberFormat="1" applyFill="1" applyBorder="1" applyAlignment="1">
      <alignment horizontal="center" vertical="top" wrapText="1"/>
    </xf>
    <xf numFmtId="168" fontId="5" fillId="9" borderId="47" xfId="2" applyNumberFormat="1" applyFill="1" applyBorder="1" applyAlignment="1">
      <alignment horizontal="center" vertical="top" wrapText="1"/>
    </xf>
    <xf numFmtId="168" fontId="5" fillId="9" borderId="49" xfId="2" applyNumberFormat="1" applyFill="1" applyBorder="1" applyAlignment="1">
      <alignment horizontal="center" vertical="top" wrapText="1"/>
    </xf>
    <xf numFmtId="0" fontId="10" fillId="7" borderId="23" xfId="2" applyFont="1" applyFill="1" applyBorder="1" applyAlignment="1">
      <alignment horizontal="center" vertical="top" wrapText="1"/>
    </xf>
    <xf numFmtId="0" fontId="7" fillId="7" borderId="23" xfId="2" applyFont="1" applyFill="1" applyBorder="1" applyAlignment="1">
      <alignment horizontal="left" vertical="top" wrapText="1"/>
    </xf>
    <xf numFmtId="0" fontId="7" fillId="7" borderId="24" xfId="2" applyFont="1" applyFill="1" applyBorder="1" applyAlignment="1">
      <alignment horizontal="left" vertical="top" wrapText="1"/>
    </xf>
    <xf numFmtId="0" fontId="5" fillId="7" borderId="23" xfId="2" applyFill="1" applyBorder="1" applyAlignment="1">
      <alignment horizontal="left" vertical="top" wrapText="1"/>
    </xf>
    <xf numFmtId="0" fontId="5" fillId="7" borderId="24" xfId="2" applyFill="1" applyBorder="1" applyAlignment="1">
      <alignment horizontal="left" vertical="top" wrapText="1"/>
    </xf>
    <xf numFmtId="0" fontId="5" fillId="7" borderId="44" xfId="2" applyFill="1" applyBorder="1" applyAlignment="1">
      <alignment horizontal="center" vertical="top" wrapText="1"/>
    </xf>
    <xf numFmtId="168" fontId="5" fillId="7" borderId="37" xfId="1" applyNumberFormat="1" applyFont="1" applyFill="1" applyBorder="1" applyAlignment="1" applyProtection="1">
      <alignment horizontal="center" vertical="top" wrapText="1"/>
    </xf>
    <xf numFmtId="168" fontId="5" fillId="7" borderId="43" xfId="1" applyNumberFormat="1" applyFont="1" applyFill="1" applyBorder="1" applyAlignment="1" applyProtection="1">
      <alignment horizontal="center" vertical="top" wrapText="1"/>
    </xf>
    <xf numFmtId="168" fontId="5" fillId="7" borderId="44" xfId="1" applyNumberFormat="1" applyFont="1" applyFill="1" applyBorder="1" applyAlignment="1" applyProtection="1">
      <alignment horizontal="center" vertical="top" wrapText="1"/>
    </xf>
    <xf numFmtId="168" fontId="5" fillId="7" borderId="44" xfId="2" applyNumberFormat="1" applyFill="1" applyBorder="1" applyAlignment="1">
      <alignment horizontal="center" vertical="top" wrapText="1"/>
    </xf>
    <xf numFmtId="168" fontId="5" fillId="9" borderId="46" xfId="1" applyNumberFormat="1" applyFont="1" applyFill="1" applyBorder="1" applyAlignment="1" applyProtection="1">
      <alignment horizontal="center" vertical="top" wrapText="1"/>
    </xf>
    <xf numFmtId="168" fontId="5" fillId="9" borderId="47" xfId="1" applyNumberFormat="1" applyFont="1" applyFill="1" applyBorder="1" applyAlignment="1" applyProtection="1">
      <alignment horizontal="center" vertical="top" wrapText="1"/>
    </xf>
    <xf numFmtId="168" fontId="5" fillId="9" borderId="49" xfId="1" applyNumberFormat="1" applyFont="1" applyFill="1" applyBorder="1" applyAlignment="1" applyProtection="1">
      <alignment horizontal="center" vertical="top" wrapText="1"/>
    </xf>
    <xf numFmtId="0" fontId="5" fillId="8" borderId="45" xfId="2" applyFill="1" applyBorder="1" applyAlignment="1" applyProtection="1">
      <alignment horizontal="center" vertical="top" wrapText="1"/>
      <protection locked="0"/>
    </xf>
    <xf numFmtId="0" fontId="5" fillId="8" borderId="36" xfId="2" applyFill="1" applyBorder="1" applyAlignment="1" applyProtection="1">
      <alignment horizontal="center" vertical="top" wrapText="1"/>
      <protection locked="0"/>
    </xf>
    <xf numFmtId="0" fontId="5" fillId="8" borderId="48" xfId="2" applyFill="1" applyBorder="1" applyAlignment="1" applyProtection="1">
      <alignment horizontal="center" vertical="top" wrapText="1"/>
      <protection locked="0"/>
    </xf>
    <xf numFmtId="0" fontId="7" fillId="6" borderId="35" xfId="2" applyFont="1" applyFill="1" applyBorder="1" applyAlignment="1">
      <alignment horizontal="left" vertical="center" wrapText="1"/>
    </xf>
    <xf numFmtId="0" fontId="5" fillId="6" borderId="59" xfId="2" applyFill="1" applyBorder="1" applyAlignment="1">
      <alignment horizontal="left" wrapText="1"/>
    </xf>
    <xf numFmtId="0" fontId="7" fillId="6" borderId="23" xfId="2" applyFont="1" applyFill="1" applyBorder="1" applyAlignment="1">
      <alignment horizontal="center" vertical="center" wrapText="1"/>
    </xf>
    <xf numFmtId="0" fontId="7" fillId="6" borderId="24" xfId="2" applyFont="1" applyFill="1" applyBorder="1" applyAlignment="1">
      <alignment horizontal="center" vertical="center" wrapText="1"/>
    </xf>
    <xf numFmtId="0" fontId="7" fillId="6" borderId="39" xfId="2" applyFont="1" applyFill="1" applyBorder="1" applyAlignment="1">
      <alignment horizontal="center" vertical="center" wrapText="1"/>
    </xf>
    <xf numFmtId="0" fontId="7" fillId="6" borderId="57" xfId="2" applyFont="1" applyFill="1" applyBorder="1" applyAlignment="1">
      <alignment horizontal="center" wrapText="1"/>
    </xf>
    <xf numFmtId="0" fontId="7" fillId="6" borderId="24" xfId="2" applyFont="1" applyFill="1" applyBorder="1" applyAlignment="1">
      <alignment horizontal="center" wrapText="1"/>
    </xf>
    <xf numFmtId="168" fontId="5" fillId="7" borderId="37" xfId="2" applyNumberFormat="1" applyFill="1" applyBorder="1" applyAlignment="1">
      <alignment horizontal="center" vertical="center" wrapText="1"/>
    </xf>
    <xf numFmtId="168" fontId="5" fillId="7" borderId="43" xfId="2" applyNumberFormat="1" applyFill="1" applyBorder="1" applyAlignment="1">
      <alignment horizontal="center" vertical="center" wrapText="1"/>
    </xf>
    <xf numFmtId="168" fontId="5" fillId="7" borderId="44" xfId="2" applyNumberFormat="1" applyFill="1" applyBorder="1" applyAlignment="1">
      <alignment horizontal="center" vertical="center" wrapText="1"/>
    </xf>
    <xf numFmtId="0" fontId="5" fillId="7" borderId="37" xfId="2" applyFill="1" applyBorder="1" applyAlignment="1">
      <alignment horizontal="center" vertical="center" wrapText="1"/>
    </xf>
    <xf numFmtId="0" fontId="5" fillId="7" borderId="43" xfId="2" applyFill="1" applyBorder="1" applyAlignment="1">
      <alignment horizontal="center" vertical="center" wrapText="1"/>
    </xf>
    <xf numFmtId="0" fontId="5" fillId="7" borderId="44" xfId="2" applyFill="1" applyBorder="1" applyAlignment="1">
      <alignment horizontal="center" vertical="center" wrapText="1"/>
    </xf>
    <xf numFmtId="168" fontId="5" fillId="9" borderId="56" xfId="1" applyNumberFormat="1" applyFont="1" applyFill="1" applyBorder="1" applyAlignment="1" applyProtection="1">
      <alignment horizontal="center" vertical="center" wrapText="1"/>
    </xf>
    <xf numFmtId="168" fontId="5" fillId="9" borderId="43" xfId="1" applyNumberFormat="1" applyFont="1" applyFill="1" applyBorder="1" applyAlignment="1" applyProtection="1">
      <alignment horizontal="center" vertical="center" wrapText="1"/>
    </xf>
    <xf numFmtId="168" fontId="5" fillId="9" borderId="44" xfId="1" applyNumberFormat="1" applyFont="1" applyFill="1" applyBorder="1" applyAlignment="1" applyProtection="1">
      <alignment horizontal="center" vertical="center" wrapText="1"/>
    </xf>
    <xf numFmtId="0" fontId="7" fillId="6" borderId="25" xfId="2" applyFont="1" applyFill="1" applyBorder="1" applyAlignment="1">
      <alignment horizontal="center" wrapText="1"/>
    </xf>
    <xf numFmtId="165" fontId="5" fillId="8" borderId="56" xfId="2" applyNumberFormat="1" applyFill="1" applyBorder="1" applyAlignment="1" applyProtection="1">
      <alignment horizontal="center" vertical="center" wrapText="1"/>
      <protection locked="0"/>
    </xf>
    <xf numFmtId="165" fontId="5" fillId="8" borderId="43" xfId="2" applyNumberFormat="1" applyFill="1" applyBorder="1" applyAlignment="1" applyProtection="1">
      <alignment horizontal="center" vertical="center" wrapText="1"/>
      <protection locked="0"/>
    </xf>
    <xf numFmtId="165" fontId="5" fillId="8" borderId="44" xfId="2" applyNumberFormat="1" applyFill="1" applyBorder="1" applyAlignment="1" applyProtection="1">
      <alignment horizontal="center" vertical="center" wrapText="1"/>
      <protection locked="0"/>
    </xf>
  </cellXfs>
  <cellStyles count="4">
    <cellStyle name="Accent6 2" xfId="3" xr:uid="{4BA60644-503E-4BFE-B8A1-355FBFD7B76F}"/>
    <cellStyle name="Standaard" xfId="0" builtinId="0"/>
    <cellStyle name="Standaard 2" xfId="2" xr:uid="{88B487C3-811A-4846-ADC6-69B2D3E558FE}"/>
    <cellStyle name="Valuta" xfId="1" builtinId="4"/>
  </cellStyles>
  <dxfs count="14">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1251855</xdr:colOff>
      <xdr:row>0</xdr:row>
      <xdr:rowOff>3401</xdr:rowOff>
    </xdr:from>
    <xdr:to>
      <xdr:col>9</xdr:col>
      <xdr:colOff>77288</xdr:colOff>
      <xdr:row>0</xdr:row>
      <xdr:rowOff>390966</xdr:rowOff>
    </xdr:to>
    <xdr:pic>
      <xdr:nvPicPr>
        <xdr:cNvPr id="2" name="Afbeelding 1">
          <a:extLst>
            <a:ext uri="{FF2B5EF4-FFF2-40B4-BE49-F238E27FC236}">
              <a16:creationId xmlns:a16="http://schemas.microsoft.com/office/drawing/2014/main" id="{2277C68F-6619-40E1-87B8-9BDED39849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 b="88944"/>
        <a:stretch/>
      </xdr:blipFill>
      <xdr:spPr bwMode="auto">
        <a:xfrm>
          <a:off x="13543641" y="3401"/>
          <a:ext cx="2535647" cy="38756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997858</xdr:colOff>
      <xdr:row>0</xdr:row>
      <xdr:rowOff>81643</xdr:rowOff>
    </xdr:from>
    <xdr:to>
      <xdr:col>8</xdr:col>
      <xdr:colOff>68219</xdr:colOff>
      <xdr:row>2</xdr:row>
      <xdr:rowOff>97279</xdr:rowOff>
    </xdr:to>
    <xdr:pic>
      <xdr:nvPicPr>
        <xdr:cNvPr id="2" name="Afbeelding 1">
          <a:extLst>
            <a:ext uri="{FF2B5EF4-FFF2-40B4-BE49-F238E27FC236}">
              <a16:creationId xmlns:a16="http://schemas.microsoft.com/office/drawing/2014/main" id="{CDD39C67-4990-46FF-A97C-07CA3FB4B1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 b="88944"/>
        <a:stretch/>
      </xdr:blipFill>
      <xdr:spPr bwMode="auto">
        <a:xfrm>
          <a:off x="9134929" y="81643"/>
          <a:ext cx="2535647" cy="387565"/>
        </a:xfrm>
        <a:prstGeom prst="rect">
          <a:avLst/>
        </a:prstGeom>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DD661-11DA-455E-91EF-BBDEE8FCC5C1}">
  <dimension ref="A1:T39"/>
  <sheetViews>
    <sheetView workbookViewId="0">
      <selection activeCell="AE49" sqref="AE49"/>
    </sheetView>
  </sheetViews>
  <sheetFormatPr defaultRowHeight="12.5" x14ac:dyDescent="0.25"/>
  <cols>
    <col min="6" max="7" width="10.1796875" customWidth="1"/>
    <col min="9" max="9" width="9.453125" bestFit="1" customWidth="1"/>
    <col min="14" max="14" width="1.54296875" customWidth="1"/>
    <col min="15" max="17" width="11.54296875" customWidth="1"/>
  </cols>
  <sheetData>
    <row r="1" spans="1:20" ht="23.25" customHeight="1" x14ac:dyDescent="0.4">
      <c r="A1" s="31" t="s">
        <v>45</v>
      </c>
    </row>
    <row r="3" spans="1:20" ht="13.5" thickBot="1" x14ac:dyDescent="0.35">
      <c r="O3" s="4" t="s">
        <v>44</v>
      </c>
      <c r="P3" s="4"/>
      <c r="Q3" s="27" t="s">
        <v>43</v>
      </c>
      <c r="R3" s="26"/>
      <c r="S3" s="26"/>
    </row>
    <row r="4" spans="1:20" ht="13.5" thickBot="1" x14ac:dyDescent="0.35">
      <c r="O4" s="22" t="s">
        <v>42</v>
      </c>
      <c r="P4" s="21" t="s">
        <v>41</v>
      </c>
      <c r="Q4" s="21" t="s">
        <v>40</v>
      </c>
      <c r="R4" s="21" t="s">
        <v>39</v>
      </c>
      <c r="S4" s="21" t="s">
        <v>38</v>
      </c>
      <c r="T4" s="30" t="s">
        <v>37</v>
      </c>
    </row>
    <row r="5" spans="1:20" ht="13" x14ac:dyDescent="0.3">
      <c r="A5" s="22" t="s">
        <v>36</v>
      </c>
      <c r="B5" s="20"/>
      <c r="C5" s="20"/>
      <c r="D5" s="19" t="s">
        <v>35</v>
      </c>
      <c r="E5" s="20"/>
      <c r="F5" s="20"/>
      <c r="G5" s="20"/>
      <c r="H5" s="20"/>
      <c r="I5" s="21" t="s">
        <v>34</v>
      </c>
      <c r="J5" s="29"/>
      <c r="O5" s="13"/>
      <c r="T5" s="12"/>
    </row>
    <row r="6" spans="1:20" ht="13" x14ac:dyDescent="0.3">
      <c r="A6" s="13"/>
      <c r="B6" s="3" t="s">
        <v>33</v>
      </c>
      <c r="I6" s="2" t="s">
        <v>13</v>
      </c>
      <c r="J6" s="12">
        <v>200</v>
      </c>
      <c r="O6" s="16" t="s">
        <v>3</v>
      </c>
      <c r="P6" s="27" t="s">
        <v>17</v>
      </c>
      <c r="Q6" s="26">
        <v>8000</v>
      </c>
      <c r="R6">
        <f>Q6</f>
        <v>8000</v>
      </c>
      <c r="S6">
        <f>24*Q6</f>
        <v>192000</v>
      </c>
      <c r="T6" s="12">
        <f>48*Q6</f>
        <v>384000</v>
      </c>
    </row>
    <row r="7" spans="1:20" ht="13" x14ac:dyDescent="0.3">
      <c r="A7" s="13"/>
      <c r="B7" s="3" t="s">
        <v>32</v>
      </c>
      <c r="I7" s="3" t="s">
        <v>17</v>
      </c>
      <c r="J7" s="12">
        <v>150</v>
      </c>
      <c r="O7" s="16"/>
      <c r="P7" s="3"/>
      <c r="T7" s="12"/>
    </row>
    <row r="8" spans="1:20" ht="13" x14ac:dyDescent="0.3">
      <c r="A8" s="13"/>
      <c r="B8" s="3" t="s">
        <v>31</v>
      </c>
      <c r="I8" s="3" t="s">
        <v>30</v>
      </c>
      <c r="J8" s="12">
        <v>100</v>
      </c>
      <c r="O8" s="16" t="s">
        <v>2</v>
      </c>
      <c r="P8" s="27" t="s">
        <v>17</v>
      </c>
      <c r="Q8" s="26">
        <v>7500</v>
      </c>
      <c r="R8">
        <f>Q8</f>
        <v>7500</v>
      </c>
      <c r="S8">
        <f>24*Q8</f>
        <v>180000</v>
      </c>
      <c r="T8" s="12">
        <f>48*Q8</f>
        <v>360000</v>
      </c>
    </row>
    <row r="9" spans="1:20" x14ac:dyDescent="0.25">
      <c r="A9" s="13"/>
      <c r="B9" s="3" t="s">
        <v>29</v>
      </c>
      <c r="C9" s="3" t="s">
        <v>28</v>
      </c>
      <c r="I9" s="3" t="s">
        <v>24</v>
      </c>
      <c r="J9" s="12">
        <v>50</v>
      </c>
      <c r="O9" s="13"/>
      <c r="T9" s="12"/>
    </row>
    <row r="10" spans="1:20" ht="13.5" thickBot="1" x14ac:dyDescent="0.35">
      <c r="A10" s="11"/>
      <c r="B10" s="28" t="s">
        <v>27</v>
      </c>
      <c r="C10" s="28" t="s">
        <v>26</v>
      </c>
      <c r="D10" s="10"/>
      <c r="E10" s="10"/>
      <c r="F10" s="10"/>
      <c r="G10" s="10"/>
      <c r="H10" s="10"/>
      <c r="I10" s="28" t="s">
        <v>25</v>
      </c>
      <c r="J10" s="8">
        <v>0</v>
      </c>
      <c r="O10" s="16" t="s">
        <v>1</v>
      </c>
      <c r="P10" s="27" t="s">
        <v>24</v>
      </c>
      <c r="Q10" s="26">
        <v>6500</v>
      </c>
      <c r="R10">
        <f>Q10</f>
        <v>6500</v>
      </c>
      <c r="S10">
        <f>24*Q10</f>
        <v>156000</v>
      </c>
      <c r="T10" s="12">
        <f>48*Q10</f>
        <v>312000</v>
      </c>
    </row>
    <row r="11" spans="1:20" x14ac:dyDescent="0.25">
      <c r="B11" s="3"/>
      <c r="C11" s="3"/>
      <c r="O11" s="13"/>
      <c r="P11" s="3"/>
      <c r="T11" s="12"/>
    </row>
    <row r="12" spans="1:20" ht="13.5" thickBot="1" x14ac:dyDescent="0.35">
      <c r="E12" s="4" t="s">
        <v>6</v>
      </c>
      <c r="F12" s="4" t="s">
        <v>23</v>
      </c>
      <c r="G12" s="4"/>
      <c r="H12" s="4" t="s">
        <v>22</v>
      </c>
      <c r="I12" s="4" t="s">
        <v>21</v>
      </c>
      <c r="J12" s="4"/>
      <c r="K12" s="4" t="s">
        <v>20</v>
      </c>
      <c r="L12" s="4" t="s">
        <v>19</v>
      </c>
      <c r="M12" s="4" t="s">
        <v>18</v>
      </c>
      <c r="O12" s="25" t="s">
        <v>0</v>
      </c>
      <c r="P12" s="24" t="s">
        <v>17</v>
      </c>
      <c r="Q12" s="23">
        <v>8500</v>
      </c>
      <c r="R12" s="10">
        <f>Q12</f>
        <v>8500</v>
      </c>
      <c r="S12" s="10">
        <f>24*Q12</f>
        <v>204000</v>
      </c>
      <c r="T12" s="8">
        <f>48*Q12</f>
        <v>408000</v>
      </c>
    </row>
    <row r="13" spans="1:20" ht="13" x14ac:dyDescent="0.3">
      <c r="D13" s="4" t="s">
        <v>3</v>
      </c>
      <c r="E13">
        <f>R6</f>
        <v>8000</v>
      </c>
      <c r="F13">
        <f>S6</f>
        <v>192000</v>
      </c>
      <c r="G13" s="5" t="str">
        <f>P6</f>
        <v>Goed</v>
      </c>
      <c r="H13" s="7">
        <f>SUM(E16/E13)*800</f>
        <v>850</v>
      </c>
      <c r="I13" s="7">
        <f>H16-H13</f>
        <v>-50</v>
      </c>
      <c r="J13" s="5" t="str">
        <f>P6</f>
        <v>Goed</v>
      </c>
      <c r="K13">
        <f>IF(J13="Onvoldoende",0,IF(J13="Matig",50,IF(J13="Neutraal",100,IF(J13="Goed",150,IF(J13="Uitstekend",200,"Geen score")))))</f>
        <v>150</v>
      </c>
      <c r="L13" s="7">
        <f>H13+K13</f>
        <v>1000</v>
      </c>
      <c r="M13" cm="1">
        <f t="array" ref="M13">1+SUMPRODUCT((L13&lt;$L$13:$L$16)*1)</f>
        <v>3</v>
      </c>
    </row>
    <row r="14" spans="1:20" ht="13" x14ac:dyDescent="0.3">
      <c r="D14" s="4" t="s">
        <v>2</v>
      </c>
      <c r="E14">
        <f>R8</f>
        <v>7500</v>
      </c>
      <c r="F14">
        <f>S8</f>
        <v>180000</v>
      </c>
      <c r="G14" s="3" t="str">
        <f>P8</f>
        <v>Goed</v>
      </c>
      <c r="H14" s="7">
        <f>SUM(E16/E14)*800</f>
        <v>906.66666666666663</v>
      </c>
      <c r="I14" s="7">
        <f>H16-H14</f>
        <v>-106.66666666666663</v>
      </c>
      <c r="J14" s="3" t="str">
        <f>P8</f>
        <v>Goed</v>
      </c>
      <c r="K14">
        <f>IF(J14="Onvoldoende",0,IF(J14="Matig",50,IF(J14="Neutraal",100,IF(J14="Goed",150,IF(J14="Uitstekend",200,"Geen score")))))</f>
        <v>150</v>
      </c>
      <c r="L14" s="7">
        <f>H14+K14</f>
        <v>1056.6666666666665</v>
      </c>
      <c r="M14" cm="1">
        <f t="array" ref="M14">1+SUMPRODUCT((L14&lt;$L$13:$L$16)*1)</f>
        <v>2</v>
      </c>
    </row>
    <row r="15" spans="1:20" ht="13" x14ac:dyDescent="0.3">
      <c r="D15" s="4" t="s">
        <v>1</v>
      </c>
      <c r="E15">
        <f>R10</f>
        <v>6500</v>
      </c>
      <c r="F15">
        <f>S10</f>
        <v>156000</v>
      </c>
      <c r="G15" s="3" t="str">
        <f>P10</f>
        <v>Matig</v>
      </c>
      <c r="H15" s="7">
        <f>SUM(E16/E15)*800</f>
        <v>1046.1538461538462</v>
      </c>
      <c r="I15" s="7">
        <f>H16-H15</f>
        <v>-246.15384615384619</v>
      </c>
      <c r="J15" s="3" t="str">
        <f>P10</f>
        <v>Matig</v>
      </c>
      <c r="K15">
        <f>IF(J15="Onvoldoende",0,IF(J15="Matig",50,IF(J15="Neutraal",100,IF(J15="Goed",150,IF(J15="Uitstekend",200,"Geen score")))))</f>
        <v>50</v>
      </c>
      <c r="L15" s="7">
        <f>H15+K15</f>
        <v>1096.1538461538462</v>
      </c>
      <c r="M15" cm="1">
        <f t="array" ref="M15">1+SUMPRODUCT((L15&lt;$L$13:$L$16)*1)</f>
        <v>1</v>
      </c>
    </row>
    <row r="16" spans="1:20" ht="13" x14ac:dyDescent="0.3">
      <c r="D16" s="4" t="s">
        <v>0</v>
      </c>
      <c r="E16">
        <f>R12</f>
        <v>8500</v>
      </c>
      <c r="F16">
        <f>S12</f>
        <v>204000</v>
      </c>
      <c r="G16" s="3" t="str">
        <f>P12</f>
        <v>Goed</v>
      </c>
      <c r="H16" s="7">
        <v>800</v>
      </c>
      <c r="I16" s="7">
        <f>H16-H16</f>
        <v>0</v>
      </c>
      <c r="J16" s="3" t="str">
        <f>P12</f>
        <v>Goed</v>
      </c>
      <c r="K16">
        <f>IF(J16="Onvoldoende",0,IF(J16="Matig",50,IF(J16="Neutraal",100,IF(J16="Goed",150,IF(J16="Uitstekend",200,"Geen score")))))</f>
        <v>150</v>
      </c>
      <c r="L16" s="7">
        <f>H16+K16</f>
        <v>950</v>
      </c>
      <c r="M16" cm="1">
        <f t="array" ref="M16">1+SUMPRODUCT((L16&lt;$L$13:$L$16)*1)</f>
        <v>4</v>
      </c>
    </row>
    <row r="17" spans="1:13" ht="13" x14ac:dyDescent="0.3">
      <c r="D17" s="4"/>
      <c r="G17" s="3"/>
      <c r="H17" s="7"/>
      <c r="I17" s="7"/>
      <c r="J17" s="3"/>
      <c r="L17" s="7"/>
    </row>
    <row r="18" spans="1:13" ht="3.75" customHeight="1" x14ac:dyDescent="0.3">
      <c r="D18" s="4"/>
      <c r="G18" s="3"/>
      <c r="H18" s="7"/>
      <c r="I18" s="7"/>
      <c r="J18" s="3"/>
      <c r="L18" s="7"/>
    </row>
    <row r="19" spans="1:13" ht="3.75" customHeight="1" thickBot="1" x14ac:dyDescent="0.35">
      <c r="D19" s="4"/>
      <c r="G19" s="3"/>
      <c r="H19" s="7"/>
      <c r="I19" s="7"/>
      <c r="J19" s="3"/>
      <c r="L19" s="7"/>
    </row>
    <row r="20" spans="1:13" ht="15" customHeight="1" x14ac:dyDescent="0.3">
      <c r="A20" s="22" t="s">
        <v>16</v>
      </c>
      <c r="B20" s="20"/>
      <c r="C20" s="20"/>
      <c r="D20" s="21"/>
      <c r="E20" s="20"/>
      <c r="F20" s="20"/>
      <c r="G20" s="19"/>
      <c r="H20" s="18"/>
      <c r="I20" s="18"/>
      <c r="J20" s="17"/>
      <c r="L20" s="7"/>
    </row>
    <row r="21" spans="1:13" ht="15" customHeight="1" x14ac:dyDescent="0.3">
      <c r="A21" s="16" t="s">
        <v>15</v>
      </c>
      <c r="B21" s="4" t="s">
        <v>14</v>
      </c>
      <c r="C21" s="15">
        <v>0.2</v>
      </c>
      <c r="D21" s="4"/>
      <c r="E21" s="4" t="s">
        <v>7</v>
      </c>
      <c r="F21" s="4"/>
      <c r="G21" s="4"/>
      <c r="H21" s="4" t="s">
        <v>4</v>
      </c>
      <c r="I21" s="4"/>
      <c r="J21" s="14"/>
      <c r="L21" s="7"/>
    </row>
    <row r="22" spans="1:13" ht="15" customHeight="1" x14ac:dyDescent="0.25">
      <c r="A22" s="13">
        <v>7500</v>
      </c>
      <c r="B22">
        <f>96*A22</f>
        <v>720000</v>
      </c>
      <c r="C22">
        <f>C21*B22</f>
        <v>144000</v>
      </c>
      <c r="D22" s="2" t="s">
        <v>13</v>
      </c>
      <c r="E22" s="2">
        <v>-1</v>
      </c>
      <c r="F22">
        <f>C22</f>
        <v>144000</v>
      </c>
      <c r="H22" s="2" t="s">
        <v>13</v>
      </c>
      <c r="I22" s="2">
        <v>-1</v>
      </c>
      <c r="J22" s="12">
        <f>-C22</f>
        <v>-144000</v>
      </c>
      <c r="K22">
        <f>0.6*J22</f>
        <v>-86400</v>
      </c>
      <c r="L22" s="7">
        <f>0.4*J22</f>
        <v>-57600</v>
      </c>
    </row>
    <row r="23" spans="1:13" ht="15" customHeight="1" x14ac:dyDescent="0.25">
      <c r="A23" s="13"/>
      <c r="D23" t="s">
        <v>12</v>
      </c>
      <c r="E23" s="2">
        <v>-0.8</v>
      </c>
      <c r="F23">
        <f>0.8*F22</f>
        <v>115200</v>
      </c>
      <c r="H23" t="s">
        <v>12</v>
      </c>
      <c r="I23" s="2">
        <v>-0.5</v>
      </c>
      <c r="J23" s="12">
        <f>-0.5*C22</f>
        <v>-72000</v>
      </c>
      <c r="K23">
        <f>0.6*J23</f>
        <v>-43200</v>
      </c>
      <c r="L23" s="7">
        <f>0.4*J23</f>
        <v>-28800</v>
      </c>
    </row>
    <row r="24" spans="1:13" ht="15" customHeight="1" x14ac:dyDescent="0.25">
      <c r="A24" s="13"/>
      <c r="D24" t="s">
        <v>11</v>
      </c>
      <c r="E24" s="2">
        <v>-0.4</v>
      </c>
      <c r="F24">
        <f>0.4*F22</f>
        <v>57600</v>
      </c>
      <c r="H24" t="s">
        <v>11</v>
      </c>
      <c r="I24" s="2">
        <v>0</v>
      </c>
      <c r="J24" s="12">
        <v>0</v>
      </c>
      <c r="K24">
        <f>0.6*J24</f>
        <v>0</v>
      </c>
      <c r="L24" s="7">
        <f>0.4*J24</f>
        <v>0</v>
      </c>
    </row>
    <row r="25" spans="1:13" ht="15" customHeight="1" x14ac:dyDescent="0.25">
      <c r="A25" s="13"/>
      <c r="D25" t="s">
        <v>10</v>
      </c>
      <c r="E25" s="2">
        <v>-0.2</v>
      </c>
      <c r="F25">
        <f>0.2*F22</f>
        <v>28800</v>
      </c>
      <c r="H25" t="s">
        <v>10</v>
      </c>
      <c r="I25" s="2">
        <v>0.5</v>
      </c>
      <c r="J25" s="12">
        <f>0.5*C22</f>
        <v>72000</v>
      </c>
      <c r="K25">
        <f>0.6*J25</f>
        <v>43200</v>
      </c>
      <c r="L25" s="7">
        <f>0.4*J25</f>
        <v>28800</v>
      </c>
    </row>
    <row r="26" spans="1:13" ht="15" customHeight="1" thickBot="1" x14ac:dyDescent="0.3">
      <c r="A26" s="11"/>
      <c r="B26" s="10"/>
      <c r="C26" s="10"/>
      <c r="D26" s="10" t="s">
        <v>9</v>
      </c>
      <c r="E26" s="9">
        <v>0</v>
      </c>
      <c r="F26" s="10">
        <v>0</v>
      </c>
      <c r="G26" s="10"/>
      <c r="H26" s="10" t="s">
        <v>9</v>
      </c>
      <c r="I26" s="9">
        <v>1</v>
      </c>
      <c r="J26" s="8">
        <f>C22</f>
        <v>144000</v>
      </c>
      <c r="K26">
        <f>0.6*J26</f>
        <v>86400</v>
      </c>
      <c r="L26" s="7">
        <f>0.4*J26</f>
        <v>57600</v>
      </c>
    </row>
    <row r="27" spans="1:13" ht="15" customHeight="1" x14ac:dyDescent="0.3">
      <c r="D27" s="4"/>
      <c r="G27" s="3"/>
      <c r="H27" s="7"/>
      <c r="I27" s="7"/>
      <c r="J27" s="3"/>
      <c r="L27" s="7"/>
    </row>
    <row r="29" spans="1:13" ht="13" x14ac:dyDescent="0.3">
      <c r="E29" s="4" t="s">
        <v>6</v>
      </c>
      <c r="H29" s="4" t="s">
        <v>5</v>
      </c>
      <c r="K29" s="4" t="s">
        <v>8</v>
      </c>
    </row>
    <row r="30" spans="1:13" ht="13" x14ac:dyDescent="0.3">
      <c r="A30" s="3" t="s">
        <v>7</v>
      </c>
      <c r="D30" s="4" t="s">
        <v>3</v>
      </c>
      <c r="E30">
        <f>R6</f>
        <v>8000</v>
      </c>
      <c r="F30">
        <f>S6</f>
        <v>192000</v>
      </c>
      <c r="G30" s="5" t="str">
        <f>P6</f>
        <v>Goed</v>
      </c>
      <c r="H30" s="2"/>
      <c r="I30" s="1">
        <f>IF(G30="Onvoldoende",$E$26,IF(G30="Matig",$E$25,IF(G30="Neutraal",$E$24,IF(G30="Goed",$E$23,IF(G30="Uitstekend",$E$22,"Geen score")))))</f>
        <v>-0.8</v>
      </c>
      <c r="J30" s="2"/>
      <c r="K30">
        <f>I30*$C$22</f>
        <v>-115200</v>
      </c>
      <c r="L30" s="6">
        <f>F30+K30</f>
        <v>76800</v>
      </c>
      <c r="M30" cm="1">
        <f t="array" ref="M30">1+SUMPRODUCT((L30&gt;$L$30:$L$33)*1)</f>
        <v>2</v>
      </c>
    </row>
    <row r="31" spans="1:13" ht="13" x14ac:dyDescent="0.3">
      <c r="D31" s="4" t="s">
        <v>2</v>
      </c>
      <c r="E31">
        <f>R8</f>
        <v>7500</v>
      </c>
      <c r="F31">
        <f>S8</f>
        <v>180000</v>
      </c>
      <c r="G31" s="3" t="str">
        <f>P8</f>
        <v>Goed</v>
      </c>
      <c r="H31" s="2"/>
      <c r="I31" s="1">
        <f>IF(G31="Onvoldoende",$E$26,IF(G31="Matig",$E$25,IF(G31="Neutraal",$E$24,IF(G31="Goed",$E$23,IF(G31="Uitstekend",$E$22,"Geen score")))))</f>
        <v>-0.8</v>
      </c>
      <c r="J31" s="2"/>
      <c r="K31">
        <f>I31*$C$22</f>
        <v>-115200</v>
      </c>
      <c r="L31" s="6">
        <f>F31+K31</f>
        <v>64800</v>
      </c>
      <c r="M31" cm="1">
        <f t="array" ref="M31">1+SUMPRODUCT((L31&gt;$L$30:$L$33)*1)</f>
        <v>1</v>
      </c>
    </row>
    <row r="32" spans="1:13" ht="13" x14ac:dyDescent="0.3">
      <c r="D32" s="4" t="s">
        <v>1</v>
      </c>
      <c r="E32">
        <f>R10</f>
        <v>6500</v>
      </c>
      <c r="F32">
        <f>S10</f>
        <v>156000</v>
      </c>
      <c r="G32" s="3" t="str">
        <f>P10</f>
        <v>Matig</v>
      </c>
      <c r="H32" s="2"/>
      <c r="I32" s="1">
        <f>IF(G32="Onvoldoende",$E$26,IF(G32="Matig",$E$25,IF(G32="Neutraal",$E$24,IF(G32="Goed",$E$23,IF(G32="Uitstekend",$E$22,"Geen score")))))</f>
        <v>-0.2</v>
      </c>
      <c r="J32" s="2"/>
      <c r="K32">
        <f>I32*$C$22</f>
        <v>-28800</v>
      </c>
      <c r="L32" s="6">
        <f>F32+K32</f>
        <v>127200</v>
      </c>
      <c r="M32" cm="1">
        <f t="array" ref="M32">1+SUMPRODUCT((L32&gt;$L$30:$L$33)*1)</f>
        <v>4</v>
      </c>
    </row>
    <row r="33" spans="1:13" ht="13" x14ac:dyDescent="0.3">
      <c r="D33" s="4" t="s">
        <v>0</v>
      </c>
      <c r="E33">
        <f>R12</f>
        <v>8500</v>
      </c>
      <c r="F33">
        <f>S12</f>
        <v>204000</v>
      </c>
      <c r="G33" s="3" t="str">
        <f>P12</f>
        <v>Goed</v>
      </c>
      <c r="H33" s="2"/>
      <c r="I33" s="1">
        <f>IF(G33="Onvoldoende",$E$26,IF(G33="Matig",$E$25,IF(G33="Neutraal",$E$24,IF(G33="Goed",$E$23,IF(G33="Uitstekend",$E$22,"Geen score")))))</f>
        <v>-0.8</v>
      </c>
      <c r="J33" s="2"/>
      <c r="K33">
        <f>I33*$C$22</f>
        <v>-115200</v>
      </c>
      <c r="L33" s="6">
        <f>F33+K33</f>
        <v>88800</v>
      </c>
      <c r="M33" cm="1">
        <f t="array" ref="M33">1+SUMPRODUCT((L33&gt;$L$30:$L$33)*1)</f>
        <v>3</v>
      </c>
    </row>
    <row r="35" spans="1:13" ht="13" x14ac:dyDescent="0.3">
      <c r="A35" s="3"/>
      <c r="E35" s="4" t="s">
        <v>6</v>
      </c>
      <c r="H35" s="4" t="s">
        <v>5</v>
      </c>
    </row>
    <row r="36" spans="1:13" ht="13" x14ac:dyDescent="0.3">
      <c r="A36" s="3" t="s">
        <v>4</v>
      </c>
      <c r="D36" s="4" t="s">
        <v>3</v>
      </c>
      <c r="E36">
        <f>Q6</f>
        <v>8000</v>
      </c>
      <c r="F36">
        <f>S6</f>
        <v>192000</v>
      </c>
      <c r="G36" s="5" t="str">
        <f>P6</f>
        <v>Goed</v>
      </c>
      <c r="H36" s="2"/>
      <c r="I36" s="1">
        <f>IF(G36="Onvoldoende",$I$26,IF(G36="Matig",$I$25,IF(G36="Neutraal",$I$24,IF(G36="Goed",$I$23,IF(G36="Uitstekend",$I$22,"Geen score")))))</f>
        <v>-0.5</v>
      </c>
      <c r="K36">
        <f>I36*$C$22</f>
        <v>-72000</v>
      </c>
      <c r="L36">
        <f>F36+K36</f>
        <v>120000</v>
      </c>
      <c r="M36" cm="1">
        <f t="array" ref="M36">1+SUMPRODUCT((L36&gt;$L$36:$L$39)*1)</f>
        <v>2</v>
      </c>
    </row>
    <row r="37" spans="1:13" ht="13" x14ac:dyDescent="0.3">
      <c r="D37" s="4" t="s">
        <v>2</v>
      </c>
      <c r="E37">
        <f>Q8</f>
        <v>7500</v>
      </c>
      <c r="F37">
        <f>S8</f>
        <v>180000</v>
      </c>
      <c r="G37" s="3" t="str">
        <f>P8</f>
        <v>Goed</v>
      </c>
      <c r="H37" s="2"/>
      <c r="I37" s="1">
        <f>IF(G37="Onvoldoende",$I$26,IF(G37="Matig",$I$25,IF(G37="Neutraal",$I$24,IF(G37="Goed",$I$23,IF(G37="Uitstekend",$I$22,"Geen score")))))</f>
        <v>-0.5</v>
      </c>
      <c r="K37">
        <f>I37*$C$22</f>
        <v>-72000</v>
      </c>
      <c r="L37">
        <f>F37+K37</f>
        <v>108000</v>
      </c>
      <c r="M37" cm="1">
        <f t="array" ref="M37">1+SUMPRODUCT((L37&gt;$L$36:$L$39)*1)</f>
        <v>1</v>
      </c>
    </row>
    <row r="38" spans="1:13" ht="13" x14ac:dyDescent="0.3">
      <c r="D38" s="4" t="s">
        <v>1</v>
      </c>
      <c r="E38">
        <f>Q10</f>
        <v>6500</v>
      </c>
      <c r="F38">
        <f>S10</f>
        <v>156000</v>
      </c>
      <c r="G38" s="3" t="str">
        <f>P10</f>
        <v>Matig</v>
      </c>
      <c r="H38" s="2"/>
      <c r="I38" s="1">
        <f>IF(G38="Onvoldoende",$I$26,IF(G38="Matig",$I$25,IF(G38="Neutraal",$I$24,IF(G38="Goed",$I$23,IF(G38="Uitstekend",$I$22,"Geen score")))))</f>
        <v>0.5</v>
      </c>
      <c r="K38">
        <f>I38*$C$22</f>
        <v>72000</v>
      </c>
      <c r="L38">
        <f>F38+K38</f>
        <v>228000</v>
      </c>
      <c r="M38" cm="1">
        <f t="array" ref="M38">1+SUMPRODUCT((L38&gt;$L$36:$L$39)*1)</f>
        <v>4</v>
      </c>
    </row>
    <row r="39" spans="1:13" ht="13" x14ac:dyDescent="0.3">
      <c r="D39" s="4" t="s">
        <v>0</v>
      </c>
      <c r="E39">
        <f>Q12</f>
        <v>8500</v>
      </c>
      <c r="F39">
        <f>S12</f>
        <v>204000</v>
      </c>
      <c r="G39" s="3" t="str">
        <f>P12</f>
        <v>Goed</v>
      </c>
      <c r="H39" s="2"/>
      <c r="I39" s="1">
        <f>IF(G39="Onvoldoende",$I$26,IF(G39="Matig",$I$25,IF(G39="Neutraal",$I$24,IF(G39="Goed",$I$23,IF(G39="Uitstekend",$I$22,"Geen score")))))</f>
        <v>-0.5</v>
      </c>
      <c r="K39">
        <f>I39*$C$22</f>
        <v>-72000</v>
      </c>
      <c r="L39">
        <f>F39+K39</f>
        <v>132000</v>
      </c>
      <c r="M39" cm="1">
        <f t="array" ref="M39">1+SUMPRODUCT((L39&gt;$L$36:$L$39)*1)</f>
        <v>3</v>
      </c>
    </row>
  </sheetData>
  <conditionalFormatting sqref="L13:L16">
    <cfRule type="top10" dxfId="13" priority="1" rank="1"/>
  </conditionalFormatting>
  <conditionalFormatting sqref="L30:L33">
    <cfRule type="top10" dxfId="12" priority="3" bottom="1" rank="1"/>
  </conditionalFormatting>
  <conditionalFormatting sqref="L36:L39">
    <cfRule type="top10" dxfId="11" priority="2" bottom="1" rank="1"/>
  </conditionalFormatting>
  <dataValidations count="1">
    <dataValidation type="list" allowBlank="1" showInputMessage="1" showErrorMessage="1" sqref="P6 P8 P10 P12" xr:uid="{454E2A16-EBC6-4F2E-B88D-B7B86FDAC2DC}">
      <formula1>$I$6:$I$10</formula1>
    </dataValidation>
  </dataValidation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20E3F-32EB-4DD5-85FF-37B88E2051AE}">
  <dimension ref="A1:T39"/>
  <sheetViews>
    <sheetView workbookViewId="0">
      <selection activeCell="I32" sqref="I32"/>
    </sheetView>
  </sheetViews>
  <sheetFormatPr defaultRowHeight="12.5" x14ac:dyDescent="0.25"/>
  <cols>
    <col min="6" max="7" width="10.1796875" customWidth="1"/>
    <col min="9" max="9" width="9.453125" bestFit="1" customWidth="1"/>
    <col min="14" max="14" width="1.54296875" customWidth="1"/>
    <col min="15" max="17" width="11.54296875" customWidth="1"/>
  </cols>
  <sheetData>
    <row r="1" spans="1:20" ht="23.25" customHeight="1" x14ac:dyDescent="0.4">
      <c r="A1" s="31" t="s">
        <v>45</v>
      </c>
    </row>
    <row r="3" spans="1:20" ht="13.5" thickBot="1" x14ac:dyDescent="0.35">
      <c r="O3" s="4" t="s">
        <v>44</v>
      </c>
      <c r="P3" s="4"/>
      <c r="Q3" s="27" t="s">
        <v>43</v>
      </c>
      <c r="R3" s="26"/>
      <c r="S3" s="26"/>
    </row>
    <row r="4" spans="1:20" ht="13.5" thickBot="1" x14ac:dyDescent="0.35">
      <c r="O4" s="22" t="s">
        <v>42</v>
      </c>
      <c r="P4" s="21" t="s">
        <v>41</v>
      </c>
      <c r="Q4" s="21" t="s">
        <v>40</v>
      </c>
      <c r="R4" s="21" t="s">
        <v>39</v>
      </c>
      <c r="S4" s="21" t="s">
        <v>46</v>
      </c>
      <c r="T4" s="30"/>
    </row>
    <row r="5" spans="1:20" ht="13" x14ac:dyDescent="0.3">
      <c r="A5" s="22" t="s">
        <v>36</v>
      </c>
      <c r="B5" s="20"/>
      <c r="C5" s="20"/>
      <c r="D5" s="19" t="s">
        <v>35</v>
      </c>
      <c r="E5" s="20"/>
      <c r="F5" s="20"/>
      <c r="G5" s="20"/>
      <c r="H5" s="20"/>
      <c r="I5" s="21" t="s">
        <v>34</v>
      </c>
      <c r="J5" s="29"/>
      <c r="O5" s="13"/>
      <c r="T5" s="12"/>
    </row>
    <row r="6" spans="1:20" ht="13" x14ac:dyDescent="0.3">
      <c r="A6" s="13"/>
      <c r="B6" s="3" t="s">
        <v>33</v>
      </c>
      <c r="I6" s="2" t="s">
        <v>13</v>
      </c>
      <c r="J6" s="12">
        <v>400</v>
      </c>
      <c r="O6" s="16" t="s">
        <v>3</v>
      </c>
      <c r="P6" s="27" t="s">
        <v>13</v>
      </c>
      <c r="Q6" s="26">
        <v>840</v>
      </c>
      <c r="R6">
        <f>Q6</f>
        <v>840</v>
      </c>
      <c r="S6">
        <f>675*Q6</f>
        <v>567000</v>
      </c>
      <c r="T6" s="12"/>
    </row>
    <row r="7" spans="1:20" ht="13" x14ac:dyDescent="0.3">
      <c r="A7" s="13"/>
      <c r="B7" s="3" t="s">
        <v>32</v>
      </c>
      <c r="I7" s="3" t="s">
        <v>17</v>
      </c>
      <c r="J7" s="12">
        <v>300</v>
      </c>
      <c r="O7" s="16"/>
      <c r="P7" s="3"/>
      <c r="T7" s="12"/>
    </row>
    <row r="8" spans="1:20" ht="13" x14ac:dyDescent="0.3">
      <c r="A8" s="13"/>
      <c r="B8" s="3" t="s">
        <v>31</v>
      </c>
      <c r="I8" s="3" t="s">
        <v>30</v>
      </c>
      <c r="J8" s="12">
        <v>200</v>
      </c>
      <c r="O8" s="16" t="s">
        <v>2</v>
      </c>
      <c r="P8" s="27" t="s">
        <v>24</v>
      </c>
      <c r="Q8" s="26">
        <v>600</v>
      </c>
      <c r="R8">
        <f>Q8</f>
        <v>600</v>
      </c>
      <c r="S8">
        <f>675*Q8</f>
        <v>405000</v>
      </c>
      <c r="T8" s="12"/>
    </row>
    <row r="9" spans="1:20" x14ac:dyDescent="0.25">
      <c r="A9" s="13"/>
      <c r="B9" s="3" t="s">
        <v>29</v>
      </c>
      <c r="C9" s="3">
        <v>600</v>
      </c>
      <c r="D9" t="s">
        <v>48</v>
      </c>
      <c r="I9" s="3" t="s">
        <v>24</v>
      </c>
      <c r="J9" s="12">
        <v>100</v>
      </c>
      <c r="O9" s="13"/>
      <c r="T9" s="12"/>
    </row>
    <row r="10" spans="1:20" ht="13.5" thickBot="1" x14ac:dyDescent="0.35">
      <c r="A10" s="11"/>
      <c r="B10" s="28" t="s">
        <v>27</v>
      </c>
      <c r="C10" s="28">
        <v>400</v>
      </c>
      <c r="D10" s="10" t="s">
        <v>48</v>
      </c>
      <c r="E10" s="10"/>
      <c r="F10" s="10"/>
      <c r="G10" s="10"/>
      <c r="H10" s="10"/>
      <c r="I10" s="28" t="s">
        <v>25</v>
      </c>
      <c r="J10" s="8">
        <v>0</v>
      </c>
      <c r="O10" s="16" t="s">
        <v>1</v>
      </c>
      <c r="P10" s="27" t="s">
        <v>24</v>
      </c>
      <c r="Q10" s="26">
        <v>650</v>
      </c>
      <c r="R10">
        <f>Q10</f>
        <v>650</v>
      </c>
      <c r="S10">
        <f>675*Q10</f>
        <v>438750</v>
      </c>
      <c r="T10" s="12"/>
    </row>
    <row r="11" spans="1:20" x14ac:dyDescent="0.25">
      <c r="B11" s="3"/>
      <c r="C11" s="3"/>
      <c r="O11" s="13"/>
      <c r="P11" s="3"/>
      <c r="T11" s="12"/>
    </row>
    <row r="12" spans="1:20" ht="13.5" thickBot="1" x14ac:dyDescent="0.35">
      <c r="E12" s="4" t="s">
        <v>6</v>
      </c>
      <c r="F12" s="4" t="s">
        <v>47</v>
      </c>
      <c r="G12" s="4"/>
      <c r="H12" s="4" t="s">
        <v>22</v>
      </c>
      <c r="I12" s="4" t="s">
        <v>21</v>
      </c>
      <c r="J12" s="4"/>
      <c r="K12" s="4" t="s">
        <v>20</v>
      </c>
      <c r="L12" s="4" t="s">
        <v>19</v>
      </c>
      <c r="M12" s="4" t="s">
        <v>18</v>
      </c>
      <c r="O12" s="25" t="s">
        <v>0</v>
      </c>
      <c r="P12" s="24" t="s">
        <v>13</v>
      </c>
      <c r="Q12" s="23">
        <v>750</v>
      </c>
      <c r="R12" s="10">
        <f>Q12</f>
        <v>750</v>
      </c>
      <c r="S12" s="10">
        <f>675*Q12</f>
        <v>506250</v>
      </c>
      <c r="T12" s="8"/>
    </row>
    <row r="13" spans="1:20" ht="13" x14ac:dyDescent="0.3">
      <c r="D13" s="4" t="s">
        <v>3</v>
      </c>
      <c r="E13">
        <f>R6</f>
        <v>840</v>
      </c>
      <c r="F13">
        <f>S6</f>
        <v>567000</v>
      </c>
      <c r="G13" s="5" t="str">
        <f>P6</f>
        <v>Uitstekend</v>
      </c>
      <c r="H13" s="7">
        <f>SUM(E14/E13)*800</f>
        <v>571.42857142857144</v>
      </c>
      <c r="I13" s="7">
        <f>H16-H13</f>
        <v>68.571428571428555</v>
      </c>
      <c r="J13" s="5" t="str">
        <f>P6</f>
        <v>Uitstekend</v>
      </c>
      <c r="K13">
        <f>IF(J13="Onvoldoende",0,IF(J13="Matig",100,IF(J13="Neutraal",200,IF(J13="Goed",300,IF(J13="Uitstekend",400,"Geen score")))))</f>
        <v>400</v>
      </c>
      <c r="L13" s="7">
        <f>H13+K13</f>
        <v>971.42857142857144</v>
      </c>
      <c r="M13" cm="1">
        <f t="array" ref="M13">1+SUMPRODUCT((L13&lt;$L$13:$L$16)*1)</f>
        <v>2</v>
      </c>
    </row>
    <row r="14" spans="1:20" ht="13" x14ac:dyDescent="0.3">
      <c r="D14" s="4" t="s">
        <v>2</v>
      </c>
      <c r="E14">
        <f>R8</f>
        <v>600</v>
      </c>
      <c r="F14">
        <f>S8</f>
        <v>405000</v>
      </c>
      <c r="G14" s="3" t="str">
        <f>P8</f>
        <v>Matig</v>
      </c>
      <c r="H14" s="7">
        <f>SUM(E14/E14)*600</f>
        <v>600</v>
      </c>
      <c r="I14" s="7">
        <f>H16-H14</f>
        <v>40</v>
      </c>
      <c r="J14" s="3" t="str">
        <f>P8</f>
        <v>Matig</v>
      </c>
      <c r="K14">
        <f t="shared" ref="K14:K16" si="0">IF(J14="Onvoldoende",0,IF(J14="Matig",100,IF(J14="Neutraal",200,IF(J14="Goed",300,IF(J14="Uitstekend",400,"Geen score")))))</f>
        <v>100</v>
      </c>
      <c r="L14" s="7">
        <f>H14+K14</f>
        <v>700</v>
      </c>
      <c r="M14" cm="1">
        <f t="array" ref="M14">1+SUMPRODUCT((L14&lt;$L$13:$L$16)*1)</f>
        <v>4</v>
      </c>
    </row>
    <row r="15" spans="1:20" ht="13" x14ac:dyDescent="0.3">
      <c r="D15" s="4" t="s">
        <v>1</v>
      </c>
      <c r="E15">
        <f>R10</f>
        <v>650</v>
      </c>
      <c r="F15">
        <f>S10</f>
        <v>438750</v>
      </c>
      <c r="G15" s="3" t="str">
        <f>P10</f>
        <v>Matig</v>
      </c>
      <c r="H15" s="7">
        <f>SUM(E14/E15)*800</f>
        <v>738.46153846153845</v>
      </c>
      <c r="I15" s="7">
        <f>H16-H15</f>
        <v>-98.461538461538453</v>
      </c>
      <c r="J15" s="3" t="str">
        <f>P10</f>
        <v>Matig</v>
      </c>
      <c r="K15">
        <f t="shared" si="0"/>
        <v>100</v>
      </c>
      <c r="L15" s="7">
        <f>H15+K15</f>
        <v>838.46153846153845</v>
      </c>
      <c r="M15" cm="1">
        <f t="array" ref="M15">1+SUMPRODUCT((L15&lt;$L$13:$L$16)*1)</f>
        <v>3</v>
      </c>
    </row>
    <row r="16" spans="1:20" ht="13" x14ac:dyDescent="0.3">
      <c r="D16" s="4" t="s">
        <v>0</v>
      </c>
      <c r="E16">
        <f>R12</f>
        <v>750</v>
      </c>
      <c r="F16">
        <f>S12</f>
        <v>506250</v>
      </c>
      <c r="G16" s="3" t="str">
        <f>P12</f>
        <v>Uitstekend</v>
      </c>
      <c r="H16" s="7">
        <f>SUM(E14/E16)*800</f>
        <v>640</v>
      </c>
      <c r="I16" s="7">
        <f>H16-H16</f>
        <v>0</v>
      </c>
      <c r="J16" s="3" t="str">
        <f>P12</f>
        <v>Uitstekend</v>
      </c>
      <c r="K16">
        <f t="shared" si="0"/>
        <v>400</v>
      </c>
      <c r="L16" s="7">
        <f>H16+K16</f>
        <v>1040</v>
      </c>
      <c r="M16" cm="1">
        <f t="array" ref="M16">1+SUMPRODUCT((L16&lt;$L$13:$L$16)*1)</f>
        <v>1</v>
      </c>
    </row>
    <row r="17" spans="1:13" ht="13" x14ac:dyDescent="0.3">
      <c r="D17" s="4"/>
      <c r="G17" s="3"/>
      <c r="H17" s="7"/>
      <c r="I17" s="7"/>
      <c r="J17" s="3"/>
      <c r="L17" s="7"/>
    </row>
    <row r="18" spans="1:13" ht="3.75" customHeight="1" x14ac:dyDescent="0.3">
      <c r="D18" s="4"/>
      <c r="G18" s="3"/>
      <c r="H18" s="7"/>
      <c r="I18" s="7"/>
      <c r="J18" s="3"/>
      <c r="L18" s="7"/>
    </row>
    <row r="19" spans="1:13" ht="3.75" customHeight="1" thickBot="1" x14ac:dyDescent="0.35">
      <c r="D19" s="4"/>
      <c r="G19" s="3"/>
      <c r="H19" s="7"/>
      <c r="I19" s="7"/>
      <c r="J19" s="3"/>
      <c r="L19" s="7"/>
    </row>
    <row r="20" spans="1:13" ht="15" customHeight="1" x14ac:dyDescent="0.3">
      <c r="A20" s="22" t="s">
        <v>16</v>
      </c>
      <c r="B20" s="20"/>
      <c r="C20" s="20"/>
      <c r="D20" s="21"/>
      <c r="E20" s="20"/>
      <c r="F20" s="20"/>
      <c r="G20" s="19"/>
      <c r="H20" s="18"/>
      <c r="I20" s="18"/>
      <c r="J20" s="17"/>
      <c r="L20" s="7"/>
    </row>
    <row r="21" spans="1:13" ht="15" customHeight="1" x14ac:dyDescent="0.3">
      <c r="A21" s="16" t="s">
        <v>49</v>
      </c>
      <c r="B21" s="4" t="s">
        <v>46</v>
      </c>
      <c r="C21" s="15">
        <v>0.2</v>
      </c>
      <c r="D21" s="4"/>
      <c r="E21" s="4" t="s">
        <v>7</v>
      </c>
      <c r="F21" s="4"/>
      <c r="G21" s="4"/>
      <c r="H21" s="4" t="s">
        <v>4</v>
      </c>
      <c r="I21" s="4"/>
      <c r="J21" s="14"/>
      <c r="L21" s="7"/>
    </row>
    <row r="22" spans="1:13" ht="15" customHeight="1" x14ac:dyDescent="0.25">
      <c r="A22" s="13">
        <v>800</v>
      </c>
      <c r="B22">
        <f>675*A22</f>
        <v>540000</v>
      </c>
      <c r="C22">
        <f>C21*B22</f>
        <v>108000</v>
      </c>
      <c r="D22" s="2" t="s">
        <v>13</v>
      </c>
      <c r="E22" s="2">
        <v>-1</v>
      </c>
      <c r="F22">
        <f>C22</f>
        <v>108000</v>
      </c>
      <c r="H22" s="2" t="s">
        <v>13</v>
      </c>
      <c r="I22" s="2">
        <v>-1</v>
      </c>
      <c r="J22" s="12">
        <f>-C22</f>
        <v>-108000</v>
      </c>
      <c r="L22" s="7"/>
    </row>
    <row r="23" spans="1:13" ht="15" customHeight="1" x14ac:dyDescent="0.25">
      <c r="A23" s="13"/>
      <c r="D23" t="s">
        <v>12</v>
      </c>
      <c r="E23" s="2">
        <v>-0.8</v>
      </c>
      <c r="F23">
        <f>0.8*F22</f>
        <v>86400</v>
      </c>
      <c r="H23" t="s">
        <v>12</v>
      </c>
      <c r="I23" s="2">
        <v>-0.5</v>
      </c>
      <c r="J23" s="12">
        <f>-0.5*C22</f>
        <v>-54000</v>
      </c>
      <c r="L23" s="7"/>
    </row>
    <row r="24" spans="1:13" ht="15" customHeight="1" x14ac:dyDescent="0.25">
      <c r="A24" s="13"/>
      <c r="D24" t="s">
        <v>11</v>
      </c>
      <c r="E24" s="2">
        <v>-0.4</v>
      </c>
      <c r="F24">
        <f>0.4*F22</f>
        <v>43200</v>
      </c>
      <c r="H24" t="s">
        <v>11</v>
      </c>
      <c r="I24" s="2">
        <v>0</v>
      </c>
      <c r="J24" s="12">
        <v>0</v>
      </c>
      <c r="L24" s="7"/>
    </row>
    <row r="25" spans="1:13" ht="15" customHeight="1" x14ac:dyDescent="0.25">
      <c r="A25" s="13"/>
      <c r="D25" t="s">
        <v>10</v>
      </c>
      <c r="E25" s="2">
        <v>-0.2</v>
      </c>
      <c r="F25">
        <f>0.2*F22</f>
        <v>21600</v>
      </c>
      <c r="H25" t="s">
        <v>10</v>
      </c>
      <c r="I25" s="2">
        <v>0.5</v>
      </c>
      <c r="J25" s="12">
        <f>0.5*C22</f>
        <v>54000</v>
      </c>
      <c r="L25" s="7"/>
    </row>
    <row r="26" spans="1:13" ht="15" customHeight="1" thickBot="1" x14ac:dyDescent="0.3">
      <c r="A26" s="11"/>
      <c r="B26" s="10"/>
      <c r="C26" s="10"/>
      <c r="D26" s="10" t="s">
        <v>9</v>
      </c>
      <c r="E26" s="9">
        <v>0</v>
      </c>
      <c r="F26" s="10">
        <v>0</v>
      </c>
      <c r="G26" s="10"/>
      <c r="H26" s="10" t="s">
        <v>9</v>
      </c>
      <c r="I26" s="9">
        <v>1</v>
      </c>
      <c r="J26" s="8">
        <f>C22</f>
        <v>108000</v>
      </c>
      <c r="L26" s="7"/>
    </row>
    <row r="27" spans="1:13" ht="15" customHeight="1" x14ac:dyDescent="0.3">
      <c r="D27" s="4"/>
      <c r="G27" s="3"/>
      <c r="H27" s="7"/>
      <c r="I27" s="7"/>
      <c r="J27" s="3"/>
      <c r="L27" s="7"/>
    </row>
    <row r="29" spans="1:13" ht="13" x14ac:dyDescent="0.3">
      <c r="E29" s="4" t="s">
        <v>6</v>
      </c>
      <c r="H29" s="4" t="s">
        <v>5</v>
      </c>
      <c r="K29" s="4" t="s">
        <v>8</v>
      </c>
    </row>
    <row r="30" spans="1:13" ht="13" x14ac:dyDescent="0.3">
      <c r="A30" s="3" t="s">
        <v>7</v>
      </c>
      <c r="D30" s="4" t="s">
        <v>3</v>
      </c>
      <c r="E30">
        <f>R6</f>
        <v>840</v>
      </c>
      <c r="F30">
        <f>S6</f>
        <v>567000</v>
      </c>
      <c r="G30" s="5" t="str">
        <f>P6</f>
        <v>Uitstekend</v>
      </c>
      <c r="H30" s="2"/>
      <c r="I30" s="1"/>
      <c r="J30" s="2"/>
      <c r="K30">
        <f>I30*$C$22</f>
        <v>0</v>
      </c>
      <c r="L30" s="6">
        <f>F30+K30</f>
        <v>567000</v>
      </c>
      <c r="M30" cm="1">
        <f t="array" ref="M30">1+SUMPRODUCT((L30&gt;$L$30:$L$33)*1)</f>
        <v>4</v>
      </c>
    </row>
    <row r="31" spans="1:13" ht="13" x14ac:dyDescent="0.3">
      <c r="D31" s="4" t="s">
        <v>2</v>
      </c>
      <c r="E31">
        <f>R8</f>
        <v>600</v>
      </c>
      <c r="F31">
        <f>S8</f>
        <v>405000</v>
      </c>
      <c r="G31" s="3" t="str">
        <f>P8</f>
        <v>Matig</v>
      </c>
      <c r="H31" s="2"/>
      <c r="I31" s="1"/>
      <c r="J31" s="2"/>
      <c r="K31">
        <f>I31*$C$22</f>
        <v>0</v>
      </c>
      <c r="L31" s="6">
        <f>F31+K31</f>
        <v>405000</v>
      </c>
      <c r="M31" cm="1">
        <f t="array" ref="M31">1+SUMPRODUCT((L31&gt;$L$30:$L$33)*1)</f>
        <v>2</v>
      </c>
    </row>
    <row r="32" spans="1:13" ht="13" x14ac:dyDescent="0.3">
      <c r="D32" s="4" t="s">
        <v>1</v>
      </c>
      <c r="E32">
        <f>R10</f>
        <v>650</v>
      </c>
      <c r="F32">
        <f>S10</f>
        <v>438750</v>
      </c>
      <c r="G32" s="3" t="str">
        <f>P10</f>
        <v>Matig</v>
      </c>
      <c r="H32" s="2"/>
      <c r="I32" s="1">
        <f>IF(G32="Onvoldoende",$E$26,IF(G32="Matig",$E$25,IF(G32="Neutraal",$E$24,IF(G32="Goed",$E$23,IF(G32="Uitstekend",$E$22,"Geen score")))))</f>
        <v>-0.2</v>
      </c>
      <c r="J32" s="2"/>
      <c r="K32">
        <f>I32*$C$22</f>
        <v>-21600</v>
      </c>
      <c r="L32" s="6">
        <f>F32+K32</f>
        <v>417150</v>
      </c>
      <c r="M32" cm="1">
        <f t="array" ref="M32">1+SUMPRODUCT((L32&gt;$L$30:$L$33)*1)</f>
        <v>3</v>
      </c>
    </row>
    <row r="33" spans="1:13" ht="13" x14ac:dyDescent="0.3">
      <c r="D33" s="4" t="s">
        <v>0</v>
      </c>
      <c r="E33">
        <f>R12</f>
        <v>750</v>
      </c>
      <c r="F33">
        <f>S12</f>
        <v>506250</v>
      </c>
      <c r="G33" s="3" t="str">
        <f>P12</f>
        <v>Uitstekend</v>
      </c>
      <c r="H33" s="2"/>
      <c r="I33" s="1">
        <f>IF(G33="Onvoldoende",$E$26,IF(G33="Matig",$E$25,IF(G33="Neutraal",$E$24,IF(G33="Goed",$E$23,IF(G33="Uitstekend",$E$22,"Geen score")))))</f>
        <v>-1</v>
      </c>
      <c r="J33" s="2"/>
      <c r="K33">
        <f>I33*$C$22</f>
        <v>-108000</v>
      </c>
      <c r="L33" s="6">
        <f>F33+K33</f>
        <v>398250</v>
      </c>
      <c r="M33" cm="1">
        <f t="array" ref="M33">1+SUMPRODUCT((L33&gt;$L$30:$L$33)*1)</f>
        <v>1</v>
      </c>
    </row>
    <row r="35" spans="1:13" ht="13" x14ac:dyDescent="0.3">
      <c r="A35" s="3"/>
      <c r="E35" s="4" t="s">
        <v>6</v>
      </c>
      <c r="H35" s="4" t="s">
        <v>5</v>
      </c>
    </row>
    <row r="36" spans="1:13" ht="13" x14ac:dyDescent="0.3">
      <c r="A36" s="3" t="s">
        <v>4</v>
      </c>
      <c r="D36" s="4" t="s">
        <v>3</v>
      </c>
      <c r="E36">
        <f>Q6</f>
        <v>840</v>
      </c>
      <c r="F36">
        <f>S6</f>
        <v>567000</v>
      </c>
      <c r="G36" s="5" t="str">
        <f>P6</f>
        <v>Uitstekend</v>
      </c>
      <c r="H36" s="2"/>
      <c r="I36" s="1">
        <f>IF(G36="Onvoldoende",$I$26,IF(G36="Matig",$I$25,IF(G36="Neutraal",$I$24,IF(G36="Goed",$I$23,IF(G36="Uitstekend",$I$22,"Geen score")))))</f>
        <v>-1</v>
      </c>
      <c r="K36">
        <f>I36*$C$22</f>
        <v>-108000</v>
      </c>
      <c r="L36">
        <f>F36+K36</f>
        <v>459000</v>
      </c>
      <c r="M36" cm="1">
        <f t="array" ref="M36">1+SUMPRODUCT((L36&gt;$L$36:$L$39)*1)</f>
        <v>2</v>
      </c>
    </row>
    <row r="37" spans="1:13" ht="13" x14ac:dyDescent="0.3">
      <c r="D37" s="4" t="s">
        <v>2</v>
      </c>
      <c r="E37">
        <f>Q8</f>
        <v>600</v>
      </c>
      <c r="F37">
        <f>S8</f>
        <v>405000</v>
      </c>
      <c r="G37" s="3" t="str">
        <f>P8</f>
        <v>Matig</v>
      </c>
      <c r="H37" s="2"/>
      <c r="I37" s="1">
        <f>IF(G37="Onvoldoende",$I$26,IF(G37="Matig",$I$25,IF(G37="Neutraal",$I$24,IF(G37="Goed",$I$23,IF(G37="Uitstekend",$I$22,"Geen score")))))</f>
        <v>0.5</v>
      </c>
      <c r="K37">
        <f>I37*$C$22</f>
        <v>54000</v>
      </c>
      <c r="L37">
        <f>F37+K37</f>
        <v>459000</v>
      </c>
      <c r="M37" cm="1">
        <f t="array" ref="M37">1+SUMPRODUCT((L37&gt;$L$36:$L$39)*1)</f>
        <v>2</v>
      </c>
    </row>
    <row r="38" spans="1:13" ht="13" x14ac:dyDescent="0.3">
      <c r="D38" s="4" t="s">
        <v>1</v>
      </c>
      <c r="E38">
        <f>Q10</f>
        <v>650</v>
      </c>
      <c r="F38">
        <f>S10</f>
        <v>438750</v>
      </c>
      <c r="G38" s="3" t="str">
        <f>P10</f>
        <v>Matig</v>
      </c>
      <c r="H38" s="2"/>
      <c r="I38" s="1">
        <f>IF(G38="Onvoldoende",$I$26,IF(G38="Matig",$I$25,IF(G38="Neutraal",$I$24,IF(G38="Goed",$I$23,IF(G38="Uitstekend",$I$22,"Geen score")))))</f>
        <v>0.5</v>
      </c>
      <c r="K38">
        <f>I38*$C$22</f>
        <v>54000</v>
      </c>
      <c r="L38">
        <f>F38+K38</f>
        <v>492750</v>
      </c>
      <c r="M38" cm="1">
        <f t="array" ref="M38">1+SUMPRODUCT((L38&gt;$L$36:$L$39)*1)</f>
        <v>4</v>
      </c>
    </row>
    <row r="39" spans="1:13" ht="13" x14ac:dyDescent="0.3">
      <c r="D39" s="4" t="s">
        <v>0</v>
      </c>
      <c r="E39">
        <f>Q12</f>
        <v>750</v>
      </c>
      <c r="F39">
        <f>S12</f>
        <v>506250</v>
      </c>
      <c r="G39" s="3" t="str">
        <f>P12</f>
        <v>Uitstekend</v>
      </c>
      <c r="H39" s="2"/>
      <c r="I39" s="1">
        <f>IF(G39="Onvoldoende",$I$26,IF(G39="Matig",$I$25,IF(G39="Neutraal",$I$24,IF(G39="Goed",$I$23,IF(G39="Uitstekend",$I$22,"Geen score")))))</f>
        <v>-1</v>
      </c>
      <c r="K39">
        <f>I39*$C$22</f>
        <v>-108000</v>
      </c>
      <c r="L39">
        <f>F39+K39</f>
        <v>398250</v>
      </c>
      <c r="M39" cm="1">
        <f t="array" ref="M39">1+SUMPRODUCT((L39&gt;$L$36:$L$39)*1)</f>
        <v>1</v>
      </c>
    </row>
  </sheetData>
  <conditionalFormatting sqref="L13:L16">
    <cfRule type="top10" dxfId="10" priority="1" rank="1"/>
  </conditionalFormatting>
  <conditionalFormatting sqref="L30:L33">
    <cfRule type="top10" dxfId="9" priority="3" bottom="1" rank="1"/>
  </conditionalFormatting>
  <conditionalFormatting sqref="L36:L39">
    <cfRule type="top10" dxfId="8" priority="2" bottom="1" rank="1"/>
  </conditionalFormatting>
  <dataValidations count="1">
    <dataValidation type="list" allowBlank="1" showInputMessage="1" showErrorMessage="1" sqref="P6 P8 P10 P12" xr:uid="{890EC965-CDAE-410E-A838-47EF09215178}">
      <formula1>$I$6:$I$10</formula1>
    </dataValidation>
  </dataValidations>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B342A-4893-4873-900C-0294B70D68DE}">
  <dimension ref="A1:M20"/>
  <sheetViews>
    <sheetView showGridLines="0" tabSelected="1" topLeftCell="D1" zoomScaleNormal="100" workbookViewId="0">
      <selection activeCell="H8" sqref="H8"/>
    </sheetView>
  </sheetViews>
  <sheetFormatPr defaultColWidth="11.81640625" defaultRowHeight="16" x14ac:dyDescent="0.25"/>
  <cols>
    <col min="1" max="2" width="11.81640625" style="48"/>
    <col min="3" max="3" width="28.1796875" style="47" customWidth="1"/>
    <col min="4" max="4" width="18.6328125" style="47" customWidth="1"/>
    <col min="5" max="5" width="32.81640625" style="48" customWidth="1"/>
    <col min="6" max="6" width="43.7265625" style="48" customWidth="1"/>
    <col min="7" max="7" width="28.81640625" style="48" customWidth="1"/>
    <col min="8" max="8" width="20.7265625" style="48" customWidth="1"/>
    <col min="9" max="9" width="32.26953125" style="48" customWidth="1"/>
    <col min="10" max="10" width="13.1796875" style="48" bestFit="1" customWidth="1"/>
    <col min="11" max="16384" width="11.81640625" style="48"/>
  </cols>
  <sheetData>
    <row r="1" spans="3:10" ht="36" customHeight="1" x14ac:dyDescent="0.25"/>
    <row r="2" spans="3:10" ht="34" customHeight="1" x14ac:dyDescent="0.25">
      <c r="C2" s="135" t="s">
        <v>81</v>
      </c>
      <c r="D2" s="136"/>
      <c r="E2" s="136"/>
      <c r="F2" s="136"/>
      <c r="G2" s="136"/>
      <c r="H2" s="136"/>
      <c r="I2" s="137"/>
    </row>
    <row r="3" spans="3:10" ht="6" customHeight="1" x14ac:dyDescent="0.25">
      <c r="C3" s="138"/>
      <c r="D3" s="139"/>
      <c r="E3" s="139"/>
      <c r="F3" s="139"/>
      <c r="G3" s="139"/>
      <c r="H3" s="139"/>
      <c r="I3" s="140"/>
    </row>
    <row r="4" spans="3:10" ht="30" customHeight="1" x14ac:dyDescent="0.25">
      <c r="C4" s="76" t="s">
        <v>50</v>
      </c>
      <c r="D4" s="149"/>
      <c r="E4" s="149"/>
      <c r="F4" s="149"/>
      <c r="G4" s="74"/>
      <c r="H4" s="74"/>
      <c r="I4" s="75"/>
    </row>
    <row r="5" spans="3:10" ht="11.15" customHeight="1" x14ac:dyDescent="0.25">
      <c r="C5" s="67"/>
      <c r="D5" s="67"/>
      <c r="E5" s="68"/>
      <c r="F5" s="68"/>
      <c r="G5" s="69"/>
      <c r="H5" s="69"/>
      <c r="I5" s="69"/>
    </row>
    <row r="6" spans="3:10" ht="16" customHeight="1" thickBot="1" x14ac:dyDescent="0.45">
      <c r="C6" s="141"/>
      <c r="D6" s="141"/>
      <c r="E6" s="142"/>
      <c r="F6" s="142"/>
      <c r="G6" s="69"/>
      <c r="H6" s="69"/>
      <c r="I6" s="69"/>
    </row>
    <row r="7" spans="3:10" ht="32.5" thickBot="1" x14ac:dyDescent="0.3">
      <c r="C7" s="70" t="s">
        <v>51</v>
      </c>
      <c r="D7" s="71" t="s">
        <v>119</v>
      </c>
      <c r="E7" s="143" t="s">
        <v>55</v>
      </c>
      <c r="F7" s="144"/>
      <c r="G7" s="72" t="s">
        <v>52</v>
      </c>
      <c r="H7" s="72" t="s">
        <v>53</v>
      </c>
      <c r="I7" s="73" t="s">
        <v>56</v>
      </c>
    </row>
    <row r="8" spans="3:10" x14ac:dyDescent="0.25">
      <c r="C8" s="65" t="s">
        <v>57</v>
      </c>
      <c r="D8" s="66">
        <v>702.5</v>
      </c>
      <c r="E8" s="145"/>
      <c r="F8" s="146"/>
      <c r="G8" s="32">
        <v>0</v>
      </c>
      <c r="H8" s="63">
        <v>670</v>
      </c>
      <c r="I8" s="64">
        <f>SUM(G8*H8)</f>
        <v>0</v>
      </c>
      <c r="J8" s="55"/>
    </row>
    <row r="9" spans="3:10" x14ac:dyDescent="0.25">
      <c r="C9" s="62" t="s">
        <v>99</v>
      </c>
      <c r="D9" s="61">
        <v>150</v>
      </c>
      <c r="E9" s="33"/>
      <c r="F9" s="34"/>
      <c r="G9" s="35">
        <v>0</v>
      </c>
      <c r="H9" s="58">
        <v>400</v>
      </c>
      <c r="I9" s="59">
        <f>SUM(G9*H9)</f>
        <v>0</v>
      </c>
      <c r="J9" s="55"/>
    </row>
    <row r="10" spans="3:10" x14ac:dyDescent="0.25">
      <c r="C10" s="60" t="s">
        <v>101</v>
      </c>
      <c r="D10" s="61">
        <v>15</v>
      </c>
      <c r="E10" s="42"/>
      <c r="F10" s="43"/>
      <c r="G10" s="35">
        <v>0</v>
      </c>
      <c r="H10" s="58">
        <v>675</v>
      </c>
      <c r="I10" s="59">
        <f>SUM(G10*H10)</f>
        <v>0</v>
      </c>
      <c r="J10" s="55"/>
    </row>
    <row r="11" spans="3:10" ht="32.5" thickBot="1" x14ac:dyDescent="0.3">
      <c r="C11" s="56" t="s">
        <v>100</v>
      </c>
      <c r="D11" s="57">
        <v>450</v>
      </c>
      <c r="E11" s="44"/>
      <c r="F11" s="45"/>
      <c r="G11" s="46">
        <v>0</v>
      </c>
      <c r="H11" s="53">
        <v>50</v>
      </c>
      <c r="I11" s="54">
        <f>SUM(G11*H11)</f>
        <v>0</v>
      </c>
      <c r="J11" s="55"/>
    </row>
    <row r="12" spans="3:10" ht="16" customHeight="1" thickBot="1" x14ac:dyDescent="0.3">
      <c r="G12" s="147" t="s">
        <v>58</v>
      </c>
      <c r="H12" s="148"/>
      <c r="I12" s="40">
        <f>SUM(I8:I11)</f>
        <v>0</v>
      </c>
    </row>
    <row r="13" spans="3:10" s="50" customFormat="1" ht="16" customHeight="1" x14ac:dyDescent="0.25">
      <c r="C13" s="49"/>
      <c r="D13" s="49"/>
      <c r="G13" s="51"/>
      <c r="H13" s="51"/>
      <c r="I13" s="36"/>
    </row>
    <row r="14" spans="3:10" ht="16" customHeight="1" thickBot="1" x14ac:dyDescent="0.3">
      <c r="G14" s="51"/>
      <c r="H14" s="51"/>
      <c r="I14" s="37"/>
    </row>
    <row r="15" spans="3:10" ht="16" customHeight="1" thickBot="1" x14ac:dyDescent="0.3">
      <c r="G15" s="127" t="s">
        <v>60</v>
      </c>
      <c r="H15" s="128"/>
      <c r="I15" s="38">
        <f>I12</f>
        <v>0</v>
      </c>
    </row>
    <row r="17" spans="1:13" ht="20.149999999999999" customHeight="1" x14ac:dyDescent="0.25">
      <c r="C17" s="129" t="s">
        <v>54</v>
      </c>
      <c r="D17" s="130"/>
      <c r="E17" s="130"/>
      <c r="F17" s="130"/>
      <c r="G17" s="131"/>
    </row>
    <row r="18" spans="1:13" ht="188.15" customHeight="1" x14ac:dyDescent="0.25">
      <c r="C18" s="132" t="s">
        <v>118</v>
      </c>
      <c r="D18" s="133"/>
      <c r="E18" s="133"/>
      <c r="F18" s="133"/>
      <c r="G18" s="134"/>
      <c r="J18" s="52"/>
      <c r="M18" s="48" t="s">
        <v>114</v>
      </c>
    </row>
    <row r="19" spans="1:13" ht="17.149999999999999" customHeight="1" x14ac:dyDescent="0.25"/>
    <row r="20" spans="1:13" ht="185.15" customHeight="1" x14ac:dyDescent="0.25">
      <c r="A20" s="50"/>
      <c r="B20" s="50"/>
    </row>
  </sheetData>
  <sheetProtection algorithmName="SHA-512" hashValue="MhXHRgC5cExysWX7tJpa+382w3nBUXIpiOmw56Dye3q4qlYOh9fDs77vHDw/aUDPSPH1MZm8BEf5w50HIVNHpg==" saltValue="MyxIEKwGbwUp8ZAao2IJ+w==" spinCount="100000" sheet="1" objects="1" scenarios="1"/>
  <scenarios current="0" sqref="G10">
    <scenario name="A" locked="1" count="1" user="Daniel Douma" comment="Gemaakt door Daniel Douma op 28-05-2019_x000a_Gewijzigd door Daniel Douma op 28-05-2019">
      <inputCells r="G8" val="3400" numFmtId="165"/>
    </scenario>
    <scenario name="B" locked="1" count="1" user="Daniel Douma" comment="Gemaakt door Daniel Douma op 28-05-2019">
      <inputCells r="G8" val="3500" numFmtId="165"/>
    </scenario>
    <scenario name="C" locked="1" count="1" user="Daniel Douma" comment="Gemaakt door Daniel Douma op 28-05-2019">
      <inputCells r="G8" val="3600" numFmtId="165"/>
    </scenario>
    <scenario name="D" locked="1" count="1" user="Daniel Douma" comment="Gemaakt door Daniel Douma op 28-05-2019">
      <inputCells r="G8" val="3700" numFmtId="165"/>
    </scenario>
  </scenarios>
  <mergeCells count="9">
    <mergeCell ref="G15:H15"/>
    <mergeCell ref="C17:G17"/>
    <mergeCell ref="C18:G18"/>
    <mergeCell ref="C2:I3"/>
    <mergeCell ref="C6:F6"/>
    <mergeCell ref="E7:F7"/>
    <mergeCell ref="E8:F8"/>
    <mergeCell ref="G12:H12"/>
    <mergeCell ref="D4:F4"/>
  </mergeCells>
  <conditionalFormatting sqref="G8">
    <cfRule type="cellIs" dxfId="7" priority="4" operator="greaterThan">
      <formula>702.5</formula>
    </cfRule>
  </conditionalFormatting>
  <conditionalFormatting sqref="G9">
    <cfRule type="cellIs" dxfId="6" priority="3" operator="greaterThan">
      <formula>150</formula>
    </cfRule>
  </conditionalFormatting>
  <conditionalFormatting sqref="G10">
    <cfRule type="cellIs" dxfId="5" priority="2" operator="greaterThan">
      <formula>15</formula>
    </cfRule>
  </conditionalFormatting>
  <conditionalFormatting sqref="G11">
    <cfRule type="cellIs" dxfId="4" priority="1" operator="greaterThan">
      <formula>450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BCB36-89FB-422C-836A-0938DEE0DEA5}">
  <dimension ref="A1:O43"/>
  <sheetViews>
    <sheetView showGridLines="0" topLeftCell="C26" zoomScaleNormal="100" workbookViewId="0">
      <selection activeCell="G30" sqref="G30"/>
    </sheetView>
  </sheetViews>
  <sheetFormatPr defaultRowHeight="12.5" x14ac:dyDescent="0.25"/>
  <cols>
    <col min="1" max="1" width="28.1796875" customWidth="1"/>
    <col min="2" max="2" width="11.1796875" customWidth="1"/>
    <col min="3" max="3" width="32.81640625" customWidth="1"/>
    <col min="4" max="4" width="16.453125" customWidth="1"/>
    <col min="5" max="5" width="15.26953125" customWidth="1"/>
    <col min="6" max="6" width="12.453125" customWidth="1"/>
    <col min="7" max="7" width="28.81640625" customWidth="1"/>
    <col min="8" max="8" width="20.7265625" customWidth="1"/>
  </cols>
  <sheetData>
    <row r="1" spans="1:15" ht="13" thickBot="1" x14ac:dyDescent="0.3"/>
    <row r="2" spans="1:15" ht="16.5" thickBot="1" x14ac:dyDescent="0.3">
      <c r="A2" s="161" t="s">
        <v>59</v>
      </c>
      <c r="B2" s="162"/>
      <c r="C2" s="162"/>
      <c r="D2" s="38">
        <f>Prijs!I15</f>
        <v>0</v>
      </c>
    </row>
    <row r="3" spans="1:15" ht="16.5" thickBot="1" x14ac:dyDescent="0.3">
      <c r="A3" s="163" t="s">
        <v>98</v>
      </c>
      <c r="B3" s="164"/>
      <c r="C3" s="164"/>
      <c r="D3" s="39">
        <v>60000</v>
      </c>
    </row>
    <row r="4" spans="1:15" ht="16.5" thickBot="1" x14ac:dyDescent="0.3">
      <c r="A4" s="163" t="s">
        <v>73</v>
      </c>
      <c r="B4" s="164"/>
      <c r="C4" s="164"/>
      <c r="D4" s="39">
        <v>60000</v>
      </c>
    </row>
    <row r="5" spans="1:15" ht="16.5" thickBot="1" x14ac:dyDescent="0.3">
      <c r="A5" s="127" t="s">
        <v>74</v>
      </c>
      <c r="B5" s="128"/>
      <c r="C5" s="128"/>
      <c r="D5" s="38">
        <f>SUM(D3:D4)</f>
        <v>120000</v>
      </c>
    </row>
    <row r="6" spans="1:15" ht="13" thickBot="1" x14ac:dyDescent="0.3"/>
    <row r="7" spans="1:15" ht="16.5" customHeight="1" thickBot="1" x14ac:dyDescent="0.45">
      <c r="A7" s="178" t="s">
        <v>61</v>
      </c>
      <c r="B7" s="179"/>
      <c r="C7" s="180"/>
      <c r="D7" s="181" t="s">
        <v>66</v>
      </c>
      <c r="E7" s="182"/>
      <c r="F7" s="182"/>
      <c r="G7" s="176"/>
      <c r="H7" s="177"/>
    </row>
    <row r="8" spans="1:15" ht="32.5" thickBot="1" x14ac:dyDescent="0.3">
      <c r="A8" s="99" t="s">
        <v>62</v>
      </c>
      <c r="B8" s="124" t="s">
        <v>65</v>
      </c>
      <c r="C8" s="125" t="s">
        <v>63</v>
      </c>
      <c r="D8" s="125" t="s">
        <v>67</v>
      </c>
      <c r="E8" s="125" t="s">
        <v>71</v>
      </c>
      <c r="F8" s="90" t="s">
        <v>69</v>
      </c>
      <c r="G8" s="126" t="s">
        <v>72</v>
      </c>
      <c r="H8" s="126" t="s">
        <v>68</v>
      </c>
    </row>
    <row r="9" spans="1:15" ht="16" x14ac:dyDescent="0.25">
      <c r="A9" s="150" t="s">
        <v>83</v>
      </c>
      <c r="B9" s="152">
        <v>16000</v>
      </c>
      <c r="C9" s="150" t="s">
        <v>85</v>
      </c>
      <c r="D9" s="109">
        <v>0</v>
      </c>
      <c r="E9" s="117" t="s">
        <v>85</v>
      </c>
      <c r="F9" s="111">
        <v>0</v>
      </c>
      <c r="G9" s="154" t="s">
        <v>85</v>
      </c>
      <c r="H9" s="170">
        <f>IF(G9="i5-1335P/U",$F$9,IF(G9="i5-1440P of i5-1445U",$F$10,IF(G9="groter of gelijk aan i7",$F$11)))</f>
        <v>0</v>
      </c>
    </row>
    <row r="10" spans="1:15" ht="32" x14ac:dyDescent="0.25">
      <c r="A10" s="151"/>
      <c r="B10" s="153"/>
      <c r="C10" s="151"/>
      <c r="D10" s="123">
        <v>0.5</v>
      </c>
      <c r="E10" s="118" t="s">
        <v>86</v>
      </c>
      <c r="F10" s="106">
        <v>20000</v>
      </c>
      <c r="G10" s="155"/>
      <c r="H10" s="171"/>
    </row>
    <row r="11" spans="1:15" ht="32.5" thickBot="1" x14ac:dyDescent="0.3">
      <c r="A11" s="165"/>
      <c r="B11" s="169"/>
      <c r="C11" s="165"/>
      <c r="D11" s="122">
        <v>1</v>
      </c>
      <c r="E11" s="114" t="s">
        <v>117</v>
      </c>
      <c r="F11" s="120">
        <v>40000</v>
      </c>
      <c r="G11" s="156"/>
      <c r="H11" s="172"/>
    </row>
    <row r="12" spans="1:15" ht="16" x14ac:dyDescent="0.3">
      <c r="A12" s="150" t="s">
        <v>82</v>
      </c>
      <c r="B12" s="166">
        <v>16000</v>
      </c>
      <c r="C12" s="150" t="s">
        <v>70</v>
      </c>
      <c r="D12" s="109">
        <v>0</v>
      </c>
      <c r="E12" s="117" t="s">
        <v>70</v>
      </c>
      <c r="F12" s="111">
        <v>0</v>
      </c>
      <c r="G12" s="154" t="s">
        <v>70</v>
      </c>
      <c r="H12" s="170">
        <f>IF(G12="8Gb",$F$12,IF(G12="12Gb",$F$13,IF(G12="16(+)Gb",$F$14)))</f>
        <v>0</v>
      </c>
      <c r="K12" s="4"/>
      <c r="O12" s="3"/>
    </row>
    <row r="13" spans="1:15" ht="16" x14ac:dyDescent="0.25">
      <c r="A13" s="151"/>
      <c r="B13" s="167"/>
      <c r="C13" s="151"/>
      <c r="D13" s="112">
        <v>0.5</v>
      </c>
      <c r="E13" s="121" t="s">
        <v>88</v>
      </c>
      <c r="F13" s="104">
        <v>12000</v>
      </c>
      <c r="G13" s="155"/>
      <c r="H13" s="171"/>
      <c r="K13" s="3"/>
    </row>
    <row r="14" spans="1:15" ht="16.5" thickBot="1" x14ac:dyDescent="0.3">
      <c r="A14" s="165"/>
      <c r="B14" s="168"/>
      <c r="C14" s="165"/>
      <c r="D14" s="122">
        <v>1</v>
      </c>
      <c r="E14" s="114" t="s">
        <v>87</v>
      </c>
      <c r="F14" s="120">
        <v>24000</v>
      </c>
      <c r="G14" s="156"/>
      <c r="H14" s="172"/>
    </row>
    <row r="15" spans="1:15" ht="16" x14ac:dyDescent="0.25">
      <c r="A15" s="150" t="s">
        <v>84</v>
      </c>
      <c r="B15" s="152">
        <v>12000</v>
      </c>
      <c r="C15" s="150" t="s">
        <v>102</v>
      </c>
      <c r="D15" s="116">
        <v>0</v>
      </c>
      <c r="E15" s="117">
        <v>10</v>
      </c>
      <c r="F15" s="111">
        <v>0</v>
      </c>
      <c r="G15" s="173">
        <v>10</v>
      </c>
      <c r="H15" s="157">
        <f>IF(G15=10,$F$15,IF(G15=12,$F$16,IF(G15="16(+)",$F$17)))</f>
        <v>0</v>
      </c>
    </row>
    <row r="16" spans="1:15" ht="16" x14ac:dyDescent="0.25">
      <c r="A16" s="151"/>
      <c r="B16" s="153"/>
      <c r="C16" s="151"/>
      <c r="D16" s="102">
        <v>0.5</v>
      </c>
      <c r="E16" s="118">
        <v>12</v>
      </c>
      <c r="F16" s="106">
        <v>10000</v>
      </c>
      <c r="G16" s="174"/>
      <c r="H16" s="158"/>
      <c r="I16" s="3"/>
    </row>
    <row r="17" spans="1:10" ht="16.5" thickBot="1" x14ac:dyDescent="0.3">
      <c r="A17" s="165"/>
      <c r="B17" s="169"/>
      <c r="C17" s="165"/>
      <c r="D17" s="119">
        <v>1</v>
      </c>
      <c r="E17" s="114" t="s">
        <v>111</v>
      </c>
      <c r="F17" s="120">
        <v>20000</v>
      </c>
      <c r="G17" s="175"/>
      <c r="H17" s="159"/>
    </row>
    <row r="18" spans="1:10" ht="16" x14ac:dyDescent="0.25">
      <c r="A18" s="150" t="s">
        <v>104</v>
      </c>
      <c r="B18" s="152">
        <v>10000</v>
      </c>
      <c r="C18" s="150" t="s">
        <v>105</v>
      </c>
      <c r="D18" s="109">
        <v>0</v>
      </c>
      <c r="E18" s="110" t="s">
        <v>105</v>
      </c>
      <c r="F18" s="111">
        <v>0</v>
      </c>
      <c r="G18" s="154" t="s">
        <v>105</v>
      </c>
      <c r="H18" s="157">
        <f>IF(G18="2 jaar",$F$18,IF(G18="3 jaar",$F$19,IF(G18="4(+) jaar",$F$20)))</f>
        <v>0</v>
      </c>
    </row>
    <row r="19" spans="1:10" ht="16" x14ac:dyDescent="0.25">
      <c r="A19" s="151"/>
      <c r="B19" s="153"/>
      <c r="C19" s="151"/>
      <c r="D19" s="112">
        <v>0.5</v>
      </c>
      <c r="E19" s="105" t="s">
        <v>107</v>
      </c>
      <c r="F19" s="106">
        <v>5000</v>
      </c>
      <c r="G19" s="155"/>
      <c r="H19" s="158"/>
    </row>
    <row r="20" spans="1:10" ht="16.5" thickBot="1" x14ac:dyDescent="0.3">
      <c r="A20" s="151"/>
      <c r="B20" s="153"/>
      <c r="C20" s="151"/>
      <c r="D20" s="113">
        <v>1</v>
      </c>
      <c r="E20" s="114" t="s">
        <v>113</v>
      </c>
      <c r="F20" s="115">
        <v>10000</v>
      </c>
      <c r="G20" s="156"/>
      <c r="H20" s="159"/>
    </row>
    <row r="21" spans="1:10" ht="16" x14ac:dyDescent="0.25">
      <c r="A21" s="150" t="s">
        <v>103</v>
      </c>
      <c r="B21" s="152">
        <v>6000</v>
      </c>
      <c r="C21" s="150" t="s">
        <v>106</v>
      </c>
      <c r="D21" s="102">
        <v>0</v>
      </c>
      <c r="E21" s="103" t="s">
        <v>108</v>
      </c>
      <c r="F21" s="104">
        <v>0</v>
      </c>
      <c r="G21" s="155" t="s">
        <v>108</v>
      </c>
      <c r="H21" s="158">
        <f>IF(G21="carry-in",$F$21,IF(G21="pick-up &amp; return",$F$22,IF(G21="On-site",$F$23)))</f>
        <v>0</v>
      </c>
    </row>
    <row r="22" spans="1:10" ht="16.5" customHeight="1" x14ac:dyDescent="0.25">
      <c r="A22" s="151"/>
      <c r="B22" s="153"/>
      <c r="C22" s="151"/>
      <c r="D22" s="102">
        <v>0.5</v>
      </c>
      <c r="E22" s="105" t="s">
        <v>109</v>
      </c>
      <c r="F22" s="106">
        <v>3000</v>
      </c>
      <c r="G22" s="155"/>
      <c r="H22" s="158"/>
    </row>
    <row r="23" spans="1:10" ht="16.5" thickBot="1" x14ac:dyDescent="0.3">
      <c r="A23" s="151"/>
      <c r="B23" s="153"/>
      <c r="C23" s="151"/>
      <c r="D23" s="107">
        <v>1</v>
      </c>
      <c r="E23" s="105" t="s">
        <v>110</v>
      </c>
      <c r="F23" s="108">
        <v>6000</v>
      </c>
      <c r="G23" s="156"/>
      <c r="H23" s="159"/>
    </row>
    <row r="24" spans="1:10" ht="16.5" thickBot="1" x14ac:dyDescent="0.3">
      <c r="A24" s="94" t="s">
        <v>64</v>
      </c>
      <c r="B24" s="95">
        <f>SUM(B9:B23)</f>
        <v>60000</v>
      </c>
      <c r="C24" s="78"/>
      <c r="D24" s="96"/>
      <c r="E24" s="96"/>
      <c r="F24" s="97"/>
      <c r="G24" s="97"/>
      <c r="H24" s="98"/>
    </row>
    <row r="25" spans="1:10" ht="16" customHeight="1" thickBot="1" x14ac:dyDescent="0.3">
      <c r="A25" s="47"/>
      <c r="B25" s="47"/>
      <c r="C25" s="48"/>
      <c r="D25" s="48"/>
      <c r="E25" s="147" t="s">
        <v>95</v>
      </c>
      <c r="F25" s="148"/>
      <c r="G25" s="148"/>
      <c r="H25" s="40">
        <f>SUM(H9:H23)</f>
        <v>0</v>
      </c>
    </row>
    <row r="28" spans="1:10" ht="16.5" customHeight="1" thickBot="1" x14ac:dyDescent="0.45">
      <c r="A28" s="178" t="s">
        <v>79</v>
      </c>
      <c r="B28" s="179"/>
      <c r="C28" s="180"/>
      <c r="D28" s="181" t="s">
        <v>80</v>
      </c>
      <c r="E28" s="182"/>
      <c r="F28" s="182"/>
      <c r="G28" s="182"/>
      <c r="H28" s="192"/>
    </row>
    <row r="29" spans="1:10" ht="32.5" thickBot="1" x14ac:dyDescent="0.3">
      <c r="A29" s="99" t="s">
        <v>62</v>
      </c>
      <c r="B29" s="89" t="s">
        <v>65</v>
      </c>
      <c r="C29" s="100" t="s">
        <v>63</v>
      </c>
      <c r="D29" s="100" t="s">
        <v>67</v>
      </c>
      <c r="E29" s="100" t="s">
        <v>77</v>
      </c>
      <c r="F29" s="100" t="s">
        <v>69</v>
      </c>
      <c r="G29" s="101" t="s">
        <v>78</v>
      </c>
      <c r="H29" s="92" t="s">
        <v>68</v>
      </c>
    </row>
    <row r="30" spans="1:10" ht="16.5" thickBot="1" x14ac:dyDescent="0.3">
      <c r="A30" s="88"/>
      <c r="B30" s="89"/>
      <c r="C30" s="93"/>
      <c r="D30" s="93"/>
      <c r="E30" s="93"/>
      <c r="F30" s="93"/>
      <c r="G30" s="77" t="s">
        <v>115</v>
      </c>
      <c r="H30" s="92"/>
    </row>
    <row r="31" spans="1:10" ht="26.5" thickBot="1" x14ac:dyDescent="0.3">
      <c r="A31" s="88"/>
      <c r="B31" s="89"/>
      <c r="C31" s="90"/>
      <c r="D31" s="90"/>
      <c r="E31" s="90"/>
      <c r="F31" s="90"/>
      <c r="G31" s="91" t="s">
        <v>116</v>
      </c>
      <c r="H31" s="92"/>
    </row>
    <row r="32" spans="1:10" ht="16" x14ac:dyDescent="0.25">
      <c r="A32" s="186" t="s">
        <v>75</v>
      </c>
      <c r="B32" s="183">
        <v>60000</v>
      </c>
      <c r="C32" s="186" t="s">
        <v>76</v>
      </c>
      <c r="D32" s="79">
        <v>1</v>
      </c>
      <c r="E32" s="80" t="s">
        <v>89</v>
      </c>
      <c r="F32" s="81">
        <f>SUM(D32*$B$32)</f>
        <v>60000</v>
      </c>
      <c r="G32" s="193" t="s">
        <v>94</v>
      </c>
      <c r="H32" s="189">
        <f>IF(G32="0-0,5%",$F$32,IF(G32="0,51-1,0%",$F$33,IF(G32="1,01-1,5%",$F$34,IF(G32="1,51-3%",$F$35,IF(G32="3,01-5%",$F$36,IF(G32="&gt;5%",$F$37))))))</f>
        <v>0</v>
      </c>
      <c r="J32" s="3"/>
    </row>
    <row r="33" spans="1:8" ht="16" x14ac:dyDescent="0.25">
      <c r="A33" s="187"/>
      <c r="B33" s="184"/>
      <c r="C33" s="187"/>
      <c r="D33" s="82">
        <v>0.9</v>
      </c>
      <c r="E33" s="83" t="s">
        <v>90</v>
      </c>
      <c r="F33" s="84">
        <f t="shared" ref="F33:F37" si="0">SUM(D33*$B$32)</f>
        <v>54000</v>
      </c>
      <c r="G33" s="194"/>
      <c r="H33" s="190"/>
    </row>
    <row r="34" spans="1:8" ht="16" x14ac:dyDescent="0.25">
      <c r="A34" s="187"/>
      <c r="B34" s="184"/>
      <c r="C34" s="187"/>
      <c r="D34" s="82">
        <v>0.75</v>
      </c>
      <c r="E34" s="83" t="s">
        <v>91</v>
      </c>
      <c r="F34" s="84">
        <f t="shared" si="0"/>
        <v>45000</v>
      </c>
      <c r="G34" s="194"/>
      <c r="H34" s="190"/>
    </row>
    <row r="35" spans="1:8" ht="16" x14ac:dyDescent="0.25">
      <c r="A35" s="187"/>
      <c r="B35" s="184"/>
      <c r="C35" s="187"/>
      <c r="D35" s="82">
        <v>0.5</v>
      </c>
      <c r="E35" s="83" t="s">
        <v>92</v>
      </c>
      <c r="F35" s="84">
        <f t="shared" si="0"/>
        <v>30000</v>
      </c>
      <c r="G35" s="194"/>
      <c r="H35" s="190"/>
    </row>
    <row r="36" spans="1:8" ht="16" x14ac:dyDescent="0.25">
      <c r="A36" s="187"/>
      <c r="B36" s="184"/>
      <c r="C36" s="187"/>
      <c r="D36" s="82">
        <v>0.25</v>
      </c>
      <c r="E36" s="83" t="s">
        <v>93</v>
      </c>
      <c r="F36" s="84">
        <f t="shared" si="0"/>
        <v>15000</v>
      </c>
      <c r="G36" s="194"/>
      <c r="H36" s="190"/>
    </row>
    <row r="37" spans="1:8" ht="16.5" thickBot="1" x14ac:dyDescent="0.3">
      <c r="A37" s="188"/>
      <c r="B37" s="185"/>
      <c r="C37" s="188"/>
      <c r="D37" s="85">
        <v>0</v>
      </c>
      <c r="E37" s="86" t="s">
        <v>94</v>
      </c>
      <c r="F37" s="87">
        <f t="shared" si="0"/>
        <v>0</v>
      </c>
      <c r="G37" s="195"/>
      <c r="H37" s="191"/>
    </row>
    <row r="38" spans="1:8" ht="16.5" thickBot="1" x14ac:dyDescent="0.3">
      <c r="E38" s="147" t="s">
        <v>97</v>
      </c>
      <c r="F38" s="148"/>
      <c r="G38" s="148"/>
      <c r="H38" s="40">
        <f>H32</f>
        <v>0</v>
      </c>
    </row>
    <row r="39" spans="1:8" ht="13" thickBot="1" x14ac:dyDescent="0.3"/>
    <row r="40" spans="1:8" ht="16.5" thickBot="1" x14ac:dyDescent="0.3">
      <c r="A40" s="161" t="s">
        <v>59</v>
      </c>
      <c r="B40" s="162"/>
      <c r="C40" s="162"/>
      <c r="D40" s="39">
        <f>D2</f>
        <v>0</v>
      </c>
    </row>
    <row r="41" spans="1:8" ht="16.5" thickBot="1" x14ac:dyDescent="0.3">
      <c r="A41" s="163" t="s">
        <v>95</v>
      </c>
      <c r="B41" s="164"/>
      <c r="C41" s="164"/>
      <c r="D41" s="39">
        <f>H25</f>
        <v>0</v>
      </c>
    </row>
    <row r="42" spans="1:8" ht="16.5" thickBot="1" x14ac:dyDescent="0.3">
      <c r="A42" s="163" t="s">
        <v>96</v>
      </c>
      <c r="B42" s="164"/>
      <c r="C42" s="164"/>
      <c r="D42" s="39">
        <f>H38</f>
        <v>0</v>
      </c>
    </row>
    <row r="43" spans="1:8" ht="22.5" customHeight="1" thickBot="1" x14ac:dyDescent="0.3">
      <c r="A43" s="160" t="s">
        <v>112</v>
      </c>
      <c r="B43" s="128"/>
      <c r="C43" s="128"/>
      <c r="D43" s="41">
        <f>D40-D41-D42</f>
        <v>0</v>
      </c>
    </row>
  </sheetData>
  <sheetProtection algorithmName="SHA-512" hashValue="q5HWq8lDmqJ/GnlFxK0oRANMF3JF0Bn7YT+xC643QFt2U5l16snd0aAmuGH7osjEYIl0VxnA8sNyu1BAYGlT7Q==" saltValue="C+puJ29g931r6dBN13geeQ==" spinCount="100000" sheet="1" objects="1" scenarios="1"/>
  <mergeCells count="45">
    <mergeCell ref="B32:B37"/>
    <mergeCell ref="A32:A37"/>
    <mergeCell ref="H32:H37"/>
    <mergeCell ref="A28:C28"/>
    <mergeCell ref="D28:H28"/>
    <mergeCell ref="C32:C37"/>
    <mergeCell ref="G32:G37"/>
    <mergeCell ref="A2:C2"/>
    <mergeCell ref="G7:H7"/>
    <mergeCell ref="A3:C3"/>
    <mergeCell ref="A7:C7"/>
    <mergeCell ref="D7:F7"/>
    <mergeCell ref="A4:C4"/>
    <mergeCell ref="A5:C5"/>
    <mergeCell ref="H9:H11"/>
    <mergeCell ref="E25:G25"/>
    <mergeCell ref="A12:A14"/>
    <mergeCell ref="B9:B11"/>
    <mergeCell ref="C9:C11"/>
    <mergeCell ref="G12:G14"/>
    <mergeCell ref="H12:H14"/>
    <mergeCell ref="G9:G11"/>
    <mergeCell ref="A21:A23"/>
    <mergeCell ref="B21:B23"/>
    <mergeCell ref="C21:C23"/>
    <mergeCell ref="H15:H17"/>
    <mergeCell ref="H21:H23"/>
    <mergeCell ref="G15:G17"/>
    <mergeCell ref="G21:G23"/>
    <mergeCell ref="A9:A11"/>
    <mergeCell ref="A15:A17"/>
    <mergeCell ref="B12:B14"/>
    <mergeCell ref="B15:B17"/>
    <mergeCell ref="C12:C14"/>
    <mergeCell ref="C15:C17"/>
    <mergeCell ref="A43:C43"/>
    <mergeCell ref="E38:G38"/>
    <mergeCell ref="A40:C40"/>
    <mergeCell ref="A41:C41"/>
    <mergeCell ref="A42:C42"/>
    <mergeCell ref="A18:A20"/>
    <mergeCell ref="B18:B20"/>
    <mergeCell ref="C18:C20"/>
    <mergeCell ref="G18:G20"/>
    <mergeCell ref="H18:H20"/>
  </mergeCells>
  <conditionalFormatting sqref="B24">
    <cfRule type="cellIs" dxfId="3" priority="9" operator="lessThan">
      <formula>$D$3</formula>
    </cfRule>
    <cfRule type="cellIs" dxfId="2" priority="10" operator="greaterThan">
      <formula>$D$3</formula>
    </cfRule>
    <cfRule type="cellIs" dxfId="1" priority="11" operator="equal">
      <formula>$D$3</formula>
    </cfRule>
    <cfRule type="cellIs" dxfId="0" priority="12" operator="equal">
      <formula>"C3"</formula>
    </cfRule>
  </conditionalFormatting>
  <dataValidations count="6">
    <dataValidation type="list" allowBlank="1" showInputMessage="1" showErrorMessage="1" sqref="G9:G11" xr:uid="{AF31785B-6692-48D3-908E-5F7DF47579F3}">
      <formula1>$E$9:$E$11</formula1>
    </dataValidation>
    <dataValidation type="list" allowBlank="1" showInputMessage="1" showErrorMessage="1" sqref="G32" xr:uid="{F12DADC4-5306-40C2-8AE8-EA240E17B580}">
      <formula1>$E$32:$E$37</formula1>
    </dataValidation>
    <dataValidation type="list" allowBlank="1" showInputMessage="1" showErrorMessage="1" sqref="G12:G14" xr:uid="{67DFA542-B6A4-4E55-9519-2EF4DBF1C97B}">
      <formula1>$E$12:$E$14</formula1>
    </dataValidation>
    <dataValidation type="list" allowBlank="1" showInputMessage="1" showErrorMessage="1" sqref="G15:G17" xr:uid="{61062832-14AE-4B0F-A3EF-11D302A22279}">
      <formula1>$E$15:$E$17</formula1>
    </dataValidation>
    <dataValidation type="list" allowBlank="1" showInputMessage="1" showErrorMessage="1" sqref="G18:G20" xr:uid="{DD685F04-F392-4334-BC04-0FB48EA3CC7B}">
      <formula1>$E$18:$E$20</formula1>
    </dataValidation>
    <dataValidation type="list" allowBlank="1" showInputMessage="1" showErrorMessage="1" sqref="G21:G23" xr:uid="{CF452EF2-1F28-482F-B5DE-295129AAB503}">
      <formula1>$E$21:$E$23</formula1>
    </dataValidation>
  </dataValidations>
  <pageMargins left="0.7" right="0.7" top="0.75" bottom="0.75" header="0.3" footer="0.3"/>
  <pageSetup paperSize="9" orientation="portrait" horizontalDpi="4294967293"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ADC42C8AE0624A8AD54FC47BBC7F91" ma:contentTypeVersion="4" ma:contentTypeDescription="Een nieuw document maken." ma:contentTypeScope="" ma:versionID="67de28a76f2c4200cfe1a8143ad822cd">
  <xsd:schema xmlns:xsd="http://www.w3.org/2001/XMLSchema" xmlns:xs="http://www.w3.org/2001/XMLSchema" xmlns:p="http://schemas.microsoft.com/office/2006/metadata/properties" xmlns:ns2="18d59ead-3c02-400a-af5d-0d77c4952f6e" targetNamespace="http://schemas.microsoft.com/office/2006/metadata/properties" ma:root="true" ma:fieldsID="0a9417eaf588362cda2193fbe0abc91e" ns2:_="">
    <xsd:import namespace="18d59ead-3c02-400a-af5d-0d77c4952f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d59ead-3c02-400a-af5d-0d77c4952f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8B802C-0923-408C-8779-0DC9836E9BB3}">
  <ds:schemaRefs>
    <ds:schemaRef ds:uri="http://schemas.microsoft.com/sharepoint/v3/contenttype/forms"/>
  </ds:schemaRefs>
</ds:datastoreItem>
</file>

<file path=customXml/itemProps2.xml><?xml version="1.0" encoding="utf-8"?>
<ds:datastoreItem xmlns:ds="http://schemas.openxmlformats.org/officeDocument/2006/customXml" ds:itemID="{8C93A03B-F871-4E85-961A-6540847D52D0}">
  <ds:schemaRefs>
    <ds:schemaRef ds:uri="http://purl.org/dc/terms/"/>
    <ds:schemaRef ds:uri="http://purl.org/dc/elements/1.1/"/>
    <ds:schemaRef ds:uri="http://purl.org/dc/dcmitype/"/>
    <ds:schemaRef ds:uri="http://schemas.microsoft.com/office/2006/documentManagement/types"/>
    <ds:schemaRef ds:uri="18ccb22a-23d9-4a7a-96a8-a5df55caadce"/>
    <ds:schemaRef ds:uri="http://schemas.microsoft.com/office/2006/metadata/properties"/>
    <ds:schemaRef ds:uri="http://schemas.openxmlformats.org/package/2006/metadata/core-properties"/>
    <ds:schemaRef ds:uri="http://schemas.microsoft.com/office/infopath/2007/PartnerControls"/>
    <ds:schemaRef ds:uri="814d9ddf-9845-424e-85d2-b7a08d35fa97"/>
    <ds:schemaRef ds:uri="http://www.w3.org/XML/1998/namespace"/>
  </ds:schemaRefs>
</ds:datastoreItem>
</file>

<file path=customXml/itemProps3.xml><?xml version="1.0" encoding="utf-8"?>
<ds:datastoreItem xmlns:ds="http://schemas.openxmlformats.org/officeDocument/2006/customXml" ds:itemID="{E3EE5C54-5631-42F1-82A0-889A2F6FE2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d59ead-3c02-400a-af5d-0d77c4952f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rekenvoorbeelden gunningsmethod</vt:lpstr>
      <vt:lpstr>GOW prijsmodel HW - NB2024</vt:lpstr>
      <vt:lpstr>Prijs</vt:lpstr>
      <vt:lpstr>K1 en opslagpercentage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Wijnen, LM (ink)</dc:creator>
  <cp:lastModifiedBy>Lourens Wijnen</cp:lastModifiedBy>
  <dcterms:created xsi:type="dcterms:W3CDTF">2024-10-14T07:47:57Z</dcterms:created>
  <dcterms:modified xsi:type="dcterms:W3CDTF">2024-11-22T08:03:13Z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0x010100B5ADC42C8AE0624A8AD54FC47BBC7F91</vt:lpwstr>
  </property>
</Properties>
</file>