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FP001\users$\DGusers\BUISA01\"/>
    </mc:Choice>
  </mc:AlternateContent>
  <xr:revisionPtr revIDLastSave="0" documentId="13_ncr:1_{E7DC1F28-B4A5-4D91-BA4C-78B4A15FA0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cificatie" sheetId="3" r:id="rId1"/>
    <sheet name="Mutaties" sheetId="2" r:id="rId2"/>
  </sheets>
  <definedNames>
    <definedName name="_xlnm._FilterDatabase" localSheetId="0" hidden="1">Specificatie!$B$11:$Y$75</definedName>
    <definedName name="_xlnm.Print_Area" localSheetId="0">Specificatie!$A$1:$AO$78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75" i="3" l="1"/>
  <c r="AH75" i="3"/>
  <c r="AF12" i="3"/>
  <c r="AK12" i="3"/>
  <c r="AJ13" i="3" l="1"/>
  <c r="AJ14" i="3"/>
  <c r="AK14" i="3" s="1"/>
  <c r="AJ15" i="3"/>
  <c r="AJ16" i="3"/>
  <c r="AK16" i="3" s="1"/>
  <c r="AJ17" i="3"/>
  <c r="AJ18" i="3"/>
  <c r="AJ19" i="3"/>
  <c r="AJ20" i="3"/>
  <c r="AJ21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5" i="3"/>
  <c r="AJ36" i="3"/>
  <c r="AJ37" i="3"/>
  <c r="AJ38" i="3"/>
  <c r="AK38" i="3" s="1"/>
  <c r="AJ39" i="3"/>
  <c r="AJ40" i="3"/>
  <c r="AJ41" i="3"/>
  <c r="AJ42" i="3"/>
  <c r="AJ43" i="3"/>
  <c r="AJ44" i="3"/>
  <c r="AJ45" i="3"/>
  <c r="AK45" i="3" s="1"/>
  <c r="AJ46" i="3"/>
  <c r="AJ47" i="3"/>
  <c r="AJ48" i="3"/>
  <c r="AJ49" i="3"/>
  <c r="AJ50" i="3"/>
  <c r="AK50" i="3" s="1"/>
  <c r="AJ51" i="3"/>
  <c r="AJ52" i="3"/>
  <c r="AJ53" i="3"/>
  <c r="AJ54" i="3"/>
  <c r="AJ55" i="3"/>
  <c r="AJ56" i="3"/>
  <c r="AJ57" i="3"/>
  <c r="AJ58" i="3"/>
  <c r="AJ59" i="3"/>
  <c r="AJ60" i="3"/>
  <c r="AJ61" i="3"/>
  <c r="AJ62" i="3"/>
  <c r="AK62" i="3" s="1"/>
  <c r="AJ63" i="3"/>
  <c r="AJ64" i="3"/>
  <c r="AK64" i="3" s="1"/>
  <c r="AJ65" i="3"/>
  <c r="AK65" i="3" s="1"/>
  <c r="AJ66" i="3"/>
  <c r="AK66" i="3" s="1"/>
  <c r="AJ67" i="3"/>
  <c r="AJ68" i="3"/>
  <c r="AJ69" i="3"/>
  <c r="AJ70" i="3"/>
  <c r="AK70" i="3" s="1"/>
  <c r="AJ71" i="3"/>
  <c r="AJ72" i="3"/>
  <c r="AJ75" i="3" s="1"/>
  <c r="AJ73" i="3"/>
  <c r="AJ12" i="3"/>
  <c r="AH13" i="3"/>
  <c r="AH14" i="3"/>
  <c r="AH15" i="3"/>
  <c r="AH16" i="3"/>
  <c r="AH17" i="3"/>
  <c r="AK17" i="3" s="1"/>
  <c r="AH18" i="3"/>
  <c r="AH19" i="3"/>
  <c r="AH20" i="3"/>
  <c r="AH21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5" i="3"/>
  <c r="AH36" i="3"/>
  <c r="AH37" i="3"/>
  <c r="AH38" i="3"/>
  <c r="AH39" i="3"/>
  <c r="AH40" i="3"/>
  <c r="AK41" i="3"/>
  <c r="AH42" i="3"/>
  <c r="AH43" i="3"/>
  <c r="AH44" i="3"/>
  <c r="AH45" i="3"/>
  <c r="AH46" i="3"/>
  <c r="AK46" i="3" s="1"/>
  <c r="AH48" i="3"/>
  <c r="AH49" i="3"/>
  <c r="AH50" i="3"/>
  <c r="AH51" i="3"/>
  <c r="AH52" i="3"/>
  <c r="AH53" i="3"/>
  <c r="AK53" i="3" s="1"/>
  <c r="AH54" i="3"/>
  <c r="AH55" i="3"/>
  <c r="AH56" i="3"/>
  <c r="AH57" i="3"/>
  <c r="AH58" i="3"/>
  <c r="AH59" i="3"/>
  <c r="AH60" i="3"/>
  <c r="AH61" i="3"/>
  <c r="AH62" i="3"/>
  <c r="AH63" i="3"/>
  <c r="AH64" i="3"/>
  <c r="AH65" i="3"/>
  <c r="AH67" i="3"/>
  <c r="AH68" i="3"/>
  <c r="AH69" i="3"/>
  <c r="AH70" i="3"/>
  <c r="AH71" i="3"/>
  <c r="AH73" i="3"/>
  <c r="AH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30" i="3"/>
  <c r="AF31" i="3"/>
  <c r="AF32" i="3"/>
  <c r="AF33" i="3"/>
  <c r="AF34" i="3"/>
  <c r="AF35" i="3"/>
  <c r="AF36" i="3"/>
  <c r="AF37" i="3"/>
  <c r="AF38" i="3"/>
  <c r="AF39" i="3"/>
  <c r="AF40" i="3"/>
  <c r="AF41" i="3"/>
  <c r="AF42" i="3"/>
  <c r="AF43" i="3"/>
  <c r="AF44" i="3"/>
  <c r="AF45" i="3"/>
  <c r="AF46" i="3"/>
  <c r="AF48" i="3"/>
  <c r="AF49" i="3"/>
  <c r="AF50" i="3"/>
  <c r="AF51" i="3"/>
  <c r="AF52" i="3"/>
  <c r="AF53" i="3"/>
  <c r="AF54" i="3"/>
  <c r="AF55" i="3"/>
  <c r="AF56" i="3"/>
  <c r="AF57" i="3"/>
  <c r="AF58" i="3"/>
  <c r="AF60" i="3"/>
  <c r="AF61" i="3"/>
  <c r="AF62" i="3"/>
  <c r="AF63" i="3"/>
  <c r="AF64" i="3"/>
  <c r="AF65" i="3"/>
  <c r="AF66" i="3"/>
  <c r="AF67" i="3"/>
  <c r="AF68" i="3"/>
  <c r="AF69" i="3"/>
  <c r="AF70" i="3"/>
  <c r="AF71" i="3"/>
  <c r="AF73" i="3"/>
  <c r="AK13" i="3"/>
  <c r="AK15" i="3"/>
  <c r="AK21" i="3"/>
  <c r="AK22" i="3"/>
  <c r="AK25" i="3"/>
  <c r="AK26" i="3"/>
  <c r="AK27" i="3"/>
  <c r="AK28" i="3"/>
  <c r="AK29" i="3"/>
  <c r="AK30" i="3"/>
  <c r="AK33" i="3"/>
  <c r="AK34" i="3"/>
  <c r="AK37" i="3"/>
  <c r="AK39" i="3"/>
  <c r="AK40" i="3"/>
  <c r="AK49" i="3"/>
  <c r="AK51" i="3"/>
  <c r="AK52" i="3"/>
  <c r="AK57" i="3"/>
  <c r="AK58" i="3"/>
  <c r="AK61" i="3"/>
  <c r="AK63" i="3"/>
  <c r="AK69" i="3"/>
  <c r="AK7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3" i="3"/>
  <c r="AD13" i="3"/>
  <c r="AD12" i="3"/>
  <c r="AB71" i="3"/>
  <c r="Z73" i="3"/>
  <c r="Z71" i="3"/>
  <c r="X75" i="3"/>
  <c r="S75" i="3"/>
  <c r="R75" i="3"/>
  <c r="N75" i="3"/>
  <c r="E75" i="3"/>
  <c r="V73" i="3"/>
  <c r="Y73" i="3" s="1"/>
  <c r="V70" i="3"/>
  <c r="AB70" i="3" s="1"/>
  <c r="T70" i="3"/>
  <c r="Z70" i="3" s="1"/>
  <c r="V69" i="3"/>
  <c r="AB69" i="3" s="1"/>
  <c r="M69" i="3"/>
  <c r="O69" i="3" s="1"/>
  <c r="L69" i="3"/>
  <c r="P69" i="3" s="1"/>
  <c r="T69" i="3" s="1"/>
  <c r="Z69" i="3" s="1"/>
  <c r="K69" i="3"/>
  <c r="V68" i="3"/>
  <c r="AB68" i="3" s="1"/>
  <c r="T68" i="3"/>
  <c r="Z68" i="3" s="1"/>
  <c r="V67" i="3"/>
  <c r="AB67" i="3" s="1"/>
  <c r="T67" i="3"/>
  <c r="Z67" i="3" s="1"/>
  <c r="V66" i="3"/>
  <c r="AB66" i="3" s="1"/>
  <c r="T66" i="3"/>
  <c r="Z66" i="3" s="1"/>
  <c r="M66" i="3"/>
  <c r="L66" i="3"/>
  <c r="K66" i="3"/>
  <c r="V65" i="3"/>
  <c r="AB65" i="3" s="1"/>
  <c r="T65" i="3"/>
  <c r="Z65" i="3" s="1"/>
  <c r="V64" i="3"/>
  <c r="AB64" i="3" s="1"/>
  <c r="M64" i="3"/>
  <c r="L64" i="3"/>
  <c r="P64" i="3" s="1"/>
  <c r="T64" i="3" s="1"/>
  <c r="Z64" i="3" s="1"/>
  <c r="K64" i="3"/>
  <c r="V63" i="3"/>
  <c r="AB63" i="3" s="1"/>
  <c r="T63" i="3"/>
  <c r="Z63" i="3" s="1"/>
  <c r="M63" i="3"/>
  <c r="L63" i="3"/>
  <c r="K63" i="3"/>
  <c r="V62" i="3"/>
  <c r="AB62" i="3" s="1"/>
  <c r="M62" i="3"/>
  <c r="L62" i="3"/>
  <c r="K62" i="3"/>
  <c r="V61" i="3"/>
  <c r="AB61" i="3" s="1"/>
  <c r="T61" i="3"/>
  <c r="Z61" i="3" s="1"/>
  <c r="M61" i="3"/>
  <c r="L61" i="3"/>
  <c r="K61" i="3"/>
  <c r="V60" i="3"/>
  <c r="AB60" i="3" s="1"/>
  <c r="T60" i="3"/>
  <c r="Z60" i="3" s="1"/>
  <c r="O60" i="3"/>
  <c r="V59" i="3"/>
  <c r="AB59" i="3" s="1"/>
  <c r="T59" i="3"/>
  <c r="Z59" i="3" s="1"/>
  <c r="O59" i="3"/>
  <c r="V58" i="3"/>
  <c r="AB58" i="3" s="1"/>
  <c r="T58" i="3"/>
  <c r="Z58" i="3" s="1"/>
  <c r="V57" i="3"/>
  <c r="AB57" i="3" s="1"/>
  <c r="T57" i="3"/>
  <c r="Z57" i="3" s="1"/>
  <c r="J57" i="3"/>
  <c r="I57" i="3"/>
  <c r="M57" i="3" s="1"/>
  <c r="D57" i="3"/>
  <c r="G57" i="3" s="1"/>
  <c r="V56" i="3"/>
  <c r="AB56" i="3" s="1"/>
  <c r="T56" i="3"/>
  <c r="Z56" i="3" s="1"/>
  <c r="J56" i="3"/>
  <c r="I56" i="3"/>
  <c r="M56" i="3" s="1"/>
  <c r="D56" i="3"/>
  <c r="G56" i="3" s="1"/>
  <c r="V55" i="3"/>
  <c r="AB55" i="3" s="1"/>
  <c r="T55" i="3"/>
  <c r="Z55" i="3" s="1"/>
  <c r="J55" i="3"/>
  <c r="I55" i="3"/>
  <c r="M55" i="3" s="1"/>
  <c r="D55" i="3"/>
  <c r="G55" i="3" s="1"/>
  <c r="V54" i="3"/>
  <c r="AB54" i="3" s="1"/>
  <c r="T54" i="3"/>
  <c r="Z54" i="3" s="1"/>
  <c r="J54" i="3"/>
  <c r="I54" i="3"/>
  <c r="M54" i="3" s="1"/>
  <c r="D54" i="3"/>
  <c r="G54" i="3" s="1"/>
  <c r="V53" i="3"/>
  <c r="AB53" i="3" s="1"/>
  <c r="T53" i="3"/>
  <c r="Z53" i="3" s="1"/>
  <c r="V52" i="3"/>
  <c r="AB52" i="3" s="1"/>
  <c r="T52" i="3"/>
  <c r="Z52" i="3" s="1"/>
  <c r="J52" i="3"/>
  <c r="I52" i="3"/>
  <c r="M52" i="3" s="1"/>
  <c r="D52" i="3"/>
  <c r="H52" i="3" s="1"/>
  <c r="L52" i="3" s="1"/>
  <c r="V51" i="3"/>
  <c r="AB51" i="3" s="1"/>
  <c r="T51" i="3"/>
  <c r="Z51" i="3" s="1"/>
  <c r="J51" i="3"/>
  <c r="I51" i="3"/>
  <c r="M51" i="3" s="1"/>
  <c r="D51" i="3"/>
  <c r="H51" i="3" s="1"/>
  <c r="L51" i="3" s="1"/>
  <c r="V50" i="3"/>
  <c r="AB50" i="3" s="1"/>
  <c r="T50" i="3"/>
  <c r="Z50" i="3" s="1"/>
  <c r="J50" i="3"/>
  <c r="I50" i="3"/>
  <c r="M50" i="3" s="1"/>
  <c r="D50" i="3"/>
  <c r="H50" i="3" s="1"/>
  <c r="L50" i="3" s="1"/>
  <c r="V49" i="3"/>
  <c r="AB49" i="3" s="1"/>
  <c r="J49" i="3"/>
  <c r="I49" i="3"/>
  <c r="M49" i="3" s="1"/>
  <c r="D49" i="3"/>
  <c r="G49" i="3" s="1"/>
  <c r="V48" i="3"/>
  <c r="AB48" i="3" s="1"/>
  <c r="T48" i="3"/>
  <c r="Z48" i="3" s="1"/>
  <c r="J48" i="3"/>
  <c r="I48" i="3"/>
  <c r="M48" i="3" s="1"/>
  <c r="D48" i="3"/>
  <c r="G48" i="3" s="1"/>
  <c r="V47" i="3"/>
  <c r="AB47" i="3" s="1"/>
  <c r="T47" i="3"/>
  <c r="Z47" i="3" s="1"/>
  <c r="J47" i="3"/>
  <c r="I47" i="3"/>
  <c r="M47" i="3" s="1"/>
  <c r="D47" i="3"/>
  <c r="G47" i="3" s="1"/>
  <c r="V46" i="3"/>
  <c r="AB46" i="3" s="1"/>
  <c r="T46" i="3"/>
  <c r="Z46" i="3" s="1"/>
  <c r="J46" i="3"/>
  <c r="I46" i="3"/>
  <c r="M46" i="3" s="1"/>
  <c r="D46" i="3"/>
  <c r="G46" i="3" s="1"/>
  <c r="V45" i="3"/>
  <c r="AB45" i="3" s="1"/>
  <c r="T45" i="3"/>
  <c r="Z45" i="3" s="1"/>
  <c r="J45" i="3"/>
  <c r="I45" i="3"/>
  <c r="M45" i="3" s="1"/>
  <c r="D45" i="3"/>
  <c r="G45" i="3" s="1"/>
  <c r="V44" i="3"/>
  <c r="AB44" i="3" s="1"/>
  <c r="T44" i="3"/>
  <c r="Z44" i="3" s="1"/>
  <c r="J44" i="3"/>
  <c r="I44" i="3"/>
  <c r="M44" i="3" s="1"/>
  <c r="D44" i="3"/>
  <c r="G44" i="3" s="1"/>
  <c r="V43" i="3"/>
  <c r="AB43" i="3" s="1"/>
  <c r="T43" i="3"/>
  <c r="Z43" i="3" s="1"/>
  <c r="J43" i="3"/>
  <c r="I43" i="3"/>
  <c r="M43" i="3" s="1"/>
  <c r="D43" i="3"/>
  <c r="G43" i="3" s="1"/>
  <c r="V42" i="3"/>
  <c r="AB42" i="3" s="1"/>
  <c r="T42" i="3"/>
  <c r="Z42" i="3" s="1"/>
  <c r="J42" i="3"/>
  <c r="I42" i="3"/>
  <c r="M42" i="3" s="1"/>
  <c r="D42" i="3"/>
  <c r="G42" i="3" s="1"/>
  <c r="V41" i="3"/>
  <c r="AB41" i="3" s="1"/>
  <c r="T41" i="3"/>
  <c r="Z41" i="3" s="1"/>
  <c r="J41" i="3"/>
  <c r="I41" i="3"/>
  <c r="M41" i="3" s="1"/>
  <c r="D41" i="3"/>
  <c r="G41" i="3" s="1"/>
  <c r="V40" i="3"/>
  <c r="AB40" i="3" s="1"/>
  <c r="T40" i="3"/>
  <c r="Z40" i="3" s="1"/>
  <c r="J40" i="3"/>
  <c r="I40" i="3"/>
  <c r="M40" i="3" s="1"/>
  <c r="D40" i="3"/>
  <c r="G40" i="3" s="1"/>
  <c r="V39" i="3"/>
  <c r="AB39" i="3" s="1"/>
  <c r="T39" i="3"/>
  <c r="Z39" i="3" s="1"/>
  <c r="V38" i="3"/>
  <c r="AB38" i="3" s="1"/>
  <c r="T38" i="3"/>
  <c r="Z38" i="3" s="1"/>
  <c r="V37" i="3"/>
  <c r="AB37" i="3" s="1"/>
  <c r="T37" i="3"/>
  <c r="Z37" i="3" s="1"/>
  <c r="J37" i="3"/>
  <c r="I37" i="3"/>
  <c r="M37" i="3" s="1"/>
  <c r="D37" i="3"/>
  <c r="H37" i="3" s="1"/>
  <c r="V36" i="3"/>
  <c r="AB36" i="3" s="1"/>
  <c r="T36" i="3"/>
  <c r="Z36" i="3" s="1"/>
  <c r="J36" i="3"/>
  <c r="I36" i="3"/>
  <c r="M36" i="3" s="1"/>
  <c r="D36" i="3"/>
  <c r="H36" i="3" s="1"/>
  <c r="V35" i="3"/>
  <c r="AB35" i="3" s="1"/>
  <c r="T35" i="3"/>
  <c r="Z35" i="3" s="1"/>
  <c r="M35" i="3"/>
  <c r="J35" i="3"/>
  <c r="H35" i="3"/>
  <c r="L35" i="3" s="1"/>
  <c r="G35" i="3"/>
  <c r="V34" i="3"/>
  <c r="AB34" i="3" s="1"/>
  <c r="T34" i="3"/>
  <c r="Z34" i="3" s="1"/>
  <c r="J34" i="3"/>
  <c r="I34" i="3"/>
  <c r="M34" i="3" s="1"/>
  <c r="D34" i="3"/>
  <c r="H34" i="3" s="1"/>
  <c r="V33" i="3"/>
  <c r="AB33" i="3" s="1"/>
  <c r="T33" i="3"/>
  <c r="Z33" i="3" s="1"/>
  <c r="J33" i="3"/>
  <c r="I33" i="3"/>
  <c r="M33" i="3" s="1"/>
  <c r="D33" i="3"/>
  <c r="H33" i="3" s="1"/>
  <c r="V32" i="3"/>
  <c r="AB32" i="3" s="1"/>
  <c r="T32" i="3"/>
  <c r="Z32" i="3" s="1"/>
  <c r="J32" i="3"/>
  <c r="I32" i="3"/>
  <c r="M32" i="3" s="1"/>
  <c r="D32" i="3"/>
  <c r="H32" i="3" s="1"/>
  <c r="V31" i="3"/>
  <c r="AB31" i="3" s="1"/>
  <c r="T31" i="3"/>
  <c r="Z31" i="3" s="1"/>
  <c r="J31" i="3"/>
  <c r="I31" i="3"/>
  <c r="M31" i="3" s="1"/>
  <c r="D31" i="3"/>
  <c r="H31" i="3" s="1"/>
  <c r="V30" i="3"/>
  <c r="AB30" i="3" s="1"/>
  <c r="T30" i="3"/>
  <c r="Z30" i="3" s="1"/>
  <c r="J30" i="3"/>
  <c r="I30" i="3"/>
  <c r="M30" i="3" s="1"/>
  <c r="D30" i="3"/>
  <c r="H30" i="3" s="1"/>
  <c r="V29" i="3"/>
  <c r="AB29" i="3" s="1"/>
  <c r="T29" i="3"/>
  <c r="Z29" i="3" s="1"/>
  <c r="J29" i="3"/>
  <c r="I29" i="3"/>
  <c r="M29" i="3" s="1"/>
  <c r="D29" i="3"/>
  <c r="H29" i="3" s="1"/>
  <c r="V28" i="3"/>
  <c r="AB28" i="3" s="1"/>
  <c r="T28" i="3"/>
  <c r="Z28" i="3" s="1"/>
  <c r="J28" i="3"/>
  <c r="I28" i="3"/>
  <c r="M28" i="3" s="1"/>
  <c r="D28" i="3"/>
  <c r="H28" i="3" s="1"/>
  <c r="V27" i="3"/>
  <c r="AB27" i="3" s="1"/>
  <c r="T27" i="3"/>
  <c r="Z27" i="3" s="1"/>
  <c r="J27" i="3"/>
  <c r="I27" i="3"/>
  <c r="M27" i="3" s="1"/>
  <c r="D27" i="3"/>
  <c r="H27" i="3" s="1"/>
  <c r="V26" i="3"/>
  <c r="AB26" i="3" s="1"/>
  <c r="T26" i="3"/>
  <c r="Z26" i="3" s="1"/>
  <c r="J26" i="3"/>
  <c r="I26" i="3"/>
  <c r="M26" i="3" s="1"/>
  <c r="D26" i="3"/>
  <c r="H26" i="3" s="1"/>
  <c r="V25" i="3"/>
  <c r="AB25" i="3" s="1"/>
  <c r="T25" i="3"/>
  <c r="Z25" i="3" s="1"/>
  <c r="J25" i="3"/>
  <c r="I25" i="3"/>
  <c r="M25" i="3" s="1"/>
  <c r="D25" i="3"/>
  <c r="H25" i="3" s="1"/>
  <c r="V24" i="3"/>
  <c r="AB24" i="3" s="1"/>
  <c r="T24" i="3"/>
  <c r="Z24" i="3" s="1"/>
  <c r="J24" i="3"/>
  <c r="I24" i="3"/>
  <c r="M24" i="3" s="1"/>
  <c r="D24" i="3"/>
  <c r="H24" i="3" s="1"/>
  <c r="V23" i="3"/>
  <c r="AB23" i="3" s="1"/>
  <c r="T23" i="3"/>
  <c r="Z23" i="3" s="1"/>
  <c r="J23" i="3"/>
  <c r="I23" i="3"/>
  <c r="M23" i="3" s="1"/>
  <c r="D23" i="3"/>
  <c r="H23" i="3" s="1"/>
  <c r="V22" i="3"/>
  <c r="AB22" i="3" s="1"/>
  <c r="T22" i="3"/>
  <c r="Z22" i="3" s="1"/>
  <c r="J22" i="3"/>
  <c r="I22" i="3"/>
  <c r="M22" i="3" s="1"/>
  <c r="D22" i="3"/>
  <c r="H22" i="3" s="1"/>
  <c r="V21" i="3"/>
  <c r="AB21" i="3" s="1"/>
  <c r="T21" i="3"/>
  <c r="J21" i="3"/>
  <c r="I21" i="3"/>
  <c r="M21" i="3" s="1"/>
  <c r="D21" i="3"/>
  <c r="H21" i="3" s="1"/>
  <c r="V20" i="3"/>
  <c r="AB20" i="3" s="1"/>
  <c r="T20" i="3"/>
  <c r="Z20" i="3" s="1"/>
  <c r="J20" i="3"/>
  <c r="I20" i="3"/>
  <c r="M20" i="3" s="1"/>
  <c r="D20" i="3"/>
  <c r="H20" i="3" s="1"/>
  <c r="V19" i="3"/>
  <c r="AB19" i="3" s="1"/>
  <c r="T19" i="3"/>
  <c r="Z19" i="3" s="1"/>
  <c r="J19" i="3"/>
  <c r="I19" i="3"/>
  <c r="M19" i="3" s="1"/>
  <c r="D19" i="3"/>
  <c r="H19" i="3" s="1"/>
  <c r="V18" i="3"/>
  <c r="AB18" i="3" s="1"/>
  <c r="T18" i="3"/>
  <c r="Z18" i="3" s="1"/>
  <c r="J18" i="3"/>
  <c r="I18" i="3"/>
  <c r="M18" i="3" s="1"/>
  <c r="D18" i="3"/>
  <c r="H18" i="3" s="1"/>
  <c r="V17" i="3"/>
  <c r="AB17" i="3" s="1"/>
  <c r="T17" i="3"/>
  <c r="Z17" i="3" s="1"/>
  <c r="J17" i="3"/>
  <c r="I17" i="3"/>
  <c r="M17" i="3" s="1"/>
  <c r="D17" i="3"/>
  <c r="H17" i="3" s="1"/>
  <c r="V16" i="3"/>
  <c r="AB16" i="3" s="1"/>
  <c r="T16" i="3"/>
  <c r="Z16" i="3" s="1"/>
  <c r="J16" i="3"/>
  <c r="I16" i="3"/>
  <c r="M16" i="3" s="1"/>
  <c r="D16" i="3"/>
  <c r="H16" i="3" s="1"/>
  <c r="V15" i="3"/>
  <c r="AB15" i="3" s="1"/>
  <c r="T15" i="3"/>
  <c r="Z15" i="3" s="1"/>
  <c r="J15" i="3"/>
  <c r="I15" i="3"/>
  <c r="M15" i="3" s="1"/>
  <c r="D15" i="3"/>
  <c r="H15" i="3" s="1"/>
  <c r="V14" i="3"/>
  <c r="AB14" i="3" s="1"/>
  <c r="T14" i="3"/>
  <c r="Z14" i="3" s="1"/>
  <c r="J14" i="3"/>
  <c r="I14" i="3"/>
  <c r="M14" i="3" s="1"/>
  <c r="D14" i="3"/>
  <c r="H14" i="3" s="1"/>
  <c r="V13" i="3"/>
  <c r="AB13" i="3" s="1"/>
  <c r="T13" i="3"/>
  <c r="Z13" i="3" s="1"/>
  <c r="J13" i="3"/>
  <c r="I13" i="3"/>
  <c r="M13" i="3" s="1"/>
  <c r="D13" i="3"/>
  <c r="H13" i="3" s="1"/>
  <c r="V12" i="3"/>
  <c r="AB12" i="3" s="1"/>
  <c r="T12" i="3"/>
  <c r="Z12" i="3" s="1"/>
  <c r="J12" i="3"/>
  <c r="I12" i="3"/>
  <c r="D12" i="3"/>
  <c r="G12" i="3" s="1"/>
  <c r="AK54" i="3" l="1"/>
  <c r="AK42" i="3"/>
  <c r="AK18" i="3"/>
  <c r="AK68" i="3"/>
  <c r="AK56" i="3"/>
  <c r="AK44" i="3"/>
  <c r="AK32" i="3"/>
  <c r="AK20" i="3"/>
  <c r="AK67" i="3"/>
  <c r="AK55" i="3"/>
  <c r="AK43" i="3"/>
  <c r="AK31" i="3"/>
  <c r="AK19" i="3"/>
  <c r="AK72" i="3"/>
  <c r="AK60" i="3"/>
  <c r="AK48" i="3"/>
  <c r="AK36" i="3"/>
  <c r="AK24" i="3"/>
  <c r="AK71" i="3"/>
  <c r="AK59" i="3"/>
  <c r="AK47" i="3"/>
  <c r="AK35" i="3"/>
  <c r="AK23" i="3"/>
  <c r="AE46" i="3"/>
  <c r="AE16" i="3"/>
  <c r="AE28" i="3"/>
  <c r="AE38" i="3"/>
  <c r="AE22" i="3"/>
  <c r="AE63" i="3"/>
  <c r="AE41" i="3"/>
  <c r="AE15" i="3"/>
  <c r="AE50" i="3"/>
  <c r="AE27" i="3"/>
  <c r="AE43" i="3"/>
  <c r="AE56" i="3"/>
  <c r="AE18" i="3"/>
  <c r="AE20" i="3"/>
  <c r="AE32" i="3"/>
  <c r="AE65" i="3"/>
  <c r="AE13" i="3"/>
  <c r="AE30" i="3"/>
  <c r="AE51" i="3"/>
  <c r="AE24" i="3"/>
  <c r="AE57" i="3"/>
  <c r="AE17" i="3"/>
  <c r="AE29" i="3"/>
  <c r="AE36" i="3"/>
  <c r="AE68" i="3"/>
  <c r="AE34" i="3"/>
  <c r="AE58" i="3"/>
  <c r="AE55" i="3"/>
  <c r="AE45" i="3"/>
  <c r="AE69" i="3"/>
  <c r="AE42" i="3"/>
  <c r="AE25" i="3"/>
  <c r="AE67" i="3"/>
  <c r="AE37" i="3"/>
  <c r="AE59" i="3"/>
  <c r="AE23" i="3"/>
  <c r="AE48" i="3"/>
  <c r="AE70" i="3"/>
  <c r="AE35" i="3"/>
  <c r="AE60" i="3"/>
  <c r="AE64" i="3"/>
  <c r="AE52" i="3"/>
  <c r="AE40" i="3"/>
  <c r="AE33" i="3"/>
  <c r="AE54" i="3"/>
  <c r="AE66" i="3"/>
  <c r="AE47" i="3"/>
  <c r="AE14" i="3"/>
  <c r="AE26" i="3"/>
  <c r="AE39" i="3"/>
  <c r="AE31" i="3"/>
  <c r="AE44" i="3"/>
  <c r="AE53" i="3"/>
  <c r="AE61" i="3"/>
  <c r="AE19" i="3"/>
  <c r="AE71" i="3"/>
  <c r="Y21" i="3"/>
  <c r="G52" i="3"/>
  <c r="Z21" i="3"/>
  <c r="AE21" i="3" s="1"/>
  <c r="AE12" i="3"/>
  <c r="AD75" i="3"/>
  <c r="AB73" i="3"/>
  <c r="AB75" i="3" s="1"/>
  <c r="Y64" i="3"/>
  <c r="Y19" i="3"/>
  <c r="Y23" i="3"/>
  <c r="G16" i="3"/>
  <c r="G17" i="3"/>
  <c r="G13" i="3"/>
  <c r="Y50" i="3"/>
  <c r="O66" i="3"/>
  <c r="Y25" i="3"/>
  <c r="Y69" i="3"/>
  <c r="G18" i="3"/>
  <c r="G14" i="3"/>
  <c r="H54" i="3"/>
  <c r="K54" i="3" s="1"/>
  <c r="G15" i="3"/>
  <c r="O35" i="3"/>
  <c r="H56" i="3"/>
  <c r="K56" i="3" s="1"/>
  <c r="Y57" i="3"/>
  <c r="Y60" i="3"/>
  <c r="H55" i="3"/>
  <c r="K55" i="3" s="1"/>
  <c r="Y58" i="3"/>
  <c r="Y18" i="3"/>
  <c r="Y20" i="3"/>
  <c r="Y22" i="3"/>
  <c r="Y24" i="3"/>
  <c r="Y26" i="3"/>
  <c r="G28" i="3"/>
  <c r="G29" i="3"/>
  <c r="G30" i="3"/>
  <c r="G31" i="3"/>
  <c r="G32" i="3"/>
  <c r="G33" i="3"/>
  <c r="G34" i="3"/>
  <c r="G36" i="3"/>
  <c r="G37" i="3"/>
  <c r="H40" i="3"/>
  <c r="K40" i="3" s="1"/>
  <c r="H41" i="3"/>
  <c r="K41" i="3" s="1"/>
  <c r="H42" i="3"/>
  <c r="K42" i="3" s="1"/>
  <c r="H43" i="3"/>
  <c r="K43" i="3" s="1"/>
  <c r="H44" i="3"/>
  <c r="K44" i="3" s="1"/>
  <c r="H45" i="3"/>
  <c r="K45" i="3" s="1"/>
  <c r="H46" i="3"/>
  <c r="K46" i="3" s="1"/>
  <c r="H47" i="3"/>
  <c r="K47" i="3" s="1"/>
  <c r="H48" i="3"/>
  <c r="K48" i="3" s="1"/>
  <c r="H49" i="3"/>
  <c r="K49" i="3" s="1"/>
  <c r="O62" i="3"/>
  <c r="P62" i="3"/>
  <c r="T62" i="3" s="1"/>
  <c r="Y66" i="3"/>
  <c r="Y67" i="3"/>
  <c r="Y68" i="3"/>
  <c r="D75" i="3"/>
  <c r="I75" i="3"/>
  <c r="Y12" i="3"/>
  <c r="Y13" i="3"/>
  <c r="Y14" i="3"/>
  <c r="Y15" i="3"/>
  <c r="Y16" i="3"/>
  <c r="Y17" i="3"/>
  <c r="G19" i="3"/>
  <c r="G20" i="3"/>
  <c r="G21" i="3"/>
  <c r="G22" i="3"/>
  <c r="G23" i="3"/>
  <c r="G24" i="3"/>
  <c r="G25" i="3"/>
  <c r="G26" i="3"/>
  <c r="G27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G50" i="3"/>
  <c r="G51" i="3"/>
  <c r="Y51" i="3"/>
  <c r="Y52" i="3"/>
  <c r="Y59" i="3"/>
  <c r="O61" i="3"/>
  <c r="Y61" i="3"/>
  <c r="O63" i="3"/>
  <c r="Y63" i="3"/>
  <c r="Y65" i="3"/>
  <c r="Y70" i="3"/>
  <c r="L19" i="3"/>
  <c r="O19" i="3" s="1"/>
  <c r="K19" i="3"/>
  <c r="L20" i="3"/>
  <c r="O20" i="3" s="1"/>
  <c r="K20" i="3"/>
  <c r="L21" i="3"/>
  <c r="O21" i="3" s="1"/>
  <c r="K21" i="3"/>
  <c r="L22" i="3"/>
  <c r="O22" i="3" s="1"/>
  <c r="K22" i="3"/>
  <c r="L23" i="3"/>
  <c r="O23" i="3" s="1"/>
  <c r="K23" i="3"/>
  <c r="L24" i="3"/>
  <c r="O24" i="3" s="1"/>
  <c r="K24" i="3"/>
  <c r="L25" i="3"/>
  <c r="O25" i="3" s="1"/>
  <c r="K25" i="3"/>
  <c r="L26" i="3"/>
  <c r="O26" i="3" s="1"/>
  <c r="K26" i="3"/>
  <c r="L27" i="3"/>
  <c r="O27" i="3" s="1"/>
  <c r="K27" i="3"/>
  <c r="L13" i="3"/>
  <c r="O13" i="3" s="1"/>
  <c r="K13" i="3"/>
  <c r="L14" i="3"/>
  <c r="O14" i="3" s="1"/>
  <c r="K14" i="3"/>
  <c r="L15" i="3"/>
  <c r="O15" i="3" s="1"/>
  <c r="K15" i="3"/>
  <c r="L16" i="3"/>
  <c r="O16" i="3" s="1"/>
  <c r="K16" i="3"/>
  <c r="L17" i="3"/>
  <c r="O17" i="3" s="1"/>
  <c r="K17" i="3"/>
  <c r="L18" i="3"/>
  <c r="O18" i="3" s="1"/>
  <c r="K18" i="3"/>
  <c r="L28" i="3"/>
  <c r="O28" i="3" s="1"/>
  <c r="K28" i="3"/>
  <c r="L29" i="3"/>
  <c r="O29" i="3" s="1"/>
  <c r="K29" i="3"/>
  <c r="L30" i="3"/>
  <c r="O30" i="3" s="1"/>
  <c r="K30" i="3"/>
  <c r="L31" i="3"/>
  <c r="O31" i="3" s="1"/>
  <c r="K31" i="3"/>
  <c r="L32" i="3"/>
  <c r="O32" i="3" s="1"/>
  <c r="K32" i="3"/>
  <c r="L33" i="3"/>
  <c r="O33" i="3" s="1"/>
  <c r="K33" i="3"/>
  <c r="L34" i="3"/>
  <c r="O34" i="3" s="1"/>
  <c r="K34" i="3"/>
  <c r="L36" i="3"/>
  <c r="O36" i="3" s="1"/>
  <c r="K36" i="3"/>
  <c r="L37" i="3"/>
  <c r="O37" i="3" s="1"/>
  <c r="K37" i="3"/>
  <c r="M12" i="3"/>
  <c r="M75" i="3" s="1"/>
  <c r="K35" i="3"/>
  <c r="O50" i="3"/>
  <c r="K50" i="3"/>
  <c r="O52" i="3"/>
  <c r="K52" i="3"/>
  <c r="H12" i="3"/>
  <c r="J75" i="3"/>
  <c r="V75" i="3"/>
  <c r="Y40" i="3"/>
  <c r="Y41" i="3"/>
  <c r="Y42" i="3"/>
  <c r="Y43" i="3"/>
  <c r="Y44" i="3"/>
  <c r="Y45" i="3"/>
  <c r="Y46" i="3"/>
  <c r="Y47" i="3"/>
  <c r="Y48" i="3"/>
  <c r="O51" i="3"/>
  <c r="K51" i="3"/>
  <c r="Y53" i="3"/>
  <c r="Y54" i="3"/>
  <c r="Y55" i="3"/>
  <c r="Y56" i="3"/>
  <c r="H57" i="3"/>
  <c r="O64" i="3"/>
  <c r="AK75" i="3" l="1"/>
  <c r="L46" i="3"/>
  <c r="O46" i="3" s="1"/>
  <c r="L40" i="3"/>
  <c r="O40" i="3" s="1"/>
  <c r="L45" i="3"/>
  <c r="O45" i="3" s="1"/>
  <c r="AE73" i="3"/>
  <c r="L42" i="3"/>
  <c r="O42" i="3" s="1"/>
  <c r="Y62" i="3"/>
  <c r="Z62" i="3"/>
  <c r="AE62" i="3" s="1"/>
  <c r="L56" i="3"/>
  <c r="O56" i="3" s="1"/>
  <c r="L48" i="3"/>
  <c r="O48" i="3" s="1"/>
  <c r="L55" i="3"/>
  <c r="O55" i="3" s="1"/>
  <c r="L44" i="3"/>
  <c r="O44" i="3" s="1"/>
  <c r="L47" i="3"/>
  <c r="O47" i="3" s="1"/>
  <c r="L43" i="3"/>
  <c r="O43" i="3" s="1"/>
  <c r="L54" i="3"/>
  <c r="O54" i="3" s="1"/>
  <c r="L49" i="3"/>
  <c r="O49" i="3" s="1"/>
  <c r="L41" i="3"/>
  <c r="O41" i="3" s="1"/>
  <c r="G75" i="3"/>
  <c r="H75" i="3"/>
  <c r="L12" i="3"/>
  <c r="K12" i="3"/>
  <c r="K57" i="3"/>
  <c r="L57" i="3"/>
  <c r="O57" i="3" s="1"/>
  <c r="P49" i="3" l="1"/>
  <c r="P75" i="3" s="1"/>
  <c r="L75" i="3"/>
  <c r="O12" i="3"/>
  <c r="O75" i="3" s="1"/>
  <c r="K75" i="3"/>
  <c r="T49" i="3" l="1"/>
  <c r="Y49" i="3" l="1"/>
  <c r="Y75" i="3" s="1"/>
  <c r="Z49" i="3"/>
  <c r="Z75" i="3" l="1"/>
  <c r="AE49" i="3"/>
  <c r="AE75" i="3" s="1"/>
  <c r="T75" i="3"/>
</calcChain>
</file>

<file path=xl/sharedStrings.xml><?xml version="1.0" encoding="utf-8"?>
<sst xmlns="http://schemas.openxmlformats.org/spreadsheetml/2006/main" count="277" uniqueCount="151">
  <si>
    <t>Gemeente Dongen polisnummer 649799708</t>
  </si>
  <si>
    <t>Indexcijfer 2017</t>
  </si>
  <si>
    <t>Indexcijfer 2021</t>
  </si>
  <si>
    <t>Indexcijfer 2018</t>
  </si>
  <si>
    <t>Indexcijfer 2019</t>
  </si>
  <si>
    <t>Indexcijfer 2020</t>
  </si>
  <si>
    <t>Omschrijving</t>
  </si>
  <si>
    <t>Adres</t>
  </si>
  <si>
    <t>Gebouwen</t>
  </si>
  <si>
    <t>Inventaris</t>
  </si>
  <si>
    <t>Opruimingskosten</t>
  </si>
  <si>
    <t>Totaal</t>
  </si>
  <si>
    <t>Taxatie</t>
  </si>
  <si>
    <t>Beveiligingsinstallatie</t>
  </si>
  <si>
    <t>Brandmeldinstallatie</t>
  </si>
  <si>
    <t>Aantal zonnepanelen</t>
  </si>
  <si>
    <t>Brandweerkazerne met bovenwoning en leslokaal</t>
  </si>
  <si>
    <t>Oude Baan 21, 21A, 21B</t>
  </si>
  <si>
    <t>ja</t>
  </si>
  <si>
    <t>nee</t>
  </si>
  <si>
    <t>Brandweerkazerne</t>
  </si>
  <si>
    <t>Molendijk 3</t>
  </si>
  <si>
    <t>Kleedgebouw de Biezen (tennis)</t>
  </si>
  <si>
    <t>Procureurweg 2A</t>
  </si>
  <si>
    <t xml:space="preserve">nee </t>
  </si>
  <si>
    <t>Manege Crispijn</t>
  </si>
  <si>
    <t>Crispijnhof 9</t>
  </si>
  <si>
    <t>Verplaatsbare muziektent</t>
  </si>
  <si>
    <t>Hoofdstraat 2</t>
  </si>
  <si>
    <t>nvt</t>
  </si>
  <si>
    <t>Toren hervormde Kerk</t>
  </si>
  <si>
    <t>Kerkstraat 52</t>
  </si>
  <si>
    <t>Kerktoren</t>
  </si>
  <si>
    <t>Kerkdijk 15</t>
  </si>
  <si>
    <t>Pomphuisje plantsoenendienst</t>
  </si>
  <si>
    <t>Opslagplaats plantsoenendienst</t>
  </si>
  <si>
    <t>Sluisweg 42</t>
  </si>
  <si>
    <t>Julianalaan 2</t>
  </si>
  <si>
    <t>Unit t.b.v. personeel</t>
  </si>
  <si>
    <t>Hertog Jan straat tegenover 39</t>
  </si>
  <si>
    <t>Jeugdcentrum</t>
  </si>
  <si>
    <t>Vaartweg 87A</t>
  </si>
  <si>
    <t>Gasthuisstraat 3</t>
  </si>
  <si>
    <t>ontruiming inst.</t>
  </si>
  <si>
    <t>Bejaardensocieteit</t>
  </si>
  <si>
    <t>Nieuwstraat 7</t>
  </si>
  <si>
    <t>Peuterspeelzaal</t>
  </si>
  <si>
    <t>Prinsenstraat 1</t>
  </si>
  <si>
    <t>DienstgebouwStiltecentrum, loods en prefabschuur begraafplaats</t>
  </si>
  <si>
    <t>Groenstraat 14A</t>
  </si>
  <si>
    <t>Sportzaal en kleedgebouw de Vaart</t>
  </si>
  <si>
    <t>Vaartweg 119</t>
  </si>
  <si>
    <t>Sportcomplex</t>
  </si>
  <si>
    <t>Belgiëlaan 2 + 2A</t>
  </si>
  <si>
    <t>Voliere</t>
  </si>
  <si>
    <t>Nieuwstraat 9</t>
  </si>
  <si>
    <t>Nutsgebouw</t>
  </si>
  <si>
    <t>Veenbies 10-18</t>
  </si>
  <si>
    <t>Bevrijdingskapel</t>
  </si>
  <si>
    <t>Nieuwstraat 11</t>
  </si>
  <si>
    <t>Dorpshuis</t>
  </si>
  <si>
    <t>Hoofdstraat 4</t>
  </si>
  <si>
    <t>Gemeentehuis</t>
  </si>
  <si>
    <t>Hoge Ham 62</t>
  </si>
  <si>
    <t>Multifunctioneel gebouw</t>
  </si>
  <si>
    <t>Hoge Ham 126</t>
  </si>
  <si>
    <t>228+280 geintegreerd</t>
  </si>
  <si>
    <t>Werkplaats Openbare Werken</t>
  </si>
  <si>
    <t>Hoofdstraat 25</t>
  </si>
  <si>
    <t>Gemeentewerf hoofdgebouw 1</t>
  </si>
  <si>
    <t>de Hak 16</t>
  </si>
  <si>
    <t>Gemeentewerf gebouw 2</t>
  </si>
  <si>
    <t>Gemeentewerf gebouw 3</t>
  </si>
  <si>
    <t>OBS Westerkim</t>
  </si>
  <si>
    <t>Vermeerstraat 1</t>
  </si>
  <si>
    <t>Veld 40</t>
  </si>
  <si>
    <t>BBS H. Hart</t>
  </si>
  <si>
    <t>Schoolstraat 2</t>
  </si>
  <si>
    <t>OBS De Springplank</t>
  </si>
  <si>
    <t>Grutterijstraat 22</t>
  </si>
  <si>
    <t>BBS St. Jan</t>
  </si>
  <si>
    <t>Wilgenstraat 1</t>
  </si>
  <si>
    <t>BBS St. Jan +fietsenberging</t>
  </si>
  <si>
    <t>Kastanjestraat 26</t>
  </si>
  <si>
    <t>Gymlokaal</t>
  </si>
  <si>
    <t>Otterdonk 5</t>
  </si>
  <si>
    <t>BBS de Vlinderboom+berging</t>
  </si>
  <si>
    <t>Hortensiastraat 2</t>
  </si>
  <si>
    <t>Fietsenstalling</t>
  </si>
  <si>
    <t>BBS St. Agnes+fietsenstalling</t>
  </si>
  <si>
    <t>Vaartweg 104</t>
  </si>
  <si>
    <t>Kerkstraat 60</t>
  </si>
  <si>
    <t>BBS Achterberg, fietsenstalling en bijgebouw</t>
  </si>
  <si>
    <t>St. Josephstraat 62</t>
  </si>
  <si>
    <t>Gymzaal Kelly van Zonzaal</t>
  </si>
  <si>
    <t>St. Josephstraat 62C</t>
  </si>
  <si>
    <t>BBS de Wegwijzer</t>
  </si>
  <si>
    <t>Grutterijstraat 27</t>
  </si>
  <si>
    <t>Kantoorgebouw</t>
  </si>
  <si>
    <t>Molendijk 3A</t>
  </si>
  <si>
    <t>Gymlokaal de Biezen</t>
  </si>
  <si>
    <t>Otterdonk 3</t>
  </si>
  <si>
    <t>Gymlokaal Wielstraat</t>
  </si>
  <si>
    <t>Wielstraat 29C</t>
  </si>
  <si>
    <t>Keet plantsoenendienst t Wiel</t>
  </si>
  <si>
    <t>Wielstraat, achter 29</t>
  </si>
  <si>
    <t>Danielsweg 1</t>
  </si>
  <si>
    <t>Opslag buitendienst</t>
  </si>
  <si>
    <t>Dwarsweg 8</t>
  </si>
  <si>
    <t>Kwadrant SG: Cambreurcollege gebouw B</t>
  </si>
  <si>
    <t>Mgr. Schaepmanlaan 2</t>
  </si>
  <si>
    <t>(Noodcollege)</t>
  </si>
  <si>
    <t>Oude pand (sloopwaarde)</t>
  </si>
  <si>
    <t>Mgr. Schaepmanlaan 13</t>
  </si>
  <si>
    <t>Nieuwbouw inclusief zonnepanelen met installatie</t>
  </si>
  <si>
    <t>Bolkensteeg 7-9</t>
  </si>
  <si>
    <t>Cambreurcollege gebouw c-2 De Bolk</t>
  </si>
  <si>
    <t>Cambreurcollege Gymzaal</t>
  </si>
  <si>
    <t>Bolkensteeg 9</t>
  </si>
  <si>
    <t>Alle locaties</t>
  </si>
  <si>
    <t>Leaseprinters Canon stichting Initia</t>
  </si>
  <si>
    <t>Planetenstraat 25</t>
  </si>
  <si>
    <t xml:space="preserve">Ingangsdatum </t>
  </si>
  <si>
    <t xml:space="preserve">Wat? </t>
  </si>
  <si>
    <t xml:space="preserve">Waar? </t>
  </si>
  <si>
    <t>Opvoer</t>
  </si>
  <si>
    <t>Afvoer</t>
  </si>
  <si>
    <t xml:space="preserve">Afvoer </t>
  </si>
  <si>
    <t>VV Dongen, 2 kunstgras voetbalvelden en inrichting</t>
  </si>
  <si>
    <t xml:space="preserve">Aanhangsel 1 </t>
  </si>
  <si>
    <t>Indexcijfer 2023</t>
  </si>
  <si>
    <t>Index 2022</t>
  </si>
  <si>
    <t xml:space="preserve">Inventaris </t>
  </si>
  <si>
    <t>Totaal 2022</t>
  </si>
  <si>
    <t>Totaal 2023</t>
  </si>
  <si>
    <t>Index Q4-2023</t>
  </si>
  <si>
    <t>Totaal 2024</t>
  </si>
  <si>
    <t>*2</t>
  </si>
  <si>
    <t>*3</t>
  </si>
  <si>
    <t>*1</t>
  </si>
  <si>
    <t>*4</t>
  </si>
  <si>
    <t>Nb, zijn we bezig met opvragen offertes voor de inventaris taxatie en evt gebouwen taxatie.</t>
  </si>
  <si>
    <t>*5</t>
  </si>
  <si>
    <t>Cambreurcollege gebouw c-1 (inventaris van Biezenkring)</t>
  </si>
  <si>
    <t>BBS Noorderpoort (gesloopt)+fietsenstalling aanwezig.</t>
  </si>
  <si>
    <t>OBS Biezenkring (pand staat leeg, inventaris naar Bolkensteeg 7-9)</t>
  </si>
  <si>
    <t>BBS J.J. Anspach (nieuwbouw op zelfde plaats, taxatie...) inventaris vraag staat uit.</t>
  </si>
  <si>
    <t>Woning met loods (wordt september gesloopt)</t>
  </si>
  <si>
    <t>Kantoorgebouw (is gesloopt)</t>
  </si>
  <si>
    <t>Hoofdstraat 24 's Gravenmoer</t>
  </si>
  <si>
    <t>Woonhuis (tijdelijk)  en Loods (30-9-2024 aangekocht)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</si>
</sst>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 [$€-2]\ * #,##0.00_ ;_ [$€-2]\ * \-#,##0.00_ ;_ [$€-2]\ * &quot;-&quot;??_ ;_ @_ "/>
    <numFmt numFmtId="166" formatCode="_ * #,##0.0_ ;_ * \-#,##0.0_ ;_ * &quot;-&quot;??_ ;_ @_ "/>
    <numFmt numFmtId="167" formatCode="_-* #,##0.00_-;_-* #,##0.00\-;_-* &quot;-&quot;??_-;_-@_-"/>
    <numFmt numFmtId="168" formatCode="_-&quot;€&quot;\ * #,##0.00_-;_-&quot;€&quot;\ * \-#,##0.00;_-&quot;€&quot;* #0_-;_-@_-"/>
    <numFmt numFmtId="169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8"/>
      <name val="Courier"/>
      <family val="3"/>
    </font>
    <font>
      <sz val="9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4" fillId="0" borderId="0" applyNumberFormat="0" applyFill="0" applyBorder="0" applyAlignment="0" applyProtection="0"/>
    <xf numFmtId="168" fontId="6" fillId="0" borderId="0" applyFont="0" applyFill="0" applyBorder="0" applyAlignment="0" applyProtection="0"/>
    <xf numFmtId="167" fontId="5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164" fontId="0" fillId="0" borderId="0" xfId="1" applyNumberFormat="1" applyFont="1"/>
    <xf numFmtId="0" fontId="0" fillId="0" borderId="1" xfId="0" applyBorder="1"/>
    <xf numFmtId="0" fontId="0" fillId="0" borderId="1" xfId="0" quotePrefix="1" applyBorder="1"/>
    <xf numFmtId="0" fontId="2" fillId="0" borderId="1" xfId="0" applyFont="1" applyBorder="1"/>
    <xf numFmtId="164" fontId="2" fillId="0" borderId="1" xfId="1" applyNumberFormat="1" applyFont="1" applyBorder="1"/>
    <xf numFmtId="165" fontId="0" fillId="0" borderId="1" xfId="1" applyNumberFormat="1" applyFont="1" applyBorder="1"/>
    <xf numFmtId="165" fontId="0" fillId="0" borderId="2" xfId="1" applyNumberFormat="1" applyFont="1" applyBorder="1"/>
    <xf numFmtId="165" fontId="0" fillId="0" borderId="3" xfId="1" applyNumberFormat="1" applyFont="1" applyBorder="1"/>
    <xf numFmtId="165" fontId="0" fillId="0" borderId="0" xfId="1" applyNumberFormat="1" applyFont="1"/>
    <xf numFmtId="44" fontId="0" fillId="0" borderId="1" xfId="2" applyFont="1" applyBorder="1"/>
    <xf numFmtId="44" fontId="0" fillId="0" borderId="2" xfId="2" applyFont="1" applyBorder="1"/>
    <xf numFmtId="44" fontId="0" fillId="0" borderId="3" xfId="2" applyFont="1" applyBorder="1"/>
    <xf numFmtId="165" fontId="0" fillId="0" borderId="4" xfId="1" applyNumberFormat="1" applyFont="1" applyBorder="1"/>
    <xf numFmtId="44" fontId="0" fillId="0" borderId="4" xfId="2" applyFont="1" applyBorder="1"/>
    <xf numFmtId="166" fontId="0" fillId="0" borderId="0" xfId="1" applyNumberFormat="1" applyFont="1"/>
    <xf numFmtId="43" fontId="0" fillId="0" borderId="0" xfId="1" applyFont="1"/>
    <xf numFmtId="43" fontId="2" fillId="0" borderId="1" xfId="1" applyFont="1" applyBorder="1"/>
    <xf numFmtId="43" fontId="0" fillId="0" borderId="1" xfId="1" applyFont="1" applyBorder="1"/>
    <xf numFmtId="44" fontId="0" fillId="0" borderId="1" xfId="0" applyNumberFormat="1" applyBorder="1"/>
    <xf numFmtId="43" fontId="0" fillId="0" borderId="1" xfId="0" applyNumberFormat="1" applyBorder="1"/>
    <xf numFmtId="43" fontId="0" fillId="0" borderId="3" xfId="1" applyFont="1" applyBorder="1"/>
    <xf numFmtId="44" fontId="0" fillId="0" borderId="3" xfId="0" applyNumberFormat="1" applyBorder="1"/>
    <xf numFmtId="43" fontId="0" fillId="0" borderId="3" xfId="0" applyNumberFormat="1" applyBorder="1"/>
    <xf numFmtId="43" fontId="0" fillId="0" borderId="2" xfId="1" applyFont="1" applyBorder="1"/>
    <xf numFmtId="43" fontId="0" fillId="0" borderId="0" xfId="0" applyNumberFormat="1"/>
    <xf numFmtId="0" fontId="0" fillId="2" borderId="1" xfId="0" applyFill="1" applyBorder="1"/>
    <xf numFmtId="165" fontId="0" fillId="2" borderId="4" xfId="1" applyNumberFormat="1" applyFont="1" applyFill="1" applyBorder="1"/>
    <xf numFmtId="44" fontId="0" fillId="2" borderId="4" xfId="2" applyFont="1" applyFill="1" applyBorder="1"/>
    <xf numFmtId="43" fontId="0" fillId="2" borderId="1" xfId="1" applyFont="1" applyFill="1" applyBorder="1"/>
    <xf numFmtId="44" fontId="0" fillId="2" borderId="1" xfId="0" applyNumberFormat="1" applyFill="1" applyBorder="1"/>
    <xf numFmtId="43" fontId="0" fillId="2" borderId="1" xfId="0" applyNumberFormat="1" applyFill="1" applyBorder="1"/>
    <xf numFmtId="165" fontId="0" fillId="2" borderId="1" xfId="1" applyNumberFormat="1" applyFont="1" applyFill="1" applyBorder="1"/>
    <xf numFmtId="44" fontId="0" fillId="2" borderId="1" xfId="2" applyFont="1" applyFill="1" applyBorder="1"/>
    <xf numFmtId="0" fontId="0" fillId="0" borderId="2" xfId="0" applyBorder="1"/>
    <xf numFmtId="0" fontId="0" fillId="0" borderId="5" xfId="0" applyBorder="1"/>
    <xf numFmtId="165" fontId="0" fillId="0" borderId="6" xfId="1" applyNumberFormat="1" applyFont="1" applyBorder="1"/>
    <xf numFmtId="165" fontId="0" fillId="0" borderId="7" xfId="1" applyNumberFormat="1" applyFont="1" applyBorder="1"/>
    <xf numFmtId="165" fontId="0" fillId="0" borderId="1" xfId="1" applyNumberFormat="1" applyFont="1" applyFill="1" applyBorder="1"/>
    <xf numFmtId="44" fontId="0" fillId="0" borderId="1" xfId="2" applyFont="1" applyFill="1" applyBorder="1"/>
    <xf numFmtId="43" fontId="0" fillId="0" borderId="1" xfId="1" applyFont="1" applyFill="1" applyBorder="1"/>
    <xf numFmtId="0" fontId="0" fillId="2" borderId="4" xfId="0" applyFill="1" applyBorder="1"/>
    <xf numFmtId="0" fontId="0" fillId="2" borderId="5" xfId="0" applyFill="1" applyBorder="1"/>
    <xf numFmtId="165" fontId="0" fillId="2" borderId="8" xfId="1" applyNumberFormat="1" applyFont="1" applyFill="1" applyBorder="1"/>
    <xf numFmtId="43" fontId="0" fillId="2" borderId="4" xfId="1" applyFont="1" applyFill="1" applyBorder="1"/>
    <xf numFmtId="44" fontId="0" fillId="2" borderId="4" xfId="0" applyNumberFormat="1" applyFill="1" applyBorder="1"/>
    <xf numFmtId="164" fontId="2" fillId="0" borderId="1" xfId="1" applyNumberFormat="1" applyFont="1" applyFill="1" applyBorder="1"/>
    <xf numFmtId="43" fontId="0" fillId="0" borderId="2" xfId="0" applyNumberFormat="1" applyBorder="1"/>
    <xf numFmtId="43" fontId="0" fillId="2" borderId="4" xfId="0" applyNumberFormat="1" applyFill="1" applyBorder="1"/>
    <xf numFmtId="43" fontId="0" fillId="0" borderId="4" xfId="0" applyNumberFormat="1" applyBorder="1"/>
    <xf numFmtId="14" fontId="0" fillId="0" borderId="1" xfId="0" applyNumberFormat="1" applyBorder="1"/>
    <xf numFmtId="14" fontId="0" fillId="0" borderId="4" xfId="0" applyNumberFormat="1" applyBorder="1"/>
    <xf numFmtId="0" fontId="0" fillId="0" borderId="9" xfId="0" applyBorder="1"/>
    <xf numFmtId="164" fontId="2" fillId="0" borderId="3" xfId="1" applyNumberFormat="1" applyFont="1" applyFill="1" applyBorder="1"/>
    <xf numFmtId="0" fontId="0" fillId="0" borderId="10" xfId="0" applyBorder="1"/>
    <xf numFmtId="43" fontId="2" fillId="0" borderId="3" xfId="1" applyFont="1" applyFill="1" applyBorder="1"/>
    <xf numFmtId="0" fontId="0" fillId="0" borderId="11" xfId="0" applyBorder="1"/>
    <xf numFmtId="43" fontId="2" fillId="0" borderId="3" xfId="0" applyNumberFormat="1" applyFont="1" applyBorder="1"/>
    <xf numFmtId="169" fontId="0" fillId="0" borderId="0" xfId="0" applyNumberFormat="1"/>
    <xf numFmtId="15" fontId="0" fillId="0" borderId="0" xfId="0" applyNumberFormat="1"/>
    <xf numFmtId="0" fontId="2" fillId="0" borderId="0" xfId="0" applyFont="1"/>
    <xf numFmtId="43" fontId="2" fillId="0" borderId="12" xfId="0" applyNumberFormat="1" applyFont="1" applyBorder="1"/>
    <xf numFmtId="164" fontId="2" fillId="0" borderId="3" xfId="1" applyNumberFormat="1" applyFont="1" applyFill="1" applyBorder="1" applyAlignment="1">
      <alignment wrapText="1"/>
    </xf>
    <xf numFmtId="164" fontId="0" fillId="0" borderId="0" xfId="1" applyNumberFormat="1" applyFont="1" applyFill="1"/>
    <xf numFmtId="166" fontId="0" fillId="0" borderId="0" xfId="1" applyNumberFormat="1" applyFont="1" applyFill="1"/>
    <xf numFmtId="164" fontId="7" fillId="0" borderId="1" xfId="1" applyNumberFormat="1" applyFont="1" applyFill="1" applyBorder="1"/>
    <xf numFmtId="43" fontId="2" fillId="0" borderId="14" xfId="0" applyNumberFormat="1" applyFont="1" applyBorder="1"/>
    <xf numFmtId="43" fontId="0" fillId="0" borderId="7" xfId="0" applyNumberFormat="1" applyBorder="1"/>
    <xf numFmtId="43" fontId="2" fillId="0" borderId="13" xfId="0" applyNumberFormat="1" applyFont="1" applyBorder="1"/>
    <xf numFmtId="43" fontId="0" fillId="3" borderId="1" xfId="0" applyNumberFormat="1" applyFill="1" applyBorder="1"/>
    <xf numFmtId="164" fontId="2" fillId="4" borderId="1" xfId="1" applyNumberFormat="1" applyFont="1" applyFill="1" applyBorder="1"/>
    <xf numFmtId="43" fontId="0" fillId="0" borderId="1" xfId="0" applyNumberFormat="1" applyFill="1" applyBorder="1"/>
    <xf numFmtId="0" fontId="0" fillId="5" borderId="1" xfId="0" applyFill="1" applyBorder="1"/>
    <xf numFmtId="0" fontId="0" fillId="0" borderId="0" xfId="0" applyAlignment="1">
      <alignment horizontal="right"/>
    </xf>
    <xf numFmtId="0" fontId="0" fillId="0" borderId="1" xfId="0" applyFill="1" applyBorder="1"/>
    <xf numFmtId="0" fontId="8" fillId="0" borderId="0" xfId="0" applyFont="1" applyAlignment="1">
      <alignment horizontal="right"/>
    </xf>
    <xf numFmtId="0" fontId="8" fillId="0" borderId="5" xfId="0" applyFont="1" applyFill="1" applyBorder="1"/>
    <xf numFmtId="0" fontId="8" fillId="2" borderId="4" xfId="0" applyFont="1" applyFill="1" applyBorder="1"/>
    <xf numFmtId="165" fontId="8" fillId="2" borderId="8" xfId="1" applyNumberFormat="1" applyFont="1" applyFill="1" applyBorder="1"/>
    <xf numFmtId="44" fontId="8" fillId="2" borderId="4" xfId="2" applyFont="1" applyFill="1" applyBorder="1"/>
    <xf numFmtId="165" fontId="8" fillId="2" borderId="4" xfId="1" applyNumberFormat="1" applyFont="1" applyFill="1" applyBorder="1"/>
    <xf numFmtId="43" fontId="8" fillId="2" borderId="4" xfId="1" applyFont="1" applyFill="1" applyBorder="1"/>
    <xf numFmtId="44" fontId="8" fillId="2" borderId="4" xfId="0" applyNumberFormat="1" applyFont="1" applyFill="1" applyBorder="1"/>
    <xf numFmtId="43" fontId="8" fillId="2" borderId="4" xfId="0" applyNumberFormat="1" applyFont="1" applyFill="1" applyBorder="1"/>
    <xf numFmtId="43" fontId="8" fillId="0" borderId="4" xfId="0" applyNumberFormat="1" applyFont="1" applyBorder="1"/>
    <xf numFmtId="14" fontId="8" fillId="0" borderId="4" xfId="0" applyNumberFormat="1" applyFont="1" applyBorder="1"/>
    <xf numFmtId="43" fontId="8" fillId="0" borderId="1" xfId="0" applyNumberFormat="1" applyFont="1" applyBorder="1"/>
    <xf numFmtId="0" fontId="8" fillId="0" borderId="0" xfId="0" applyFont="1"/>
    <xf numFmtId="0" fontId="0" fillId="0" borderId="0" xfId="0" applyFill="1"/>
    <xf numFmtId="0" fontId="2" fillId="5" borderId="9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/>
  </cellXfs>
  <cellStyles count="8">
    <cellStyle name="Euro" xfId="6" xr:uid="{92138D93-0868-4DE0-B693-E8D4F33F0D5F}"/>
    <cellStyle name="Hyperlink 2" xfId="5" xr:uid="{7AFF46C5-BE59-4433-BFFD-90D86A11015F}"/>
    <cellStyle name="Komma" xfId="1" builtinId="3"/>
    <cellStyle name="Komma 2" xfId="7" xr:uid="{F8D14A80-00EE-4A67-A23F-F453838C798A}"/>
    <cellStyle name="Komma 3" xfId="3" xr:uid="{B299D175-B266-4965-A528-E9446BDBCEC6}"/>
    <cellStyle name="Standaard" xfId="0" builtinId="0"/>
    <cellStyle name="Standaard 4" xfId="4" xr:uid="{134303DE-E086-47C3-890D-0B464EEB314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6EFC1-97E3-4009-98E3-3A107F0CF5E8}">
  <sheetPr>
    <pageSetUpPr fitToPage="1"/>
  </sheetPr>
  <dimension ref="A6:AO89"/>
  <sheetViews>
    <sheetView showGridLines="0" tabSelected="1" zoomScale="84" zoomScaleNormal="84" workbookViewId="0">
      <pane ySplit="11" topLeftCell="A12" activePane="bottomLeft" state="frozen"/>
      <selection pane="bottomLeft" activeCell="AB79" sqref="AB79"/>
    </sheetView>
  </sheetViews>
  <sheetFormatPr defaultColWidth="9.140625" defaultRowHeight="15" x14ac:dyDescent="0.25"/>
  <cols>
    <col min="2" max="2" width="64.42578125" customWidth="1"/>
    <col min="3" max="3" width="28.28515625" bestFit="1" customWidth="1"/>
    <col min="4" max="4" width="15.140625" style="2" hidden="1" customWidth="1"/>
    <col min="5" max="5" width="14.140625" style="2" hidden="1" customWidth="1"/>
    <col min="6" max="6" width="18.42578125" style="2" hidden="1" customWidth="1"/>
    <col min="7" max="7" width="15.140625" style="2" hidden="1" customWidth="1"/>
    <col min="8" max="8" width="16" style="17" hidden="1" customWidth="1"/>
    <col min="9" max="9" width="14.140625" hidden="1" customWidth="1"/>
    <col min="10" max="10" width="18.42578125" hidden="1" customWidth="1"/>
    <col min="11" max="13" width="15.28515625" hidden="1" customWidth="1"/>
    <col min="14" max="14" width="18.42578125" hidden="1" customWidth="1"/>
    <col min="15" max="16" width="15.28515625" hidden="1" customWidth="1"/>
    <col min="17" max="17" width="11.42578125" hidden="1" customWidth="1"/>
    <col min="18" max="18" width="15.28515625" hidden="1" customWidth="1"/>
    <col min="19" max="20" width="18.42578125" hidden="1" customWidth="1"/>
    <col min="21" max="21" width="9.28515625" hidden="1" customWidth="1"/>
    <col min="22" max="22" width="18.42578125" hidden="1" customWidth="1"/>
    <col min="23" max="23" width="9.42578125" hidden="1" customWidth="1"/>
    <col min="24" max="24" width="18.42578125" hidden="1" customWidth="1"/>
    <col min="25" max="25" width="15.28515625" hidden="1" customWidth="1"/>
    <col min="26" max="26" width="18.42578125" customWidth="1"/>
    <col min="27" max="27" width="13.5703125" customWidth="1"/>
    <col min="28" max="28" width="18.42578125" customWidth="1"/>
    <col min="29" max="29" width="10.5703125" customWidth="1"/>
    <col min="30" max="30" width="18.42578125" customWidth="1"/>
    <col min="31" max="38" width="15.28515625" customWidth="1"/>
    <col min="39" max="39" width="21.85546875" bestFit="1" customWidth="1"/>
    <col min="40" max="40" width="20.7109375" bestFit="1" customWidth="1"/>
    <col min="41" max="41" width="21" bestFit="1" customWidth="1"/>
  </cols>
  <sheetData>
    <row r="6" spans="2:41" ht="20.25" x14ac:dyDescent="0.3">
      <c r="B6" s="1" t="s">
        <v>0</v>
      </c>
      <c r="F6" s="16"/>
      <c r="L6" s="2" t="s">
        <v>1</v>
      </c>
      <c r="M6" s="16">
        <v>121.1</v>
      </c>
      <c r="N6" s="2" t="s">
        <v>2</v>
      </c>
      <c r="O6" s="16">
        <v>108</v>
      </c>
      <c r="P6" s="2"/>
      <c r="Q6" s="2"/>
      <c r="R6" s="16"/>
      <c r="S6" s="2"/>
      <c r="T6" s="2"/>
      <c r="U6" s="2"/>
      <c r="V6" s="2"/>
      <c r="W6" s="2"/>
      <c r="X6" s="2"/>
      <c r="Y6" s="16"/>
      <c r="Z6" s="64"/>
      <c r="AA6" s="2"/>
      <c r="AB6" s="64"/>
      <c r="AC6" s="2"/>
      <c r="AD6" s="2"/>
      <c r="AE6" s="65"/>
      <c r="AF6" s="65"/>
      <c r="AG6" s="65"/>
      <c r="AH6" s="65"/>
      <c r="AI6" s="65"/>
      <c r="AJ6" s="65"/>
      <c r="AK6" s="65"/>
      <c r="AL6" s="16"/>
    </row>
    <row r="7" spans="2:41" x14ac:dyDescent="0.25">
      <c r="B7" t="s">
        <v>129</v>
      </c>
      <c r="F7" s="16"/>
      <c r="L7" s="2" t="s">
        <v>3</v>
      </c>
      <c r="M7" s="16">
        <v>123.7</v>
      </c>
      <c r="P7" s="2"/>
      <c r="Q7" s="2"/>
      <c r="R7" s="16"/>
    </row>
    <row r="8" spans="2:41" x14ac:dyDescent="0.25">
      <c r="F8" s="16"/>
      <c r="L8" s="2" t="s">
        <v>4</v>
      </c>
      <c r="M8" s="16">
        <v>139.1</v>
      </c>
      <c r="P8" s="2"/>
      <c r="Q8" s="2"/>
      <c r="R8" s="16"/>
    </row>
    <row r="9" spans="2:41" x14ac:dyDescent="0.25">
      <c r="F9" s="16"/>
      <c r="L9" s="2" t="s">
        <v>5</v>
      </c>
      <c r="M9" s="16">
        <v>105</v>
      </c>
      <c r="P9" s="2"/>
      <c r="Q9" s="2"/>
      <c r="R9" s="16"/>
    </row>
    <row r="10" spans="2:41" x14ac:dyDescent="0.25">
      <c r="L10" s="91">
        <v>2020</v>
      </c>
      <c r="M10" s="92"/>
      <c r="N10" s="92"/>
      <c r="O10" s="92"/>
      <c r="P10" s="93">
        <v>2021</v>
      </c>
      <c r="Q10" s="94"/>
      <c r="R10" s="94"/>
      <c r="S10" s="95"/>
      <c r="T10" s="93">
        <v>2022</v>
      </c>
      <c r="U10" s="94"/>
      <c r="V10" s="94"/>
      <c r="W10" s="94"/>
      <c r="X10" s="94"/>
      <c r="Y10" s="97"/>
      <c r="Z10" s="93">
        <v>2023</v>
      </c>
      <c r="AA10" s="94"/>
      <c r="AB10" s="94"/>
      <c r="AC10" s="94"/>
      <c r="AD10" s="94"/>
      <c r="AE10" s="96"/>
      <c r="AF10" s="90">
        <v>2024</v>
      </c>
      <c r="AG10" s="90"/>
      <c r="AH10" s="90"/>
      <c r="AI10" s="90"/>
      <c r="AJ10" s="90"/>
      <c r="AK10" s="90"/>
      <c r="AL10" s="57"/>
      <c r="AM10" s="53"/>
      <c r="AN10" s="53"/>
      <c r="AO10" s="55"/>
    </row>
    <row r="11" spans="2:41" ht="42.6" customHeight="1" x14ac:dyDescent="0.25">
      <c r="B11" s="5" t="s">
        <v>6</v>
      </c>
      <c r="C11" s="5" t="s">
        <v>7</v>
      </c>
      <c r="D11" s="6" t="s">
        <v>8</v>
      </c>
      <c r="E11" s="6" t="s">
        <v>9</v>
      </c>
      <c r="F11" s="6" t="s">
        <v>10</v>
      </c>
      <c r="G11" s="6" t="s">
        <v>11</v>
      </c>
      <c r="H11" s="18" t="s">
        <v>8</v>
      </c>
      <c r="I11" s="6" t="s">
        <v>9</v>
      </c>
      <c r="J11" s="6" t="s">
        <v>10</v>
      </c>
      <c r="K11" s="6" t="s">
        <v>11</v>
      </c>
      <c r="L11" s="18" t="s">
        <v>8</v>
      </c>
      <c r="M11" s="6" t="s">
        <v>9</v>
      </c>
      <c r="N11" s="6" t="s">
        <v>10</v>
      </c>
      <c r="O11" s="6" t="s">
        <v>11</v>
      </c>
      <c r="P11" s="56" t="s">
        <v>8</v>
      </c>
      <c r="Q11" s="56" t="s">
        <v>12</v>
      </c>
      <c r="R11" s="54" t="s">
        <v>9</v>
      </c>
      <c r="S11" s="54" t="s">
        <v>10</v>
      </c>
      <c r="T11" s="54" t="s">
        <v>8</v>
      </c>
      <c r="U11" s="63" t="s">
        <v>131</v>
      </c>
      <c r="V11" s="54" t="s">
        <v>132</v>
      </c>
      <c r="W11" s="63" t="s">
        <v>131</v>
      </c>
      <c r="X11" s="54" t="s">
        <v>10</v>
      </c>
      <c r="Y11" s="47" t="s">
        <v>133</v>
      </c>
      <c r="Z11" s="54" t="s">
        <v>8</v>
      </c>
      <c r="AA11" s="63" t="s">
        <v>130</v>
      </c>
      <c r="AB11" s="54" t="s">
        <v>9</v>
      </c>
      <c r="AC11" s="63" t="s">
        <v>130</v>
      </c>
      <c r="AD11" s="54" t="s">
        <v>10</v>
      </c>
      <c r="AE11" s="47" t="s">
        <v>134</v>
      </c>
      <c r="AF11" s="47" t="s">
        <v>8</v>
      </c>
      <c r="AG11" s="66" t="s">
        <v>135</v>
      </c>
      <c r="AH11" s="47" t="s">
        <v>9</v>
      </c>
      <c r="AI11" s="66" t="s">
        <v>135</v>
      </c>
      <c r="AJ11" s="47" t="s">
        <v>10</v>
      </c>
      <c r="AK11" s="71" t="s">
        <v>136</v>
      </c>
      <c r="AL11" s="47" t="s">
        <v>12</v>
      </c>
      <c r="AM11" s="54" t="s">
        <v>13</v>
      </c>
      <c r="AN11" s="54" t="s">
        <v>14</v>
      </c>
      <c r="AO11" s="54" t="s">
        <v>15</v>
      </c>
    </row>
    <row r="12" spans="2:41" x14ac:dyDescent="0.25">
      <c r="B12" s="3" t="s">
        <v>16</v>
      </c>
      <c r="C12" s="3" t="s">
        <v>17</v>
      </c>
      <c r="D12" s="7">
        <f>871300/M6*M7</f>
        <v>890006.68868703558</v>
      </c>
      <c r="E12" s="11">
        <v>141000</v>
      </c>
      <c r="F12" s="11"/>
      <c r="G12" s="7">
        <f t="shared" ref="G12:G37" si="0">D12+E12</f>
        <v>1031006.6886870356</v>
      </c>
      <c r="H12" s="19">
        <f t="shared" ref="H12:H37" si="1">ROUND(D12/$M$7*$M$8,-2)</f>
        <v>1000800</v>
      </c>
      <c r="I12" s="20">
        <f t="shared" ref="I12:J34" si="2">E12</f>
        <v>141000</v>
      </c>
      <c r="J12" s="20">
        <f t="shared" si="2"/>
        <v>0</v>
      </c>
      <c r="K12" s="21">
        <f t="shared" ref="K12:K37" si="3">H12+I12+J12</f>
        <v>1141800</v>
      </c>
      <c r="L12" s="21">
        <f t="shared" ref="L12:L37" si="4">ROUND($H12/100*105,-2)</f>
        <v>1050800</v>
      </c>
      <c r="M12" s="21">
        <f t="shared" ref="M12:M37" si="5">$I12</f>
        <v>141000</v>
      </c>
      <c r="N12" s="21"/>
      <c r="O12" s="21">
        <f t="shared" ref="O12:O37" si="6">SUM($L12+$M12)</f>
        <v>1191800</v>
      </c>
      <c r="P12" s="21">
        <v>1435000</v>
      </c>
      <c r="Q12" s="51">
        <v>44314</v>
      </c>
      <c r="R12" s="21"/>
      <c r="S12" s="21"/>
      <c r="T12" s="21">
        <f>SUM(113.9/108*$P12)</f>
        <v>1513393.5185185184</v>
      </c>
      <c r="U12" s="21">
        <v>113.9</v>
      </c>
      <c r="V12" s="21">
        <f>SUM(109.2/103.5*$R12)</f>
        <v>0</v>
      </c>
      <c r="W12" s="21">
        <v>109.2</v>
      </c>
      <c r="X12" s="21"/>
      <c r="Y12" s="21">
        <f>SUM($T12+$V12+$X12)</f>
        <v>1513393.5185185184</v>
      </c>
      <c r="Z12" s="21">
        <f t="shared" ref="Z12:Z43" si="7">T12/U12*AA12</f>
        <v>1647592.5925925924</v>
      </c>
      <c r="AA12" s="21">
        <v>124</v>
      </c>
      <c r="AB12" s="21">
        <f t="shared" ref="AB12:AB43" si="8">V12/W12*AC12</f>
        <v>0</v>
      </c>
      <c r="AC12" s="21">
        <v>122</v>
      </c>
      <c r="AD12" s="21">
        <f t="shared" ref="AD12:AD43" si="9">X12</f>
        <v>0</v>
      </c>
      <c r="AE12" s="72">
        <f t="shared" ref="AE12:AE43" si="10">Z12+AB12+AD12</f>
        <v>1647592.5925925924</v>
      </c>
      <c r="AF12" s="72">
        <f>CEILING(((Z12/AA12)*AG12),1)</f>
        <v>1663538</v>
      </c>
      <c r="AG12" s="72">
        <v>125.2</v>
      </c>
      <c r="AH12" s="21">
        <f>CEILING(((AB12/AC12)*AI12),1)</f>
        <v>0</v>
      </c>
      <c r="AI12" s="21">
        <v>123.3</v>
      </c>
      <c r="AJ12" s="21">
        <f>AD12</f>
        <v>0</v>
      </c>
      <c r="AK12" s="70">
        <f>AF12+AH12+AJ12</f>
        <v>1663538</v>
      </c>
      <c r="AL12" s="21"/>
      <c r="AM12" s="21" t="s">
        <v>18</v>
      </c>
      <c r="AN12" s="21" t="s">
        <v>19</v>
      </c>
      <c r="AO12" s="21"/>
    </row>
    <row r="13" spans="2:41" x14ac:dyDescent="0.25">
      <c r="B13" s="3" t="s">
        <v>20</v>
      </c>
      <c r="C13" s="3" t="s">
        <v>21</v>
      </c>
      <c r="D13" s="7">
        <f>510100/M6*M7</f>
        <v>521051.77539223788</v>
      </c>
      <c r="E13" s="11">
        <v>150000</v>
      </c>
      <c r="F13" s="11"/>
      <c r="G13" s="7">
        <f t="shared" si="0"/>
        <v>671051.77539223782</v>
      </c>
      <c r="H13" s="19">
        <f t="shared" si="1"/>
        <v>585900</v>
      </c>
      <c r="I13" s="20">
        <f t="shared" si="2"/>
        <v>150000</v>
      </c>
      <c r="J13" s="20">
        <f t="shared" si="2"/>
        <v>0</v>
      </c>
      <c r="K13" s="21">
        <f t="shared" si="3"/>
        <v>735900</v>
      </c>
      <c r="L13" s="21">
        <f t="shared" si="4"/>
        <v>615200</v>
      </c>
      <c r="M13" s="21">
        <f t="shared" si="5"/>
        <v>150000</v>
      </c>
      <c r="N13" s="21"/>
      <c r="O13" s="21">
        <f t="shared" si="6"/>
        <v>765200</v>
      </c>
      <c r="P13" s="21">
        <v>640000</v>
      </c>
      <c r="Q13" s="51">
        <v>44314</v>
      </c>
      <c r="R13" s="21"/>
      <c r="S13" s="21"/>
      <c r="T13" s="21">
        <f t="shared" ref="T13:T70" si="11">SUM(113.9/108*$P13)</f>
        <v>674962.96296296292</v>
      </c>
      <c r="U13" s="21">
        <v>113.9</v>
      </c>
      <c r="V13" s="21">
        <f t="shared" ref="V13:V73" si="12">SUM(109.2/103.5*$R13)</f>
        <v>0</v>
      </c>
      <c r="W13" s="21">
        <v>109.2</v>
      </c>
      <c r="X13" s="21"/>
      <c r="Y13" s="21">
        <f t="shared" ref="Y13:Y73" si="13">SUM($T13+$V13+$X13)</f>
        <v>674962.96296296292</v>
      </c>
      <c r="Z13" s="21">
        <f t="shared" si="7"/>
        <v>734814.81481481472</v>
      </c>
      <c r="AA13" s="21">
        <v>124</v>
      </c>
      <c r="AB13" s="21">
        <f t="shared" si="8"/>
        <v>0</v>
      </c>
      <c r="AC13" s="21">
        <v>122</v>
      </c>
      <c r="AD13" s="21">
        <f t="shared" si="9"/>
        <v>0</v>
      </c>
      <c r="AE13" s="72">
        <f t="shared" si="10"/>
        <v>734814.81481481472</v>
      </c>
      <c r="AF13" s="72">
        <f t="shared" ref="AF13:AF73" si="14">CEILING(((Z13/AA13)*AG13),1)</f>
        <v>741926</v>
      </c>
      <c r="AG13" s="72">
        <v>125.2</v>
      </c>
      <c r="AH13" s="21">
        <f t="shared" ref="AH13:AH73" si="15">CEILING(((AB13/AC13)*AI13),1)</f>
        <v>0</v>
      </c>
      <c r="AI13" s="21">
        <v>123.3</v>
      </c>
      <c r="AJ13" s="21">
        <f t="shared" ref="AJ13:AJ73" si="16">AD13</f>
        <v>0</v>
      </c>
      <c r="AK13" s="70">
        <f t="shared" ref="AK13:AK73" si="17">AF13+AH13+AJ13</f>
        <v>741926</v>
      </c>
      <c r="AL13" s="21"/>
      <c r="AM13" s="21" t="s">
        <v>18</v>
      </c>
      <c r="AN13" s="21" t="s">
        <v>19</v>
      </c>
      <c r="AO13" s="21"/>
    </row>
    <row r="14" spans="2:41" x14ac:dyDescent="0.25">
      <c r="B14" s="3" t="s">
        <v>22</v>
      </c>
      <c r="C14" s="3" t="s">
        <v>23</v>
      </c>
      <c r="D14" s="7">
        <f>68400/M6*M7</f>
        <v>69868.538398018165</v>
      </c>
      <c r="E14" s="11"/>
      <c r="F14" s="11"/>
      <c r="G14" s="7">
        <f t="shared" si="0"/>
        <v>69868.538398018165</v>
      </c>
      <c r="H14" s="19">
        <f t="shared" si="1"/>
        <v>78600</v>
      </c>
      <c r="I14" s="20">
        <f t="shared" si="2"/>
        <v>0</v>
      </c>
      <c r="J14" s="20">
        <f t="shared" si="2"/>
        <v>0</v>
      </c>
      <c r="K14" s="21">
        <f t="shared" si="3"/>
        <v>78600</v>
      </c>
      <c r="L14" s="21">
        <f t="shared" si="4"/>
        <v>82500</v>
      </c>
      <c r="M14" s="21">
        <f t="shared" si="5"/>
        <v>0</v>
      </c>
      <c r="N14" s="21"/>
      <c r="O14" s="21">
        <f t="shared" si="6"/>
        <v>82500</v>
      </c>
      <c r="P14" s="21">
        <v>84000</v>
      </c>
      <c r="Q14" s="51">
        <v>44314</v>
      </c>
      <c r="R14" s="21"/>
      <c r="S14" s="21"/>
      <c r="T14" s="21">
        <f t="shared" si="11"/>
        <v>88588.888888888891</v>
      </c>
      <c r="U14" s="21">
        <v>113.9</v>
      </c>
      <c r="V14" s="21">
        <f t="shared" si="12"/>
        <v>0</v>
      </c>
      <c r="W14" s="21">
        <v>109.2</v>
      </c>
      <c r="X14" s="21"/>
      <c r="Y14" s="21">
        <f t="shared" si="13"/>
        <v>88588.888888888891</v>
      </c>
      <c r="Z14" s="21">
        <f t="shared" si="7"/>
        <v>96444.444444444438</v>
      </c>
      <c r="AA14" s="21">
        <v>124</v>
      </c>
      <c r="AB14" s="21">
        <f t="shared" si="8"/>
        <v>0</v>
      </c>
      <c r="AC14" s="21">
        <v>122</v>
      </c>
      <c r="AD14" s="21">
        <f t="shared" si="9"/>
        <v>0</v>
      </c>
      <c r="AE14" s="21">
        <f t="shared" si="10"/>
        <v>96444.444444444438</v>
      </c>
      <c r="AF14" s="21">
        <f t="shared" si="14"/>
        <v>97378</v>
      </c>
      <c r="AG14" s="21">
        <v>125.2</v>
      </c>
      <c r="AH14" s="21">
        <f t="shared" si="15"/>
        <v>0</v>
      </c>
      <c r="AI14" s="21">
        <v>123.3</v>
      </c>
      <c r="AJ14" s="21">
        <f t="shared" si="16"/>
        <v>0</v>
      </c>
      <c r="AK14" s="70">
        <f t="shared" si="17"/>
        <v>97378</v>
      </c>
      <c r="AL14" s="21"/>
      <c r="AM14" s="21" t="s">
        <v>24</v>
      </c>
      <c r="AN14" s="21" t="s">
        <v>19</v>
      </c>
      <c r="AO14" s="21"/>
    </row>
    <row r="15" spans="2:41" x14ac:dyDescent="0.25">
      <c r="B15" s="3" t="s">
        <v>25</v>
      </c>
      <c r="C15" s="3" t="s">
        <v>26</v>
      </c>
      <c r="D15" s="7">
        <f>138700/M6*M7</f>
        <v>141677.86952931463</v>
      </c>
      <c r="E15" s="11"/>
      <c r="F15" s="11"/>
      <c r="G15" s="7">
        <f t="shared" si="0"/>
        <v>141677.86952931463</v>
      </c>
      <c r="H15" s="19">
        <f t="shared" si="1"/>
        <v>159300</v>
      </c>
      <c r="I15" s="20">
        <f t="shared" si="2"/>
        <v>0</v>
      </c>
      <c r="J15" s="20">
        <f t="shared" si="2"/>
        <v>0</v>
      </c>
      <c r="K15" s="21">
        <f t="shared" si="3"/>
        <v>159300</v>
      </c>
      <c r="L15" s="21">
        <f t="shared" si="4"/>
        <v>167300</v>
      </c>
      <c r="M15" s="21">
        <f t="shared" si="5"/>
        <v>0</v>
      </c>
      <c r="N15" s="21"/>
      <c r="O15" s="21">
        <f t="shared" si="6"/>
        <v>167300</v>
      </c>
      <c r="P15" s="21">
        <v>180000</v>
      </c>
      <c r="Q15" s="51">
        <v>44314</v>
      </c>
      <c r="R15" s="21"/>
      <c r="S15" s="21"/>
      <c r="T15" s="21">
        <f t="shared" si="11"/>
        <v>189833.33333333331</v>
      </c>
      <c r="U15" s="21">
        <v>113.9</v>
      </c>
      <c r="V15" s="21">
        <f t="shared" si="12"/>
        <v>0</v>
      </c>
      <c r="W15" s="21">
        <v>109.2</v>
      </c>
      <c r="X15" s="21"/>
      <c r="Y15" s="21">
        <f t="shared" si="13"/>
        <v>189833.33333333331</v>
      </c>
      <c r="Z15" s="21">
        <f t="shared" si="7"/>
        <v>206666.66666666666</v>
      </c>
      <c r="AA15" s="21">
        <v>124</v>
      </c>
      <c r="AB15" s="21">
        <f t="shared" si="8"/>
        <v>0</v>
      </c>
      <c r="AC15" s="21">
        <v>122</v>
      </c>
      <c r="AD15" s="21">
        <f t="shared" si="9"/>
        <v>0</v>
      </c>
      <c r="AE15" s="21">
        <f t="shared" si="10"/>
        <v>206666.66666666666</v>
      </c>
      <c r="AF15" s="21">
        <f t="shared" si="14"/>
        <v>208667</v>
      </c>
      <c r="AG15" s="21">
        <v>125.2</v>
      </c>
      <c r="AH15" s="21">
        <f t="shared" si="15"/>
        <v>0</v>
      </c>
      <c r="AI15" s="21">
        <v>123.3</v>
      </c>
      <c r="AJ15" s="21">
        <f t="shared" si="16"/>
        <v>0</v>
      </c>
      <c r="AK15" s="70">
        <f t="shared" si="17"/>
        <v>208667</v>
      </c>
      <c r="AL15" s="21"/>
      <c r="AM15" s="21" t="s">
        <v>24</v>
      </c>
      <c r="AN15" s="21" t="s">
        <v>19</v>
      </c>
      <c r="AO15" s="21"/>
    </row>
    <row r="16" spans="2:41" x14ac:dyDescent="0.25">
      <c r="B16" s="3" t="s">
        <v>27</v>
      </c>
      <c r="C16" s="4" t="s">
        <v>28</v>
      </c>
      <c r="D16" s="7">
        <f>17300/M6*M7</f>
        <v>17671.428571428572</v>
      </c>
      <c r="E16" s="11"/>
      <c r="F16" s="11"/>
      <c r="G16" s="7">
        <f t="shared" si="0"/>
        <v>17671.428571428572</v>
      </c>
      <c r="H16" s="19">
        <f t="shared" si="1"/>
        <v>19900</v>
      </c>
      <c r="I16" s="20">
        <f t="shared" si="2"/>
        <v>0</v>
      </c>
      <c r="J16" s="20">
        <f t="shared" si="2"/>
        <v>0</v>
      </c>
      <c r="K16" s="21">
        <f t="shared" si="3"/>
        <v>19900</v>
      </c>
      <c r="L16" s="21">
        <f t="shared" si="4"/>
        <v>20900</v>
      </c>
      <c r="M16" s="21">
        <f t="shared" si="5"/>
        <v>0</v>
      </c>
      <c r="N16" s="21"/>
      <c r="O16" s="21">
        <f t="shared" si="6"/>
        <v>20900</v>
      </c>
      <c r="P16" s="21">
        <v>22000</v>
      </c>
      <c r="Q16" s="51">
        <v>44314</v>
      </c>
      <c r="R16" s="21"/>
      <c r="S16" s="21"/>
      <c r="T16" s="21">
        <f t="shared" si="11"/>
        <v>23201.85185185185</v>
      </c>
      <c r="U16" s="21">
        <v>113.9</v>
      </c>
      <c r="V16" s="21">
        <f t="shared" si="12"/>
        <v>0</v>
      </c>
      <c r="W16" s="21">
        <v>109.2</v>
      </c>
      <c r="X16" s="21"/>
      <c r="Y16" s="21">
        <f t="shared" si="13"/>
        <v>23201.85185185185</v>
      </c>
      <c r="Z16" s="21">
        <f t="shared" si="7"/>
        <v>25259.259259259255</v>
      </c>
      <c r="AA16" s="21">
        <v>124</v>
      </c>
      <c r="AB16" s="21">
        <f t="shared" si="8"/>
        <v>0</v>
      </c>
      <c r="AC16" s="21">
        <v>122</v>
      </c>
      <c r="AD16" s="21">
        <f t="shared" si="9"/>
        <v>0</v>
      </c>
      <c r="AE16" s="21">
        <f t="shared" si="10"/>
        <v>25259.259259259255</v>
      </c>
      <c r="AF16" s="21">
        <f t="shared" si="14"/>
        <v>25504</v>
      </c>
      <c r="AG16" s="21">
        <v>125.2</v>
      </c>
      <c r="AH16" s="21">
        <f t="shared" si="15"/>
        <v>0</v>
      </c>
      <c r="AI16" s="21">
        <v>123.3</v>
      </c>
      <c r="AJ16" s="21">
        <f t="shared" si="16"/>
        <v>0</v>
      </c>
      <c r="AK16" s="70">
        <f t="shared" si="17"/>
        <v>25504</v>
      </c>
      <c r="AL16" s="21"/>
      <c r="AM16" s="21" t="s">
        <v>29</v>
      </c>
      <c r="AN16" s="21" t="s">
        <v>29</v>
      </c>
      <c r="AO16" s="21"/>
    </row>
    <row r="17" spans="2:41" x14ac:dyDescent="0.25">
      <c r="B17" s="3" t="s">
        <v>30</v>
      </c>
      <c r="C17" s="3" t="s">
        <v>31</v>
      </c>
      <c r="D17" s="7">
        <f>2214900/M6*M7</f>
        <v>2262453.5920726676</v>
      </c>
      <c r="E17" s="11"/>
      <c r="F17" s="11"/>
      <c r="G17" s="7">
        <f t="shared" si="0"/>
        <v>2262453.5920726676</v>
      </c>
      <c r="H17" s="19">
        <f t="shared" si="1"/>
        <v>2544100</v>
      </c>
      <c r="I17" s="20">
        <f t="shared" si="2"/>
        <v>0</v>
      </c>
      <c r="J17" s="20">
        <f t="shared" si="2"/>
        <v>0</v>
      </c>
      <c r="K17" s="21">
        <f t="shared" si="3"/>
        <v>2544100</v>
      </c>
      <c r="L17" s="21">
        <f t="shared" si="4"/>
        <v>2671300</v>
      </c>
      <c r="M17" s="21">
        <f t="shared" si="5"/>
        <v>0</v>
      </c>
      <c r="N17" s="21"/>
      <c r="O17" s="21">
        <f t="shared" si="6"/>
        <v>2671300</v>
      </c>
      <c r="P17" s="21">
        <v>2695000</v>
      </c>
      <c r="Q17" s="51">
        <v>44314</v>
      </c>
      <c r="R17" s="21"/>
      <c r="S17" s="21"/>
      <c r="T17" s="21">
        <f t="shared" si="11"/>
        <v>2842226.8518518517</v>
      </c>
      <c r="U17" s="21">
        <v>113.9</v>
      </c>
      <c r="V17" s="21">
        <f t="shared" si="12"/>
        <v>0</v>
      </c>
      <c r="W17" s="21">
        <v>109.2</v>
      </c>
      <c r="X17" s="21"/>
      <c r="Y17" s="21">
        <f t="shared" si="13"/>
        <v>2842226.8518518517</v>
      </c>
      <c r="Z17" s="21">
        <f t="shared" si="7"/>
        <v>3094259.2592592589</v>
      </c>
      <c r="AA17" s="21">
        <v>124</v>
      </c>
      <c r="AB17" s="21">
        <f t="shared" si="8"/>
        <v>0</v>
      </c>
      <c r="AC17" s="21">
        <v>122</v>
      </c>
      <c r="AD17" s="21">
        <f t="shared" si="9"/>
        <v>0</v>
      </c>
      <c r="AE17" s="21">
        <f t="shared" si="10"/>
        <v>3094259.2592592589</v>
      </c>
      <c r="AF17" s="21">
        <f t="shared" si="14"/>
        <v>3124204</v>
      </c>
      <c r="AG17" s="21">
        <v>125.2</v>
      </c>
      <c r="AH17" s="21">
        <f t="shared" si="15"/>
        <v>0</v>
      </c>
      <c r="AI17" s="21">
        <v>123.3</v>
      </c>
      <c r="AJ17" s="21">
        <f t="shared" si="16"/>
        <v>0</v>
      </c>
      <c r="AK17" s="70">
        <f t="shared" si="17"/>
        <v>3124204</v>
      </c>
      <c r="AL17" s="21"/>
      <c r="AM17" s="21" t="s">
        <v>24</v>
      </c>
      <c r="AN17" s="21" t="s">
        <v>19</v>
      </c>
      <c r="AO17" s="21"/>
    </row>
    <row r="18" spans="2:41" x14ac:dyDescent="0.25">
      <c r="B18" s="3" t="s">
        <v>32</v>
      </c>
      <c r="C18" s="3" t="s">
        <v>33</v>
      </c>
      <c r="D18" s="7">
        <f>928400/M6*M7</f>
        <v>948332.61767134606</v>
      </c>
      <c r="E18" s="11"/>
      <c r="F18" s="11"/>
      <c r="G18" s="7">
        <f t="shared" si="0"/>
        <v>948332.61767134606</v>
      </c>
      <c r="H18" s="19">
        <f t="shared" si="1"/>
        <v>1066400</v>
      </c>
      <c r="I18" s="20">
        <f t="shared" si="2"/>
        <v>0</v>
      </c>
      <c r="J18" s="20">
        <f t="shared" si="2"/>
        <v>0</v>
      </c>
      <c r="K18" s="21">
        <f t="shared" si="3"/>
        <v>1066400</v>
      </c>
      <c r="L18" s="21">
        <f t="shared" si="4"/>
        <v>1119700</v>
      </c>
      <c r="M18" s="21">
        <f t="shared" si="5"/>
        <v>0</v>
      </c>
      <c r="N18" s="21"/>
      <c r="O18" s="21">
        <f t="shared" si="6"/>
        <v>1119700</v>
      </c>
      <c r="P18" s="21">
        <v>1075000</v>
      </c>
      <c r="Q18" s="51">
        <v>44314</v>
      </c>
      <c r="R18" s="21"/>
      <c r="S18" s="21"/>
      <c r="T18" s="21">
        <f t="shared" si="11"/>
        <v>1133726.8518518519</v>
      </c>
      <c r="U18" s="21">
        <v>113.9</v>
      </c>
      <c r="V18" s="21">
        <f t="shared" si="12"/>
        <v>0</v>
      </c>
      <c r="W18" s="21">
        <v>109.2</v>
      </c>
      <c r="X18" s="21"/>
      <c r="Y18" s="21">
        <f t="shared" si="13"/>
        <v>1133726.8518518519</v>
      </c>
      <c r="Z18" s="21">
        <f t="shared" si="7"/>
        <v>1234259.2592592593</v>
      </c>
      <c r="AA18" s="21">
        <v>124</v>
      </c>
      <c r="AB18" s="21">
        <f t="shared" si="8"/>
        <v>0</v>
      </c>
      <c r="AC18" s="21">
        <v>122</v>
      </c>
      <c r="AD18" s="21">
        <f t="shared" si="9"/>
        <v>0</v>
      </c>
      <c r="AE18" s="21">
        <f t="shared" si="10"/>
        <v>1234259.2592592593</v>
      </c>
      <c r="AF18" s="21">
        <f t="shared" si="14"/>
        <v>1246204</v>
      </c>
      <c r="AG18" s="21">
        <v>125.2</v>
      </c>
      <c r="AH18" s="21">
        <f t="shared" si="15"/>
        <v>0</v>
      </c>
      <c r="AI18" s="21">
        <v>123.3</v>
      </c>
      <c r="AJ18" s="21">
        <f t="shared" si="16"/>
        <v>0</v>
      </c>
      <c r="AK18" s="70">
        <f t="shared" si="17"/>
        <v>1246204</v>
      </c>
      <c r="AL18" s="21"/>
      <c r="AM18" s="21" t="s">
        <v>24</v>
      </c>
      <c r="AN18" s="21" t="s">
        <v>19</v>
      </c>
      <c r="AO18" s="21"/>
    </row>
    <row r="19" spans="2:41" x14ac:dyDescent="0.25">
      <c r="B19" s="3" t="s">
        <v>34</v>
      </c>
      <c r="C19" s="3" t="s">
        <v>23</v>
      </c>
      <c r="D19" s="7">
        <f>23500/M6*M7</f>
        <v>24004.541701073496</v>
      </c>
      <c r="E19" s="11">
        <v>11000</v>
      </c>
      <c r="F19" s="11"/>
      <c r="G19" s="7">
        <f t="shared" si="0"/>
        <v>35004.541701073496</v>
      </c>
      <c r="H19" s="19">
        <f t="shared" si="1"/>
        <v>27000</v>
      </c>
      <c r="I19" s="20">
        <f t="shared" si="2"/>
        <v>11000</v>
      </c>
      <c r="J19" s="20">
        <f t="shared" si="2"/>
        <v>0</v>
      </c>
      <c r="K19" s="21">
        <f t="shared" si="3"/>
        <v>38000</v>
      </c>
      <c r="L19" s="21">
        <f t="shared" si="4"/>
        <v>28400</v>
      </c>
      <c r="M19" s="21">
        <f t="shared" si="5"/>
        <v>11000</v>
      </c>
      <c r="N19" s="21"/>
      <c r="O19" s="21">
        <f t="shared" si="6"/>
        <v>39400</v>
      </c>
      <c r="P19" s="21">
        <v>25000</v>
      </c>
      <c r="Q19" s="51">
        <v>44314</v>
      </c>
      <c r="R19" s="21">
        <v>16500</v>
      </c>
      <c r="S19" s="21"/>
      <c r="T19" s="21">
        <f t="shared" si="11"/>
        <v>26365.740740740741</v>
      </c>
      <c r="U19" s="21">
        <v>113.9</v>
      </c>
      <c r="V19" s="21">
        <f t="shared" si="12"/>
        <v>17408.695652173912</v>
      </c>
      <c r="W19" s="21">
        <v>109.2</v>
      </c>
      <c r="X19" s="21"/>
      <c r="Y19" s="21">
        <f t="shared" si="13"/>
        <v>43774.436392914649</v>
      </c>
      <c r="Z19" s="21">
        <f t="shared" si="7"/>
        <v>28703.703703703701</v>
      </c>
      <c r="AA19" s="21">
        <v>124</v>
      </c>
      <c r="AB19" s="21">
        <f t="shared" si="8"/>
        <v>19449.275362318836</v>
      </c>
      <c r="AC19" s="21">
        <v>122</v>
      </c>
      <c r="AD19" s="21">
        <f t="shared" si="9"/>
        <v>0</v>
      </c>
      <c r="AE19" s="21">
        <f t="shared" si="10"/>
        <v>48152.979066022541</v>
      </c>
      <c r="AF19" s="21">
        <f t="shared" si="14"/>
        <v>28982</v>
      </c>
      <c r="AG19" s="21">
        <v>125.2</v>
      </c>
      <c r="AH19" s="21">
        <f t="shared" si="15"/>
        <v>19657</v>
      </c>
      <c r="AI19" s="21">
        <v>123.3</v>
      </c>
      <c r="AJ19" s="21">
        <f t="shared" si="16"/>
        <v>0</v>
      </c>
      <c r="AK19" s="70">
        <f t="shared" si="17"/>
        <v>48639</v>
      </c>
      <c r="AL19" s="51">
        <v>44314</v>
      </c>
      <c r="AM19" s="51" t="s">
        <v>29</v>
      </c>
      <c r="AN19" s="21" t="s">
        <v>29</v>
      </c>
      <c r="AO19" s="21"/>
    </row>
    <row r="20" spans="2:41" x14ac:dyDescent="0.25">
      <c r="B20" s="3" t="s">
        <v>35</v>
      </c>
      <c r="C20" s="3" t="s">
        <v>36</v>
      </c>
      <c r="D20" s="7">
        <f>19400/M6*M7</f>
        <v>19816.515276630886</v>
      </c>
      <c r="E20" s="11">
        <v>13000</v>
      </c>
      <c r="F20" s="11"/>
      <c r="G20" s="7">
        <f t="shared" si="0"/>
        <v>32816.515276630889</v>
      </c>
      <c r="H20" s="19">
        <f t="shared" si="1"/>
        <v>22300</v>
      </c>
      <c r="I20" s="20">
        <f t="shared" si="2"/>
        <v>13000</v>
      </c>
      <c r="J20" s="20">
        <f t="shared" si="2"/>
        <v>0</v>
      </c>
      <c r="K20" s="21">
        <f t="shared" si="3"/>
        <v>35300</v>
      </c>
      <c r="L20" s="21">
        <f t="shared" si="4"/>
        <v>23400</v>
      </c>
      <c r="M20" s="21">
        <f t="shared" si="5"/>
        <v>13000</v>
      </c>
      <c r="N20" s="21"/>
      <c r="O20" s="21">
        <f t="shared" si="6"/>
        <v>36400</v>
      </c>
      <c r="P20" s="21">
        <v>60000</v>
      </c>
      <c r="Q20" s="51">
        <v>44314</v>
      </c>
      <c r="R20" s="21"/>
      <c r="S20" s="21"/>
      <c r="T20" s="21">
        <f t="shared" si="11"/>
        <v>63277.777777777774</v>
      </c>
      <c r="U20" s="21">
        <v>113.9</v>
      </c>
      <c r="V20" s="21">
        <f t="shared" si="12"/>
        <v>0</v>
      </c>
      <c r="W20" s="21">
        <v>109.2</v>
      </c>
      <c r="X20" s="21"/>
      <c r="Y20" s="21">
        <f t="shared" si="13"/>
        <v>63277.777777777774</v>
      </c>
      <c r="Z20" s="21">
        <f t="shared" si="7"/>
        <v>68888.888888888891</v>
      </c>
      <c r="AA20" s="21">
        <v>124</v>
      </c>
      <c r="AB20" s="21">
        <f t="shared" si="8"/>
        <v>0</v>
      </c>
      <c r="AC20" s="21">
        <v>122</v>
      </c>
      <c r="AD20" s="21">
        <f t="shared" si="9"/>
        <v>0</v>
      </c>
      <c r="AE20" s="21">
        <f t="shared" si="10"/>
        <v>68888.888888888891</v>
      </c>
      <c r="AF20" s="21">
        <f t="shared" si="14"/>
        <v>69556</v>
      </c>
      <c r="AG20" s="21">
        <v>125.2</v>
      </c>
      <c r="AH20" s="21">
        <f t="shared" si="15"/>
        <v>0</v>
      </c>
      <c r="AI20" s="21">
        <v>123.3</v>
      </c>
      <c r="AJ20" s="21">
        <f t="shared" si="16"/>
        <v>0</v>
      </c>
      <c r="AK20" s="70">
        <f t="shared" si="17"/>
        <v>69556</v>
      </c>
      <c r="AL20" s="21"/>
      <c r="AM20" s="21" t="s">
        <v>24</v>
      </c>
      <c r="AN20" s="21" t="s">
        <v>19</v>
      </c>
      <c r="AO20" s="21"/>
    </row>
    <row r="21" spans="2:41" x14ac:dyDescent="0.25">
      <c r="B21" s="3" t="s">
        <v>35</v>
      </c>
      <c r="C21" s="3" t="s">
        <v>37</v>
      </c>
      <c r="D21" s="7">
        <f>23500/M6*M7</f>
        <v>24004.541701073496</v>
      </c>
      <c r="E21" s="11"/>
      <c r="F21" s="11"/>
      <c r="G21" s="7">
        <f t="shared" si="0"/>
        <v>24004.541701073496</v>
      </c>
      <c r="H21" s="19">
        <f t="shared" si="1"/>
        <v>27000</v>
      </c>
      <c r="I21" s="20">
        <f t="shared" si="2"/>
        <v>0</v>
      </c>
      <c r="J21" s="20">
        <f t="shared" si="2"/>
        <v>0</v>
      </c>
      <c r="K21" s="21">
        <f t="shared" si="3"/>
        <v>27000</v>
      </c>
      <c r="L21" s="21">
        <f t="shared" si="4"/>
        <v>28400</v>
      </c>
      <c r="M21" s="21">
        <f t="shared" si="5"/>
        <v>0</v>
      </c>
      <c r="N21" s="21"/>
      <c r="O21" s="21">
        <f t="shared" si="6"/>
        <v>28400</v>
      </c>
      <c r="P21" s="21">
        <v>57000</v>
      </c>
      <c r="Q21" s="51">
        <v>44314</v>
      </c>
      <c r="R21" s="21"/>
      <c r="S21" s="21"/>
      <c r="T21" s="21">
        <f t="shared" si="11"/>
        <v>60113.888888888883</v>
      </c>
      <c r="U21" s="21">
        <v>113.9</v>
      </c>
      <c r="V21" s="21">
        <f t="shared" si="12"/>
        <v>0</v>
      </c>
      <c r="W21" s="21">
        <v>109.2</v>
      </c>
      <c r="X21" s="21"/>
      <c r="Y21" s="21">
        <f t="shared" si="13"/>
        <v>60113.888888888883</v>
      </c>
      <c r="Z21" s="21">
        <f t="shared" si="7"/>
        <v>65444.444444444438</v>
      </c>
      <c r="AA21" s="21">
        <v>124</v>
      </c>
      <c r="AB21" s="21">
        <f t="shared" si="8"/>
        <v>0</v>
      </c>
      <c r="AC21" s="21">
        <v>122</v>
      </c>
      <c r="AD21" s="21">
        <f t="shared" si="9"/>
        <v>0</v>
      </c>
      <c r="AE21" s="21">
        <f t="shared" si="10"/>
        <v>65444.444444444438</v>
      </c>
      <c r="AF21" s="21">
        <f t="shared" si="14"/>
        <v>66078</v>
      </c>
      <c r="AG21" s="21">
        <v>125.2</v>
      </c>
      <c r="AH21" s="21">
        <f t="shared" si="15"/>
        <v>0</v>
      </c>
      <c r="AI21" s="21">
        <v>123.3</v>
      </c>
      <c r="AJ21" s="21">
        <f t="shared" si="16"/>
        <v>0</v>
      </c>
      <c r="AK21" s="70">
        <f t="shared" si="17"/>
        <v>66078</v>
      </c>
      <c r="AL21" s="21"/>
      <c r="AM21" s="21" t="s">
        <v>24</v>
      </c>
      <c r="AN21" s="21" t="s">
        <v>19</v>
      </c>
      <c r="AO21" s="21"/>
    </row>
    <row r="22" spans="2:41" x14ac:dyDescent="0.25">
      <c r="B22" s="3" t="s">
        <v>38</v>
      </c>
      <c r="C22" s="3" t="s">
        <v>39</v>
      </c>
      <c r="D22" s="7">
        <f>6100/M6*M7</f>
        <v>6230.9661436829065</v>
      </c>
      <c r="E22" s="11"/>
      <c r="F22" s="11"/>
      <c r="G22" s="7">
        <f t="shared" si="0"/>
        <v>6230.9661436829065</v>
      </c>
      <c r="H22" s="19">
        <f t="shared" si="1"/>
        <v>7000</v>
      </c>
      <c r="I22" s="20">
        <f t="shared" si="2"/>
        <v>0</v>
      </c>
      <c r="J22" s="20">
        <f t="shared" si="2"/>
        <v>0</v>
      </c>
      <c r="K22" s="21">
        <f t="shared" si="3"/>
        <v>7000</v>
      </c>
      <c r="L22" s="21">
        <f t="shared" si="4"/>
        <v>7400</v>
      </c>
      <c r="M22" s="21">
        <f t="shared" si="5"/>
        <v>0</v>
      </c>
      <c r="N22" s="21"/>
      <c r="O22" s="21">
        <f t="shared" si="6"/>
        <v>7400</v>
      </c>
      <c r="P22" s="21">
        <v>12000</v>
      </c>
      <c r="Q22" s="51">
        <v>44314</v>
      </c>
      <c r="R22" s="21"/>
      <c r="S22" s="21"/>
      <c r="T22" s="21">
        <f t="shared" si="11"/>
        <v>12655.555555555555</v>
      </c>
      <c r="U22" s="21">
        <v>113.9</v>
      </c>
      <c r="V22" s="21">
        <f t="shared" si="12"/>
        <v>0</v>
      </c>
      <c r="W22" s="21">
        <v>109.2</v>
      </c>
      <c r="X22" s="21"/>
      <c r="Y22" s="21">
        <f t="shared" si="13"/>
        <v>12655.555555555555</v>
      </c>
      <c r="Z22" s="21">
        <f t="shared" si="7"/>
        <v>13777.777777777776</v>
      </c>
      <c r="AA22" s="21">
        <v>124</v>
      </c>
      <c r="AB22" s="21">
        <f t="shared" si="8"/>
        <v>0</v>
      </c>
      <c r="AC22" s="21">
        <v>122</v>
      </c>
      <c r="AD22" s="21">
        <f t="shared" si="9"/>
        <v>0</v>
      </c>
      <c r="AE22" s="21">
        <f t="shared" si="10"/>
        <v>13777.777777777776</v>
      </c>
      <c r="AF22" s="21">
        <f t="shared" si="14"/>
        <v>13912</v>
      </c>
      <c r="AG22" s="21">
        <v>125.2</v>
      </c>
      <c r="AH22" s="21">
        <f t="shared" si="15"/>
        <v>0</v>
      </c>
      <c r="AI22" s="21">
        <v>123.3</v>
      </c>
      <c r="AJ22" s="21">
        <f t="shared" si="16"/>
        <v>0</v>
      </c>
      <c r="AK22" s="70">
        <f t="shared" si="17"/>
        <v>13912</v>
      </c>
      <c r="AL22" s="21"/>
      <c r="AM22" s="21" t="s">
        <v>24</v>
      </c>
      <c r="AN22" s="21" t="s">
        <v>19</v>
      </c>
      <c r="AO22" s="21"/>
    </row>
    <row r="23" spans="2:41" x14ac:dyDescent="0.25">
      <c r="B23" s="3" t="s">
        <v>40</v>
      </c>
      <c r="C23" s="3" t="s">
        <v>41</v>
      </c>
      <c r="D23" s="7">
        <f>533600/M6*M7</f>
        <v>545056.31709331134</v>
      </c>
      <c r="E23" s="11">
        <v>47000</v>
      </c>
      <c r="F23" s="11"/>
      <c r="G23" s="7">
        <f t="shared" si="0"/>
        <v>592056.31709331134</v>
      </c>
      <c r="H23" s="19">
        <f t="shared" si="1"/>
        <v>612900</v>
      </c>
      <c r="I23" s="20">
        <f t="shared" si="2"/>
        <v>47000</v>
      </c>
      <c r="J23" s="20">
        <f t="shared" si="2"/>
        <v>0</v>
      </c>
      <c r="K23" s="21">
        <f t="shared" si="3"/>
        <v>659900</v>
      </c>
      <c r="L23" s="21">
        <f t="shared" si="4"/>
        <v>643500</v>
      </c>
      <c r="M23" s="21">
        <f t="shared" si="5"/>
        <v>47000</v>
      </c>
      <c r="N23" s="21"/>
      <c r="O23" s="21">
        <f t="shared" si="6"/>
        <v>690500</v>
      </c>
      <c r="P23" s="21">
        <v>910000</v>
      </c>
      <c r="Q23" s="51">
        <v>44314</v>
      </c>
      <c r="R23" s="21"/>
      <c r="S23" s="21"/>
      <c r="T23" s="21">
        <f t="shared" si="11"/>
        <v>959712.96296296292</v>
      </c>
      <c r="U23" s="21">
        <v>113.9</v>
      </c>
      <c r="V23" s="21">
        <f t="shared" si="12"/>
        <v>0</v>
      </c>
      <c r="W23" s="21">
        <v>109.2</v>
      </c>
      <c r="X23" s="21"/>
      <c r="Y23" s="21">
        <f t="shared" si="13"/>
        <v>959712.96296296292</v>
      </c>
      <c r="Z23" s="21">
        <f t="shared" si="7"/>
        <v>1044814.8148148147</v>
      </c>
      <c r="AA23" s="21">
        <v>124</v>
      </c>
      <c r="AB23" s="21">
        <f t="shared" si="8"/>
        <v>0</v>
      </c>
      <c r="AC23" s="21">
        <v>122</v>
      </c>
      <c r="AD23" s="21">
        <f t="shared" si="9"/>
        <v>0</v>
      </c>
      <c r="AE23" s="21">
        <f t="shared" si="10"/>
        <v>1044814.8148148147</v>
      </c>
      <c r="AF23" s="21">
        <f t="shared" si="14"/>
        <v>1054926</v>
      </c>
      <c r="AG23" s="21">
        <v>125.2</v>
      </c>
      <c r="AH23" s="21">
        <f t="shared" si="15"/>
        <v>0</v>
      </c>
      <c r="AI23" s="21">
        <v>123.3</v>
      </c>
      <c r="AJ23" s="21">
        <f t="shared" si="16"/>
        <v>0</v>
      </c>
      <c r="AK23" s="70">
        <f t="shared" si="17"/>
        <v>1054926</v>
      </c>
      <c r="AL23" s="21"/>
      <c r="AM23" s="21" t="s">
        <v>18</v>
      </c>
      <c r="AN23" s="21" t="s">
        <v>19</v>
      </c>
      <c r="AO23" s="21"/>
    </row>
    <row r="24" spans="2:41" x14ac:dyDescent="0.25">
      <c r="B24" s="3" t="s">
        <v>40</v>
      </c>
      <c r="C24" s="3" t="s">
        <v>42</v>
      </c>
      <c r="D24" s="7">
        <f>1264100/M6*M7</f>
        <v>1291240.0495458299</v>
      </c>
      <c r="E24" s="11"/>
      <c r="F24" s="11"/>
      <c r="G24" s="7">
        <f t="shared" si="0"/>
        <v>1291240.0495458299</v>
      </c>
      <c r="H24" s="19">
        <f t="shared" si="1"/>
        <v>1452000</v>
      </c>
      <c r="I24" s="20">
        <f t="shared" si="2"/>
        <v>0</v>
      </c>
      <c r="J24" s="20">
        <f t="shared" si="2"/>
        <v>0</v>
      </c>
      <c r="K24" s="21">
        <f t="shared" si="3"/>
        <v>1452000</v>
      </c>
      <c r="L24" s="21">
        <f t="shared" si="4"/>
        <v>1524600</v>
      </c>
      <c r="M24" s="21">
        <f t="shared" si="5"/>
        <v>0</v>
      </c>
      <c r="N24" s="21"/>
      <c r="O24" s="21">
        <f t="shared" si="6"/>
        <v>1524600</v>
      </c>
      <c r="P24" s="21">
        <v>2260800</v>
      </c>
      <c r="Q24" s="51">
        <v>44314</v>
      </c>
      <c r="R24" s="21"/>
      <c r="S24" s="21"/>
      <c r="T24" s="21">
        <f t="shared" si="11"/>
        <v>2384306.6666666665</v>
      </c>
      <c r="U24" s="21">
        <v>113.9</v>
      </c>
      <c r="V24" s="21">
        <f t="shared" si="12"/>
        <v>0</v>
      </c>
      <c r="W24" s="21">
        <v>109.2</v>
      </c>
      <c r="X24" s="21"/>
      <c r="Y24" s="21">
        <f t="shared" si="13"/>
        <v>2384306.6666666665</v>
      </c>
      <c r="Z24" s="21">
        <f t="shared" si="7"/>
        <v>2595733.333333333</v>
      </c>
      <c r="AA24" s="21">
        <v>124</v>
      </c>
      <c r="AB24" s="21">
        <f t="shared" si="8"/>
        <v>0</v>
      </c>
      <c r="AC24" s="21">
        <v>122</v>
      </c>
      <c r="AD24" s="21">
        <f t="shared" si="9"/>
        <v>0</v>
      </c>
      <c r="AE24" s="21">
        <f t="shared" si="10"/>
        <v>2595733.333333333</v>
      </c>
      <c r="AF24" s="21">
        <f t="shared" si="14"/>
        <v>2620854</v>
      </c>
      <c r="AG24" s="21">
        <v>125.2</v>
      </c>
      <c r="AH24" s="21">
        <f t="shared" si="15"/>
        <v>0</v>
      </c>
      <c r="AI24" s="21">
        <v>123.3</v>
      </c>
      <c r="AJ24" s="21">
        <f t="shared" si="16"/>
        <v>0</v>
      </c>
      <c r="AK24" s="70">
        <f t="shared" si="17"/>
        <v>2620854</v>
      </c>
      <c r="AL24" s="21"/>
      <c r="AM24" s="21" t="s">
        <v>18</v>
      </c>
      <c r="AN24" s="21" t="s">
        <v>43</v>
      </c>
      <c r="AO24" s="21"/>
    </row>
    <row r="25" spans="2:41" x14ac:dyDescent="0.25">
      <c r="B25" s="3" t="s">
        <v>44</v>
      </c>
      <c r="C25" s="3" t="s">
        <v>45</v>
      </c>
      <c r="D25" s="7">
        <f>220400/M6*M7</f>
        <v>225131.95706028078</v>
      </c>
      <c r="E25" s="11"/>
      <c r="F25" s="11"/>
      <c r="G25" s="7">
        <f t="shared" si="0"/>
        <v>225131.95706028078</v>
      </c>
      <c r="H25" s="19">
        <f t="shared" si="1"/>
        <v>253200</v>
      </c>
      <c r="I25" s="20">
        <f t="shared" si="2"/>
        <v>0</v>
      </c>
      <c r="J25" s="20">
        <f t="shared" si="2"/>
        <v>0</v>
      </c>
      <c r="K25" s="21">
        <f t="shared" si="3"/>
        <v>253200</v>
      </c>
      <c r="L25" s="21">
        <f t="shared" si="4"/>
        <v>265900</v>
      </c>
      <c r="M25" s="21">
        <f t="shared" si="5"/>
        <v>0</v>
      </c>
      <c r="N25" s="21"/>
      <c r="O25" s="21">
        <f t="shared" si="6"/>
        <v>265900</v>
      </c>
      <c r="P25" s="21">
        <v>332500</v>
      </c>
      <c r="Q25" s="51">
        <v>44314</v>
      </c>
      <c r="R25" s="21"/>
      <c r="S25" s="21"/>
      <c r="T25" s="21">
        <f t="shared" si="11"/>
        <v>350664.35185185185</v>
      </c>
      <c r="U25" s="21">
        <v>113.9</v>
      </c>
      <c r="V25" s="21">
        <f t="shared" si="12"/>
        <v>0</v>
      </c>
      <c r="W25" s="21">
        <v>109.2</v>
      </c>
      <c r="X25" s="21"/>
      <c r="Y25" s="21">
        <f t="shared" si="13"/>
        <v>350664.35185185185</v>
      </c>
      <c r="Z25" s="21">
        <f t="shared" si="7"/>
        <v>381759.25925925921</v>
      </c>
      <c r="AA25" s="21">
        <v>124</v>
      </c>
      <c r="AB25" s="21">
        <f t="shared" si="8"/>
        <v>0</v>
      </c>
      <c r="AC25" s="21">
        <v>122</v>
      </c>
      <c r="AD25" s="21">
        <f t="shared" si="9"/>
        <v>0</v>
      </c>
      <c r="AE25" s="21">
        <f t="shared" si="10"/>
        <v>381759.25925925921</v>
      </c>
      <c r="AF25" s="21">
        <f t="shared" si="14"/>
        <v>385454</v>
      </c>
      <c r="AG25" s="21">
        <v>125.2</v>
      </c>
      <c r="AH25" s="21">
        <f t="shared" si="15"/>
        <v>0</v>
      </c>
      <c r="AI25" s="21">
        <v>123.3</v>
      </c>
      <c r="AJ25" s="21">
        <f t="shared" si="16"/>
        <v>0</v>
      </c>
      <c r="AK25" s="70">
        <f t="shared" si="17"/>
        <v>385454</v>
      </c>
      <c r="AL25" s="21"/>
      <c r="AM25" s="21" t="s">
        <v>24</v>
      </c>
      <c r="AN25" s="21" t="s">
        <v>19</v>
      </c>
      <c r="AO25" s="21"/>
    </row>
    <row r="26" spans="2:41" x14ac:dyDescent="0.25">
      <c r="B26" s="3" t="s">
        <v>46</v>
      </c>
      <c r="C26" s="3" t="s">
        <v>47</v>
      </c>
      <c r="D26" s="7">
        <f>129600/M6*M7</f>
        <v>132382.49380677129</v>
      </c>
      <c r="E26" s="11"/>
      <c r="F26" s="11"/>
      <c r="G26" s="7">
        <f t="shared" si="0"/>
        <v>132382.49380677129</v>
      </c>
      <c r="H26" s="19">
        <f t="shared" si="1"/>
        <v>148900</v>
      </c>
      <c r="I26" s="20">
        <f t="shared" si="2"/>
        <v>0</v>
      </c>
      <c r="J26" s="20">
        <f t="shared" si="2"/>
        <v>0</v>
      </c>
      <c r="K26" s="21">
        <f t="shared" si="3"/>
        <v>148900</v>
      </c>
      <c r="L26" s="21">
        <f t="shared" si="4"/>
        <v>156300</v>
      </c>
      <c r="M26" s="21">
        <f t="shared" si="5"/>
        <v>0</v>
      </c>
      <c r="N26" s="21"/>
      <c r="O26" s="21">
        <f t="shared" si="6"/>
        <v>156300</v>
      </c>
      <c r="P26" s="21">
        <v>223400</v>
      </c>
      <c r="Q26" s="51">
        <v>44314</v>
      </c>
      <c r="R26" s="21"/>
      <c r="S26" s="21"/>
      <c r="T26" s="21">
        <f t="shared" si="11"/>
        <v>235604.25925925924</v>
      </c>
      <c r="U26" s="21">
        <v>113.9</v>
      </c>
      <c r="V26" s="21">
        <f t="shared" si="12"/>
        <v>0</v>
      </c>
      <c r="W26" s="21">
        <v>109.2</v>
      </c>
      <c r="X26" s="21"/>
      <c r="Y26" s="21">
        <f t="shared" si="13"/>
        <v>235604.25925925924</v>
      </c>
      <c r="Z26" s="21">
        <f t="shared" si="7"/>
        <v>256496.29629629626</v>
      </c>
      <c r="AA26" s="21">
        <v>124</v>
      </c>
      <c r="AB26" s="21">
        <f t="shared" si="8"/>
        <v>0</v>
      </c>
      <c r="AC26" s="21">
        <v>122</v>
      </c>
      <c r="AD26" s="21">
        <f t="shared" si="9"/>
        <v>0</v>
      </c>
      <c r="AE26" s="21">
        <f t="shared" si="10"/>
        <v>256496.29629629626</v>
      </c>
      <c r="AF26" s="21">
        <f t="shared" si="14"/>
        <v>258979</v>
      </c>
      <c r="AG26" s="21">
        <v>125.2</v>
      </c>
      <c r="AH26" s="21">
        <f t="shared" si="15"/>
        <v>0</v>
      </c>
      <c r="AI26" s="21">
        <v>123.3</v>
      </c>
      <c r="AJ26" s="21">
        <f t="shared" si="16"/>
        <v>0</v>
      </c>
      <c r="AK26" s="70">
        <f t="shared" si="17"/>
        <v>258979</v>
      </c>
      <c r="AL26" s="21"/>
      <c r="AM26" s="21" t="s">
        <v>24</v>
      </c>
      <c r="AN26" s="21" t="s">
        <v>19</v>
      </c>
      <c r="AO26" s="21"/>
    </row>
    <row r="27" spans="2:41" x14ac:dyDescent="0.25">
      <c r="B27" s="3" t="s">
        <v>48</v>
      </c>
      <c r="C27" s="3" t="s">
        <v>49</v>
      </c>
      <c r="D27" s="7">
        <f>58200/M6*M7</f>
        <v>59449.545829892653</v>
      </c>
      <c r="E27" s="11">
        <v>26000</v>
      </c>
      <c r="F27" s="11"/>
      <c r="G27" s="7">
        <f t="shared" si="0"/>
        <v>85449.545829892653</v>
      </c>
      <c r="H27" s="19">
        <f t="shared" si="1"/>
        <v>66900</v>
      </c>
      <c r="I27" s="20">
        <f t="shared" si="2"/>
        <v>26000</v>
      </c>
      <c r="J27" s="20">
        <f t="shared" si="2"/>
        <v>0</v>
      </c>
      <c r="K27" s="21">
        <f t="shared" si="3"/>
        <v>92900</v>
      </c>
      <c r="L27" s="21">
        <f t="shared" si="4"/>
        <v>70200</v>
      </c>
      <c r="M27" s="21">
        <f t="shared" si="5"/>
        <v>26000</v>
      </c>
      <c r="N27" s="21"/>
      <c r="O27" s="21">
        <f t="shared" si="6"/>
        <v>96200</v>
      </c>
      <c r="P27" s="21">
        <v>119300</v>
      </c>
      <c r="Q27" s="51">
        <v>44314</v>
      </c>
      <c r="R27" s="21">
        <v>29700</v>
      </c>
      <c r="S27" s="21"/>
      <c r="T27" s="21">
        <f t="shared" si="11"/>
        <v>125817.3148148148</v>
      </c>
      <c r="U27" s="21">
        <v>113.9</v>
      </c>
      <c r="V27" s="21">
        <f t="shared" si="12"/>
        <v>31335.652173913044</v>
      </c>
      <c r="W27" s="21">
        <v>109.2</v>
      </c>
      <c r="X27" s="21"/>
      <c r="Y27" s="21">
        <f t="shared" si="13"/>
        <v>157152.96698872786</v>
      </c>
      <c r="Z27" s="21">
        <f t="shared" si="7"/>
        <v>136974.07407407407</v>
      </c>
      <c r="AA27" s="21">
        <v>124</v>
      </c>
      <c r="AB27" s="21">
        <f t="shared" si="8"/>
        <v>35008.695652173912</v>
      </c>
      <c r="AC27" s="21">
        <v>122</v>
      </c>
      <c r="AD27" s="21">
        <f t="shared" si="9"/>
        <v>0</v>
      </c>
      <c r="AE27" s="21">
        <f t="shared" si="10"/>
        <v>171982.76972624799</v>
      </c>
      <c r="AF27" s="21">
        <f t="shared" si="14"/>
        <v>138300</v>
      </c>
      <c r="AG27" s="21">
        <v>125.2</v>
      </c>
      <c r="AH27" s="21">
        <f t="shared" si="15"/>
        <v>35382</v>
      </c>
      <c r="AI27" s="21">
        <v>123.3</v>
      </c>
      <c r="AJ27" s="21">
        <f t="shared" si="16"/>
        <v>0</v>
      </c>
      <c r="AK27" s="70">
        <f t="shared" si="17"/>
        <v>173682</v>
      </c>
      <c r="AL27" s="51">
        <v>44314</v>
      </c>
      <c r="AM27" s="51" t="s">
        <v>24</v>
      </c>
      <c r="AN27" s="21" t="s">
        <v>19</v>
      </c>
      <c r="AO27" s="21"/>
    </row>
    <row r="28" spans="2:41" x14ac:dyDescent="0.25">
      <c r="B28" s="3" t="s">
        <v>50</v>
      </c>
      <c r="C28" s="3" t="s">
        <v>51</v>
      </c>
      <c r="D28" s="7">
        <f>393500/M6*M7</f>
        <v>401948.38976052852</v>
      </c>
      <c r="E28" s="11">
        <v>47000</v>
      </c>
      <c r="F28" s="11"/>
      <c r="G28" s="7">
        <f t="shared" si="0"/>
        <v>448948.38976052852</v>
      </c>
      <c r="H28" s="19">
        <f t="shared" si="1"/>
        <v>452000</v>
      </c>
      <c r="I28" s="20">
        <f t="shared" si="2"/>
        <v>47000</v>
      </c>
      <c r="J28" s="20">
        <f t="shared" si="2"/>
        <v>0</v>
      </c>
      <c r="K28" s="21">
        <f t="shared" si="3"/>
        <v>499000</v>
      </c>
      <c r="L28" s="21">
        <f t="shared" si="4"/>
        <v>474600</v>
      </c>
      <c r="M28" s="21">
        <f t="shared" si="5"/>
        <v>47000</v>
      </c>
      <c r="N28" s="21"/>
      <c r="O28" s="21">
        <f t="shared" si="6"/>
        <v>521600</v>
      </c>
      <c r="P28" s="21">
        <v>1310000</v>
      </c>
      <c r="Q28" s="51">
        <v>44314</v>
      </c>
      <c r="R28" s="21">
        <v>81700</v>
      </c>
      <c r="S28" s="21"/>
      <c r="T28" s="21">
        <f t="shared" si="11"/>
        <v>1381564.8148148148</v>
      </c>
      <c r="U28" s="21">
        <v>113.9</v>
      </c>
      <c r="V28" s="21">
        <f t="shared" si="12"/>
        <v>86199.420289855072</v>
      </c>
      <c r="W28" s="21">
        <v>109.2</v>
      </c>
      <c r="X28" s="21"/>
      <c r="Y28" s="21">
        <f t="shared" si="13"/>
        <v>1467764.2351046698</v>
      </c>
      <c r="Z28" s="21">
        <f t="shared" si="7"/>
        <v>1504074.0740740742</v>
      </c>
      <c r="AA28" s="21">
        <v>124</v>
      </c>
      <c r="AB28" s="21">
        <f t="shared" si="8"/>
        <v>96303.381642512075</v>
      </c>
      <c r="AC28" s="21">
        <v>122</v>
      </c>
      <c r="AD28" s="21">
        <f t="shared" si="9"/>
        <v>0</v>
      </c>
      <c r="AE28" s="21">
        <f t="shared" si="10"/>
        <v>1600377.4557165862</v>
      </c>
      <c r="AF28" s="21">
        <f t="shared" si="14"/>
        <v>1518630</v>
      </c>
      <c r="AG28" s="21">
        <v>125.2</v>
      </c>
      <c r="AH28" s="21">
        <f t="shared" si="15"/>
        <v>97330</v>
      </c>
      <c r="AI28" s="21">
        <v>123.3</v>
      </c>
      <c r="AJ28" s="21">
        <f t="shared" si="16"/>
        <v>0</v>
      </c>
      <c r="AK28" s="70">
        <f t="shared" si="17"/>
        <v>1615960</v>
      </c>
      <c r="AL28" s="51">
        <v>44314</v>
      </c>
      <c r="AM28" s="51" t="s">
        <v>19</v>
      </c>
      <c r="AN28" s="21" t="s">
        <v>19</v>
      </c>
      <c r="AO28" s="21">
        <v>24</v>
      </c>
    </row>
    <row r="29" spans="2:41" x14ac:dyDescent="0.25">
      <c r="B29" s="3" t="s">
        <v>52</v>
      </c>
      <c r="C29" s="3" t="s">
        <v>53</v>
      </c>
      <c r="D29" s="7">
        <f>3691200/M6*M7</f>
        <v>3770449.5458298931</v>
      </c>
      <c r="E29" s="11">
        <v>175000</v>
      </c>
      <c r="F29" s="11"/>
      <c r="G29" s="7">
        <f t="shared" si="0"/>
        <v>3945449.5458298931</v>
      </c>
      <c r="H29" s="19">
        <f t="shared" si="1"/>
        <v>4239900</v>
      </c>
      <c r="I29" s="20">
        <f t="shared" si="2"/>
        <v>175000</v>
      </c>
      <c r="J29" s="20">
        <f t="shared" si="2"/>
        <v>0</v>
      </c>
      <c r="K29" s="21">
        <f t="shared" si="3"/>
        <v>4414900</v>
      </c>
      <c r="L29" s="21">
        <f t="shared" si="4"/>
        <v>4451900</v>
      </c>
      <c r="M29" s="21">
        <f t="shared" si="5"/>
        <v>175000</v>
      </c>
      <c r="N29" s="21"/>
      <c r="O29" s="21">
        <f t="shared" si="6"/>
        <v>4626900</v>
      </c>
      <c r="P29" s="21">
        <v>4750800</v>
      </c>
      <c r="Q29" s="51">
        <v>44314</v>
      </c>
      <c r="R29" s="21">
        <v>365147</v>
      </c>
      <c r="S29" s="21"/>
      <c r="T29" s="21">
        <f t="shared" si="11"/>
        <v>5010334.444444444</v>
      </c>
      <c r="U29" s="21">
        <v>113.9</v>
      </c>
      <c r="V29" s="21">
        <f t="shared" si="12"/>
        <v>385256.54492753622</v>
      </c>
      <c r="W29" s="21">
        <v>109.2</v>
      </c>
      <c r="X29" s="21"/>
      <c r="Y29" s="21">
        <f t="shared" si="13"/>
        <v>5395590.9893719805</v>
      </c>
      <c r="Z29" s="21">
        <f t="shared" si="7"/>
        <v>5454622.2222222211</v>
      </c>
      <c r="AA29" s="21">
        <v>124</v>
      </c>
      <c r="AB29" s="21">
        <f t="shared" si="8"/>
        <v>430414.82125603862</v>
      </c>
      <c r="AC29" s="21">
        <v>122</v>
      </c>
      <c r="AD29" s="21">
        <f t="shared" si="9"/>
        <v>0</v>
      </c>
      <c r="AE29" s="21">
        <f t="shared" si="10"/>
        <v>5885037.0434782598</v>
      </c>
      <c r="AF29" s="21">
        <f t="shared" si="14"/>
        <v>5507409</v>
      </c>
      <c r="AG29" s="21">
        <v>125.2</v>
      </c>
      <c r="AH29" s="21">
        <f t="shared" si="15"/>
        <v>435002</v>
      </c>
      <c r="AI29" s="21">
        <v>123.3</v>
      </c>
      <c r="AJ29" s="21">
        <f t="shared" si="16"/>
        <v>0</v>
      </c>
      <c r="AK29" s="70">
        <f t="shared" si="17"/>
        <v>5942411</v>
      </c>
      <c r="AL29" s="51">
        <v>44314</v>
      </c>
      <c r="AM29" s="51" t="s">
        <v>18</v>
      </c>
      <c r="AN29" s="21" t="s">
        <v>18</v>
      </c>
      <c r="AO29" s="21"/>
    </row>
    <row r="30" spans="2:41" x14ac:dyDescent="0.25">
      <c r="B30" s="3" t="s">
        <v>54</v>
      </c>
      <c r="C30" s="3" t="s">
        <v>55</v>
      </c>
      <c r="D30" s="7">
        <f>44900/M6*M7</f>
        <v>45863.996696944676</v>
      </c>
      <c r="E30" s="11"/>
      <c r="F30" s="11"/>
      <c r="G30" s="7">
        <f t="shared" si="0"/>
        <v>45863.996696944676</v>
      </c>
      <c r="H30" s="19">
        <f t="shared" si="1"/>
        <v>51600</v>
      </c>
      <c r="I30" s="20">
        <f t="shared" si="2"/>
        <v>0</v>
      </c>
      <c r="J30" s="20">
        <f t="shared" si="2"/>
        <v>0</v>
      </c>
      <c r="K30" s="21">
        <f t="shared" si="3"/>
        <v>51600</v>
      </c>
      <c r="L30" s="21">
        <f t="shared" si="4"/>
        <v>54200</v>
      </c>
      <c r="M30" s="21">
        <f t="shared" si="5"/>
        <v>0</v>
      </c>
      <c r="N30" s="21"/>
      <c r="O30" s="21">
        <f t="shared" si="6"/>
        <v>54200</v>
      </c>
      <c r="P30" s="21">
        <v>77700</v>
      </c>
      <c r="Q30" s="51">
        <v>44314</v>
      </c>
      <c r="R30" s="21"/>
      <c r="S30" s="21"/>
      <c r="T30" s="21">
        <f t="shared" si="11"/>
        <v>81944.722222222219</v>
      </c>
      <c r="U30" s="21">
        <v>113.9</v>
      </c>
      <c r="V30" s="21">
        <f t="shared" si="12"/>
        <v>0</v>
      </c>
      <c r="W30" s="21">
        <v>109.2</v>
      </c>
      <c r="X30" s="21"/>
      <c r="Y30" s="21">
        <f t="shared" si="13"/>
        <v>81944.722222222219</v>
      </c>
      <c r="Z30" s="21">
        <f t="shared" si="7"/>
        <v>89211.111111111095</v>
      </c>
      <c r="AA30" s="21">
        <v>124</v>
      </c>
      <c r="AB30" s="21">
        <f t="shared" si="8"/>
        <v>0</v>
      </c>
      <c r="AC30" s="21">
        <v>122</v>
      </c>
      <c r="AD30" s="21">
        <f t="shared" si="9"/>
        <v>0</v>
      </c>
      <c r="AE30" s="21">
        <f t="shared" si="10"/>
        <v>89211.111111111095</v>
      </c>
      <c r="AF30" s="21">
        <f t="shared" si="14"/>
        <v>90075</v>
      </c>
      <c r="AG30" s="21">
        <v>125.2</v>
      </c>
      <c r="AH30" s="21">
        <f t="shared" si="15"/>
        <v>0</v>
      </c>
      <c r="AI30" s="21">
        <v>123.3</v>
      </c>
      <c r="AJ30" s="21">
        <f t="shared" si="16"/>
        <v>0</v>
      </c>
      <c r="AK30" s="70">
        <f t="shared" si="17"/>
        <v>90075</v>
      </c>
      <c r="AL30" s="21"/>
      <c r="AM30" s="21" t="s">
        <v>24</v>
      </c>
      <c r="AN30" s="21" t="s">
        <v>19</v>
      </c>
      <c r="AO30" s="21"/>
    </row>
    <row r="31" spans="2:41" x14ac:dyDescent="0.25">
      <c r="B31" s="3" t="s">
        <v>56</v>
      </c>
      <c r="C31" s="3" t="s">
        <v>57</v>
      </c>
      <c r="D31" s="7">
        <f>162200/M6*M7</f>
        <v>165682.4112303881</v>
      </c>
      <c r="E31" s="11"/>
      <c r="F31" s="11"/>
      <c r="G31" s="7">
        <f t="shared" si="0"/>
        <v>165682.4112303881</v>
      </c>
      <c r="H31" s="19">
        <f t="shared" si="1"/>
        <v>186300</v>
      </c>
      <c r="I31" s="20">
        <f t="shared" si="2"/>
        <v>0</v>
      </c>
      <c r="J31" s="20">
        <f t="shared" si="2"/>
        <v>0</v>
      </c>
      <c r="K31" s="21">
        <f t="shared" si="3"/>
        <v>186300</v>
      </c>
      <c r="L31" s="21">
        <f t="shared" si="4"/>
        <v>195600</v>
      </c>
      <c r="M31" s="21">
        <f t="shared" si="5"/>
        <v>0</v>
      </c>
      <c r="N31" s="21"/>
      <c r="O31" s="21">
        <f t="shared" si="6"/>
        <v>195600</v>
      </c>
      <c r="P31" s="21">
        <v>94000</v>
      </c>
      <c r="Q31" s="51">
        <v>44314</v>
      </c>
      <c r="R31" s="21"/>
      <c r="S31" s="21"/>
      <c r="T31" s="21">
        <f t="shared" si="11"/>
        <v>99135.185185185182</v>
      </c>
      <c r="U31" s="21">
        <v>113.9</v>
      </c>
      <c r="V31" s="21">
        <f t="shared" si="12"/>
        <v>0</v>
      </c>
      <c r="W31" s="21">
        <v>109.2</v>
      </c>
      <c r="X31" s="21"/>
      <c r="Y31" s="21">
        <f t="shared" si="13"/>
        <v>99135.185185185182</v>
      </c>
      <c r="Z31" s="21">
        <f t="shared" si="7"/>
        <v>107925.92592592593</v>
      </c>
      <c r="AA31" s="21">
        <v>124</v>
      </c>
      <c r="AB31" s="21">
        <f t="shared" si="8"/>
        <v>0</v>
      </c>
      <c r="AC31" s="21">
        <v>122</v>
      </c>
      <c r="AD31" s="21">
        <f t="shared" si="9"/>
        <v>0</v>
      </c>
      <c r="AE31" s="21">
        <f t="shared" si="10"/>
        <v>107925.92592592593</v>
      </c>
      <c r="AF31" s="21">
        <f t="shared" si="14"/>
        <v>108971</v>
      </c>
      <c r="AG31" s="21">
        <v>125.2</v>
      </c>
      <c r="AH31" s="21">
        <f t="shared" si="15"/>
        <v>0</v>
      </c>
      <c r="AI31" s="21">
        <v>123.3</v>
      </c>
      <c r="AJ31" s="21">
        <f t="shared" si="16"/>
        <v>0</v>
      </c>
      <c r="AK31" s="70">
        <f t="shared" si="17"/>
        <v>108971</v>
      </c>
      <c r="AL31" s="21"/>
      <c r="AM31" s="21" t="s">
        <v>19</v>
      </c>
      <c r="AN31" s="21" t="s">
        <v>19</v>
      </c>
      <c r="AO31" s="21"/>
    </row>
    <row r="32" spans="2:41" x14ac:dyDescent="0.25">
      <c r="B32" s="3" t="s">
        <v>58</v>
      </c>
      <c r="C32" s="3" t="s">
        <v>59</v>
      </c>
      <c r="D32" s="7">
        <f>130600/M6*M7</f>
        <v>133403.96366639141</v>
      </c>
      <c r="E32" s="11">
        <v>8000</v>
      </c>
      <c r="F32" s="11"/>
      <c r="G32" s="7">
        <f t="shared" si="0"/>
        <v>141403.96366639141</v>
      </c>
      <c r="H32" s="19">
        <f t="shared" si="1"/>
        <v>150000</v>
      </c>
      <c r="I32" s="20">
        <f t="shared" si="2"/>
        <v>8000</v>
      </c>
      <c r="J32" s="20">
        <f t="shared" si="2"/>
        <v>0</v>
      </c>
      <c r="K32" s="21">
        <f t="shared" si="3"/>
        <v>158000</v>
      </c>
      <c r="L32" s="21">
        <f t="shared" si="4"/>
        <v>157500</v>
      </c>
      <c r="M32" s="21">
        <f t="shared" si="5"/>
        <v>8000</v>
      </c>
      <c r="N32" s="21"/>
      <c r="O32" s="21">
        <f t="shared" si="6"/>
        <v>165500</v>
      </c>
      <c r="P32" s="21">
        <v>175000</v>
      </c>
      <c r="Q32" s="51">
        <v>44314</v>
      </c>
      <c r="R32" s="21">
        <v>9900</v>
      </c>
      <c r="S32" s="21"/>
      <c r="T32" s="21">
        <f t="shared" si="11"/>
        <v>184560.18518518517</v>
      </c>
      <c r="U32" s="21">
        <v>113.9</v>
      </c>
      <c r="V32" s="21">
        <f t="shared" si="12"/>
        <v>10445.217391304348</v>
      </c>
      <c r="W32" s="21">
        <v>109.2</v>
      </c>
      <c r="X32" s="21"/>
      <c r="Y32" s="21">
        <f t="shared" si="13"/>
        <v>195005.40257648952</v>
      </c>
      <c r="Z32" s="21">
        <f t="shared" si="7"/>
        <v>200925.9259259259</v>
      </c>
      <c r="AA32" s="21">
        <v>124</v>
      </c>
      <c r="AB32" s="21">
        <f t="shared" si="8"/>
        <v>11669.565217391306</v>
      </c>
      <c r="AC32" s="21">
        <v>122</v>
      </c>
      <c r="AD32" s="21">
        <f t="shared" si="9"/>
        <v>0</v>
      </c>
      <c r="AE32" s="21">
        <f t="shared" si="10"/>
        <v>212595.49114331719</v>
      </c>
      <c r="AF32" s="21">
        <f t="shared" si="14"/>
        <v>202871</v>
      </c>
      <c r="AG32" s="21">
        <v>125.2</v>
      </c>
      <c r="AH32" s="21">
        <f t="shared" si="15"/>
        <v>11794</v>
      </c>
      <c r="AI32" s="21">
        <v>123.3</v>
      </c>
      <c r="AJ32" s="21">
        <f t="shared" si="16"/>
        <v>0</v>
      </c>
      <c r="AK32" s="70">
        <f t="shared" si="17"/>
        <v>214665</v>
      </c>
      <c r="AL32" s="51">
        <v>44314</v>
      </c>
      <c r="AM32" s="51" t="s">
        <v>19</v>
      </c>
      <c r="AN32" s="21" t="s">
        <v>19</v>
      </c>
      <c r="AO32" s="21"/>
    </row>
    <row r="33" spans="1:41" x14ac:dyDescent="0.25">
      <c r="B33" s="3" t="s">
        <v>60</v>
      </c>
      <c r="C33" s="3" t="s">
        <v>61</v>
      </c>
      <c r="D33" s="7">
        <f>1058000/M6*M7</f>
        <v>1080715.1114781173</v>
      </c>
      <c r="E33" s="11">
        <v>294000</v>
      </c>
      <c r="F33" s="11"/>
      <c r="G33" s="7">
        <f t="shared" si="0"/>
        <v>1374715.1114781173</v>
      </c>
      <c r="H33" s="19">
        <f t="shared" si="1"/>
        <v>1215300</v>
      </c>
      <c r="I33" s="20">
        <f t="shared" si="2"/>
        <v>294000</v>
      </c>
      <c r="J33" s="20">
        <f t="shared" si="2"/>
        <v>0</v>
      </c>
      <c r="K33" s="21">
        <f t="shared" si="3"/>
        <v>1509300</v>
      </c>
      <c r="L33" s="21">
        <f t="shared" si="4"/>
        <v>1276100</v>
      </c>
      <c r="M33" s="21">
        <f t="shared" si="5"/>
        <v>294000</v>
      </c>
      <c r="N33" s="21"/>
      <c r="O33" s="21">
        <f t="shared" si="6"/>
        <v>1570100</v>
      </c>
      <c r="P33" s="21">
        <v>2340000</v>
      </c>
      <c r="Q33" s="51">
        <v>44314</v>
      </c>
      <c r="R33" s="21"/>
      <c r="S33" s="21"/>
      <c r="T33" s="21">
        <f t="shared" si="11"/>
        <v>2467833.333333333</v>
      </c>
      <c r="U33" s="21">
        <v>113.9</v>
      </c>
      <c r="V33" s="21">
        <f t="shared" si="12"/>
        <v>0</v>
      </c>
      <c r="W33" s="21">
        <v>109.2</v>
      </c>
      <c r="X33" s="21"/>
      <c r="Y33" s="21">
        <f t="shared" si="13"/>
        <v>2467833.333333333</v>
      </c>
      <c r="Z33" s="21">
        <f t="shared" si="7"/>
        <v>2686666.6666666665</v>
      </c>
      <c r="AA33" s="21">
        <v>124</v>
      </c>
      <c r="AB33" s="21">
        <f t="shared" si="8"/>
        <v>0</v>
      </c>
      <c r="AC33" s="21">
        <v>122</v>
      </c>
      <c r="AD33" s="21">
        <f t="shared" si="9"/>
        <v>0</v>
      </c>
      <c r="AE33" s="21">
        <f t="shared" si="10"/>
        <v>2686666.6666666665</v>
      </c>
      <c r="AF33" s="21">
        <f t="shared" si="14"/>
        <v>2712667</v>
      </c>
      <c r="AG33" s="21">
        <v>125.2</v>
      </c>
      <c r="AH33" s="21">
        <f t="shared" si="15"/>
        <v>0</v>
      </c>
      <c r="AI33" s="21">
        <v>123.3</v>
      </c>
      <c r="AJ33" s="21">
        <f t="shared" si="16"/>
        <v>0</v>
      </c>
      <c r="AK33" s="70">
        <f t="shared" si="17"/>
        <v>2712667</v>
      </c>
      <c r="AL33" s="21"/>
      <c r="AM33" s="21" t="s">
        <v>18</v>
      </c>
      <c r="AN33" s="21" t="s">
        <v>19</v>
      </c>
      <c r="AO33" s="21"/>
    </row>
    <row r="34" spans="1:41" x14ac:dyDescent="0.25">
      <c r="B34" s="3" t="s">
        <v>62</v>
      </c>
      <c r="C34" s="3" t="s">
        <v>63</v>
      </c>
      <c r="D34" s="7">
        <f>13476100/M6*M7</f>
        <v>13765429.975227086</v>
      </c>
      <c r="E34" s="11">
        <v>408000</v>
      </c>
      <c r="F34" s="11"/>
      <c r="G34" s="7">
        <f t="shared" si="0"/>
        <v>14173429.975227086</v>
      </c>
      <c r="H34" s="19">
        <f t="shared" si="1"/>
        <v>15479200</v>
      </c>
      <c r="I34" s="20">
        <f t="shared" si="2"/>
        <v>408000</v>
      </c>
      <c r="J34" s="20">
        <f t="shared" si="2"/>
        <v>0</v>
      </c>
      <c r="K34" s="21">
        <f t="shared" si="3"/>
        <v>15887200</v>
      </c>
      <c r="L34" s="21">
        <f t="shared" si="4"/>
        <v>16253200</v>
      </c>
      <c r="M34" s="21">
        <f t="shared" si="5"/>
        <v>408000</v>
      </c>
      <c r="N34" s="21"/>
      <c r="O34" s="21">
        <f t="shared" si="6"/>
        <v>16661200</v>
      </c>
      <c r="P34" s="21">
        <v>19090000</v>
      </c>
      <c r="Q34" s="51">
        <v>44314</v>
      </c>
      <c r="R34" s="21">
        <v>859060</v>
      </c>
      <c r="S34" s="21"/>
      <c r="T34" s="21">
        <f t="shared" si="11"/>
        <v>20132879.629629631</v>
      </c>
      <c r="U34" s="21">
        <v>113.9</v>
      </c>
      <c r="V34" s="21">
        <f t="shared" si="12"/>
        <v>906370.55072463769</v>
      </c>
      <c r="W34" s="21">
        <v>109.2</v>
      </c>
      <c r="X34" s="21"/>
      <c r="Y34" s="21">
        <f t="shared" si="13"/>
        <v>21039250.180354267</v>
      </c>
      <c r="Z34" s="21">
        <f t="shared" si="7"/>
        <v>21918148.148148149</v>
      </c>
      <c r="AA34" s="21">
        <v>124</v>
      </c>
      <c r="AB34" s="21">
        <f t="shared" si="8"/>
        <v>1012611.7874396135</v>
      </c>
      <c r="AC34" s="21">
        <v>122</v>
      </c>
      <c r="AD34" s="21">
        <f t="shared" si="9"/>
        <v>0</v>
      </c>
      <c r="AE34" s="21">
        <f t="shared" si="10"/>
        <v>22930759.935587764</v>
      </c>
      <c r="AF34" s="21">
        <f t="shared" si="14"/>
        <v>22130260</v>
      </c>
      <c r="AG34" s="21">
        <v>125.2</v>
      </c>
      <c r="AH34" s="21">
        <f t="shared" si="15"/>
        <v>1023402</v>
      </c>
      <c r="AI34" s="21">
        <v>123.3</v>
      </c>
      <c r="AJ34" s="21">
        <f t="shared" si="16"/>
        <v>0</v>
      </c>
      <c r="AK34" s="70">
        <f t="shared" si="17"/>
        <v>23153662</v>
      </c>
      <c r="AL34" s="51">
        <v>44314</v>
      </c>
      <c r="AM34" s="51" t="s">
        <v>18</v>
      </c>
      <c r="AN34" s="21" t="s">
        <v>18</v>
      </c>
      <c r="AO34" s="21"/>
    </row>
    <row r="35" spans="1:41" x14ac:dyDescent="0.25">
      <c r="B35" s="3" t="s">
        <v>64</v>
      </c>
      <c r="C35" s="3" t="s">
        <v>65</v>
      </c>
      <c r="D35" s="39">
        <v>5000000</v>
      </c>
      <c r="E35" s="40">
        <v>0</v>
      </c>
      <c r="F35" s="40"/>
      <c r="G35" s="39">
        <f t="shared" si="0"/>
        <v>5000000</v>
      </c>
      <c r="H35" s="41">
        <f t="shared" si="1"/>
        <v>5622500</v>
      </c>
      <c r="I35" s="20">
        <v>1150000</v>
      </c>
      <c r="J35" s="20">
        <f>F35</f>
        <v>0</v>
      </c>
      <c r="K35" s="21">
        <f t="shared" si="3"/>
        <v>6772500</v>
      </c>
      <c r="L35" s="21">
        <f t="shared" si="4"/>
        <v>5903600</v>
      </c>
      <c r="M35" s="21">
        <f t="shared" si="5"/>
        <v>1150000</v>
      </c>
      <c r="N35" s="21"/>
      <c r="O35" s="21">
        <f t="shared" si="6"/>
        <v>7053600</v>
      </c>
      <c r="P35" s="21">
        <v>8545375</v>
      </c>
      <c r="Q35" s="51">
        <v>44314</v>
      </c>
      <c r="R35" s="21">
        <v>1755063</v>
      </c>
      <c r="S35" s="21"/>
      <c r="T35" s="21">
        <f t="shared" si="11"/>
        <v>9012205.6712962966</v>
      </c>
      <c r="U35" s="21">
        <v>113.9</v>
      </c>
      <c r="V35" s="21">
        <f t="shared" si="12"/>
        <v>1851718.6434782608</v>
      </c>
      <c r="W35" s="21">
        <v>109.2</v>
      </c>
      <c r="X35" s="21"/>
      <c r="Y35" s="21">
        <f t="shared" si="13"/>
        <v>10863924.314774558</v>
      </c>
      <c r="Z35" s="21">
        <f t="shared" si="7"/>
        <v>9811356.4814814813</v>
      </c>
      <c r="AA35" s="21">
        <v>124</v>
      </c>
      <c r="AB35" s="21">
        <f t="shared" si="8"/>
        <v>2068769.9130434783</v>
      </c>
      <c r="AC35" s="21">
        <v>122</v>
      </c>
      <c r="AD35" s="21">
        <f t="shared" si="9"/>
        <v>0</v>
      </c>
      <c r="AE35" s="21">
        <f t="shared" si="10"/>
        <v>11880126.39452496</v>
      </c>
      <c r="AF35" s="21">
        <f t="shared" si="14"/>
        <v>9906306</v>
      </c>
      <c r="AG35" s="21">
        <v>125.2</v>
      </c>
      <c r="AH35" s="21">
        <f t="shared" si="15"/>
        <v>2090815</v>
      </c>
      <c r="AI35" s="21">
        <v>123.3</v>
      </c>
      <c r="AJ35" s="21">
        <f t="shared" si="16"/>
        <v>0</v>
      </c>
      <c r="AK35" s="70">
        <f t="shared" si="17"/>
        <v>11997121</v>
      </c>
      <c r="AL35" s="51">
        <v>44314</v>
      </c>
      <c r="AM35" s="51" t="s">
        <v>18</v>
      </c>
      <c r="AN35" s="21" t="s">
        <v>18</v>
      </c>
      <c r="AO35" s="21" t="s">
        <v>66</v>
      </c>
    </row>
    <row r="36" spans="1:41" x14ac:dyDescent="0.25">
      <c r="B36" s="3" t="s">
        <v>67</v>
      </c>
      <c r="C36" s="3" t="s">
        <v>68</v>
      </c>
      <c r="D36" s="7">
        <f>248900/M6*M7</f>
        <v>254243.84805945499</v>
      </c>
      <c r="E36" s="11">
        <v>192000</v>
      </c>
      <c r="F36" s="11"/>
      <c r="G36" s="7">
        <f t="shared" si="0"/>
        <v>446243.84805945499</v>
      </c>
      <c r="H36" s="19">
        <f t="shared" si="1"/>
        <v>285900</v>
      </c>
      <c r="I36" s="20">
        <f>E36</f>
        <v>192000</v>
      </c>
      <c r="J36" s="20">
        <f>F36</f>
        <v>0</v>
      </c>
      <c r="K36" s="21">
        <f t="shared" si="3"/>
        <v>477900</v>
      </c>
      <c r="L36" s="21">
        <f t="shared" si="4"/>
        <v>300200</v>
      </c>
      <c r="M36" s="21">
        <f t="shared" si="5"/>
        <v>192000</v>
      </c>
      <c r="N36" s="21"/>
      <c r="O36" s="21">
        <f t="shared" si="6"/>
        <v>492200</v>
      </c>
      <c r="P36" s="21">
        <v>410200</v>
      </c>
      <c r="Q36" s="51">
        <v>44314</v>
      </c>
      <c r="R36" s="21"/>
      <c r="S36" s="21"/>
      <c r="T36" s="21">
        <f t="shared" si="11"/>
        <v>432609.07407407404</v>
      </c>
      <c r="U36" s="21">
        <v>113.9</v>
      </c>
      <c r="V36" s="21">
        <f t="shared" si="12"/>
        <v>0</v>
      </c>
      <c r="W36" s="21">
        <v>109.2</v>
      </c>
      <c r="X36" s="21"/>
      <c r="Y36" s="21">
        <f t="shared" si="13"/>
        <v>432609.07407407404</v>
      </c>
      <c r="Z36" s="21">
        <f t="shared" si="7"/>
        <v>470970.37037037034</v>
      </c>
      <c r="AA36" s="21">
        <v>124</v>
      </c>
      <c r="AB36" s="21">
        <f t="shared" si="8"/>
        <v>0</v>
      </c>
      <c r="AC36" s="21">
        <v>122</v>
      </c>
      <c r="AD36" s="21">
        <f t="shared" si="9"/>
        <v>0</v>
      </c>
      <c r="AE36" s="21">
        <f t="shared" si="10"/>
        <v>470970.37037037034</v>
      </c>
      <c r="AF36" s="21">
        <f t="shared" si="14"/>
        <v>475529</v>
      </c>
      <c r="AG36" s="21">
        <v>125.2</v>
      </c>
      <c r="AH36" s="21">
        <f t="shared" si="15"/>
        <v>0</v>
      </c>
      <c r="AI36" s="21">
        <v>123.3</v>
      </c>
      <c r="AJ36" s="21">
        <f t="shared" si="16"/>
        <v>0</v>
      </c>
      <c r="AK36" s="70">
        <f t="shared" si="17"/>
        <v>475529</v>
      </c>
      <c r="AL36" s="21"/>
      <c r="AM36" s="21" t="s">
        <v>18</v>
      </c>
      <c r="AN36" s="21" t="s">
        <v>19</v>
      </c>
      <c r="AO36" s="21">
        <v>253</v>
      </c>
    </row>
    <row r="37" spans="1:41" x14ac:dyDescent="0.25">
      <c r="B37" s="3" t="s">
        <v>69</v>
      </c>
      <c r="C37" s="3" t="s">
        <v>70</v>
      </c>
      <c r="D37" s="7">
        <f>2212900/M6*M7</f>
        <v>2260410.6523534269</v>
      </c>
      <c r="E37" s="11">
        <v>338000</v>
      </c>
      <c r="F37" s="11"/>
      <c r="G37" s="7">
        <f t="shared" si="0"/>
        <v>2598410.6523534269</v>
      </c>
      <c r="H37" s="19">
        <f t="shared" si="1"/>
        <v>2541800</v>
      </c>
      <c r="I37" s="20">
        <f>E37</f>
        <v>338000</v>
      </c>
      <c r="J37" s="20">
        <f>F37</f>
        <v>0</v>
      </c>
      <c r="K37" s="21">
        <f t="shared" si="3"/>
        <v>2879800</v>
      </c>
      <c r="L37" s="21">
        <f t="shared" si="4"/>
        <v>2668900</v>
      </c>
      <c r="M37" s="21">
        <f t="shared" si="5"/>
        <v>338000</v>
      </c>
      <c r="N37" s="21"/>
      <c r="O37" s="21">
        <f t="shared" si="6"/>
        <v>3006900</v>
      </c>
      <c r="P37" s="21">
        <v>1684800</v>
      </c>
      <c r="Q37" s="51">
        <v>44314</v>
      </c>
      <c r="R37" s="21">
        <v>2143393</v>
      </c>
      <c r="S37" s="21"/>
      <c r="T37" s="21">
        <f t="shared" si="11"/>
        <v>1776840</v>
      </c>
      <c r="U37" s="21">
        <v>113.9</v>
      </c>
      <c r="V37" s="21">
        <f t="shared" si="12"/>
        <v>2261434.9333333331</v>
      </c>
      <c r="W37" s="21">
        <v>109.2</v>
      </c>
      <c r="X37" s="21"/>
      <c r="Y37" s="21">
        <f t="shared" si="13"/>
        <v>4038274.9333333331</v>
      </c>
      <c r="Z37" s="21">
        <f t="shared" si="7"/>
        <v>1934400</v>
      </c>
      <c r="AA37" s="21">
        <v>124</v>
      </c>
      <c r="AB37" s="21">
        <f t="shared" si="8"/>
        <v>2526511.5555555555</v>
      </c>
      <c r="AC37" s="21">
        <v>122</v>
      </c>
      <c r="AD37" s="21">
        <f t="shared" si="9"/>
        <v>0</v>
      </c>
      <c r="AE37" s="21">
        <f t="shared" si="10"/>
        <v>4460911.555555556</v>
      </c>
      <c r="AF37" s="21">
        <f t="shared" si="14"/>
        <v>1953120</v>
      </c>
      <c r="AG37" s="21">
        <v>125.2</v>
      </c>
      <c r="AH37" s="21">
        <f t="shared" si="15"/>
        <v>2553434</v>
      </c>
      <c r="AI37" s="21">
        <v>123.3</v>
      </c>
      <c r="AJ37" s="21">
        <f t="shared" si="16"/>
        <v>0</v>
      </c>
      <c r="AK37" s="70">
        <f t="shared" si="17"/>
        <v>4506554</v>
      </c>
      <c r="AL37" s="51">
        <v>44314</v>
      </c>
      <c r="AM37" s="51" t="s">
        <v>18</v>
      </c>
      <c r="AN37" s="21" t="s">
        <v>19</v>
      </c>
      <c r="AO37" s="21"/>
    </row>
    <row r="38" spans="1:41" x14ac:dyDescent="0.25">
      <c r="B38" s="3" t="s">
        <v>71</v>
      </c>
      <c r="C38" s="3" t="s">
        <v>70</v>
      </c>
      <c r="D38" s="7"/>
      <c r="E38" s="11"/>
      <c r="F38" s="11"/>
      <c r="G38" s="7"/>
      <c r="H38" s="19"/>
      <c r="I38" s="20"/>
      <c r="J38" s="20"/>
      <c r="K38" s="21"/>
      <c r="L38" s="21"/>
      <c r="M38" s="21"/>
      <c r="N38" s="21"/>
      <c r="O38" s="21"/>
      <c r="P38" s="21">
        <v>995200</v>
      </c>
      <c r="Q38" s="51">
        <v>44314</v>
      </c>
      <c r="R38" s="21"/>
      <c r="S38" s="21"/>
      <c r="T38" s="21">
        <f t="shared" si="11"/>
        <v>1049567.4074074074</v>
      </c>
      <c r="U38" s="21">
        <v>113.9</v>
      </c>
      <c r="V38" s="21">
        <f t="shared" si="12"/>
        <v>0</v>
      </c>
      <c r="W38" s="21">
        <v>109.2</v>
      </c>
      <c r="X38" s="21"/>
      <c r="Y38" s="21">
        <f t="shared" si="13"/>
        <v>1049567.4074074074</v>
      </c>
      <c r="Z38" s="21">
        <f t="shared" si="7"/>
        <v>1142637.0370370368</v>
      </c>
      <c r="AA38" s="21">
        <v>124</v>
      </c>
      <c r="AB38" s="21">
        <f t="shared" si="8"/>
        <v>0</v>
      </c>
      <c r="AC38" s="21">
        <v>122</v>
      </c>
      <c r="AD38" s="21">
        <f t="shared" si="9"/>
        <v>0</v>
      </c>
      <c r="AE38" s="21">
        <f t="shared" si="10"/>
        <v>1142637.0370370368</v>
      </c>
      <c r="AF38" s="21">
        <f t="shared" si="14"/>
        <v>1153695</v>
      </c>
      <c r="AG38" s="21">
        <v>125.2</v>
      </c>
      <c r="AH38" s="21">
        <f t="shared" si="15"/>
        <v>0</v>
      </c>
      <c r="AI38" s="21">
        <v>123.3</v>
      </c>
      <c r="AJ38" s="21">
        <f t="shared" si="16"/>
        <v>0</v>
      </c>
      <c r="AK38" s="70">
        <f t="shared" si="17"/>
        <v>1153695</v>
      </c>
      <c r="AL38" s="21"/>
      <c r="AM38" s="21" t="s">
        <v>19</v>
      </c>
      <c r="AN38" s="21" t="s">
        <v>19</v>
      </c>
      <c r="AO38" s="21"/>
    </row>
    <row r="39" spans="1:41" x14ac:dyDescent="0.25">
      <c r="B39" s="3" t="s">
        <v>72</v>
      </c>
      <c r="C39" s="3" t="s">
        <v>70</v>
      </c>
      <c r="D39" s="7"/>
      <c r="E39" s="11"/>
      <c r="F39" s="11"/>
      <c r="G39" s="7"/>
      <c r="H39" s="19"/>
      <c r="I39" s="20"/>
      <c r="J39" s="20"/>
      <c r="K39" s="21"/>
      <c r="L39" s="21"/>
      <c r="M39" s="21"/>
      <c r="N39" s="21"/>
      <c r="O39" s="21"/>
      <c r="P39" s="21">
        <v>398000</v>
      </c>
      <c r="Q39" s="51">
        <v>44314</v>
      </c>
      <c r="R39" s="21"/>
      <c r="S39" s="21"/>
      <c r="T39" s="21">
        <f t="shared" si="11"/>
        <v>419742.59259259258</v>
      </c>
      <c r="U39" s="21">
        <v>113.9</v>
      </c>
      <c r="V39" s="21">
        <f t="shared" si="12"/>
        <v>0</v>
      </c>
      <c r="W39" s="21">
        <v>109.2</v>
      </c>
      <c r="X39" s="21"/>
      <c r="Y39" s="21">
        <f t="shared" si="13"/>
        <v>419742.59259259258</v>
      </c>
      <c r="Z39" s="21">
        <f t="shared" si="7"/>
        <v>456962.96296296292</v>
      </c>
      <c r="AA39" s="21">
        <v>124</v>
      </c>
      <c r="AB39" s="21">
        <f t="shared" si="8"/>
        <v>0</v>
      </c>
      <c r="AC39" s="21">
        <v>122</v>
      </c>
      <c r="AD39" s="21">
        <f t="shared" si="9"/>
        <v>0</v>
      </c>
      <c r="AE39" s="21">
        <f t="shared" si="10"/>
        <v>456962.96296296292</v>
      </c>
      <c r="AF39" s="21">
        <f t="shared" si="14"/>
        <v>461386</v>
      </c>
      <c r="AG39" s="21">
        <v>125.2</v>
      </c>
      <c r="AH39" s="21">
        <f t="shared" si="15"/>
        <v>0</v>
      </c>
      <c r="AI39" s="21">
        <v>123.3</v>
      </c>
      <c r="AJ39" s="21">
        <f t="shared" si="16"/>
        <v>0</v>
      </c>
      <c r="AK39" s="70">
        <f t="shared" si="17"/>
        <v>461386</v>
      </c>
      <c r="AL39" s="21"/>
      <c r="AM39" s="21" t="s">
        <v>19</v>
      </c>
      <c r="AN39" s="21" t="s">
        <v>19</v>
      </c>
      <c r="AO39" s="21"/>
    </row>
    <row r="40" spans="1:41" x14ac:dyDescent="0.25">
      <c r="B40" s="3" t="s">
        <v>73</v>
      </c>
      <c r="C40" s="3" t="s">
        <v>74</v>
      </c>
      <c r="D40" s="7">
        <f>1969000/M6*M7</f>
        <v>2011274.1535920727</v>
      </c>
      <c r="E40" s="11">
        <v>223000</v>
      </c>
      <c r="F40" s="11"/>
      <c r="G40" s="7">
        <f t="shared" ref="G40:G52" si="18">D40+E40</f>
        <v>2234274.1535920724</v>
      </c>
      <c r="H40" s="19">
        <f t="shared" ref="H40:H52" si="19">ROUND(D40/$M$7*$M$8,-2)</f>
        <v>2261700</v>
      </c>
      <c r="I40" s="20">
        <f t="shared" ref="I40:J52" si="20">E40</f>
        <v>223000</v>
      </c>
      <c r="J40" s="20">
        <f t="shared" si="20"/>
        <v>0</v>
      </c>
      <c r="K40" s="21">
        <f t="shared" ref="K40:K52" si="21">H40+I40+J40</f>
        <v>2484700</v>
      </c>
      <c r="L40" s="21">
        <f t="shared" ref="L40:L52" si="22">ROUND($H40/100*105,-2)</f>
        <v>2374800</v>
      </c>
      <c r="M40" s="21">
        <f t="shared" ref="M40:M52" si="23">$I40</f>
        <v>223000</v>
      </c>
      <c r="N40" s="21"/>
      <c r="O40" s="21">
        <f t="shared" ref="O40:O52" si="24">SUM($L40+$M40)</f>
        <v>2597800</v>
      </c>
      <c r="P40" s="21">
        <v>2678000</v>
      </c>
      <c r="Q40" s="51">
        <v>44314</v>
      </c>
      <c r="R40" s="21">
        <v>506778</v>
      </c>
      <c r="S40" s="21"/>
      <c r="T40" s="21">
        <f t="shared" si="11"/>
        <v>2824298.1481481479</v>
      </c>
      <c r="U40" s="21">
        <v>113.9</v>
      </c>
      <c r="V40" s="21">
        <f t="shared" si="12"/>
        <v>534687.51304347825</v>
      </c>
      <c r="W40" s="21">
        <v>109.2</v>
      </c>
      <c r="X40" s="21"/>
      <c r="Y40" s="21">
        <f t="shared" si="13"/>
        <v>3358985.661191626</v>
      </c>
      <c r="Z40" s="21">
        <f t="shared" si="7"/>
        <v>3074740.7407407402</v>
      </c>
      <c r="AA40" s="21">
        <v>124</v>
      </c>
      <c r="AB40" s="21">
        <f t="shared" si="8"/>
        <v>597361.50724637683</v>
      </c>
      <c r="AC40" s="21">
        <v>122</v>
      </c>
      <c r="AD40" s="21">
        <f t="shared" si="9"/>
        <v>0</v>
      </c>
      <c r="AE40" s="21">
        <f t="shared" si="10"/>
        <v>3672102.2479871172</v>
      </c>
      <c r="AF40" s="21">
        <f t="shared" si="14"/>
        <v>3104497</v>
      </c>
      <c r="AG40" s="21">
        <v>125.2</v>
      </c>
      <c r="AH40" s="21">
        <f t="shared" si="15"/>
        <v>603727</v>
      </c>
      <c r="AI40" s="21">
        <v>123.3</v>
      </c>
      <c r="AJ40" s="21">
        <f t="shared" si="16"/>
        <v>0</v>
      </c>
      <c r="AK40" s="70">
        <f t="shared" si="17"/>
        <v>3708224</v>
      </c>
      <c r="AL40" s="51">
        <v>44314</v>
      </c>
      <c r="AM40" s="51"/>
      <c r="AN40" s="21"/>
      <c r="AO40" s="21"/>
    </row>
    <row r="41" spans="1:41" x14ac:dyDescent="0.25">
      <c r="A41" s="74" t="s">
        <v>142</v>
      </c>
      <c r="B41" s="75" t="s">
        <v>145</v>
      </c>
      <c r="C41" s="3" t="s">
        <v>75</v>
      </c>
      <c r="D41" s="7">
        <f>1989400/M6*M7</f>
        <v>2032112.1387283241</v>
      </c>
      <c r="E41" s="11">
        <v>217000</v>
      </c>
      <c r="F41" s="11"/>
      <c r="G41" s="7">
        <f t="shared" si="18"/>
        <v>2249112.1387283243</v>
      </c>
      <c r="H41" s="19">
        <f t="shared" si="19"/>
        <v>2285100</v>
      </c>
      <c r="I41" s="20">
        <f t="shared" si="20"/>
        <v>217000</v>
      </c>
      <c r="J41" s="20">
        <f t="shared" si="20"/>
        <v>0</v>
      </c>
      <c r="K41" s="21">
        <f t="shared" si="21"/>
        <v>2502100</v>
      </c>
      <c r="L41" s="21">
        <f t="shared" si="22"/>
        <v>2399400</v>
      </c>
      <c r="M41" s="21">
        <f t="shared" si="23"/>
        <v>217000</v>
      </c>
      <c r="N41" s="21"/>
      <c r="O41" s="21">
        <f t="shared" si="24"/>
        <v>2616400</v>
      </c>
      <c r="P41" s="21">
        <v>2810000</v>
      </c>
      <c r="Q41" s="51">
        <v>44314</v>
      </c>
      <c r="R41" s="21">
        <v>516207</v>
      </c>
      <c r="S41" s="21"/>
      <c r="T41" s="21">
        <f t="shared" si="11"/>
        <v>2963509.2592592593</v>
      </c>
      <c r="U41" s="21">
        <v>113.9</v>
      </c>
      <c r="V41" s="21">
        <f t="shared" si="12"/>
        <v>544635.7913043478</v>
      </c>
      <c r="W41" s="21">
        <v>109.2</v>
      </c>
      <c r="X41" s="21"/>
      <c r="Y41" s="21">
        <f t="shared" si="13"/>
        <v>3508145.0505636074</v>
      </c>
      <c r="Z41" s="21">
        <f t="shared" si="7"/>
        <v>3226296.2962962962</v>
      </c>
      <c r="AA41" s="21">
        <v>124</v>
      </c>
      <c r="AB41" s="21">
        <f t="shared" si="8"/>
        <v>608475.88405797095</v>
      </c>
      <c r="AC41" s="21">
        <v>122</v>
      </c>
      <c r="AD41" s="21">
        <f t="shared" si="9"/>
        <v>0</v>
      </c>
      <c r="AE41" s="21">
        <f t="shared" si="10"/>
        <v>3834772.1803542674</v>
      </c>
      <c r="AF41" s="21">
        <f t="shared" si="14"/>
        <v>3257519</v>
      </c>
      <c r="AG41" s="21">
        <v>125.2</v>
      </c>
      <c r="AH41" s="72">
        <v>0</v>
      </c>
      <c r="AI41" s="21">
        <v>123.3</v>
      </c>
      <c r="AJ41" s="21">
        <f t="shared" si="16"/>
        <v>0</v>
      </c>
      <c r="AK41" s="70">
        <f t="shared" si="17"/>
        <v>3257519</v>
      </c>
      <c r="AL41" s="51">
        <v>44314</v>
      </c>
      <c r="AM41" s="51"/>
      <c r="AN41" s="21"/>
      <c r="AO41" s="21"/>
    </row>
    <row r="42" spans="1:41" x14ac:dyDescent="0.25">
      <c r="B42" s="3" t="s">
        <v>76</v>
      </c>
      <c r="C42" s="3" t="s">
        <v>77</v>
      </c>
      <c r="D42" s="7">
        <f>3044300/M6*M7</f>
        <v>3109660.6936416188</v>
      </c>
      <c r="E42" s="11">
        <v>280000</v>
      </c>
      <c r="F42" s="11"/>
      <c r="G42" s="7">
        <f t="shared" si="18"/>
        <v>3389660.6936416188</v>
      </c>
      <c r="H42" s="19">
        <f t="shared" si="19"/>
        <v>3496800</v>
      </c>
      <c r="I42" s="20">
        <f t="shared" si="20"/>
        <v>280000</v>
      </c>
      <c r="J42" s="20">
        <f t="shared" si="20"/>
        <v>0</v>
      </c>
      <c r="K42" s="21">
        <f t="shared" si="21"/>
        <v>3776800</v>
      </c>
      <c r="L42" s="21">
        <f t="shared" si="22"/>
        <v>3671600</v>
      </c>
      <c r="M42" s="21">
        <f t="shared" si="23"/>
        <v>280000</v>
      </c>
      <c r="N42" s="21"/>
      <c r="O42" s="21">
        <f t="shared" si="24"/>
        <v>3951600</v>
      </c>
      <c r="P42" s="21">
        <v>4430400</v>
      </c>
      <c r="Q42" s="51">
        <v>44314</v>
      </c>
      <c r="R42" s="21">
        <v>814680</v>
      </c>
      <c r="S42" s="21"/>
      <c r="T42" s="21">
        <f t="shared" si="11"/>
        <v>4672431.111111111</v>
      </c>
      <c r="U42" s="21">
        <v>113.9</v>
      </c>
      <c r="V42" s="21">
        <f t="shared" si="12"/>
        <v>859546.43478260865</v>
      </c>
      <c r="W42" s="21">
        <v>109.2</v>
      </c>
      <c r="X42" s="21"/>
      <c r="Y42" s="21">
        <f t="shared" si="13"/>
        <v>5531977.5458937194</v>
      </c>
      <c r="Z42" s="21">
        <f t="shared" si="7"/>
        <v>5086755.555555555</v>
      </c>
      <c r="AA42" s="21">
        <v>124</v>
      </c>
      <c r="AB42" s="21">
        <f t="shared" si="8"/>
        <v>960299.13043478248</v>
      </c>
      <c r="AC42" s="21">
        <v>122</v>
      </c>
      <c r="AD42" s="21">
        <f t="shared" si="9"/>
        <v>0</v>
      </c>
      <c r="AE42" s="21">
        <f t="shared" si="10"/>
        <v>6047054.6859903373</v>
      </c>
      <c r="AF42" s="21">
        <f t="shared" si="14"/>
        <v>5135983</v>
      </c>
      <c r="AG42" s="21">
        <v>125.2</v>
      </c>
      <c r="AH42" s="21">
        <f t="shared" si="15"/>
        <v>970532</v>
      </c>
      <c r="AI42" s="21">
        <v>123.3</v>
      </c>
      <c r="AJ42" s="21">
        <f t="shared" si="16"/>
        <v>0</v>
      </c>
      <c r="AK42" s="70">
        <f t="shared" si="17"/>
        <v>6106515</v>
      </c>
      <c r="AL42" s="51">
        <v>44314</v>
      </c>
      <c r="AM42" s="51" t="s">
        <v>18</v>
      </c>
      <c r="AN42" s="21" t="s">
        <v>18</v>
      </c>
      <c r="AO42" s="21"/>
    </row>
    <row r="43" spans="1:41" x14ac:dyDescent="0.25">
      <c r="B43" s="3" t="s">
        <v>78</v>
      </c>
      <c r="C43" s="3" t="s">
        <v>79</v>
      </c>
      <c r="D43" s="7">
        <f>1110000/M6*M7</f>
        <v>1133831.544178365</v>
      </c>
      <c r="E43" s="11">
        <v>203000</v>
      </c>
      <c r="F43" s="11"/>
      <c r="G43" s="7">
        <f t="shared" si="18"/>
        <v>1336831.544178365</v>
      </c>
      <c r="H43" s="19">
        <f t="shared" si="19"/>
        <v>1275000</v>
      </c>
      <c r="I43" s="20">
        <f t="shared" si="20"/>
        <v>203000</v>
      </c>
      <c r="J43" s="20">
        <f t="shared" si="20"/>
        <v>0</v>
      </c>
      <c r="K43" s="21">
        <f t="shared" si="21"/>
        <v>1478000</v>
      </c>
      <c r="L43" s="21">
        <f t="shared" si="22"/>
        <v>1338800</v>
      </c>
      <c r="M43" s="21">
        <f t="shared" si="23"/>
        <v>203000</v>
      </c>
      <c r="N43" s="21"/>
      <c r="O43" s="21">
        <f t="shared" si="24"/>
        <v>1541800</v>
      </c>
      <c r="P43" s="21">
        <v>1473000</v>
      </c>
      <c r="Q43" s="51">
        <v>44314</v>
      </c>
      <c r="R43" s="21">
        <v>416180</v>
      </c>
      <c r="S43" s="21"/>
      <c r="T43" s="21">
        <f t="shared" si="11"/>
        <v>1553469.4444444443</v>
      </c>
      <c r="U43" s="21">
        <v>113.9</v>
      </c>
      <c r="V43" s="21">
        <f t="shared" si="12"/>
        <v>439100.05797101447</v>
      </c>
      <c r="W43" s="21">
        <v>109.2</v>
      </c>
      <c r="X43" s="21"/>
      <c r="Y43" s="21">
        <f t="shared" si="13"/>
        <v>1992569.5024154587</v>
      </c>
      <c r="Z43" s="21">
        <f t="shared" si="7"/>
        <v>1691222.222222222</v>
      </c>
      <c r="AA43" s="21">
        <v>124</v>
      </c>
      <c r="AB43" s="21">
        <f t="shared" si="8"/>
        <v>490569.66183574876</v>
      </c>
      <c r="AC43" s="21">
        <v>122</v>
      </c>
      <c r="AD43" s="21">
        <f t="shared" si="9"/>
        <v>0</v>
      </c>
      <c r="AE43" s="21">
        <f t="shared" si="10"/>
        <v>2181791.8840579707</v>
      </c>
      <c r="AF43" s="21">
        <f t="shared" si="14"/>
        <v>1707589</v>
      </c>
      <c r="AG43" s="21">
        <v>125.2</v>
      </c>
      <c r="AH43" s="21">
        <f t="shared" si="15"/>
        <v>495798</v>
      </c>
      <c r="AI43" s="21">
        <v>123.3</v>
      </c>
      <c r="AJ43" s="21">
        <f t="shared" si="16"/>
        <v>0</v>
      </c>
      <c r="AK43" s="70">
        <f t="shared" si="17"/>
        <v>2203387</v>
      </c>
      <c r="AL43" s="51">
        <v>44314</v>
      </c>
      <c r="AM43" s="51"/>
      <c r="AN43" s="21"/>
      <c r="AO43" s="21"/>
    </row>
    <row r="44" spans="1:41" x14ac:dyDescent="0.25">
      <c r="B44" s="3" t="s">
        <v>80</v>
      </c>
      <c r="C44" s="3" t="s">
        <v>81</v>
      </c>
      <c r="D44" s="7">
        <f>728400/M6*M7</f>
        <v>744038.6457473163</v>
      </c>
      <c r="E44" s="11">
        <v>92000</v>
      </c>
      <c r="F44" s="11"/>
      <c r="G44" s="7">
        <f t="shared" si="18"/>
        <v>836038.6457473163</v>
      </c>
      <c r="H44" s="19">
        <f t="shared" si="19"/>
        <v>836700</v>
      </c>
      <c r="I44" s="20">
        <f t="shared" si="20"/>
        <v>92000</v>
      </c>
      <c r="J44" s="20">
        <f t="shared" si="20"/>
        <v>0</v>
      </c>
      <c r="K44" s="21">
        <f t="shared" si="21"/>
        <v>928700</v>
      </c>
      <c r="L44" s="21">
        <f t="shared" si="22"/>
        <v>878500</v>
      </c>
      <c r="M44" s="21">
        <f t="shared" si="23"/>
        <v>92000</v>
      </c>
      <c r="N44" s="21"/>
      <c r="O44" s="21">
        <f t="shared" si="24"/>
        <v>970500</v>
      </c>
      <c r="P44" s="21">
        <v>919050</v>
      </c>
      <c r="Q44" s="51">
        <v>44314</v>
      </c>
      <c r="R44" s="21">
        <v>221814</v>
      </c>
      <c r="S44" s="21"/>
      <c r="T44" s="21">
        <f t="shared" si="11"/>
        <v>969257.36111111112</v>
      </c>
      <c r="U44" s="21">
        <v>113.9</v>
      </c>
      <c r="V44" s="21">
        <f t="shared" si="12"/>
        <v>234029.84347826085</v>
      </c>
      <c r="W44" s="21">
        <v>109.2</v>
      </c>
      <c r="X44" s="21"/>
      <c r="Y44" s="21">
        <f t="shared" si="13"/>
        <v>1203287.204589372</v>
      </c>
      <c r="Z44" s="21">
        <f t="shared" ref="Z44:Z73" si="25">T44/U44*AA44</f>
        <v>1055205.5555555555</v>
      </c>
      <c r="AA44" s="21">
        <v>124</v>
      </c>
      <c r="AB44" s="21">
        <f t="shared" ref="AB44:AB73" si="26">V44/W44*AC44</f>
        <v>261461.91304347824</v>
      </c>
      <c r="AC44" s="21">
        <v>122</v>
      </c>
      <c r="AD44" s="21">
        <f t="shared" ref="AD44:AD73" si="27">X44</f>
        <v>0</v>
      </c>
      <c r="AE44" s="21">
        <f t="shared" ref="AE44:AE73" si="28">Z44+AB44+AD44</f>
        <v>1316667.4685990338</v>
      </c>
      <c r="AF44" s="21">
        <f t="shared" si="14"/>
        <v>1065418</v>
      </c>
      <c r="AG44" s="21">
        <v>125.2</v>
      </c>
      <c r="AH44" s="21">
        <f t="shared" si="15"/>
        <v>264248</v>
      </c>
      <c r="AI44" s="21">
        <v>123.3</v>
      </c>
      <c r="AJ44" s="21">
        <f t="shared" si="16"/>
        <v>0</v>
      </c>
      <c r="AK44" s="70">
        <f t="shared" si="17"/>
        <v>1329666</v>
      </c>
      <c r="AL44" s="51">
        <v>44314</v>
      </c>
      <c r="AM44" s="51" t="s">
        <v>18</v>
      </c>
      <c r="AN44" s="21" t="s">
        <v>18</v>
      </c>
      <c r="AO44" s="21"/>
    </row>
    <row r="45" spans="1:41" x14ac:dyDescent="0.25">
      <c r="B45" s="3" t="s">
        <v>82</v>
      </c>
      <c r="C45" s="3" t="s">
        <v>83</v>
      </c>
      <c r="D45" s="7">
        <f>1565000/M6*M7</f>
        <v>1598600.3303055328</v>
      </c>
      <c r="E45" s="11">
        <v>153000</v>
      </c>
      <c r="F45" s="11"/>
      <c r="G45" s="7">
        <f t="shared" si="18"/>
        <v>1751600.3303055328</v>
      </c>
      <c r="H45" s="19">
        <f t="shared" si="19"/>
        <v>1797600</v>
      </c>
      <c r="I45" s="20">
        <f t="shared" si="20"/>
        <v>153000</v>
      </c>
      <c r="J45" s="20">
        <f t="shared" si="20"/>
        <v>0</v>
      </c>
      <c r="K45" s="21">
        <f t="shared" si="21"/>
        <v>1950600</v>
      </c>
      <c r="L45" s="21">
        <f t="shared" si="22"/>
        <v>1887500</v>
      </c>
      <c r="M45" s="21">
        <f t="shared" si="23"/>
        <v>153000</v>
      </c>
      <c r="N45" s="21"/>
      <c r="O45" s="21">
        <f t="shared" si="24"/>
        <v>2040500</v>
      </c>
      <c r="P45" s="21">
        <v>2132500</v>
      </c>
      <c r="Q45" s="51">
        <v>44314</v>
      </c>
      <c r="R45" s="21">
        <v>555159</v>
      </c>
      <c r="S45" s="21"/>
      <c r="T45" s="21">
        <f t="shared" si="11"/>
        <v>2248997.6851851852</v>
      </c>
      <c r="U45" s="21">
        <v>113.9</v>
      </c>
      <c r="V45" s="21">
        <f t="shared" si="12"/>
        <v>585732.9739130435</v>
      </c>
      <c r="W45" s="21">
        <v>109.2</v>
      </c>
      <c r="X45" s="21"/>
      <c r="Y45" s="21">
        <f t="shared" si="13"/>
        <v>2834730.6590982284</v>
      </c>
      <c r="Z45" s="21">
        <f t="shared" si="25"/>
        <v>2448425.9259259258</v>
      </c>
      <c r="AA45" s="21">
        <v>124</v>
      </c>
      <c r="AB45" s="21">
        <f t="shared" si="26"/>
        <v>654390.31884057971</v>
      </c>
      <c r="AC45" s="21">
        <v>122</v>
      </c>
      <c r="AD45" s="21">
        <f t="shared" si="27"/>
        <v>0</v>
      </c>
      <c r="AE45" s="21">
        <f t="shared" si="28"/>
        <v>3102816.2447665054</v>
      </c>
      <c r="AF45" s="21">
        <f t="shared" si="14"/>
        <v>2472121</v>
      </c>
      <c r="AG45" s="21">
        <v>125.2</v>
      </c>
      <c r="AH45" s="21">
        <f t="shared" si="15"/>
        <v>661364</v>
      </c>
      <c r="AI45" s="21">
        <v>123.3</v>
      </c>
      <c r="AJ45" s="21">
        <f t="shared" si="16"/>
        <v>0</v>
      </c>
      <c r="AK45" s="70">
        <f t="shared" si="17"/>
        <v>3133485</v>
      </c>
      <c r="AL45" s="51">
        <v>44314</v>
      </c>
      <c r="AM45" s="51" t="s">
        <v>18</v>
      </c>
      <c r="AN45" s="21" t="s">
        <v>18</v>
      </c>
      <c r="AO45" s="21">
        <v>120</v>
      </c>
    </row>
    <row r="46" spans="1:41" x14ac:dyDescent="0.25">
      <c r="B46" s="3" t="s">
        <v>84</v>
      </c>
      <c r="C46" s="3" t="s">
        <v>83</v>
      </c>
      <c r="D46" s="7">
        <f>902900/M6*M7</f>
        <v>922285.13625103224</v>
      </c>
      <c r="E46" s="11">
        <v>51000</v>
      </c>
      <c r="F46" s="11"/>
      <c r="G46" s="7">
        <f t="shared" si="18"/>
        <v>973285.13625103224</v>
      </c>
      <c r="H46" s="19">
        <f t="shared" si="19"/>
        <v>1037100</v>
      </c>
      <c r="I46" s="20">
        <f t="shared" si="20"/>
        <v>51000</v>
      </c>
      <c r="J46" s="20">
        <f t="shared" si="20"/>
        <v>0</v>
      </c>
      <c r="K46" s="21">
        <f t="shared" si="21"/>
        <v>1088100</v>
      </c>
      <c r="L46" s="21">
        <f t="shared" si="22"/>
        <v>1089000</v>
      </c>
      <c r="M46" s="21">
        <f t="shared" si="23"/>
        <v>51000</v>
      </c>
      <c r="N46" s="21"/>
      <c r="O46" s="21">
        <f t="shared" si="24"/>
        <v>1140000</v>
      </c>
      <c r="P46" s="21">
        <v>1118600</v>
      </c>
      <c r="Q46" s="51">
        <v>44314</v>
      </c>
      <c r="R46" s="21">
        <v>168525</v>
      </c>
      <c r="S46" s="21"/>
      <c r="T46" s="21">
        <f t="shared" si="11"/>
        <v>1179708.7037037036</v>
      </c>
      <c r="U46" s="21">
        <v>113.9</v>
      </c>
      <c r="V46" s="21">
        <f t="shared" si="12"/>
        <v>177806.08695652173</v>
      </c>
      <c r="W46" s="21">
        <v>109.2</v>
      </c>
      <c r="X46" s="21"/>
      <c r="Y46" s="21">
        <f t="shared" si="13"/>
        <v>1357514.7906602253</v>
      </c>
      <c r="Z46" s="21">
        <f t="shared" si="25"/>
        <v>1284318.5185185182</v>
      </c>
      <c r="AA46" s="21">
        <v>124</v>
      </c>
      <c r="AB46" s="21">
        <f t="shared" si="26"/>
        <v>198647.82608695651</v>
      </c>
      <c r="AC46" s="21">
        <v>122</v>
      </c>
      <c r="AD46" s="21">
        <f t="shared" si="27"/>
        <v>0</v>
      </c>
      <c r="AE46" s="21">
        <f t="shared" si="28"/>
        <v>1482966.3446054747</v>
      </c>
      <c r="AF46" s="21">
        <f t="shared" si="14"/>
        <v>1296748</v>
      </c>
      <c r="AG46" s="21">
        <v>125.2</v>
      </c>
      <c r="AH46" s="21">
        <f t="shared" si="15"/>
        <v>200765</v>
      </c>
      <c r="AI46" s="21">
        <v>123.3</v>
      </c>
      <c r="AJ46" s="21">
        <f t="shared" si="16"/>
        <v>0</v>
      </c>
      <c r="AK46" s="70">
        <f t="shared" si="17"/>
        <v>1497513</v>
      </c>
      <c r="AL46" s="51">
        <v>44314</v>
      </c>
      <c r="AM46" s="51"/>
      <c r="AN46" s="21"/>
      <c r="AO46" s="21"/>
    </row>
    <row r="47" spans="1:41" x14ac:dyDescent="0.25">
      <c r="A47" s="74" t="s">
        <v>139</v>
      </c>
      <c r="B47" s="75" t="s">
        <v>144</v>
      </c>
      <c r="C47" s="3" t="s">
        <v>85</v>
      </c>
      <c r="D47" s="7">
        <f>2350600/M6*M7</f>
        <v>2401067.0520231216</v>
      </c>
      <c r="E47" s="11">
        <v>323000</v>
      </c>
      <c r="F47" s="11"/>
      <c r="G47" s="7">
        <f t="shared" si="18"/>
        <v>2724067.0520231216</v>
      </c>
      <c r="H47" s="19">
        <f t="shared" si="19"/>
        <v>2700000</v>
      </c>
      <c r="I47" s="20">
        <f t="shared" si="20"/>
        <v>323000</v>
      </c>
      <c r="J47" s="20">
        <f t="shared" si="20"/>
        <v>0</v>
      </c>
      <c r="K47" s="21">
        <f t="shared" si="21"/>
        <v>3023000</v>
      </c>
      <c r="L47" s="21">
        <f t="shared" si="22"/>
        <v>2835000</v>
      </c>
      <c r="M47" s="21">
        <f t="shared" si="23"/>
        <v>323000</v>
      </c>
      <c r="N47" s="21"/>
      <c r="O47" s="21">
        <f t="shared" si="24"/>
        <v>3158000</v>
      </c>
      <c r="P47" s="21">
        <v>3044375</v>
      </c>
      <c r="Q47" s="51">
        <v>44314</v>
      </c>
      <c r="R47" s="21">
        <v>568799</v>
      </c>
      <c r="S47" s="21"/>
      <c r="T47" s="21">
        <f t="shared" si="11"/>
        <v>3210688.0787037034</v>
      </c>
      <c r="U47" s="21">
        <v>113.9</v>
      </c>
      <c r="V47" s="21">
        <f t="shared" si="12"/>
        <v>600124.16231884062</v>
      </c>
      <c r="W47" s="21">
        <v>109.2</v>
      </c>
      <c r="X47" s="21"/>
      <c r="Y47" s="21">
        <f t="shared" si="13"/>
        <v>3810812.241022544</v>
      </c>
      <c r="Z47" s="21">
        <f t="shared" si="25"/>
        <v>3495393.5185185177</v>
      </c>
      <c r="AA47" s="21">
        <v>124</v>
      </c>
      <c r="AB47" s="21">
        <f t="shared" si="26"/>
        <v>670468.38647342997</v>
      </c>
      <c r="AC47" s="21">
        <v>122</v>
      </c>
      <c r="AD47" s="21">
        <f t="shared" si="27"/>
        <v>0</v>
      </c>
      <c r="AE47" s="21">
        <f t="shared" si="28"/>
        <v>4165861.9049919476</v>
      </c>
      <c r="AF47" s="72">
        <v>150000</v>
      </c>
      <c r="AG47" s="72">
        <v>125.2</v>
      </c>
      <c r="AH47" s="72">
        <v>0</v>
      </c>
      <c r="AI47" s="21">
        <v>123.3</v>
      </c>
      <c r="AJ47" s="21">
        <f t="shared" si="16"/>
        <v>0</v>
      </c>
      <c r="AK47" s="70">
        <f t="shared" si="17"/>
        <v>150000</v>
      </c>
      <c r="AL47" s="51">
        <v>44314</v>
      </c>
      <c r="AM47" s="51" t="s">
        <v>18</v>
      </c>
      <c r="AN47" s="21" t="s">
        <v>18</v>
      </c>
      <c r="AO47" s="21"/>
    </row>
    <row r="48" spans="1:41" x14ac:dyDescent="0.25">
      <c r="A48" s="74"/>
      <c r="B48" s="3" t="s">
        <v>86</v>
      </c>
      <c r="C48" s="3" t="s">
        <v>87</v>
      </c>
      <c r="D48" s="7">
        <f>3177800/M6*M7</f>
        <v>3246026.9199009086</v>
      </c>
      <c r="E48" s="11">
        <v>439000</v>
      </c>
      <c r="F48" s="11"/>
      <c r="G48" s="7">
        <f t="shared" si="18"/>
        <v>3685026.9199009086</v>
      </c>
      <c r="H48" s="19">
        <f t="shared" si="19"/>
        <v>3650100</v>
      </c>
      <c r="I48" s="20">
        <f t="shared" si="20"/>
        <v>439000</v>
      </c>
      <c r="J48" s="20">
        <f t="shared" si="20"/>
        <v>0</v>
      </c>
      <c r="K48" s="21">
        <f t="shared" si="21"/>
        <v>4089100</v>
      </c>
      <c r="L48" s="21">
        <f t="shared" si="22"/>
        <v>3832600</v>
      </c>
      <c r="M48" s="21">
        <f t="shared" si="23"/>
        <v>439000</v>
      </c>
      <c r="N48" s="21"/>
      <c r="O48" s="21">
        <f t="shared" si="24"/>
        <v>4271600</v>
      </c>
      <c r="P48" s="21">
        <v>3758750</v>
      </c>
      <c r="Q48" s="51">
        <v>44314</v>
      </c>
      <c r="R48" s="21">
        <v>642362</v>
      </c>
      <c r="S48" s="21"/>
      <c r="T48" s="21">
        <f t="shared" si="11"/>
        <v>3964089.1203703703</v>
      </c>
      <c r="U48" s="21">
        <v>113.9</v>
      </c>
      <c r="V48" s="21">
        <f t="shared" si="12"/>
        <v>677738.45797101443</v>
      </c>
      <c r="W48" s="21">
        <v>109.2</v>
      </c>
      <c r="X48" s="21"/>
      <c r="Y48" s="21">
        <f t="shared" si="13"/>
        <v>4641827.5783413844</v>
      </c>
      <c r="Z48" s="21">
        <f t="shared" si="25"/>
        <v>4315601.8518518517</v>
      </c>
      <c r="AA48" s="21">
        <v>124</v>
      </c>
      <c r="AB48" s="21">
        <f t="shared" si="26"/>
        <v>757180.32850241533</v>
      </c>
      <c r="AC48" s="21">
        <v>122</v>
      </c>
      <c r="AD48" s="21">
        <f t="shared" si="27"/>
        <v>0</v>
      </c>
      <c r="AE48" s="21">
        <f t="shared" si="28"/>
        <v>5072782.1803542674</v>
      </c>
      <c r="AF48" s="21">
        <f t="shared" si="14"/>
        <v>4357366</v>
      </c>
      <c r="AG48" s="21">
        <v>125.2</v>
      </c>
      <c r="AH48" s="21">
        <f t="shared" si="15"/>
        <v>765249</v>
      </c>
      <c r="AI48" s="21">
        <v>123.3</v>
      </c>
      <c r="AJ48" s="21">
        <f t="shared" si="16"/>
        <v>0</v>
      </c>
      <c r="AK48" s="70">
        <f t="shared" si="17"/>
        <v>5122615</v>
      </c>
      <c r="AL48" s="51">
        <v>44314</v>
      </c>
      <c r="AM48" s="51" t="s">
        <v>18</v>
      </c>
      <c r="AN48" s="21" t="s">
        <v>18</v>
      </c>
      <c r="AO48" s="21"/>
    </row>
    <row r="49" spans="1:41" x14ac:dyDescent="0.25">
      <c r="A49" s="74"/>
      <c r="B49" s="3" t="s">
        <v>88</v>
      </c>
      <c r="C49" s="3"/>
      <c r="D49" s="7">
        <f>19400/M6*M7</f>
        <v>19816.515276630886</v>
      </c>
      <c r="E49" s="11"/>
      <c r="F49" s="11"/>
      <c r="G49" s="7">
        <f t="shared" si="18"/>
        <v>19816.515276630886</v>
      </c>
      <c r="H49" s="19">
        <f t="shared" si="19"/>
        <v>22300</v>
      </c>
      <c r="I49" s="20">
        <f t="shared" si="20"/>
        <v>0</v>
      </c>
      <c r="J49" s="20">
        <f t="shared" si="20"/>
        <v>0</v>
      </c>
      <c r="K49" s="21">
        <f t="shared" si="21"/>
        <v>22300</v>
      </c>
      <c r="L49" s="21">
        <f t="shared" si="22"/>
        <v>23400</v>
      </c>
      <c r="M49" s="21">
        <f t="shared" si="23"/>
        <v>0</v>
      </c>
      <c r="N49" s="21"/>
      <c r="O49" s="21">
        <f t="shared" si="24"/>
        <v>23400</v>
      </c>
      <c r="P49" s="21">
        <f>ROUND($L49/105*108,-2)</f>
        <v>24100</v>
      </c>
      <c r="Q49" s="21"/>
      <c r="R49" s="21"/>
      <c r="S49" s="21"/>
      <c r="T49" s="21">
        <f t="shared" si="11"/>
        <v>25416.574074074073</v>
      </c>
      <c r="U49" s="21">
        <v>113.9</v>
      </c>
      <c r="V49" s="21">
        <f t="shared" si="12"/>
        <v>0</v>
      </c>
      <c r="W49" s="21">
        <v>109.2</v>
      </c>
      <c r="X49" s="21"/>
      <c r="Y49" s="21">
        <f t="shared" si="13"/>
        <v>25416.574074074073</v>
      </c>
      <c r="Z49" s="21">
        <f t="shared" si="25"/>
        <v>27670.370370370369</v>
      </c>
      <c r="AA49" s="21">
        <v>124</v>
      </c>
      <c r="AB49" s="21">
        <f t="shared" si="26"/>
        <v>0</v>
      </c>
      <c r="AC49" s="21">
        <v>122</v>
      </c>
      <c r="AD49" s="21">
        <f t="shared" si="27"/>
        <v>0</v>
      </c>
      <c r="AE49" s="21">
        <f t="shared" si="28"/>
        <v>27670.370370370369</v>
      </c>
      <c r="AF49" s="21">
        <f t="shared" si="14"/>
        <v>27939</v>
      </c>
      <c r="AG49" s="21">
        <v>125.2</v>
      </c>
      <c r="AH49" s="21">
        <f t="shared" si="15"/>
        <v>0</v>
      </c>
      <c r="AI49" s="21">
        <v>123.3</v>
      </c>
      <c r="AJ49" s="21">
        <f t="shared" si="16"/>
        <v>0</v>
      </c>
      <c r="AK49" s="70">
        <f t="shared" si="17"/>
        <v>27939</v>
      </c>
      <c r="AL49" s="21"/>
      <c r="AM49" s="21"/>
      <c r="AN49" s="21"/>
      <c r="AO49" s="21"/>
    </row>
    <row r="50" spans="1:41" x14ac:dyDescent="0.25">
      <c r="A50" s="74"/>
      <c r="B50" s="3" t="s">
        <v>89</v>
      </c>
      <c r="C50" s="3" t="s">
        <v>90</v>
      </c>
      <c r="D50" s="7">
        <f>1497700/M6*M7</f>
        <v>1529855.4087530968</v>
      </c>
      <c r="E50" s="11">
        <v>153000</v>
      </c>
      <c r="F50" s="11"/>
      <c r="G50" s="7">
        <f t="shared" si="18"/>
        <v>1682855.4087530968</v>
      </c>
      <c r="H50" s="19">
        <f t="shared" si="19"/>
        <v>1720300</v>
      </c>
      <c r="I50" s="20">
        <f t="shared" si="20"/>
        <v>153000</v>
      </c>
      <c r="J50" s="20">
        <f t="shared" si="20"/>
        <v>0</v>
      </c>
      <c r="K50" s="21">
        <f t="shared" si="21"/>
        <v>1873300</v>
      </c>
      <c r="L50" s="21">
        <f t="shared" si="22"/>
        <v>1806300</v>
      </c>
      <c r="M50" s="21">
        <f t="shared" si="23"/>
        <v>153000</v>
      </c>
      <c r="N50" s="21"/>
      <c r="O50" s="21">
        <f t="shared" si="24"/>
        <v>1959300</v>
      </c>
      <c r="P50" s="21">
        <v>1944900</v>
      </c>
      <c r="Q50" s="51">
        <v>44314</v>
      </c>
      <c r="R50" s="21">
        <v>415245</v>
      </c>
      <c r="S50" s="21"/>
      <c r="T50" s="21">
        <f t="shared" si="11"/>
        <v>2051149.1666666665</v>
      </c>
      <c r="U50" s="21">
        <v>113.9</v>
      </c>
      <c r="V50" s="21">
        <f t="shared" si="12"/>
        <v>438113.5652173913</v>
      </c>
      <c r="W50" s="21">
        <v>109.2</v>
      </c>
      <c r="X50" s="21"/>
      <c r="Y50" s="21">
        <f t="shared" si="13"/>
        <v>2489262.7318840576</v>
      </c>
      <c r="Z50" s="21">
        <f t="shared" si="25"/>
        <v>2233033.333333333</v>
      </c>
      <c r="AA50" s="21">
        <v>124</v>
      </c>
      <c r="AB50" s="21">
        <f t="shared" si="26"/>
        <v>489467.53623188403</v>
      </c>
      <c r="AC50" s="21">
        <v>122</v>
      </c>
      <c r="AD50" s="21">
        <f t="shared" si="27"/>
        <v>0</v>
      </c>
      <c r="AE50" s="21">
        <f t="shared" si="28"/>
        <v>2722500.8695652168</v>
      </c>
      <c r="AF50" s="21">
        <f t="shared" si="14"/>
        <v>2254644</v>
      </c>
      <c r="AG50" s="21">
        <v>125.2</v>
      </c>
      <c r="AH50" s="21">
        <f t="shared" si="15"/>
        <v>494684</v>
      </c>
      <c r="AI50" s="21">
        <v>123.3</v>
      </c>
      <c r="AJ50" s="21">
        <f t="shared" si="16"/>
        <v>0</v>
      </c>
      <c r="AK50" s="70">
        <f t="shared" si="17"/>
        <v>2749328</v>
      </c>
      <c r="AL50" s="51">
        <v>44314</v>
      </c>
      <c r="AM50" s="51" t="s">
        <v>18</v>
      </c>
      <c r="AN50" s="21" t="s">
        <v>18</v>
      </c>
      <c r="AO50" s="21">
        <v>170</v>
      </c>
    </row>
    <row r="51" spans="1:41" x14ac:dyDescent="0.25">
      <c r="A51" s="74" t="s">
        <v>137</v>
      </c>
      <c r="B51" s="73" t="s">
        <v>146</v>
      </c>
      <c r="C51" s="3" t="s">
        <v>91</v>
      </c>
      <c r="D51" s="7">
        <f>1870100/M6*M7</f>
        <v>1910250.7844756399</v>
      </c>
      <c r="E51" s="11">
        <v>249000</v>
      </c>
      <c r="F51" s="11"/>
      <c r="G51" s="7">
        <f t="shared" si="18"/>
        <v>2159250.7844756399</v>
      </c>
      <c r="H51" s="19">
        <f t="shared" si="19"/>
        <v>2148100</v>
      </c>
      <c r="I51" s="20">
        <f t="shared" si="20"/>
        <v>249000</v>
      </c>
      <c r="J51" s="20">
        <f t="shared" si="20"/>
        <v>0</v>
      </c>
      <c r="K51" s="21">
        <f t="shared" si="21"/>
        <v>2397100</v>
      </c>
      <c r="L51" s="21">
        <f t="shared" si="22"/>
        <v>2255500</v>
      </c>
      <c r="M51" s="21">
        <f t="shared" si="23"/>
        <v>249000</v>
      </c>
      <c r="N51" s="21"/>
      <c r="O51" s="21">
        <f t="shared" si="24"/>
        <v>2504500</v>
      </c>
      <c r="P51" s="21">
        <v>2821900</v>
      </c>
      <c r="Q51" s="51">
        <v>44314</v>
      </c>
      <c r="R51" s="21">
        <v>606872</v>
      </c>
      <c r="S51" s="21"/>
      <c r="T51" s="21">
        <f t="shared" si="11"/>
        <v>2976059.3518518517</v>
      </c>
      <c r="U51" s="21">
        <v>113.9</v>
      </c>
      <c r="V51" s="21">
        <f t="shared" si="12"/>
        <v>640293.93623188406</v>
      </c>
      <c r="W51" s="21">
        <v>109.2</v>
      </c>
      <c r="X51" s="21"/>
      <c r="Y51" s="21">
        <f t="shared" si="13"/>
        <v>3616353.2880837359</v>
      </c>
      <c r="Z51" s="21">
        <f t="shared" si="25"/>
        <v>3239959.2592592589</v>
      </c>
      <c r="AA51" s="21">
        <v>124</v>
      </c>
      <c r="AB51" s="21">
        <f t="shared" si="26"/>
        <v>715346.70531400968</v>
      </c>
      <c r="AC51" s="21">
        <v>122</v>
      </c>
      <c r="AD51" s="21">
        <f t="shared" si="27"/>
        <v>0</v>
      </c>
      <c r="AE51" s="21">
        <f t="shared" si="28"/>
        <v>3955305.9645732688</v>
      </c>
      <c r="AF51" s="21">
        <f t="shared" si="14"/>
        <v>3271314</v>
      </c>
      <c r="AG51" s="21">
        <v>125.2</v>
      </c>
      <c r="AH51" s="21">
        <f t="shared" si="15"/>
        <v>722970</v>
      </c>
      <c r="AI51" s="21">
        <v>123.3</v>
      </c>
      <c r="AJ51" s="21">
        <f t="shared" si="16"/>
        <v>0</v>
      </c>
      <c r="AK51" s="70">
        <f t="shared" si="17"/>
        <v>3994284</v>
      </c>
      <c r="AL51" s="51">
        <v>44314</v>
      </c>
      <c r="AM51" s="51" t="s">
        <v>18</v>
      </c>
      <c r="AN51" s="21" t="s">
        <v>18</v>
      </c>
      <c r="AO51" s="21"/>
    </row>
    <row r="52" spans="1:41" x14ac:dyDescent="0.25">
      <c r="A52" s="74"/>
      <c r="B52" s="3" t="s">
        <v>92</v>
      </c>
      <c r="C52" s="3" t="s">
        <v>93</v>
      </c>
      <c r="D52" s="7">
        <f>3907400/M6*M7</f>
        <v>3991291.3294797689</v>
      </c>
      <c r="E52" s="11">
        <v>309000</v>
      </c>
      <c r="F52" s="11"/>
      <c r="G52" s="7">
        <f t="shared" si="18"/>
        <v>4300291.3294797689</v>
      </c>
      <c r="H52" s="19">
        <f t="shared" si="19"/>
        <v>4488200</v>
      </c>
      <c r="I52" s="20">
        <f t="shared" si="20"/>
        <v>309000</v>
      </c>
      <c r="J52" s="20">
        <f t="shared" si="20"/>
        <v>0</v>
      </c>
      <c r="K52" s="21">
        <f t="shared" si="21"/>
        <v>4797200</v>
      </c>
      <c r="L52" s="21">
        <f t="shared" si="22"/>
        <v>4712600</v>
      </c>
      <c r="M52" s="21">
        <f t="shared" si="23"/>
        <v>309000</v>
      </c>
      <c r="N52" s="21"/>
      <c r="O52" s="21">
        <f t="shared" si="24"/>
        <v>5021600</v>
      </c>
      <c r="P52" s="21">
        <v>5180300</v>
      </c>
      <c r="Q52" s="51">
        <v>44314</v>
      </c>
      <c r="R52" s="21">
        <v>876559</v>
      </c>
      <c r="S52" s="21"/>
      <c r="T52" s="21">
        <f t="shared" si="11"/>
        <v>5463297.8703703703</v>
      </c>
      <c r="U52" s="21">
        <v>113.9</v>
      </c>
      <c r="V52" s="21">
        <f t="shared" si="12"/>
        <v>924833.2637681159</v>
      </c>
      <c r="W52" s="21">
        <v>109.2</v>
      </c>
      <c r="X52" s="21"/>
      <c r="Y52" s="21">
        <f t="shared" si="13"/>
        <v>6388131.1341384863</v>
      </c>
      <c r="Z52" s="21">
        <f t="shared" si="25"/>
        <v>5947751.8518518517</v>
      </c>
      <c r="AA52" s="21">
        <v>124</v>
      </c>
      <c r="AB52" s="21">
        <f t="shared" si="26"/>
        <v>1033238.6280193236</v>
      </c>
      <c r="AC52" s="21">
        <v>122</v>
      </c>
      <c r="AD52" s="21">
        <f t="shared" si="27"/>
        <v>0</v>
      </c>
      <c r="AE52" s="21">
        <f t="shared" si="28"/>
        <v>6980990.4798711753</v>
      </c>
      <c r="AF52" s="21">
        <f t="shared" si="14"/>
        <v>6005311</v>
      </c>
      <c r="AG52" s="21">
        <v>125.2</v>
      </c>
      <c r="AH52" s="21">
        <f t="shared" si="15"/>
        <v>1044249</v>
      </c>
      <c r="AI52" s="21">
        <v>123.3</v>
      </c>
      <c r="AJ52" s="21">
        <f t="shared" si="16"/>
        <v>0</v>
      </c>
      <c r="AK52" s="70">
        <f t="shared" si="17"/>
        <v>7049560</v>
      </c>
      <c r="AL52" s="51">
        <v>44314</v>
      </c>
      <c r="AM52" s="51" t="s">
        <v>18</v>
      </c>
      <c r="AN52" s="21" t="s">
        <v>18</v>
      </c>
      <c r="AO52" s="21"/>
    </row>
    <row r="53" spans="1:41" x14ac:dyDescent="0.25">
      <c r="A53" s="74"/>
      <c r="B53" s="3" t="s">
        <v>94</v>
      </c>
      <c r="C53" s="3" t="s">
        <v>95</v>
      </c>
      <c r="D53" s="7"/>
      <c r="E53" s="11"/>
      <c r="F53" s="11"/>
      <c r="G53" s="7"/>
      <c r="H53" s="19"/>
      <c r="I53" s="20"/>
      <c r="J53" s="20"/>
      <c r="K53" s="21"/>
      <c r="L53" s="21"/>
      <c r="M53" s="21"/>
      <c r="N53" s="21"/>
      <c r="O53" s="21"/>
      <c r="P53" s="21">
        <v>1141500</v>
      </c>
      <c r="Q53" s="51">
        <v>44314</v>
      </c>
      <c r="R53" s="21">
        <v>85200</v>
      </c>
      <c r="S53" s="21"/>
      <c r="T53" s="21">
        <f t="shared" si="11"/>
        <v>1203859.7222222222</v>
      </c>
      <c r="U53" s="21">
        <v>113.9</v>
      </c>
      <c r="V53" s="21">
        <f t="shared" si="12"/>
        <v>89892.173913043473</v>
      </c>
      <c r="W53" s="21">
        <v>109.2</v>
      </c>
      <c r="X53" s="21"/>
      <c r="Y53" s="21">
        <f t="shared" si="13"/>
        <v>1293751.8961352657</v>
      </c>
      <c r="Z53" s="21">
        <f t="shared" si="25"/>
        <v>1310611.111111111</v>
      </c>
      <c r="AA53" s="21">
        <v>124</v>
      </c>
      <c r="AB53" s="21">
        <f t="shared" si="26"/>
        <v>100428.98550724637</v>
      </c>
      <c r="AC53" s="21">
        <v>122</v>
      </c>
      <c r="AD53" s="21">
        <f t="shared" si="27"/>
        <v>0</v>
      </c>
      <c r="AE53" s="21">
        <f t="shared" si="28"/>
        <v>1411040.0966183573</v>
      </c>
      <c r="AF53" s="21">
        <f t="shared" si="14"/>
        <v>1323295</v>
      </c>
      <c r="AG53" s="21">
        <v>125.2</v>
      </c>
      <c r="AH53" s="21">
        <f t="shared" si="15"/>
        <v>101500</v>
      </c>
      <c r="AI53" s="21">
        <v>123.3</v>
      </c>
      <c r="AJ53" s="21">
        <f t="shared" si="16"/>
        <v>0</v>
      </c>
      <c r="AK53" s="70">
        <f t="shared" si="17"/>
        <v>1424795</v>
      </c>
      <c r="AL53" s="51">
        <v>44314</v>
      </c>
      <c r="AM53" s="51" t="s">
        <v>18</v>
      </c>
      <c r="AN53" s="21" t="s">
        <v>18</v>
      </c>
      <c r="AO53" s="21"/>
    </row>
    <row r="54" spans="1:41" x14ac:dyDescent="0.25">
      <c r="A54" s="74"/>
      <c r="B54" s="3" t="s">
        <v>96</v>
      </c>
      <c r="C54" s="3" t="s">
        <v>97</v>
      </c>
      <c r="D54" s="7">
        <f>1181400/M6*M7</f>
        <v>1206764.4921552436</v>
      </c>
      <c r="E54" s="11">
        <v>234000</v>
      </c>
      <c r="F54" s="11"/>
      <c r="G54" s="7">
        <f>D54+E54</f>
        <v>1440764.4921552436</v>
      </c>
      <c r="H54" s="19">
        <f>ROUND(D54/$M$7*$M$8,-2)</f>
        <v>1357000</v>
      </c>
      <c r="I54" s="20">
        <f t="shared" ref="I54:J57" si="29">E54</f>
        <v>234000</v>
      </c>
      <c r="J54" s="20">
        <f t="shared" si="29"/>
        <v>0</v>
      </c>
      <c r="K54" s="21">
        <f>H54+I54+J54</f>
        <v>1591000</v>
      </c>
      <c r="L54" s="21">
        <f>ROUND($H54/100*105,-2)</f>
        <v>1424900</v>
      </c>
      <c r="M54" s="21">
        <f>$I54</f>
        <v>234000</v>
      </c>
      <c r="N54" s="21"/>
      <c r="O54" s="21">
        <f>SUM($L54+$M54)</f>
        <v>1658900</v>
      </c>
      <c r="P54" s="21">
        <v>1830000</v>
      </c>
      <c r="Q54" s="51">
        <v>44314</v>
      </c>
      <c r="R54" s="21">
        <v>460019</v>
      </c>
      <c r="S54" s="21"/>
      <c r="T54" s="21">
        <f t="shared" si="11"/>
        <v>1929972.2222222222</v>
      </c>
      <c r="U54" s="21">
        <v>113.9</v>
      </c>
      <c r="V54" s="21">
        <f t="shared" si="12"/>
        <v>485353.37971014495</v>
      </c>
      <c r="W54" s="21">
        <v>109.2</v>
      </c>
      <c r="X54" s="21"/>
      <c r="Y54" s="21">
        <f t="shared" si="13"/>
        <v>2415325.6019323673</v>
      </c>
      <c r="Z54" s="21">
        <f t="shared" si="25"/>
        <v>2101111.111111111</v>
      </c>
      <c r="AA54" s="21">
        <v>124</v>
      </c>
      <c r="AB54" s="21">
        <f t="shared" si="26"/>
        <v>542244.61835748795</v>
      </c>
      <c r="AC54" s="21">
        <v>122</v>
      </c>
      <c r="AD54" s="21">
        <f t="shared" si="27"/>
        <v>0</v>
      </c>
      <c r="AE54" s="21">
        <f t="shared" si="28"/>
        <v>2643355.729468599</v>
      </c>
      <c r="AF54" s="21">
        <f t="shared" si="14"/>
        <v>2121445</v>
      </c>
      <c r="AG54" s="21">
        <v>125.2</v>
      </c>
      <c r="AH54" s="21">
        <f t="shared" si="15"/>
        <v>548023</v>
      </c>
      <c r="AI54" s="21">
        <v>123.3</v>
      </c>
      <c r="AJ54" s="21">
        <f t="shared" si="16"/>
        <v>0</v>
      </c>
      <c r="AK54" s="70">
        <f t="shared" si="17"/>
        <v>2669468</v>
      </c>
      <c r="AL54" s="51">
        <v>44314</v>
      </c>
      <c r="AM54" s="51" t="s">
        <v>18</v>
      </c>
      <c r="AN54" s="21" t="s">
        <v>18</v>
      </c>
      <c r="AO54" s="21"/>
    </row>
    <row r="55" spans="1:41" x14ac:dyDescent="0.25">
      <c r="A55" s="74"/>
      <c r="B55" s="3" t="s">
        <v>98</v>
      </c>
      <c r="C55" s="3" t="s">
        <v>99</v>
      </c>
      <c r="D55" s="7">
        <f>161200/M6*M7</f>
        <v>164660.94137076798</v>
      </c>
      <c r="E55" s="11"/>
      <c r="F55" s="11"/>
      <c r="G55" s="7">
        <f>D55+E55</f>
        <v>164660.94137076798</v>
      </c>
      <c r="H55" s="19">
        <f>ROUND(D55/$M$7*$M$8,-2)</f>
        <v>185200</v>
      </c>
      <c r="I55" s="20">
        <f t="shared" si="29"/>
        <v>0</v>
      </c>
      <c r="J55" s="20">
        <f t="shared" si="29"/>
        <v>0</v>
      </c>
      <c r="K55" s="21">
        <f>H55+I55+J55</f>
        <v>185200</v>
      </c>
      <c r="L55" s="21">
        <f>ROUND($H55/100*105,-2)</f>
        <v>194500</v>
      </c>
      <c r="M55" s="21">
        <f>$I55</f>
        <v>0</v>
      </c>
      <c r="N55" s="21"/>
      <c r="O55" s="21">
        <f>SUM($L55+$M55)</f>
        <v>194500</v>
      </c>
      <c r="P55" s="21">
        <v>202000</v>
      </c>
      <c r="Q55" s="51">
        <v>44314</v>
      </c>
      <c r="R55" s="21"/>
      <c r="S55" s="21"/>
      <c r="T55" s="21">
        <f t="shared" si="11"/>
        <v>213035.18518518517</v>
      </c>
      <c r="U55" s="21">
        <v>113.9</v>
      </c>
      <c r="V55" s="21">
        <f t="shared" si="12"/>
        <v>0</v>
      </c>
      <c r="W55" s="21">
        <v>109.2</v>
      </c>
      <c r="X55" s="21"/>
      <c r="Y55" s="21">
        <f t="shared" si="13"/>
        <v>213035.18518518517</v>
      </c>
      <c r="Z55" s="21">
        <f t="shared" si="25"/>
        <v>231925.9259259259</v>
      </c>
      <c r="AA55" s="21">
        <v>124</v>
      </c>
      <c r="AB55" s="21">
        <f t="shared" si="26"/>
        <v>0</v>
      </c>
      <c r="AC55" s="21">
        <v>122</v>
      </c>
      <c r="AD55" s="21">
        <f t="shared" si="27"/>
        <v>0</v>
      </c>
      <c r="AE55" s="21">
        <f t="shared" si="28"/>
        <v>231925.9259259259</v>
      </c>
      <c r="AF55" s="21">
        <f t="shared" si="14"/>
        <v>234171</v>
      </c>
      <c r="AG55" s="21">
        <v>125.2</v>
      </c>
      <c r="AH55" s="21">
        <f t="shared" si="15"/>
        <v>0</v>
      </c>
      <c r="AI55" s="21">
        <v>123.3</v>
      </c>
      <c r="AJ55" s="21">
        <f t="shared" si="16"/>
        <v>0</v>
      </c>
      <c r="AK55" s="70">
        <f t="shared" si="17"/>
        <v>234171</v>
      </c>
      <c r="AL55" s="21"/>
      <c r="AM55" s="21" t="s">
        <v>19</v>
      </c>
      <c r="AN55" s="21" t="s">
        <v>19</v>
      </c>
      <c r="AO55" s="21"/>
    </row>
    <row r="56" spans="1:41" x14ac:dyDescent="0.25">
      <c r="A56" s="74"/>
      <c r="B56" s="3" t="s">
        <v>100</v>
      </c>
      <c r="C56" s="3" t="s">
        <v>101</v>
      </c>
      <c r="D56" s="7">
        <f>497900/M6*M7</f>
        <v>508589.84310487204</v>
      </c>
      <c r="E56" s="11">
        <v>51000</v>
      </c>
      <c r="F56" s="11"/>
      <c r="G56" s="7">
        <f>D56+E56</f>
        <v>559589.84310487204</v>
      </c>
      <c r="H56" s="19">
        <f>ROUND(D56/$M$7*$M$8,-2)</f>
        <v>571900</v>
      </c>
      <c r="I56" s="20">
        <f t="shared" si="29"/>
        <v>51000</v>
      </c>
      <c r="J56" s="20">
        <f t="shared" si="29"/>
        <v>0</v>
      </c>
      <c r="K56" s="21">
        <f>H56+I56+J56</f>
        <v>622900</v>
      </c>
      <c r="L56" s="21">
        <f>ROUND($H56/100*105,-2)</f>
        <v>600500</v>
      </c>
      <c r="M56" s="21">
        <f>$I56</f>
        <v>51000</v>
      </c>
      <c r="N56" s="21"/>
      <c r="O56" s="21">
        <f>SUM($L56+$M56)</f>
        <v>651500</v>
      </c>
      <c r="P56" s="21">
        <v>976000</v>
      </c>
      <c r="Q56" s="51">
        <v>44314</v>
      </c>
      <c r="R56" s="21">
        <v>112150</v>
      </c>
      <c r="S56" s="21"/>
      <c r="T56" s="21">
        <f t="shared" si="11"/>
        <v>1029318.5185185184</v>
      </c>
      <c r="U56" s="21">
        <v>113.9</v>
      </c>
      <c r="V56" s="21">
        <f t="shared" si="12"/>
        <v>118326.37681159421</v>
      </c>
      <c r="W56" s="21">
        <v>109.2</v>
      </c>
      <c r="X56" s="21"/>
      <c r="Y56" s="21">
        <f t="shared" si="13"/>
        <v>1147644.8953301127</v>
      </c>
      <c r="Z56" s="21">
        <f t="shared" si="25"/>
        <v>1120592.5925925926</v>
      </c>
      <c r="AA56" s="21">
        <v>124</v>
      </c>
      <c r="AB56" s="21">
        <f t="shared" si="26"/>
        <v>132196.13526570049</v>
      </c>
      <c r="AC56" s="21">
        <v>122</v>
      </c>
      <c r="AD56" s="21">
        <f t="shared" si="27"/>
        <v>0</v>
      </c>
      <c r="AE56" s="21">
        <f t="shared" si="28"/>
        <v>1252788.7278582931</v>
      </c>
      <c r="AF56" s="21">
        <f t="shared" si="14"/>
        <v>1131438</v>
      </c>
      <c r="AG56" s="21">
        <v>125.2</v>
      </c>
      <c r="AH56" s="21">
        <f t="shared" si="15"/>
        <v>133605</v>
      </c>
      <c r="AI56" s="21">
        <v>123.3</v>
      </c>
      <c r="AJ56" s="21">
        <f t="shared" si="16"/>
        <v>0</v>
      </c>
      <c r="AK56" s="70">
        <f t="shared" si="17"/>
        <v>1265043</v>
      </c>
      <c r="AL56" s="51">
        <v>44314</v>
      </c>
      <c r="AM56" s="51" t="s">
        <v>19</v>
      </c>
      <c r="AN56" s="21" t="s">
        <v>19</v>
      </c>
      <c r="AO56" s="21"/>
    </row>
    <row r="57" spans="1:41" x14ac:dyDescent="0.25">
      <c r="A57" s="74"/>
      <c r="B57" s="3" t="s">
        <v>102</v>
      </c>
      <c r="C57" s="3" t="s">
        <v>103</v>
      </c>
      <c r="D57" s="14">
        <f>468300/M6*M7</f>
        <v>478354.33526011562</v>
      </c>
      <c r="E57" s="15">
        <v>57000</v>
      </c>
      <c r="F57" s="15"/>
      <c r="G57" s="14">
        <f>D57+E57</f>
        <v>535354.33526011556</v>
      </c>
      <c r="H57" s="19">
        <f>ROUND(D57/$M$7*$M$8,-2)</f>
        <v>537900</v>
      </c>
      <c r="I57" s="20">
        <f t="shared" si="29"/>
        <v>57000</v>
      </c>
      <c r="J57" s="20">
        <f t="shared" si="29"/>
        <v>0</v>
      </c>
      <c r="K57" s="21">
        <f>H57+I57+J57</f>
        <v>594900</v>
      </c>
      <c r="L57" s="21">
        <f>ROUND($H57/100*105,-2)</f>
        <v>564800</v>
      </c>
      <c r="M57" s="21">
        <f>$I57</f>
        <v>57000</v>
      </c>
      <c r="N57" s="21"/>
      <c r="O57" s="21">
        <f>SUM($L57+$M57)</f>
        <v>621800</v>
      </c>
      <c r="P57" s="21">
        <v>885000</v>
      </c>
      <c r="Q57" s="51">
        <v>44314</v>
      </c>
      <c r="R57" s="21">
        <v>168525</v>
      </c>
      <c r="S57" s="21"/>
      <c r="T57" s="21">
        <f t="shared" si="11"/>
        <v>933347.22222222213</v>
      </c>
      <c r="U57" s="21">
        <v>113.9</v>
      </c>
      <c r="V57" s="21">
        <f t="shared" si="12"/>
        <v>177806.08695652173</v>
      </c>
      <c r="W57" s="21">
        <v>109.2</v>
      </c>
      <c r="X57" s="21"/>
      <c r="Y57" s="21">
        <f t="shared" si="13"/>
        <v>1111153.309178744</v>
      </c>
      <c r="Z57" s="21">
        <f t="shared" si="25"/>
        <v>1016111.111111111</v>
      </c>
      <c r="AA57" s="21">
        <v>124</v>
      </c>
      <c r="AB57" s="21">
        <f t="shared" si="26"/>
        <v>198647.82608695651</v>
      </c>
      <c r="AC57" s="21">
        <v>122</v>
      </c>
      <c r="AD57" s="21">
        <f t="shared" si="27"/>
        <v>0</v>
      </c>
      <c r="AE57" s="21">
        <f t="shared" si="28"/>
        <v>1214758.9371980675</v>
      </c>
      <c r="AF57" s="21">
        <f t="shared" si="14"/>
        <v>1025945</v>
      </c>
      <c r="AG57" s="21">
        <v>125.2</v>
      </c>
      <c r="AH57" s="21">
        <f t="shared" si="15"/>
        <v>200765</v>
      </c>
      <c r="AI57" s="21">
        <v>123.3</v>
      </c>
      <c r="AJ57" s="21">
        <f t="shared" si="16"/>
        <v>0</v>
      </c>
      <c r="AK57" s="70">
        <f t="shared" si="17"/>
        <v>1226710</v>
      </c>
      <c r="AL57" s="51">
        <v>44314</v>
      </c>
      <c r="AM57" s="51" t="s">
        <v>19</v>
      </c>
      <c r="AN57" s="21" t="s">
        <v>19</v>
      </c>
      <c r="AO57" s="21"/>
    </row>
    <row r="58" spans="1:41" x14ac:dyDescent="0.25">
      <c r="A58" s="74"/>
      <c r="B58" s="3" t="s">
        <v>104</v>
      </c>
      <c r="C58" s="3" t="s">
        <v>105</v>
      </c>
      <c r="D58" s="14"/>
      <c r="E58" s="15"/>
      <c r="F58" s="15"/>
      <c r="G58" s="14"/>
      <c r="H58" s="19"/>
      <c r="I58" s="20"/>
      <c r="J58" s="20"/>
      <c r="K58" s="21"/>
      <c r="L58" s="21"/>
      <c r="M58" s="21"/>
      <c r="N58" s="21"/>
      <c r="O58" s="21"/>
      <c r="P58" s="21">
        <v>10000</v>
      </c>
      <c r="Q58" s="51">
        <v>44314</v>
      </c>
      <c r="R58" s="21"/>
      <c r="S58" s="21"/>
      <c r="T58" s="21">
        <f t="shared" si="11"/>
        <v>10546.296296296296</v>
      </c>
      <c r="U58" s="21">
        <v>113.9</v>
      </c>
      <c r="V58" s="21">
        <f t="shared" si="12"/>
        <v>0</v>
      </c>
      <c r="W58" s="21">
        <v>109.2</v>
      </c>
      <c r="X58" s="21"/>
      <c r="Y58" s="21">
        <f t="shared" si="13"/>
        <v>10546.296296296296</v>
      </c>
      <c r="Z58" s="21">
        <f t="shared" si="25"/>
        <v>11481.48148148148</v>
      </c>
      <c r="AA58" s="21">
        <v>124</v>
      </c>
      <c r="AB58" s="21">
        <f t="shared" si="26"/>
        <v>0</v>
      </c>
      <c r="AC58" s="21">
        <v>122</v>
      </c>
      <c r="AD58" s="21">
        <f t="shared" si="27"/>
        <v>0</v>
      </c>
      <c r="AE58" s="21">
        <f t="shared" si="28"/>
        <v>11481.48148148148</v>
      </c>
      <c r="AF58" s="21">
        <f t="shared" si="14"/>
        <v>11593</v>
      </c>
      <c r="AG58" s="21">
        <v>125.2</v>
      </c>
      <c r="AH58" s="21">
        <f t="shared" si="15"/>
        <v>0</v>
      </c>
      <c r="AI58" s="21">
        <v>123.3</v>
      </c>
      <c r="AJ58" s="21">
        <f t="shared" si="16"/>
        <v>0</v>
      </c>
      <c r="AK58" s="70">
        <f t="shared" si="17"/>
        <v>11593</v>
      </c>
      <c r="AL58" s="21"/>
      <c r="AM58" s="21"/>
      <c r="AN58" s="21"/>
      <c r="AO58" s="21"/>
    </row>
    <row r="59" spans="1:41" x14ac:dyDescent="0.25">
      <c r="A59" s="74" t="s">
        <v>138</v>
      </c>
      <c r="B59" s="75" t="s">
        <v>147</v>
      </c>
      <c r="C59" s="27" t="s">
        <v>106</v>
      </c>
      <c r="D59" s="28"/>
      <c r="E59" s="29"/>
      <c r="F59" s="29"/>
      <c r="G59" s="28"/>
      <c r="H59" s="30"/>
      <c r="I59" s="31"/>
      <c r="J59" s="31"/>
      <c r="K59" s="32"/>
      <c r="L59" s="21">
        <v>518000</v>
      </c>
      <c r="M59" s="21"/>
      <c r="N59" s="32"/>
      <c r="O59" s="21">
        <f t="shared" ref="O59:O64" si="30">SUM($L59+$M59)</f>
        <v>518000</v>
      </c>
      <c r="P59" s="21">
        <v>899000</v>
      </c>
      <c r="Q59" s="51">
        <v>44314</v>
      </c>
      <c r="R59" s="21"/>
      <c r="S59" s="21"/>
      <c r="T59" s="21">
        <f t="shared" si="11"/>
        <v>948112.03703703696</v>
      </c>
      <c r="U59" s="21">
        <v>113.9</v>
      </c>
      <c r="V59" s="21">
        <f t="shared" si="12"/>
        <v>0</v>
      </c>
      <c r="W59" s="21">
        <v>109.2</v>
      </c>
      <c r="X59" s="21"/>
      <c r="Y59" s="21">
        <f t="shared" si="13"/>
        <v>948112.03703703696</v>
      </c>
      <c r="Z59" s="21">
        <f t="shared" si="25"/>
        <v>1032185.1851851851</v>
      </c>
      <c r="AA59" s="21">
        <v>124</v>
      </c>
      <c r="AB59" s="21">
        <f t="shared" si="26"/>
        <v>0</v>
      </c>
      <c r="AC59" s="21">
        <v>122</v>
      </c>
      <c r="AD59" s="21">
        <f t="shared" si="27"/>
        <v>0</v>
      </c>
      <c r="AE59" s="21">
        <f t="shared" si="28"/>
        <v>1032185.1851851851</v>
      </c>
      <c r="AF59" s="72">
        <v>0</v>
      </c>
      <c r="AG59" s="21">
        <v>125.2</v>
      </c>
      <c r="AH59" s="21">
        <f t="shared" si="15"/>
        <v>0</v>
      </c>
      <c r="AI59" s="21">
        <v>123.3</v>
      </c>
      <c r="AJ59" s="21">
        <f t="shared" si="16"/>
        <v>0</v>
      </c>
      <c r="AK59" s="70">
        <f t="shared" si="17"/>
        <v>0</v>
      </c>
      <c r="AL59" s="21"/>
      <c r="AM59" s="21" t="s">
        <v>19</v>
      </c>
      <c r="AN59" s="21" t="s">
        <v>19</v>
      </c>
      <c r="AO59" s="21"/>
    </row>
    <row r="60" spans="1:41" x14ac:dyDescent="0.25">
      <c r="A60" s="74"/>
      <c r="B60" s="27" t="s">
        <v>107</v>
      </c>
      <c r="C60" s="27" t="s">
        <v>108</v>
      </c>
      <c r="D60" s="28"/>
      <c r="E60" s="29"/>
      <c r="F60" s="29"/>
      <c r="G60" s="28"/>
      <c r="H60" s="30"/>
      <c r="I60" s="31"/>
      <c r="J60" s="31"/>
      <c r="K60" s="32"/>
      <c r="L60" s="21">
        <v>11000</v>
      </c>
      <c r="M60" s="21"/>
      <c r="N60" s="32"/>
      <c r="O60" s="21">
        <f t="shared" si="30"/>
        <v>11000</v>
      </c>
      <c r="P60" s="21">
        <v>59000</v>
      </c>
      <c r="Q60" s="51">
        <v>44314</v>
      </c>
      <c r="R60" s="21"/>
      <c r="S60" s="21"/>
      <c r="T60" s="21">
        <f t="shared" si="11"/>
        <v>62223.148148148146</v>
      </c>
      <c r="U60" s="21">
        <v>113.9</v>
      </c>
      <c r="V60" s="21">
        <f t="shared" si="12"/>
        <v>0</v>
      </c>
      <c r="W60" s="21">
        <v>109.2</v>
      </c>
      <c r="X60" s="21"/>
      <c r="Y60" s="21">
        <f t="shared" si="13"/>
        <v>62223.148148148146</v>
      </c>
      <c r="Z60" s="21">
        <f t="shared" si="25"/>
        <v>67740.740740740745</v>
      </c>
      <c r="AA60" s="21">
        <v>124</v>
      </c>
      <c r="AB60" s="21">
        <f t="shared" si="26"/>
        <v>0</v>
      </c>
      <c r="AC60" s="21">
        <v>122</v>
      </c>
      <c r="AD60" s="21">
        <f t="shared" si="27"/>
        <v>0</v>
      </c>
      <c r="AE60" s="21">
        <f t="shared" si="28"/>
        <v>67740.740740740745</v>
      </c>
      <c r="AF60" s="21">
        <f t="shared" si="14"/>
        <v>68397</v>
      </c>
      <c r="AG60" s="21">
        <v>125.2</v>
      </c>
      <c r="AH60" s="21">
        <f t="shared" si="15"/>
        <v>0</v>
      </c>
      <c r="AI60" s="21">
        <v>123.3</v>
      </c>
      <c r="AJ60" s="21">
        <f t="shared" si="16"/>
        <v>0</v>
      </c>
      <c r="AK60" s="70">
        <f t="shared" si="17"/>
        <v>68397</v>
      </c>
      <c r="AL60" s="21"/>
      <c r="AM60" s="21" t="s">
        <v>19</v>
      </c>
      <c r="AN60" s="21" t="s">
        <v>19</v>
      </c>
      <c r="AO60" s="21"/>
    </row>
    <row r="61" spans="1:41" x14ac:dyDescent="0.25">
      <c r="A61" s="74"/>
      <c r="B61" s="27" t="s">
        <v>109</v>
      </c>
      <c r="C61" s="42" t="s">
        <v>110</v>
      </c>
      <c r="D61" s="33"/>
      <c r="E61" s="34"/>
      <c r="F61" s="34"/>
      <c r="G61" s="33"/>
      <c r="H61" s="30">
        <v>3850900</v>
      </c>
      <c r="I61" s="31"/>
      <c r="J61" s="31"/>
      <c r="K61" s="32">
        <f>H61+I61+J61</f>
        <v>3850900</v>
      </c>
      <c r="L61" s="32">
        <f>ROUND($H61/100*105,-2)</f>
        <v>4043400</v>
      </c>
      <c r="M61" s="32">
        <f>$I61</f>
        <v>0</v>
      </c>
      <c r="N61" s="32"/>
      <c r="O61" s="21">
        <f t="shared" si="30"/>
        <v>4043400</v>
      </c>
      <c r="P61" s="21">
        <v>7516800</v>
      </c>
      <c r="Q61" s="51">
        <v>44314</v>
      </c>
      <c r="R61" s="21">
        <v>482959</v>
      </c>
      <c r="S61" s="21"/>
      <c r="T61" s="21">
        <f t="shared" si="11"/>
        <v>7927440</v>
      </c>
      <c r="U61" s="21">
        <v>113.9</v>
      </c>
      <c r="V61" s="21">
        <f t="shared" si="12"/>
        <v>509556.74202898552</v>
      </c>
      <c r="W61" s="21">
        <v>109.2</v>
      </c>
      <c r="X61" s="21"/>
      <c r="Y61" s="21">
        <f t="shared" si="13"/>
        <v>8436996.7420289852</v>
      </c>
      <c r="Z61" s="21">
        <f t="shared" si="25"/>
        <v>8630400</v>
      </c>
      <c r="AA61" s="21">
        <v>124</v>
      </c>
      <c r="AB61" s="21">
        <f t="shared" si="26"/>
        <v>569285.00483091793</v>
      </c>
      <c r="AC61" s="21">
        <v>122</v>
      </c>
      <c r="AD61" s="21">
        <f t="shared" si="27"/>
        <v>0</v>
      </c>
      <c r="AE61" s="21">
        <f t="shared" si="28"/>
        <v>9199685.0048309173</v>
      </c>
      <c r="AF61" s="21">
        <f t="shared" si="14"/>
        <v>8713920</v>
      </c>
      <c r="AG61" s="21">
        <v>125.2</v>
      </c>
      <c r="AH61" s="21">
        <f t="shared" si="15"/>
        <v>575352</v>
      </c>
      <c r="AI61" s="21">
        <v>123.3</v>
      </c>
      <c r="AJ61" s="21">
        <f t="shared" si="16"/>
        <v>0</v>
      </c>
      <c r="AK61" s="70">
        <f t="shared" si="17"/>
        <v>9289272</v>
      </c>
      <c r="AL61" s="51">
        <v>44314</v>
      </c>
      <c r="AM61" s="51" t="s">
        <v>18</v>
      </c>
      <c r="AN61" s="21" t="s">
        <v>43</v>
      </c>
      <c r="AO61" s="21"/>
    </row>
    <row r="62" spans="1:41" x14ac:dyDescent="0.25">
      <c r="A62" s="74"/>
      <c r="B62" s="27" t="s">
        <v>111</v>
      </c>
      <c r="C62" s="42" t="s">
        <v>110</v>
      </c>
      <c r="D62" s="33"/>
      <c r="E62" s="34"/>
      <c r="F62" s="34"/>
      <c r="G62" s="33"/>
      <c r="H62" s="30">
        <v>155800</v>
      </c>
      <c r="I62" s="31"/>
      <c r="J62" s="31"/>
      <c r="K62" s="32">
        <f>H62+I62+J62</f>
        <v>155800</v>
      </c>
      <c r="L62" s="32">
        <f>ROUND($H62/100*105,-2)</f>
        <v>163600</v>
      </c>
      <c r="M62" s="32">
        <f>$I62</f>
        <v>0</v>
      </c>
      <c r="N62" s="32"/>
      <c r="O62" s="21">
        <f t="shared" si="30"/>
        <v>163600</v>
      </c>
      <c r="P62" s="21">
        <f>ROUND($L62/105*108,-2)</f>
        <v>168300</v>
      </c>
      <c r="Q62" s="21"/>
      <c r="R62" s="21"/>
      <c r="S62" s="21"/>
      <c r="T62" s="21">
        <f t="shared" si="11"/>
        <v>177494.16666666666</v>
      </c>
      <c r="U62" s="21">
        <v>113.9</v>
      </c>
      <c r="V62" s="21">
        <f t="shared" si="12"/>
        <v>0</v>
      </c>
      <c r="W62" s="21">
        <v>109.2</v>
      </c>
      <c r="X62" s="21"/>
      <c r="Y62" s="21">
        <f t="shared" si="13"/>
        <v>177494.16666666666</v>
      </c>
      <c r="Z62" s="21">
        <f t="shared" si="25"/>
        <v>193233.33333333331</v>
      </c>
      <c r="AA62" s="21">
        <v>124</v>
      </c>
      <c r="AB62" s="21">
        <f t="shared" si="26"/>
        <v>0</v>
      </c>
      <c r="AC62" s="21">
        <v>122</v>
      </c>
      <c r="AD62" s="21">
        <f t="shared" si="27"/>
        <v>0</v>
      </c>
      <c r="AE62" s="21">
        <f t="shared" si="28"/>
        <v>193233.33333333331</v>
      </c>
      <c r="AF62" s="21">
        <f t="shared" si="14"/>
        <v>195104</v>
      </c>
      <c r="AG62" s="21">
        <v>125.2</v>
      </c>
      <c r="AH62" s="21">
        <f t="shared" si="15"/>
        <v>0</v>
      </c>
      <c r="AI62" s="21">
        <v>123.3</v>
      </c>
      <c r="AJ62" s="21">
        <f t="shared" si="16"/>
        <v>0</v>
      </c>
      <c r="AK62" s="70">
        <f t="shared" si="17"/>
        <v>195104</v>
      </c>
      <c r="AL62" s="21"/>
      <c r="AM62" s="21"/>
      <c r="AN62" s="21"/>
      <c r="AO62" s="21"/>
    </row>
    <row r="63" spans="1:41" x14ac:dyDescent="0.25">
      <c r="A63" s="74"/>
      <c r="B63" s="27" t="s">
        <v>112</v>
      </c>
      <c r="C63" s="42" t="s">
        <v>113</v>
      </c>
      <c r="D63" s="33"/>
      <c r="E63" s="34"/>
      <c r="F63" s="34"/>
      <c r="G63" s="33"/>
      <c r="H63" s="30">
        <v>16929200</v>
      </c>
      <c r="I63" s="31"/>
      <c r="J63" s="31"/>
      <c r="K63" s="32">
        <f>H63+I63+J63</f>
        <v>16929200</v>
      </c>
      <c r="L63" s="32">
        <f>ROUND($H63/100*105,-2)</f>
        <v>17775700</v>
      </c>
      <c r="M63" s="32">
        <f>$I63</f>
        <v>0</v>
      </c>
      <c r="N63" s="32"/>
      <c r="O63" s="21">
        <f t="shared" si="30"/>
        <v>17775700</v>
      </c>
      <c r="P63" s="21">
        <v>1250000</v>
      </c>
      <c r="Q63" s="51">
        <v>44314</v>
      </c>
      <c r="R63" s="21"/>
      <c r="S63" s="21"/>
      <c r="T63" s="21">
        <f t="shared" si="11"/>
        <v>1318287.0370370371</v>
      </c>
      <c r="U63" s="21">
        <v>113.9</v>
      </c>
      <c r="V63" s="21">
        <f t="shared" si="12"/>
        <v>0</v>
      </c>
      <c r="W63" s="21">
        <v>109.2</v>
      </c>
      <c r="X63" s="21"/>
      <c r="Y63" s="21">
        <f t="shared" si="13"/>
        <v>1318287.0370370371</v>
      </c>
      <c r="Z63" s="21">
        <f t="shared" si="25"/>
        <v>1435185.1851851852</v>
      </c>
      <c r="AA63" s="21">
        <v>124</v>
      </c>
      <c r="AB63" s="21">
        <f t="shared" si="26"/>
        <v>0</v>
      </c>
      <c r="AC63" s="21">
        <v>122</v>
      </c>
      <c r="AD63" s="21">
        <f t="shared" si="27"/>
        <v>0</v>
      </c>
      <c r="AE63" s="21">
        <f t="shared" si="28"/>
        <v>1435185.1851851852</v>
      </c>
      <c r="AF63" s="21">
        <f t="shared" si="14"/>
        <v>1449075</v>
      </c>
      <c r="AG63" s="21">
        <v>125.2</v>
      </c>
      <c r="AH63" s="21">
        <f t="shared" si="15"/>
        <v>0</v>
      </c>
      <c r="AI63" s="21">
        <v>123.3</v>
      </c>
      <c r="AJ63" s="21">
        <f t="shared" si="16"/>
        <v>0</v>
      </c>
      <c r="AK63" s="70">
        <f t="shared" si="17"/>
        <v>1449075</v>
      </c>
      <c r="AL63" s="21"/>
      <c r="AM63" s="21"/>
      <c r="AN63" s="21"/>
      <c r="AO63" s="21"/>
    </row>
    <row r="64" spans="1:41" x14ac:dyDescent="0.25">
      <c r="A64" s="74"/>
      <c r="B64" s="27"/>
      <c r="C64" s="42" t="s">
        <v>113</v>
      </c>
      <c r="D64" s="33"/>
      <c r="E64" s="34"/>
      <c r="F64" s="34"/>
      <c r="G64" s="33"/>
      <c r="H64" s="30">
        <v>918200</v>
      </c>
      <c r="I64" s="31"/>
      <c r="J64" s="31"/>
      <c r="K64" s="32">
        <f>H64+I64+J64</f>
        <v>918200</v>
      </c>
      <c r="L64" s="32">
        <f>ROUND($H64/100*105,-2)</f>
        <v>964100</v>
      </c>
      <c r="M64" s="32">
        <f>$I64</f>
        <v>0</v>
      </c>
      <c r="N64" s="32"/>
      <c r="O64" s="32">
        <f t="shared" si="30"/>
        <v>964100</v>
      </c>
      <c r="P64" s="21">
        <f>ROUND($L64/105*108,-2)</f>
        <v>991600</v>
      </c>
      <c r="Q64" s="21"/>
      <c r="R64" s="21"/>
      <c r="S64" s="21"/>
      <c r="T64" s="21">
        <f t="shared" si="11"/>
        <v>1045770.7407407407</v>
      </c>
      <c r="U64" s="21">
        <v>113.9</v>
      </c>
      <c r="V64" s="21">
        <f t="shared" si="12"/>
        <v>0</v>
      </c>
      <c r="W64" s="21">
        <v>109.2</v>
      </c>
      <c r="X64" s="21"/>
      <c r="Y64" s="21">
        <f t="shared" si="13"/>
        <v>1045770.7407407407</v>
      </c>
      <c r="Z64" s="21">
        <f t="shared" si="25"/>
        <v>1138503.7037037036</v>
      </c>
      <c r="AA64" s="21">
        <v>124</v>
      </c>
      <c r="AB64" s="21">
        <f t="shared" si="26"/>
        <v>0</v>
      </c>
      <c r="AC64" s="21">
        <v>122</v>
      </c>
      <c r="AD64" s="21">
        <f t="shared" si="27"/>
        <v>0</v>
      </c>
      <c r="AE64" s="21">
        <f t="shared" si="28"/>
        <v>1138503.7037037036</v>
      </c>
      <c r="AF64" s="21">
        <f t="shared" si="14"/>
        <v>1149522</v>
      </c>
      <c r="AG64" s="21">
        <v>125.2</v>
      </c>
      <c r="AH64" s="21">
        <f t="shared" si="15"/>
        <v>0</v>
      </c>
      <c r="AI64" s="21">
        <v>123.3</v>
      </c>
      <c r="AJ64" s="21">
        <f t="shared" si="16"/>
        <v>0</v>
      </c>
      <c r="AK64" s="70">
        <f t="shared" si="17"/>
        <v>1149522</v>
      </c>
      <c r="AL64" s="21"/>
      <c r="AM64" s="21"/>
      <c r="AN64" s="21"/>
      <c r="AO64" s="21"/>
    </row>
    <row r="65" spans="1:41" x14ac:dyDescent="0.25">
      <c r="A65" s="74"/>
      <c r="B65" s="43" t="s">
        <v>114</v>
      </c>
      <c r="C65" s="42" t="s">
        <v>113</v>
      </c>
      <c r="D65" s="44"/>
      <c r="E65" s="29"/>
      <c r="F65" s="29"/>
      <c r="G65" s="28"/>
      <c r="H65" s="45"/>
      <c r="I65" s="46"/>
      <c r="J65" s="46"/>
      <c r="K65" s="32"/>
      <c r="L65" s="32"/>
      <c r="M65" s="32"/>
      <c r="N65" s="32"/>
      <c r="O65" s="32"/>
      <c r="P65" s="21">
        <v>17200000</v>
      </c>
      <c r="Q65" s="51">
        <v>44314</v>
      </c>
      <c r="R65" s="21">
        <v>3208842</v>
      </c>
      <c r="S65" s="21"/>
      <c r="T65" s="21">
        <f t="shared" si="11"/>
        <v>18139629.629629631</v>
      </c>
      <c r="U65" s="21">
        <v>113.9</v>
      </c>
      <c r="V65" s="21">
        <f t="shared" si="12"/>
        <v>3385560.8347826088</v>
      </c>
      <c r="W65" s="21">
        <v>109.2</v>
      </c>
      <c r="X65" s="21"/>
      <c r="Y65" s="21">
        <f t="shared" si="13"/>
        <v>21525190.464412238</v>
      </c>
      <c r="Z65" s="21">
        <f t="shared" si="25"/>
        <v>19748148.148148149</v>
      </c>
      <c r="AA65" s="21">
        <v>124</v>
      </c>
      <c r="AB65" s="21">
        <f t="shared" si="26"/>
        <v>3782403.1304347827</v>
      </c>
      <c r="AC65" s="21">
        <v>122</v>
      </c>
      <c r="AD65" s="21">
        <f t="shared" si="27"/>
        <v>0</v>
      </c>
      <c r="AE65" s="21">
        <f t="shared" si="28"/>
        <v>23530551.278582931</v>
      </c>
      <c r="AF65" s="21">
        <f t="shared" si="14"/>
        <v>19939260</v>
      </c>
      <c r="AG65" s="21">
        <v>125.2</v>
      </c>
      <c r="AH65" s="21">
        <f t="shared" si="15"/>
        <v>3822708</v>
      </c>
      <c r="AI65" s="21">
        <v>123.3</v>
      </c>
      <c r="AJ65" s="21">
        <f t="shared" si="16"/>
        <v>0</v>
      </c>
      <c r="AK65" s="70">
        <f t="shared" si="17"/>
        <v>23761968</v>
      </c>
      <c r="AL65" s="51">
        <v>44314</v>
      </c>
      <c r="AM65" s="51" t="s">
        <v>18</v>
      </c>
      <c r="AN65" s="21" t="s">
        <v>18</v>
      </c>
      <c r="AO65" s="21">
        <v>602</v>
      </c>
    </row>
    <row r="66" spans="1:41" x14ac:dyDescent="0.25">
      <c r="A66" s="74"/>
      <c r="B66" s="43" t="s">
        <v>143</v>
      </c>
      <c r="C66" s="42" t="s">
        <v>115</v>
      </c>
      <c r="D66" s="44"/>
      <c r="E66" s="29"/>
      <c r="F66" s="29"/>
      <c r="G66" s="28"/>
      <c r="H66" s="45">
        <v>4676900</v>
      </c>
      <c r="I66" s="46"/>
      <c r="J66" s="46"/>
      <c r="K66" s="32">
        <f>H66+I66+J66</f>
        <v>4676900</v>
      </c>
      <c r="L66" s="32">
        <f>ROUND($H66/100*105,-2)</f>
        <v>4910700</v>
      </c>
      <c r="M66" s="32">
        <f>$I66</f>
        <v>0</v>
      </c>
      <c r="N66" s="32"/>
      <c r="O66" s="32">
        <f>SUM($L66+$M66)</f>
        <v>4910700</v>
      </c>
      <c r="P66" s="21">
        <v>4040000</v>
      </c>
      <c r="Q66" s="51">
        <v>44314</v>
      </c>
      <c r="R66" s="21"/>
      <c r="S66" s="21"/>
      <c r="T66" s="21">
        <f t="shared" si="11"/>
        <v>4260703.7037037034</v>
      </c>
      <c r="U66" s="21">
        <v>113.9</v>
      </c>
      <c r="V66" s="21">
        <f t="shared" si="12"/>
        <v>0</v>
      </c>
      <c r="W66" s="21">
        <v>109.2</v>
      </c>
      <c r="X66" s="21"/>
      <c r="Y66" s="21">
        <f t="shared" si="13"/>
        <v>4260703.7037037034</v>
      </c>
      <c r="Z66" s="21">
        <f t="shared" si="25"/>
        <v>4638518.5185185177</v>
      </c>
      <c r="AA66" s="21">
        <v>124</v>
      </c>
      <c r="AB66" s="21">
        <f t="shared" si="26"/>
        <v>0</v>
      </c>
      <c r="AC66" s="21">
        <v>122</v>
      </c>
      <c r="AD66" s="21">
        <f t="shared" si="27"/>
        <v>0</v>
      </c>
      <c r="AE66" s="21">
        <f t="shared" si="28"/>
        <v>4638518.5185185177</v>
      </c>
      <c r="AF66" s="21">
        <f t="shared" si="14"/>
        <v>4683408</v>
      </c>
      <c r="AG66" s="21">
        <v>125.2</v>
      </c>
      <c r="AH66" s="72">
        <v>614960</v>
      </c>
      <c r="AI66" s="21">
        <v>123.3</v>
      </c>
      <c r="AJ66" s="21">
        <f t="shared" si="16"/>
        <v>0</v>
      </c>
      <c r="AK66" s="70">
        <f t="shared" si="17"/>
        <v>5298368</v>
      </c>
      <c r="AL66" s="21"/>
      <c r="AM66" s="21" t="s">
        <v>18</v>
      </c>
      <c r="AN66" s="21" t="s">
        <v>43</v>
      </c>
      <c r="AO66" s="21"/>
    </row>
    <row r="67" spans="1:41" x14ac:dyDescent="0.25">
      <c r="A67" s="74"/>
      <c r="B67" s="43" t="s">
        <v>116</v>
      </c>
      <c r="C67" s="42" t="s">
        <v>115</v>
      </c>
      <c r="D67" s="44"/>
      <c r="E67" s="29"/>
      <c r="F67" s="29"/>
      <c r="G67" s="28"/>
      <c r="H67" s="45"/>
      <c r="I67" s="46"/>
      <c r="J67" s="46"/>
      <c r="K67" s="32"/>
      <c r="L67" s="32"/>
      <c r="M67" s="32"/>
      <c r="N67" s="32"/>
      <c r="O67" s="32"/>
      <c r="P67" s="21">
        <v>1162200</v>
      </c>
      <c r="Q67" s="51">
        <v>44314</v>
      </c>
      <c r="R67" s="21"/>
      <c r="S67" s="21"/>
      <c r="T67" s="21">
        <f t="shared" si="11"/>
        <v>1225690.5555555555</v>
      </c>
      <c r="U67" s="21">
        <v>113.9</v>
      </c>
      <c r="V67" s="21">
        <f t="shared" si="12"/>
        <v>0</v>
      </c>
      <c r="W67" s="21">
        <v>109.2</v>
      </c>
      <c r="X67" s="21"/>
      <c r="Y67" s="21">
        <f t="shared" si="13"/>
        <v>1225690.5555555555</v>
      </c>
      <c r="Z67" s="21">
        <f t="shared" si="25"/>
        <v>1334377.7777777775</v>
      </c>
      <c r="AA67" s="21">
        <v>124</v>
      </c>
      <c r="AB67" s="21">
        <f t="shared" si="26"/>
        <v>0</v>
      </c>
      <c r="AC67" s="21">
        <v>122</v>
      </c>
      <c r="AD67" s="21">
        <f t="shared" si="27"/>
        <v>0</v>
      </c>
      <c r="AE67" s="21">
        <f t="shared" si="28"/>
        <v>1334377.7777777775</v>
      </c>
      <c r="AF67" s="21">
        <f t="shared" si="14"/>
        <v>1347292</v>
      </c>
      <c r="AG67" s="21">
        <v>125.2</v>
      </c>
      <c r="AH67" s="21">
        <f t="shared" si="15"/>
        <v>0</v>
      </c>
      <c r="AI67" s="21">
        <v>123.3</v>
      </c>
      <c r="AJ67" s="21">
        <f t="shared" si="16"/>
        <v>0</v>
      </c>
      <c r="AK67" s="70">
        <f t="shared" si="17"/>
        <v>1347292</v>
      </c>
      <c r="AL67" s="21"/>
      <c r="AM67" s="21" t="s">
        <v>18</v>
      </c>
      <c r="AN67" s="21" t="s">
        <v>43</v>
      </c>
      <c r="AO67" s="21"/>
    </row>
    <row r="68" spans="1:41" x14ac:dyDescent="0.25">
      <c r="A68" s="74"/>
      <c r="B68" s="43" t="s">
        <v>117</v>
      </c>
      <c r="C68" s="42" t="s">
        <v>118</v>
      </c>
      <c r="D68" s="44"/>
      <c r="E68" s="29"/>
      <c r="F68" s="29"/>
      <c r="G68" s="28"/>
      <c r="H68" s="45"/>
      <c r="I68" s="46"/>
      <c r="J68" s="46"/>
      <c r="K68" s="32"/>
      <c r="L68" s="32"/>
      <c r="M68" s="32"/>
      <c r="N68" s="32"/>
      <c r="O68" s="32"/>
      <c r="P68" s="21">
        <v>889000</v>
      </c>
      <c r="Q68" s="51">
        <v>44314</v>
      </c>
      <c r="R68" s="21">
        <v>93100</v>
      </c>
      <c r="S68" s="21"/>
      <c r="T68" s="21">
        <f t="shared" si="11"/>
        <v>937565.74074074067</v>
      </c>
      <c r="U68" s="21">
        <v>113.9</v>
      </c>
      <c r="V68" s="21">
        <f t="shared" si="12"/>
        <v>98227.246376811585</v>
      </c>
      <c r="W68" s="21">
        <v>109.2</v>
      </c>
      <c r="X68" s="21"/>
      <c r="Y68" s="21">
        <f t="shared" si="13"/>
        <v>1035792.9871175522</v>
      </c>
      <c r="Z68" s="21">
        <f t="shared" si="25"/>
        <v>1020703.7037037035</v>
      </c>
      <c r="AA68" s="21">
        <v>124</v>
      </c>
      <c r="AB68" s="21">
        <f t="shared" si="26"/>
        <v>109741.06280193235</v>
      </c>
      <c r="AC68" s="21">
        <v>122</v>
      </c>
      <c r="AD68" s="21">
        <f t="shared" si="27"/>
        <v>0</v>
      </c>
      <c r="AE68" s="21">
        <f t="shared" si="28"/>
        <v>1130444.7665056358</v>
      </c>
      <c r="AF68" s="21">
        <f t="shared" si="14"/>
        <v>1030582</v>
      </c>
      <c r="AG68" s="21">
        <v>125.2</v>
      </c>
      <c r="AH68" s="21">
        <f t="shared" si="15"/>
        <v>110911</v>
      </c>
      <c r="AI68" s="21">
        <v>123.3</v>
      </c>
      <c r="AJ68" s="21">
        <f t="shared" si="16"/>
        <v>0</v>
      </c>
      <c r="AK68" s="70">
        <f t="shared" si="17"/>
        <v>1141493</v>
      </c>
      <c r="AL68" s="51">
        <v>44314</v>
      </c>
      <c r="AM68" s="51"/>
      <c r="AN68" s="21"/>
      <c r="AO68" s="21"/>
    </row>
    <row r="69" spans="1:41" x14ac:dyDescent="0.25">
      <c r="A69" s="74"/>
      <c r="B69" s="43"/>
      <c r="C69" s="42" t="s">
        <v>119</v>
      </c>
      <c r="D69" s="44"/>
      <c r="E69" s="29"/>
      <c r="F69" s="29"/>
      <c r="G69" s="28"/>
      <c r="H69" s="45"/>
      <c r="I69" s="46">
        <v>3407200</v>
      </c>
      <c r="J69" s="46"/>
      <c r="K69" s="32">
        <f>H69+I69+J69</f>
        <v>3407200</v>
      </c>
      <c r="L69" s="32">
        <f>ROUND($H69/100*105,-2)</f>
        <v>0</v>
      </c>
      <c r="M69" s="32">
        <f>$I69</f>
        <v>3407200</v>
      </c>
      <c r="N69" s="32">
        <v>1000000</v>
      </c>
      <c r="O69" s="32">
        <f>SUM(M69:N69)</f>
        <v>4407200</v>
      </c>
      <c r="P69" s="21">
        <f>ROUND($L69/105*108,-2)</f>
        <v>0</v>
      </c>
      <c r="Q69" s="21"/>
      <c r="R69" s="21"/>
      <c r="S69" s="21">
        <v>1000000</v>
      </c>
      <c r="T69" s="21">
        <f t="shared" si="11"/>
        <v>0</v>
      </c>
      <c r="U69" s="21">
        <v>113.9</v>
      </c>
      <c r="V69" s="21">
        <f t="shared" si="12"/>
        <v>0</v>
      </c>
      <c r="W69" s="21">
        <v>109.2</v>
      </c>
      <c r="X69" s="21">
        <v>1000000</v>
      </c>
      <c r="Y69" s="21">
        <f t="shared" si="13"/>
        <v>1000000</v>
      </c>
      <c r="Z69" s="21">
        <f t="shared" si="25"/>
        <v>0</v>
      </c>
      <c r="AA69" s="21">
        <v>124</v>
      </c>
      <c r="AB69" s="21">
        <f t="shared" si="26"/>
        <v>0</v>
      </c>
      <c r="AC69" s="21">
        <v>122</v>
      </c>
      <c r="AD69" s="21">
        <f t="shared" si="27"/>
        <v>1000000</v>
      </c>
      <c r="AE69" s="21">
        <f t="shared" si="28"/>
        <v>1000000</v>
      </c>
      <c r="AF69" s="21">
        <f t="shared" si="14"/>
        <v>0</v>
      </c>
      <c r="AG69" s="21">
        <v>125.2</v>
      </c>
      <c r="AH69" s="21">
        <f t="shared" si="15"/>
        <v>0</v>
      </c>
      <c r="AI69" s="21">
        <v>123.3</v>
      </c>
      <c r="AJ69" s="21">
        <f t="shared" si="16"/>
        <v>1000000</v>
      </c>
      <c r="AK69" s="70">
        <f t="shared" si="17"/>
        <v>1000000</v>
      </c>
      <c r="AL69" s="21"/>
      <c r="AM69" s="21"/>
      <c r="AN69" s="21"/>
      <c r="AO69" s="21"/>
    </row>
    <row r="70" spans="1:41" x14ac:dyDescent="0.25">
      <c r="A70" s="74"/>
      <c r="B70" s="43" t="s">
        <v>120</v>
      </c>
      <c r="C70" s="42" t="s">
        <v>119</v>
      </c>
      <c r="D70" s="44"/>
      <c r="E70" s="29"/>
      <c r="F70" s="29"/>
      <c r="G70" s="28"/>
      <c r="H70" s="45"/>
      <c r="I70" s="46"/>
      <c r="J70" s="46"/>
      <c r="K70" s="49"/>
      <c r="L70" s="49"/>
      <c r="M70" s="49"/>
      <c r="N70" s="49"/>
      <c r="O70" s="49"/>
      <c r="P70" s="50"/>
      <c r="Q70" s="50"/>
      <c r="R70" s="50">
        <v>133000</v>
      </c>
      <c r="S70" s="50"/>
      <c r="T70" s="21">
        <f t="shared" si="11"/>
        <v>0</v>
      </c>
      <c r="U70" s="21">
        <v>113.9</v>
      </c>
      <c r="V70" s="21">
        <f t="shared" si="12"/>
        <v>140324.63768115942</v>
      </c>
      <c r="W70" s="21">
        <v>109.2</v>
      </c>
      <c r="X70" s="50"/>
      <c r="Y70" s="21">
        <f t="shared" si="13"/>
        <v>140324.63768115942</v>
      </c>
      <c r="Z70" s="21">
        <f t="shared" si="25"/>
        <v>0</v>
      </c>
      <c r="AA70" s="21">
        <v>124</v>
      </c>
      <c r="AB70" s="21">
        <f t="shared" si="26"/>
        <v>156772.9468599034</v>
      </c>
      <c r="AC70" s="21">
        <v>122</v>
      </c>
      <c r="AD70" s="21">
        <f t="shared" si="27"/>
        <v>0</v>
      </c>
      <c r="AE70" s="21">
        <f t="shared" si="28"/>
        <v>156772.9468599034</v>
      </c>
      <c r="AF70" s="21">
        <f t="shared" si="14"/>
        <v>0</v>
      </c>
      <c r="AG70" s="21">
        <v>125.2</v>
      </c>
      <c r="AH70" s="21">
        <f t="shared" si="15"/>
        <v>158444</v>
      </c>
      <c r="AI70" s="21">
        <v>123.3</v>
      </c>
      <c r="AJ70" s="21">
        <f t="shared" si="16"/>
        <v>0</v>
      </c>
      <c r="AK70" s="70">
        <f t="shared" si="17"/>
        <v>158444</v>
      </c>
      <c r="AL70" s="52">
        <v>44314</v>
      </c>
      <c r="AM70" s="52"/>
      <c r="AN70" s="50"/>
      <c r="AO70" s="21"/>
    </row>
    <row r="71" spans="1:41" x14ac:dyDescent="0.25">
      <c r="A71" s="74"/>
      <c r="B71" s="43" t="s">
        <v>128</v>
      </c>
      <c r="C71" s="42"/>
      <c r="D71" s="44"/>
      <c r="E71" s="29"/>
      <c r="F71" s="29"/>
      <c r="G71" s="28"/>
      <c r="H71" s="45"/>
      <c r="I71" s="46"/>
      <c r="J71" s="46"/>
      <c r="K71" s="49"/>
      <c r="L71" s="49"/>
      <c r="M71" s="49"/>
      <c r="N71" s="49"/>
      <c r="O71" s="49"/>
      <c r="P71" s="50"/>
      <c r="Q71" s="50"/>
      <c r="R71" s="50"/>
      <c r="S71" s="50"/>
      <c r="T71" s="21">
        <v>0</v>
      </c>
      <c r="U71" s="21">
        <v>113.9</v>
      </c>
      <c r="V71" s="21"/>
      <c r="W71" s="21">
        <v>109.2</v>
      </c>
      <c r="X71" s="50"/>
      <c r="Y71" s="21"/>
      <c r="Z71" s="21">
        <f t="shared" si="25"/>
        <v>0</v>
      </c>
      <c r="AA71" s="21">
        <v>124</v>
      </c>
      <c r="AB71" s="21">
        <f t="shared" si="26"/>
        <v>0</v>
      </c>
      <c r="AC71" s="21">
        <v>122</v>
      </c>
      <c r="AD71" s="21">
        <f t="shared" si="27"/>
        <v>0</v>
      </c>
      <c r="AE71" s="21">
        <f t="shared" si="28"/>
        <v>0</v>
      </c>
      <c r="AF71" s="21">
        <f t="shared" si="14"/>
        <v>0</v>
      </c>
      <c r="AG71" s="21">
        <v>125.2</v>
      </c>
      <c r="AH71" s="21">
        <f t="shared" si="15"/>
        <v>0</v>
      </c>
      <c r="AI71" s="21">
        <v>123.3</v>
      </c>
      <c r="AJ71" s="21">
        <f t="shared" si="16"/>
        <v>0</v>
      </c>
      <c r="AK71" s="21">
        <f t="shared" si="17"/>
        <v>0</v>
      </c>
      <c r="AL71" s="52"/>
      <c r="AM71" s="52"/>
      <c r="AN71" s="50"/>
      <c r="AO71" s="21"/>
    </row>
    <row r="72" spans="1:41" x14ac:dyDescent="0.25">
      <c r="A72" s="74"/>
      <c r="B72" s="43" t="s">
        <v>150</v>
      </c>
      <c r="C72" s="42" t="s">
        <v>149</v>
      </c>
      <c r="D72" s="44"/>
      <c r="E72" s="29"/>
      <c r="F72" s="29"/>
      <c r="G72" s="28"/>
      <c r="H72" s="45"/>
      <c r="I72" s="46"/>
      <c r="J72" s="46"/>
      <c r="K72" s="49"/>
      <c r="L72" s="49"/>
      <c r="M72" s="49"/>
      <c r="N72" s="49"/>
      <c r="O72" s="49"/>
      <c r="P72" s="50"/>
      <c r="Q72" s="50"/>
      <c r="R72" s="50"/>
      <c r="S72" s="50"/>
      <c r="T72" s="21"/>
      <c r="U72" s="21">
        <v>113.9</v>
      </c>
      <c r="V72" s="21"/>
      <c r="W72" s="21">
        <v>109.2</v>
      </c>
      <c r="X72" s="50"/>
      <c r="Y72" s="21"/>
      <c r="Z72" s="21">
        <v>0</v>
      </c>
      <c r="AA72" s="21"/>
      <c r="AB72" s="21">
        <v>0</v>
      </c>
      <c r="AC72" s="21"/>
      <c r="AD72" s="21"/>
      <c r="AE72" s="21">
        <v>0</v>
      </c>
      <c r="AF72" s="21">
        <v>950000</v>
      </c>
      <c r="AG72" s="21"/>
      <c r="AH72" s="21">
        <v>0</v>
      </c>
      <c r="AI72" s="21"/>
      <c r="AJ72" s="21">
        <f t="shared" si="16"/>
        <v>0</v>
      </c>
      <c r="AK72" s="21">
        <f t="shared" si="17"/>
        <v>950000</v>
      </c>
      <c r="AL72" s="52"/>
      <c r="AM72" s="52"/>
      <c r="AN72" s="50"/>
      <c r="AO72" s="21"/>
    </row>
    <row r="73" spans="1:41" s="88" customFormat="1" x14ac:dyDescent="0.25">
      <c r="A73" s="76" t="s">
        <v>140</v>
      </c>
      <c r="B73" s="77" t="s">
        <v>148</v>
      </c>
      <c r="C73" s="78" t="s">
        <v>121</v>
      </c>
      <c r="D73" s="79"/>
      <c r="E73" s="80"/>
      <c r="F73" s="80"/>
      <c r="G73" s="81"/>
      <c r="H73" s="82"/>
      <c r="I73" s="83"/>
      <c r="J73" s="83"/>
      <c r="K73" s="84"/>
      <c r="L73" s="84"/>
      <c r="M73" s="84"/>
      <c r="N73" s="84"/>
      <c r="O73" s="84"/>
      <c r="P73" s="85">
        <v>1350350</v>
      </c>
      <c r="Q73" s="86">
        <v>44314</v>
      </c>
      <c r="R73" s="85"/>
      <c r="S73" s="85"/>
      <c r="T73" s="87"/>
      <c r="U73" s="87">
        <v>113.9</v>
      </c>
      <c r="V73" s="87">
        <f t="shared" si="12"/>
        <v>0</v>
      </c>
      <c r="W73" s="87">
        <v>109.2</v>
      </c>
      <c r="X73" s="85"/>
      <c r="Y73" s="87">
        <f t="shared" si="13"/>
        <v>0</v>
      </c>
      <c r="Z73" s="87">
        <f t="shared" si="25"/>
        <v>0</v>
      </c>
      <c r="AA73" s="87">
        <v>124</v>
      </c>
      <c r="AB73" s="87">
        <f t="shared" si="26"/>
        <v>0</v>
      </c>
      <c r="AC73" s="87">
        <v>122</v>
      </c>
      <c r="AD73" s="87">
        <f t="shared" si="27"/>
        <v>0</v>
      </c>
      <c r="AE73" s="87">
        <f t="shared" si="28"/>
        <v>0</v>
      </c>
      <c r="AF73" s="87">
        <f t="shared" si="14"/>
        <v>0</v>
      </c>
      <c r="AG73" s="87"/>
      <c r="AH73" s="87">
        <f t="shared" si="15"/>
        <v>0</v>
      </c>
      <c r="AI73" s="87"/>
      <c r="AJ73" s="87">
        <f t="shared" si="16"/>
        <v>0</v>
      </c>
      <c r="AK73" s="87">
        <f t="shared" si="17"/>
        <v>0</v>
      </c>
      <c r="AL73" s="85"/>
      <c r="AM73" s="85"/>
      <c r="AN73" s="85"/>
      <c r="AO73" s="87"/>
    </row>
    <row r="74" spans="1:41" ht="15.75" thickBot="1" x14ac:dyDescent="0.3">
      <c r="A74" s="74"/>
      <c r="B74" s="36"/>
      <c r="C74" s="3"/>
      <c r="D74" s="37"/>
      <c r="E74" s="12"/>
      <c r="F74" s="12">
        <v>1000000</v>
      </c>
      <c r="G74" s="8">
        <v>1000000</v>
      </c>
      <c r="H74" s="25"/>
      <c r="I74" s="35"/>
      <c r="J74" s="35"/>
      <c r="K74" s="35"/>
      <c r="L74" s="35"/>
      <c r="M74" s="35"/>
      <c r="N74" s="35"/>
      <c r="O74" s="35"/>
      <c r="P74" s="48"/>
      <c r="Q74" s="48"/>
      <c r="R74" s="35"/>
      <c r="S74" s="35"/>
      <c r="T74" s="35"/>
      <c r="U74" s="35"/>
      <c r="V74" s="35"/>
      <c r="W74" s="35"/>
      <c r="X74" s="35"/>
      <c r="Y74" s="48"/>
      <c r="Z74" s="35"/>
      <c r="AA74" s="35"/>
      <c r="AB74" s="35"/>
      <c r="AC74" s="35"/>
      <c r="AD74" s="35"/>
      <c r="AE74" s="48"/>
      <c r="AF74" s="48"/>
      <c r="AG74" s="48"/>
      <c r="AH74" s="48"/>
      <c r="AI74" s="48"/>
      <c r="AJ74" s="48"/>
      <c r="AK74" s="48"/>
      <c r="AL74" s="35"/>
      <c r="AM74" s="35"/>
      <c r="AN74" s="35"/>
      <c r="AO74" s="48"/>
    </row>
    <row r="75" spans="1:41" ht="15.75" thickBot="1" x14ac:dyDescent="0.3">
      <c r="A75" s="74"/>
      <c r="B75" s="36"/>
      <c r="C75" s="3"/>
      <c r="D75" s="38">
        <f>SUM(D12:D74)</f>
        <v>61065007.597027257</v>
      </c>
      <c r="E75" s="13">
        <f>SUM(E12:E74)</f>
        <v>4884000</v>
      </c>
      <c r="F75" s="13"/>
      <c r="G75" s="9">
        <f t="shared" ref="G75:L75" si="31">SUM(G12:G74)</f>
        <v>66949007.597027257</v>
      </c>
      <c r="H75" s="22">
        <f t="shared" si="31"/>
        <v>95198700</v>
      </c>
      <c r="I75" s="23">
        <f t="shared" si="31"/>
        <v>9441200</v>
      </c>
      <c r="J75" s="23">
        <f t="shared" si="31"/>
        <v>0</v>
      </c>
      <c r="K75" s="24">
        <f t="shared" si="31"/>
        <v>104639900</v>
      </c>
      <c r="L75" s="24">
        <f t="shared" si="31"/>
        <v>100487800</v>
      </c>
      <c r="M75" s="24">
        <f>SUM(M12:M69)</f>
        <v>9441200</v>
      </c>
      <c r="N75" s="24">
        <f>SUM(N12:N74)</f>
        <v>1000000</v>
      </c>
      <c r="O75" s="24">
        <f>SUM(O12:O74)</f>
        <v>110929000</v>
      </c>
      <c r="P75" s="24">
        <f>SUM(P12:P74)</f>
        <v>122908700</v>
      </c>
      <c r="Q75" s="24"/>
      <c r="R75" s="24">
        <f>SUM(R12:R74)</f>
        <v>16313438</v>
      </c>
      <c r="S75" s="24">
        <f>SUM(S12:S74)</f>
        <v>1000000</v>
      </c>
      <c r="T75" s="62">
        <f ca="1">SUM(T12:T75)</f>
        <v>128199037.63888891</v>
      </c>
      <c r="U75" s="58"/>
      <c r="V75" s="58">
        <f>SUM(V12:V74)</f>
        <v>17211859.223188404</v>
      </c>
      <c r="W75" s="58"/>
      <c r="X75" s="58">
        <f>SUM(X69:X74)</f>
        <v>1000000</v>
      </c>
      <c r="Y75" s="58">
        <f>SUM(Y12:Y74)</f>
        <v>146410896.86207727</v>
      </c>
      <c r="Z75" s="62">
        <f>SUM(Z12:Z74)</f>
        <v>139566994.44444442</v>
      </c>
      <c r="AA75" s="24"/>
      <c r="AB75" s="62">
        <f>SUM(AB12:AB74)</f>
        <v>19229366.531400967</v>
      </c>
      <c r="AC75" s="24"/>
      <c r="AD75" s="62">
        <f>SUM(AD12:AD74)</f>
        <v>1000000</v>
      </c>
      <c r="AE75" s="58">
        <f>SUM(AE12:AE74)</f>
        <v>159796360.97584537</v>
      </c>
      <c r="AF75" s="58">
        <f>SUM(AF12:AF73)</f>
        <v>137446277</v>
      </c>
      <c r="AG75" s="58"/>
      <c r="AH75" s="58">
        <f>SUM(AH12:AH74)</f>
        <v>18756670</v>
      </c>
      <c r="AI75" s="58"/>
      <c r="AJ75" s="67">
        <f>SUM(AJ12:AJ74)</f>
        <v>1000000</v>
      </c>
      <c r="AK75" s="69">
        <f>SUM(AK12:AK74)</f>
        <v>157202947</v>
      </c>
      <c r="AL75" s="68"/>
      <c r="AM75" s="24"/>
      <c r="AN75" s="24"/>
      <c r="AO75" s="24"/>
    </row>
    <row r="76" spans="1:41" x14ac:dyDescent="0.25">
      <c r="D76" s="10"/>
      <c r="AE76" s="26"/>
      <c r="AF76" s="26"/>
      <c r="AG76" s="26"/>
      <c r="AH76" s="26"/>
      <c r="AI76" s="26"/>
      <c r="AJ76" s="26"/>
      <c r="AK76" s="26"/>
    </row>
    <row r="78" spans="1:41" x14ac:dyDescent="0.25">
      <c r="I78" s="26"/>
    </row>
    <row r="79" spans="1:41" x14ac:dyDescent="0.25">
      <c r="A79" s="89"/>
    </row>
    <row r="80" spans="1:41" x14ac:dyDescent="0.25">
      <c r="C80" s="26"/>
    </row>
    <row r="89" spans="2:2" x14ac:dyDescent="0.25">
      <c r="B89" t="s">
        <v>141</v>
      </c>
    </row>
  </sheetData>
  <autoFilter ref="B11:Y75" xr:uid="{8D7B2D05-6CB3-47E5-BEA8-520FAE4384B0}"/>
  <mergeCells count="5">
    <mergeCell ref="AF10:AK10"/>
    <mergeCell ref="L10:O10"/>
    <mergeCell ref="P10:S10"/>
    <mergeCell ref="Z10:AE10"/>
    <mergeCell ref="T10:Y10"/>
  </mergeCells>
  <pageMargins left="0.70866141732283472" right="0.70866141732283472" top="0.74803149606299213" bottom="0.74803149606299213" header="0.31496062992125984" footer="0.31496062992125984"/>
  <pageSetup paperSize="2512" scale="24" orientation="landscape" r:id="rId1"/>
  <customProperties>
    <customPr name="OrphanNamesChecked" r:id="rId2"/>
  </customProperties>
  <ignoredErrors>
    <ignoredError sqref="M7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F021F-3CCB-4BEB-A21C-C4CE843F9F81}">
  <dimension ref="B2:H6"/>
  <sheetViews>
    <sheetView workbookViewId="0">
      <selection activeCell="C17" sqref="C17"/>
    </sheetView>
  </sheetViews>
  <sheetFormatPr defaultRowHeight="15" x14ac:dyDescent="0.25"/>
  <cols>
    <col min="2" max="2" width="14" bestFit="1" customWidth="1"/>
    <col min="3" max="3" width="66.140625" bestFit="1" customWidth="1"/>
    <col min="4" max="4" width="49.85546875" customWidth="1"/>
    <col min="5" max="5" width="14" bestFit="1" customWidth="1"/>
    <col min="6" max="6" width="27.140625" customWidth="1"/>
    <col min="7" max="8" width="11.42578125" bestFit="1" customWidth="1"/>
  </cols>
  <sheetData>
    <row r="2" spans="2:8" x14ac:dyDescent="0.25">
      <c r="B2" s="61" t="s">
        <v>122</v>
      </c>
      <c r="C2" s="61" t="s">
        <v>123</v>
      </c>
      <c r="D2" s="61" t="s">
        <v>124</v>
      </c>
      <c r="E2" s="61" t="s">
        <v>8</v>
      </c>
      <c r="G2" s="61" t="s">
        <v>9</v>
      </c>
    </row>
    <row r="3" spans="2:8" x14ac:dyDescent="0.25">
      <c r="E3" s="61" t="s">
        <v>125</v>
      </c>
      <c r="F3" s="61" t="s">
        <v>126</v>
      </c>
      <c r="G3" s="61" t="s">
        <v>125</v>
      </c>
      <c r="H3" s="61" t="s">
        <v>127</v>
      </c>
    </row>
    <row r="4" spans="2:8" x14ac:dyDescent="0.25">
      <c r="B4" s="60"/>
      <c r="E4" s="59"/>
      <c r="F4" s="26"/>
      <c r="H4" s="59"/>
    </row>
    <row r="5" spans="2:8" x14ac:dyDescent="0.25">
      <c r="B5" s="60"/>
      <c r="E5" s="59"/>
      <c r="H5" s="59"/>
    </row>
    <row r="6" spans="2:8" x14ac:dyDescent="0.25">
      <c r="B6" s="60"/>
      <c r="F6" s="59"/>
    </row>
  </sheetData>
  <pageMargins left="0.7" right="0.7" top="0.75" bottom="0.75" header="0.3" footer="0.3"/>
  <customProperties>
    <customPr name="OrphanNamesChecke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A090013BEE95488BFE93D3F039CB73" ma:contentTypeVersion="23" ma:contentTypeDescription="Een nieuw document maken." ma:contentTypeScope="" ma:versionID="652189132a194f4ea30cb487ce32e043">
  <xsd:schema xmlns:xsd="http://www.w3.org/2001/XMLSchema" xmlns:xs="http://www.w3.org/2001/XMLSchema" xmlns:p="http://schemas.microsoft.com/office/2006/metadata/properties" xmlns:ns2="bf3d2008-c423-4719-8267-0a2df733c7e1" xmlns:ns3="02702376-cb15-4beb-959e-e30b3f1455fe" xmlns:ns4="a0cf0202-a5c5-484a-8f56-a5c31f00845a" xmlns:ns5="810a8b8f-5ddb-43bb-8399-f51674d18e4a" targetNamespace="http://schemas.microsoft.com/office/2006/metadata/properties" ma:root="true" ma:fieldsID="24b6c937c92c423cd13d99f9a1659eac" ns2:_="" ns3:_="" ns4:_="" ns5:_="">
    <xsd:import namespace="bf3d2008-c423-4719-8267-0a2df733c7e1"/>
    <xsd:import namespace="02702376-cb15-4beb-959e-e30b3f1455fe"/>
    <xsd:import namespace="a0cf0202-a5c5-484a-8f56-a5c31f00845a"/>
    <xsd:import namespace="810a8b8f-5ddb-43bb-8399-f51674d18e4a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lcf76f155ced4ddcb4097134ff3c332f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4:SharedWithUsers" minOccurs="0"/>
                <xsd:element ref="ns4:SharedWithDetails" minOccurs="0"/>
                <xsd:element ref="ns3:MediaServiceOCR" minOccurs="0"/>
                <xsd:element ref="ns5:p2e19b6c683e4cdb966331ca6a701bf9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3d2008-c423-4719-8267-0a2df733c7e1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06205d9e-8a01-48a5-b8e2-549b834c23f3}" ma:internalName="TaxCatchAll" ma:showField="CatchAllData" ma:web="bf3d2008-c423-4719-8267-0a2df733c7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02376-cb15-4beb-959e-e30b3f1455f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0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a8b8f-5ddb-43bb-8399-f51674d18e4a" elementFormDefault="qualified">
    <xsd:import namespace="http://schemas.microsoft.com/office/2006/documentManagement/types"/>
    <xsd:import namespace="http://schemas.microsoft.com/office/infopath/2007/PartnerControls"/>
    <xsd:element name="p2e19b6c683e4cdb966331ca6a701bf9" ma:index="22" ma:taxonomy="true" ma:internalName="p2e19b6c683e4cdb966331ca6a701bf9" ma:taxonomyFieldName="Organisatiecode" ma:displayName="Organisatiecode" ma:default="1;#FIN|59d93b84-227a-48b1-bb8d-84cdae459da7" ma:fieldId="{92e19b6c-683e-4cdb-9663-31ca6a701bf9}" ma:sspId="2da67cf7-fe4b-4a66-9a0d-a2326cc296fa" ma:termSetId="52adef9d-61db-46b2-8970-3a30e36a278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2e19b6c683e4cdb966331ca6a701bf9 xmlns="810a8b8f-5ddb-43bb-8399-f51674d18e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</TermName>
          <TermId xmlns="http://schemas.microsoft.com/office/infopath/2007/PartnerControls">59d93b84-227a-48b1-bb8d-84cdae459da7</TermId>
        </TermInfo>
      </Terms>
    </p2e19b6c683e4cdb966331ca6a701bf9>
    <lcf76f155ced4ddcb4097134ff3c332f xmlns="02702376-cb15-4beb-959e-e30b3f1455fe">
      <Terms xmlns="http://schemas.microsoft.com/office/infopath/2007/PartnerControls"/>
    </lcf76f155ced4ddcb4097134ff3c332f>
    <TaxCatchAll xmlns="bf3d2008-c423-4719-8267-0a2df733c7e1">
      <Value>1</Value>
    </TaxCatchAll>
  </documentManagement>
</p:properties>
</file>

<file path=customXml/itemProps1.xml><?xml version="1.0" encoding="utf-8"?>
<ds:datastoreItem xmlns:ds="http://schemas.openxmlformats.org/officeDocument/2006/customXml" ds:itemID="{833A0E22-3D47-4FFC-A92F-616D21DF1B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33B075-CFF1-48D2-9586-1474FA56D1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3d2008-c423-4719-8267-0a2df733c7e1"/>
    <ds:schemaRef ds:uri="02702376-cb15-4beb-959e-e30b3f1455fe"/>
    <ds:schemaRef ds:uri="a0cf0202-a5c5-484a-8f56-a5c31f00845a"/>
    <ds:schemaRef ds:uri="810a8b8f-5ddb-43bb-8399-f51674d18e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02AE44-51A4-40BE-9C84-CB6E83674619}">
  <ds:schemaRefs>
    <ds:schemaRef ds:uri="bf3d2008-c423-4719-8267-0a2df733c7e1"/>
    <ds:schemaRef ds:uri="http://schemas.microsoft.com/office/2006/documentManagement/types"/>
    <ds:schemaRef ds:uri="http://purl.org/dc/dcmitype/"/>
    <ds:schemaRef ds:uri="02702376-cb15-4beb-959e-e30b3f1455fe"/>
    <ds:schemaRef ds:uri="http://purl.org/dc/elements/1.1/"/>
    <ds:schemaRef ds:uri="http://schemas.microsoft.com/office/2006/metadata/properties"/>
    <ds:schemaRef ds:uri="810a8b8f-5ddb-43bb-8399-f51674d18e4a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0cf0202-a5c5-484a-8f56-a5c31f00845a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Specificatie</vt:lpstr>
      <vt:lpstr>Mutaties</vt:lpstr>
      <vt:lpstr>Specificatie!Afdrukbereik</vt:lpstr>
    </vt:vector>
  </TitlesOfParts>
  <Manager/>
  <Company>Concordia de Keizer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Dennis Polak</dc:creator>
  <cp:keywords/>
  <dc:description/>
  <cp:lastModifiedBy>Gruijters - Buijs, Sandra</cp:lastModifiedBy>
  <cp:revision/>
  <cp:lastPrinted>2024-08-27T07:27:59Z</cp:lastPrinted>
  <dcterms:created xsi:type="dcterms:W3CDTF">2015-10-07T09:14:42Z</dcterms:created>
  <dcterms:modified xsi:type="dcterms:W3CDTF">2024-10-01T08:00:17Z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0x01010096A090013BEE95488BFE93D3F039CB73</vt:lpwstr>
  </property>
  <property fmtid="{D5CDD505-2E9C-101B-9397-08002B2CF9AE}" pid="3" name="Organisatiecode">
    <vt:lpwstr>1;#FIN|59d93b84-227a-48b1-bb8d-84cdae459da7</vt:lpwstr>
  </property>
  <property fmtid="{D5CDD505-2E9C-101B-9397-08002B2CF9AE}" pid="4" name="MediaServiceImageTags">
    <vt:lpwstr/>
  </property>
</Properties>
</file>