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en\A4000-A4999\A4583 Einsteinweg 4, Leiden\02. Bouw\06. Rapportage\04. Inventarisatielijst\Excel\"/>
    </mc:Choice>
  </mc:AlternateContent>
  <xr:revisionPtr revIDLastSave="0" documentId="13_ncr:1_{F281F6B0-4C40-454B-B8DF-8F2C847C7D99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Stoffen inventarisatie" sheetId="1" r:id="rId1"/>
    <sheet name="Uittrekstaat" sheetId="12" state="hidden" r:id="rId2"/>
  </sheets>
  <definedNames>
    <definedName name="_xlnm._FilterDatabase" localSheetId="0" hidden="1">'Stoffen inventarisatie'!$C$17:$R$160</definedName>
    <definedName name="_xlnm.Print_Area" localSheetId="0">'Stoffen inventarisatie'!$D$1:$S$160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J30" i="1" s="1"/>
  <c r="L30" i="1"/>
  <c r="L152" i="1" l="1"/>
  <c r="L151" i="1"/>
  <c r="L150" i="1"/>
  <c r="J159" i="1"/>
  <c r="M159" i="1"/>
  <c r="J160" i="1"/>
  <c r="L160" i="1"/>
  <c r="J154" i="1"/>
  <c r="J155" i="1"/>
  <c r="J156" i="1"/>
  <c r="J157" i="1"/>
  <c r="J158" i="1"/>
  <c r="J153" i="1"/>
  <c r="M154" i="1"/>
  <c r="M155" i="1"/>
  <c r="M156" i="1"/>
  <c r="M157" i="1"/>
  <c r="M158" i="1"/>
  <c r="M153" i="1"/>
  <c r="L156" i="1"/>
  <c r="L155" i="1"/>
  <c r="L154" i="1"/>
  <c r="L153" i="1"/>
  <c r="L159" i="1"/>
  <c r="L158" i="1"/>
  <c r="J119" i="1"/>
  <c r="L119" i="1"/>
  <c r="J116" i="1"/>
  <c r="J147" i="1"/>
  <c r="J98" i="1"/>
  <c r="I170" i="12"/>
  <c r="J109" i="1"/>
  <c r="E172" i="12"/>
  <c r="I157" i="12"/>
  <c r="I158" i="12"/>
  <c r="I155" i="12"/>
  <c r="H150" i="12"/>
  <c r="H151" i="12"/>
  <c r="H152" i="12"/>
  <c r="H149" i="12"/>
  <c r="H153" i="12" s="1"/>
  <c r="I153" i="12" s="1"/>
  <c r="G150" i="12"/>
  <c r="I150" i="12" s="1"/>
  <c r="G151" i="12"/>
  <c r="I151" i="12" s="1"/>
  <c r="G152" i="12"/>
  <c r="I152" i="12" s="1"/>
  <c r="G149" i="12"/>
  <c r="I149" i="12" s="1"/>
  <c r="F148" i="12"/>
  <c r="H148" i="12" s="1"/>
  <c r="G148" i="12"/>
  <c r="E148" i="12"/>
  <c r="I148" i="12" s="1"/>
  <c r="G147" i="12"/>
  <c r="I145" i="12"/>
  <c r="I147" i="12"/>
  <c r="J94" i="1" s="1"/>
  <c r="I144" i="12"/>
  <c r="J104" i="1" s="1"/>
  <c r="F146" i="12"/>
  <c r="H146" i="12"/>
  <c r="F143" i="12"/>
  <c r="F142" i="12" s="1"/>
  <c r="E143" i="12"/>
  <c r="G142" i="12"/>
  <c r="H142" i="12"/>
  <c r="H141" i="12"/>
  <c r="G141" i="12"/>
  <c r="E141" i="12"/>
  <c r="F141" i="12"/>
  <c r="J139" i="1"/>
  <c r="J138" i="1" s="1"/>
  <c r="J136" i="1"/>
  <c r="J132" i="1"/>
  <c r="J128" i="1"/>
  <c r="J126" i="1"/>
  <c r="J124" i="1"/>
  <c r="J122" i="1"/>
  <c r="J121" i="1"/>
  <c r="J118" i="1"/>
  <c r="L103" i="1"/>
  <c r="L53" i="1"/>
  <c r="L94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59" i="1"/>
  <c r="J57" i="1"/>
  <c r="J56" i="1"/>
  <c r="L57" i="1"/>
  <c r="L56" i="1"/>
  <c r="I60" i="12"/>
  <c r="I61" i="12"/>
  <c r="I62" i="12"/>
  <c r="I59" i="12"/>
  <c r="L55" i="1"/>
  <c r="L52" i="1"/>
  <c r="J27" i="1"/>
  <c r="J25" i="1"/>
  <c r="J26" i="1" s="1"/>
  <c r="J24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76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32" i="1"/>
  <c r="J54" i="1"/>
  <c r="F9" i="12"/>
  <c r="J22" i="1" s="1"/>
  <c r="L143" i="1"/>
  <c r="I113" i="12"/>
  <c r="L77" i="1" s="1"/>
  <c r="I114" i="12"/>
  <c r="L78" i="1" s="1"/>
  <c r="I115" i="12"/>
  <c r="L79" i="1" s="1"/>
  <c r="I116" i="12"/>
  <c r="L80" i="1" s="1"/>
  <c r="I117" i="12"/>
  <c r="L81" i="1" s="1"/>
  <c r="I118" i="12"/>
  <c r="L82" i="1" s="1"/>
  <c r="I119" i="12"/>
  <c r="L83" i="1" s="1"/>
  <c r="I120" i="12"/>
  <c r="L84" i="1" s="1"/>
  <c r="I121" i="12"/>
  <c r="L85" i="1" s="1"/>
  <c r="I122" i="12"/>
  <c r="L86" i="1" s="1"/>
  <c r="I123" i="12"/>
  <c r="L87" i="1" s="1"/>
  <c r="I124" i="12"/>
  <c r="L88" i="1" s="1"/>
  <c r="I125" i="12"/>
  <c r="L89" i="1" s="1"/>
  <c r="I126" i="12"/>
  <c r="L90" i="1" s="1"/>
  <c r="I127" i="12"/>
  <c r="L91" i="1" s="1"/>
  <c r="I128" i="12"/>
  <c r="L92" i="1" s="1"/>
  <c r="I112" i="12"/>
  <c r="I98" i="12"/>
  <c r="L65" i="1" s="1"/>
  <c r="I99" i="12"/>
  <c r="L66" i="1" s="1"/>
  <c r="I92" i="12"/>
  <c r="I93" i="12"/>
  <c r="L60" i="1" s="1"/>
  <c r="I94" i="12"/>
  <c r="L61" i="1" s="1"/>
  <c r="I95" i="12"/>
  <c r="L62" i="1" s="1"/>
  <c r="I96" i="12"/>
  <c r="L63" i="1" s="1"/>
  <c r="I100" i="12"/>
  <c r="L67" i="1" s="1"/>
  <c r="I101" i="12"/>
  <c r="L68" i="1" s="1"/>
  <c r="I102" i="12"/>
  <c r="L69" i="1" s="1"/>
  <c r="I103" i="12"/>
  <c r="L70" i="1" s="1"/>
  <c r="I104" i="12"/>
  <c r="L71" i="1" s="1"/>
  <c r="I105" i="12"/>
  <c r="L72" i="1" s="1"/>
  <c r="I106" i="12"/>
  <c r="L73" i="1" s="1"/>
  <c r="I107" i="12"/>
  <c r="L74" i="1" s="1"/>
  <c r="I108" i="12"/>
  <c r="L75" i="1" s="1"/>
  <c r="I97" i="12"/>
  <c r="L64" i="1" s="1"/>
  <c r="K67" i="12"/>
  <c r="L33" i="1" s="1"/>
  <c r="K68" i="12"/>
  <c r="L34" i="1" s="1"/>
  <c r="K69" i="12"/>
  <c r="L35" i="1" s="1"/>
  <c r="K70" i="12"/>
  <c r="L36" i="1" s="1"/>
  <c r="K71" i="12"/>
  <c r="L37" i="1" s="1"/>
  <c r="K72" i="12"/>
  <c r="L38" i="1" s="1"/>
  <c r="K73" i="12"/>
  <c r="L39" i="1" s="1"/>
  <c r="K74" i="12"/>
  <c r="L40" i="1" s="1"/>
  <c r="K75" i="12"/>
  <c r="L41" i="1" s="1"/>
  <c r="K76" i="12"/>
  <c r="L42" i="1" s="1"/>
  <c r="K77" i="12"/>
  <c r="L43" i="1" s="1"/>
  <c r="K78" i="12"/>
  <c r="L44" i="1" s="1"/>
  <c r="K79" i="12"/>
  <c r="L45" i="1" s="1"/>
  <c r="K80" i="12"/>
  <c r="L46" i="1" s="1"/>
  <c r="K81" i="12"/>
  <c r="L47" i="1" s="1"/>
  <c r="K82" i="12"/>
  <c r="L48" i="1" s="1"/>
  <c r="K83" i="12"/>
  <c r="L49" i="1" s="1"/>
  <c r="K66" i="12"/>
  <c r="H39" i="12"/>
  <c r="F33" i="12"/>
  <c r="E32" i="12"/>
  <c r="G14" i="12"/>
  <c r="G13" i="12"/>
  <c r="J20" i="1" s="1"/>
  <c r="L20" i="1" s="1"/>
  <c r="D15" i="12"/>
  <c r="G15" i="12" s="1"/>
  <c r="J19" i="1" s="1"/>
  <c r="C22" i="12"/>
  <c r="G22" i="12" s="1"/>
  <c r="F21" i="12"/>
  <c r="G21" i="12" s="1"/>
  <c r="G4" i="12"/>
  <c r="G5" i="12"/>
  <c r="G6" i="12"/>
  <c r="G7" i="12"/>
  <c r="G8" i="12"/>
  <c r="G3" i="12"/>
  <c r="G9" i="12" s="1"/>
  <c r="F57" i="12"/>
  <c r="H57" i="12" s="1"/>
  <c r="F56" i="12"/>
  <c r="H56" i="12" s="1"/>
  <c r="F55" i="12"/>
  <c r="H55" i="12" s="1"/>
  <c r="G49" i="12"/>
  <c r="J31" i="1" s="1"/>
  <c r="G46" i="12"/>
  <c r="H45" i="12"/>
  <c r="G45" i="12"/>
  <c r="H44" i="12"/>
  <c r="G44" i="12"/>
  <c r="G43" i="12"/>
  <c r="H42" i="12"/>
  <c r="G42" i="12"/>
  <c r="H41" i="12"/>
  <c r="G41" i="12"/>
  <c r="G40" i="12"/>
  <c r="G39" i="12"/>
  <c r="I36" i="12"/>
  <c r="H29" i="12"/>
  <c r="L29" i="12" s="1"/>
  <c r="N29" i="12" s="1"/>
  <c r="J99" i="1" l="1"/>
  <c r="F172" i="12"/>
  <c r="I141" i="12"/>
  <c r="J100" i="1" s="1"/>
  <c r="I143" i="12"/>
  <c r="J97" i="1" s="1"/>
  <c r="E142" i="12"/>
  <c r="I142" i="12" s="1"/>
  <c r="J96" i="1" s="1"/>
  <c r="I146" i="12"/>
  <c r="J93" i="1" s="1"/>
  <c r="G24" i="12"/>
  <c r="J50" i="1"/>
  <c r="E33" i="12"/>
  <c r="H33" i="12" s="1"/>
  <c r="H32" i="12"/>
  <c r="K84" i="12"/>
  <c r="I109" i="12"/>
  <c r="I135" i="12"/>
  <c r="G16" i="12"/>
  <c r="H40" i="12"/>
  <c r="H43" i="12"/>
  <c r="H46" i="12"/>
  <c r="L25" i="1"/>
  <c r="L26" i="1"/>
  <c r="L124" i="1"/>
  <c r="L114" i="1"/>
  <c r="L101" i="1"/>
  <c r="L97" i="1"/>
  <c r="L104" i="1"/>
  <c r="L142" i="1"/>
  <c r="L137" i="1"/>
  <c r="L102" i="1"/>
  <c r="L157" i="1"/>
  <c r="L148" i="1"/>
  <c r="L147" i="1"/>
  <c r="L145" i="1"/>
  <c r="L140" i="1"/>
  <c r="L139" i="1"/>
  <c r="L138" i="1"/>
  <c r="L134" i="1"/>
  <c r="L133" i="1"/>
  <c r="L132" i="1"/>
  <c r="L130" i="1"/>
  <c r="L129" i="1"/>
  <c r="L126" i="1"/>
  <c r="L122" i="1"/>
  <c r="L121" i="1"/>
  <c r="L118" i="1"/>
  <c r="L116" i="1"/>
  <c r="L113" i="1"/>
  <c r="L110" i="1"/>
  <c r="L111" i="1"/>
  <c r="L106" i="1"/>
  <c r="L105" i="1"/>
  <c r="L100" i="1"/>
  <c r="L99" i="1"/>
  <c r="L98" i="1"/>
  <c r="L96" i="1"/>
  <c r="L93" i="1"/>
  <c r="L76" i="1"/>
  <c r="L51" i="1"/>
  <c r="L50" i="1"/>
  <c r="L32" i="1"/>
  <c r="L27" i="1"/>
  <c r="L24" i="1"/>
  <c r="L22" i="1"/>
  <c r="L19" i="1"/>
  <c r="L149" i="1"/>
  <c r="L31" i="1"/>
  <c r="L29" i="1"/>
  <c r="L54" i="1"/>
  <c r="L59" i="1"/>
  <c r="L108" i="1"/>
  <c r="L128" i="1"/>
  <c r="L136" i="1"/>
  <c r="L123" i="1"/>
  <c r="L127" i="1"/>
  <c r="L135" i="1"/>
  <c r="L28" i="1"/>
  <c r="L125" i="1"/>
  <c r="L120" i="1"/>
  <c r="L144" i="1"/>
  <c r="L131" i="1"/>
  <c r="L58" i="1"/>
  <c r="L146" i="1"/>
  <c r="L115" i="1"/>
  <c r="L117" i="1"/>
  <c r="L18" i="1"/>
  <c r="L21" i="1"/>
  <c r="L112" i="1"/>
  <c r="L23" i="1"/>
  <c r="L141" i="1"/>
  <c r="L95" i="1" l="1"/>
  <c r="G172" i="12"/>
  <c r="H172" i="12" s="1"/>
  <c r="I172" i="12"/>
  <c r="H47" i="12"/>
  <c r="L109" i="1"/>
  <c r="L107" i="1" l="1"/>
</calcChain>
</file>

<file path=xl/sharedStrings.xml><?xml version="1.0" encoding="utf-8"?>
<sst xmlns="http://schemas.openxmlformats.org/spreadsheetml/2006/main" count="1243" uniqueCount="479">
  <si>
    <t>R- ladder strategie</t>
  </si>
  <si>
    <t>Schil (6-S model)</t>
  </si>
  <si>
    <t>R-0: Rethink (heroverwegen, niet relevant bij sloop)</t>
  </si>
  <si>
    <t>1: SITE (terrein)</t>
  </si>
  <si>
    <t>R-1: Redesign (herontwerpen, niet relevant bij sloop)</t>
  </si>
  <si>
    <t>2: STRUCTURE = hoofddraagconstructie</t>
  </si>
  <si>
    <t>R-2: Reduce (verminderen, niet relevant bij sloop)</t>
  </si>
  <si>
    <t>3: SKIN = gevel en dak (niet constructief)</t>
  </si>
  <si>
    <t>R-3: Reuse (hergebruik, volwaardig hergebruik product)</t>
  </si>
  <si>
    <t>4: SERVICES = installaties</t>
  </si>
  <si>
    <t>Kwaliteit</t>
  </si>
  <si>
    <t>Demontabelheid</t>
  </si>
  <si>
    <t>R-4: Repair (repareren en hergebruiken element)</t>
  </si>
  <si>
    <t>5: SPACE PLAN = niet dragende bouwkundige delen, vaste inrichting</t>
  </si>
  <si>
    <t>Conditie 1: uitstekend (nieuwbouwkwaliteit)</t>
  </si>
  <si>
    <t>D 1: uitstekend: toegankelijk en los</t>
  </si>
  <si>
    <t>R-5: Refubish (renoveren, opknappen producten)</t>
  </si>
  <si>
    <t>6: STUFF = losse inrichting</t>
  </si>
  <si>
    <t>Conditie 2: goede kwaliteit: de nieuwbouwglans is er duidelijk af.</t>
  </si>
  <si>
    <t>D 2: goed: toegankelijk en verbonden met eenvoudige losmaakbare verbindingen</t>
  </si>
  <si>
    <t>R-6: Remanufacture (reviseren, nieuw product van oud)</t>
  </si>
  <si>
    <t>Conditie 3: redelijke kwaliteit: duidelijke veroudering</t>
  </si>
  <si>
    <t>D 3: redelijk: toegankelijk, losschroefbaar of zonder veel schade anders losmaakbaar</t>
  </si>
  <si>
    <t>R-7: Repurpose (hergebruiken producten met ander doel)</t>
  </si>
  <si>
    <t>Conditie 4: matige kwaliteit: sterke veroudering</t>
  </si>
  <si>
    <t>D 4: matig: lastig bereikbaar, lastig losmaakbaar zonder schade</t>
  </si>
  <si>
    <t>Conditie 5: slechte kwaliteit, veroudering leidt tot slecht functioneren</t>
  </si>
  <si>
    <t>D 5: slecht: lastig/slecht bereikbaar, verschillende componenten chemisch verbonden</t>
  </si>
  <si>
    <t>R-9: Laagwaardige grondstoffen recycling</t>
  </si>
  <si>
    <t>Conditie 6: zeer slechte conditie; technisch rijp voor de sloop</t>
  </si>
  <si>
    <t>D 6: niet losmaakbaar zonder sloop.</t>
  </si>
  <si>
    <t>R-10: Recover (herwinnen. Energieterugwinning)</t>
  </si>
  <si>
    <t>Uitwerken door</t>
  </si>
  <si>
    <t>NL-SFB benaming</t>
  </si>
  <si>
    <t>NL-SFB code (element)</t>
  </si>
  <si>
    <t>Aard van de materialen</t>
  </si>
  <si>
    <t>Eural Code</t>
  </si>
  <si>
    <t>Eural Code omschrijving</t>
  </si>
  <si>
    <t>Classificatie</t>
  </si>
  <si>
    <t>Inspectie- niveau</t>
  </si>
  <si>
    <t>Totale gewicht in ton</t>
  </si>
  <si>
    <t>kwaliteit</t>
  </si>
  <si>
    <t>R- Ladder</t>
  </si>
  <si>
    <t>Skin (6-S)</t>
  </si>
  <si>
    <t>Ruud</t>
  </si>
  <si>
    <t>17 04 05</t>
  </si>
  <si>
    <t>m2</t>
  </si>
  <si>
    <t>17 02 01</t>
  </si>
  <si>
    <t>m3</t>
  </si>
  <si>
    <t>Steenachtige materialen</t>
  </si>
  <si>
    <t>Funderingconstructies</t>
  </si>
  <si>
    <t>17 01 02</t>
  </si>
  <si>
    <t>m1</t>
  </si>
  <si>
    <t>Fundering, Beton</t>
  </si>
  <si>
    <t>Paal funderingen</t>
  </si>
  <si>
    <t>Andere niet-gevaarlijke materialen</t>
  </si>
  <si>
    <t>17 01 01</t>
  </si>
  <si>
    <t>17 02 02</t>
  </si>
  <si>
    <t>Hout, glas en kunststof</t>
  </si>
  <si>
    <t>17 04 02</t>
  </si>
  <si>
    <t>17 06 04</t>
  </si>
  <si>
    <t>Binnenwanden</t>
  </si>
  <si>
    <t>Binnenwanden, Behandeld hout</t>
  </si>
  <si>
    <t>Binnenwand, Kalkzandsteen</t>
  </si>
  <si>
    <t>Vloeren</t>
  </si>
  <si>
    <t>Vloeren, Beton</t>
  </si>
  <si>
    <t>Vloeren, Prefab beton Kanaalplaat</t>
  </si>
  <si>
    <t>Trap, Staal</t>
  </si>
  <si>
    <t>Hoofddraagconstructies</t>
  </si>
  <si>
    <t>Bram</t>
  </si>
  <si>
    <t>st</t>
  </si>
  <si>
    <t>Buitenwandopeningen</t>
  </si>
  <si>
    <t>Buitenwandopeningen, Enkelglas</t>
  </si>
  <si>
    <t>Buitenwandopeningen, Dubbelglas</t>
  </si>
  <si>
    <t>Buitenwandopeningen, Draadglas</t>
  </si>
  <si>
    <t>Steen, beton of keramisch product</t>
  </si>
  <si>
    <t>17 02 03</t>
  </si>
  <si>
    <t>Buitenwandopeningen, Kozijnen Aluminium</t>
  </si>
  <si>
    <t>Buitenwandopeningen, Kozijnen Behandeld hout</t>
  </si>
  <si>
    <t>Buitenwandopeningen, Beweegbaardeel kozijnen Aluminium</t>
  </si>
  <si>
    <t>Buitenwandopeningen, Deurdorpels Natuursteen</t>
  </si>
  <si>
    <t>Buitenwandopeningen, Deuren Behandeld hout</t>
  </si>
  <si>
    <t>Binnenwandopeningen</t>
  </si>
  <si>
    <t>Binnenwandopeningen, Deuren Behandeld hout</t>
  </si>
  <si>
    <t>Balustrades en leuningen</t>
  </si>
  <si>
    <t>Balustrades, Staal</t>
  </si>
  <si>
    <t>Buitenwandafwerking</t>
  </si>
  <si>
    <t>17 03 02</t>
  </si>
  <si>
    <t>Binnenwandafwerking</t>
  </si>
  <si>
    <t>Binnenwandafwerking, Keramische tegels</t>
  </si>
  <si>
    <t>17 01 03</t>
  </si>
  <si>
    <t>Gevaarlijke afvalstoffen - Exclusief asbest en radioactief afval</t>
  </si>
  <si>
    <t>Vloerafwerkingen</t>
  </si>
  <si>
    <t>Vloerafwerking, Tegelwerk</t>
  </si>
  <si>
    <t>Plafondafwerking</t>
  </si>
  <si>
    <t>Dakafwerking</t>
  </si>
  <si>
    <t>Dakafwerking, Bitimuneuze dakbedekking niet teerhoudend</t>
  </si>
  <si>
    <t>per m1</t>
  </si>
  <si>
    <t>Afvoeren</t>
  </si>
  <si>
    <t>16 02 14</t>
  </si>
  <si>
    <t>Tracing</t>
  </si>
  <si>
    <t>Ventilatoren</t>
  </si>
  <si>
    <t>Centrale elektrotechnische voorzieningen</t>
  </si>
  <si>
    <t>Kabelgoot</t>
  </si>
  <si>
    <t>Wandgoot</t>
  </si>
  <si>
    <t>Verlichting</t>
  </si>
  <si>
    <t>Noodverlichting, decentraal gevoed</t>
  </si>
  <si>
    <t>Noodverlichting, decentraal gevoed met pictogram</t>
  </si>
  <si>
    <t>TL-lampen</t>
  </si>
  <si>
    <t>20 01 21*</t>
  </si>
  <si>
    <t>TL-armatuur opbouw</t>
  </si>
  <si>
    <t>Beveliging</t>
  </si>
  <si>
    <t>Vaste keukenvoorzieningen</t>
  </si>
  <si>
    <t>Terrein</t>
  </si>
  <si>
    <t>Terrein, Betonnen tegels</t>
  </si>
  <si>
    <t xml:space="preserve">Terrein, Betonklinkers </t>
  </si>
  <si>
    <t>Terrein, Verlichting</t>
  </si>
  <si>
    <t>Terrein, terreinafscheiding Staal</t>
  </si>
  <si>
    <t>Funderingsconstructies</t>
  </si>
  <si>
    <t>funderingsconstructies; voeten en balken</t>
  </si>
  <si>
    <t>Paalfunderingen</t>
  </si>
  <si>
    <t>paalfunderingen; niet geheid</t>
  </si>
  <si>
    <t>buitenwanden; niet constructief</t>
  </si>
  <si>
    <t>binnenwanden; niet constructief</t>
  </si>
  <si>
    <t>vloeren; constructief</t>
  </si>
  <si>
    <t>trappen en hellingen; trappen</t>
  </si>
  <si>
    <t>hoofddraagconstructies; kolommen en liggers</t>
  </si>
  <si>
    <t>buitenwandopeningen; niet gevuld</t>
  </si>
  <si>
    <t>buitenwandopeningen; gevuld met ramen</t>
  </si>
  <si>
    <t>buitenwandopeningen; gevuld met deuren</t>
  </si>
  <si>
    <t>buitenwandopeningen; gevuld met puien</t>
  </si>
  <si>
    <t>binnenwandopeningen; gevuld met deuren</t>
  </si>
  <si>
    <t>binnenwandopeningen; gevuld met puien</t>
  </si>
  <si>
    <t>balustrades en leuningen; balustrades</t>
  </si>
  <si>
    <t>balustrades en leuningen; leuningen</t>
  </si>
  <si>
    <t>Buitenwandafwerkingen</t>
  </si>
  <si>
    <t>buitenwandafwerkingen</t>
  </si>
  <si>
    <t>Binnenwandafwerkingen</t>
  </si>
  <si>
    <t>binnenwandafwerkingen</t>
  </si>
  <si>
    <t>vloerafwerkingen; niet verhoogd</t>
  </si>
  <si>
    <t>Plafondafwerkingen</t>
  </si>
  <si>
    <t>Dakafwerkingen</t>
  </si>
  <si>
    <t>dakafwerkingen; afwerkingen</t>
  </si>
  <si>
    <t>afvoeren; regenwater</t>
  </si>
  <si>
    <t>verwarming; opwekking centraal</t>
  </si>
  <si>
    <t>luchtbehandeling; natuurlijk</t>
  </si>
  <si>
    <t>centrale elektrotechnische voorzieningen; energiedistributie middenspanning &gt;1kV</t>
  </si>
  <si>
    <t>verlichting; verlichting, bediening, regeling en signalering</t>
  </si>
  <si>
    <t>verlichting; verlichting standaard armaturen</t>
  </si>
  <si>
    <t>Beveiliging</t>
  </si>
  <si>
    <t>beveiliging; brandmeldings en ontruimingsinstallatie</t>
  </si>
  <si>
    <t>vaste keukenvoorzieningen; standaard</t>
  </si>
  <si>
    <t>terrein</t>
  </si>
  <si>
    <t>terreinafwerkingen</t>
  </si>
  <si>
    <t>glas</t>
  </si>
  <si>
    <t>niet onder 16 02 09 tot en met 16 02 13 vallende afgedankte apparatuur</t>
  </si>
  <si>
    <t>beton</t>
  </si>
  <si>
    <t>stenen</t>
  </si>
  <si>
    <t>tegels en keramische producten</t>
  </si>
  <si>
    <t>hout</t>
  </si>
  <si>
    <t>kunststof</t>
  </si>
  <si>
    <t>niet onder 17 03 01 vallende bitumineuze mengsels</t>
  </si>
  <si>
    <t>aluminium</t>
  </si>
  <si>
    <t>ijzer en staal</t>
  </si>
  <si>
    <t>niet onder 17 06 01 en 17 06 03 vallend isolatiemateriaal</t>
  </si>
  <si>
    <t>18 01 01</t>
  </si>
  <si>
    <t>20 01 01</t>
  </si>
  <si>
    <t>tl-buizen en ander kwikhoudend afval</t>
  </si>
  <si>
    <t>Buitenwandopeningen, Boardpaneel</t>
  </si>
  <si>
    <t>Balustrades, leuningen &amp; stootranden</t>
  </si>
  <si>
    <t>Regenwaterafvoerpijpen, gegalvaniseerd staal</t>
  </si>
  <si>
    <t>Plafonniere</t>
  </si>
  <si>
    <t>Pantry</t>
  </si>
  <si>
    <t>Totale gewicht in kg</t>
  </si>
  <si>
    <t>Aantal</t>
  </si>
  <si>
    <t>Opmerking</t>
  </si>
  <si>
    <t>Binnenwandopening, Deurdrangers</t>
  </si>
  <si>
    <t>Demon-tabelheid</t>
  </si>
  <si>
    <t>Buitenwandopeningen, Deuren Aluminium</t>
  </si>
  <si>
    <t>Chroom 6 aangetoont</t>
  </si>
  <si>
    <t>Gevaarlijke stoffen verdacht/aangetoont</t>
  </si>
  <si>
    <t>Binnenwandopeningen, Kozijnen Behandeld hout</t>
  </si>
  <si>
    <t>Vloerafwerking, Marmoleum</t>
  </si>
  <si>
    <t>R-8: Hoogwaardige grondstoffen recycling</t>
  </si>
  <si>
    <t>3</t>
  </si>
  <si>
    <t>optie</t>
  </si>
  <si>
    <t>Paalfundering, paal  Beton</t>
  </si>
  <si>
    <t>Leuningen, staal</t>
  </si>
  <si>
    <t xml:space="preserve">Weelabex </t>
  </si>
  <si>
    <t>20.01.36</t>
  </si>
  <si>
    <t>Sustainable Material Inventory (SMI) Materialenlijst inspectieniveau 3 "Circulaire sloop uitgebreid niveau"</t>
  </si>
  <si>
    <t>foto nummer(s)</t>
  </si>
  <si>
    <t>Locatie aanduiding</t>
  </si>
  <si>
    <t>Wand isolatie, Glaswol</t>
  </si>
  <si>
    <t>6</t>
  </si>
  <si>
    <t>4</t>
  </si>
  <si>
    <t>Inname door Circolektra</t>
  </si>
  <si>
    <t>Groepenkast</t>
  </si>
  <si>
    <t>Opp. B.g.</t>
  </si>
  <si>
    <t>Trapgat</t>
  </si>
  <si>
    <t>Helling</t>
  </si>
  <si>
    <t>Opp.</t>
  </si>
  <si>
    <t>dikte</t>
  </si>
  <si>
    <t>volume</t>
  </si>
  <si>
    <t>niveau 0</t>
  </si>
  <si>
    <t>breed</t>
  </si>
  <si>
    <t>lengte</t>
  </si>
  <si>
    <t>gewicht</t>
  </si>
  <si>
    <t xml:space="preserve">Vloerplaat parkeergarage: </t>
  </si>
  <si>
    <t>aantal vloerplaten</t>
  </si>
  <si>
    <t>Nievau 1</t>
  </si>
  <si>
    <t>correctie trappenhuis</t>
  </si>
  <si>
    <t>Nievau 2</t>
  </si>
  <si>
    <t>Nievau 3</t>
  </si>
  <si>
    <t>Nievau 4</t>
  </si>
  <si>
    <t>Nievau 5</t>
  </si>
  <si>
    <t>dak trapenhuis</t>
  </si>
  <si>
    <t>Vloer trappenhuis</t>
  </si>
  <si>
    <t>aantal</t>
  </si>
  <si>
    <t>op. M2</t>
  </si>
  <si>
    <t>bordes 1</t>
  </si>
  <si>
    <t>bordes 3</t>
  </si>
  <si>
    <t>bordes 5</t>
  </si>
  <si>
    <t>Aanzichten trap, trap nr. 1001</t>
  </si>
  <si>
    <t>Aanzichten trap, trap nr. 1002</t>
  </si>
  <si>
    <t>Aanzichten bordes, bordes nr. 1101, 2 st.</t>
  </si>
  <si>
    <t>Aanzichten bordes, bordes nr. 1201, 3 st.</t>
  </si>
  <si>
    <t>Nr.</t>
  </si>
  <si>
    <t xml:space="preserve">breedte </t>
  </si>
  <si>
    <t>diepte</t>
  </si>
  <si>
    <t>gewicht kg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</si>
  <si>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601</t>
    </r>
    <r>
      <rPr>
        <sz val="11"/>
        <color theme="1"/>
        <rFont val="Calibri"/>
        <family val="2"/>
        <scheme val="minor"/>
      </rPr>
      <t>, 5 st.</t>
    </r>
  </si>
  <si>
    <t>nr. 601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</si>
  <si>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602</t>
    </r>
    <r>
      <rPr>
        <sz val="11"/>
        <color theme="1"/>
        <rFont val="Calibri"/>
        <family val="2"/>
        <scheme val="minor"/>
      </rPr>
      <t>, 25 st.</t>
    </r>
  </si>
  <si>
    <t>nr. 602</t>
  </si>
  <si>
    <r>
      <t>Tandwapening haakse kop TTP 450,</t>
    </r>
    <r>
      <rPr>
        <b/>
        <sz val="11"/>
        <color theme="1"/>
        <rFont val="Calibri"/>
        <family val="2"/>
        <scheme val="minor"/>
      </rPr>
      <t xml:space="preserve"> vloer-/dakplaat nr. 603</t>
    </r>
    <r>
      <rPr>
        <sz val="11"/>
        <color theme="1"/>
        <rFont val="Calibri"/>
        <family val="2"/>
        <scheme val="minor"/>
      </rPr>
      <t>, 5 st.</t>
    </r>
  </si>
  <si>
    <t>nr. 603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</si>
  <si>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605</t>
    </r>
    <r>
      <rPr>
        <sz val="11"/>
        <color theme="1"/>
        <rFont val="Calibri"/>
        <family val="2"/>
        <scheme val="minor"/>
      </rPr>
      <t>, 3 st.</t>
    </r>
  </si>
  <si>
    <t>nr. 604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</si>
  <si>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604</t>
    </r>
    <r>
      <rPr>
        <sz val="11"/>
        <color theme="1"/>
        <rFont val="Calibri"/>
        <family val="2"/>
        <scheme val="minor"/>
      </rPr>
      <t>, 2 st.</t>
    </r>
  </si>
  <si>
    <t>nr. 605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</si>
  <si>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606</t>
    </r>
    <r>
      <rPr>
        <sz val="11"/>
        <color theme="1"/>
        <rFont val="Calibri"/>
        <family val="2"/>
        <scheme val="minor"/>
      </rPr>
      <t>, 20 st.</t>
    </r>
  </si>
  <si>
    <t>nr. 606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</si>
  <si>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607</t>
    </r>
    <r>
      <rPr>
        <sz val="11"/>
        <color theme="1"/>
        <rFont val="Calibri"/>
        <family val="2"/>
        <scheme val="minor"/>
      </rPr>
      <t>, 5 st.</t>
    </r>
  </si>
  <si>
    <t>nr. 607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</si>
  <si>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608</t>
    </r>
    <r>
      <rPr>
        <sz val="11"/>
        <color theme="1"/>
        <rFont val="Calibri"/>
        <family val="2"/>
        <scheme val="minor"/>
      </rPr>
      <t>, 20 st.</t>
    </r>
  </si>
  <si>
    <t>nr. 608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</si>
  <si>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609</t>
    </r>
    <r>
      <rPr>
        <sz val="11"/>
        <color theme="1"/>
        <rFont val="Calibri"/>
        <family val="2"/>
        <scheme val="minor"/>
      </rPr>
      <t>, 5 st.</t>
    </r>
  </si>
  <si>
    <t>nr. 609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</si>
  <si>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701</t>
    </r>
    <r>
      <rPr>
        <sz val="11"/>
        <color theme="1"/>
        <rFont val="Calibri"/>
        <family val="2"/>
        <scheme val="minor"/>
      </rPr>
      <t>, 2 st.</t>
    </r>
  </si>
  <si>
    <t>nr. 701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</si>
  <si>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702</t>
    </r>
    <r>
      <rPr>
        <sz val="11"/>
        <color theme="1"/>
        <rFont val="Calibri"/>
        <family val="2"/>
        <scheme val="minor"/>
      </rPr>
      <t>, 2 st.</t>
    </r>
  </si>
  <si>
    <t>nr. 702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</si>
  <si>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703</t>
    </r>
    <r>
      <rPr>
        <sz val="11"/>
        <color theme="1"/>
        <rFont val="Calibri"/>
        <family val="2"/>
        <scheme val="minor"/>
      </rPr>
      <t>, 2 st.</t>
    </r>
  </si>
  <si>
    <t>nr. 703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</si>
  <si>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704</t>
    </r>
    <r>
      <rPr>
        <sz val="11"/>
        <color theme="1"/>
        <rFont val="Calibri"/>
        <family val="2"/>
        <scheme val="minor"/>
      </rPr>
      <t>, 3 st.</t>
    </r>
  </si>
  <si>
    <t>nr. 704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</si>
  <si>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 xml:space="preserve">vloer-/dakplaat nr. 705, </t>
    </r>
    <r>
      <rPr>
        <sz val="11"/>
        <color theme="1"/>
        <rFont val="Calibri"/>
        <family val="2"/>
        <scheme val="minor"/>
      </rPr>
      <t>3 st.</t>
    </r>
  </si>
  <si>
    <t>nr. 705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</si>
  <si>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706</t>
    </r>
    <r>
      <rPr>
        <sz val="11"/>
        <color theme="1"/>
        <rFont val="Calibri"/>
        <family val="2"/>
        <scheme val="minor"/>
      </rPr>
      <t>, 3 st.</t>
    </r>
  </si>
  <si>
    <t>nr. 706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</si>
  <si>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711</t>
    </r>
    <r>
      <rPr>
        <sz val="11"/>
        <color theme="1"/>
        <rFont val="Calibri"/>
        <family val="2"/>
        <scheme val="minor"/>
      </rPr>
      <t>, 5 st.</t>
    </r>
  </si>
  <si>
    <t>nr. 711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</si>
  <si>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712</t>
    </r>
    <r>
      <rPr>
        <sz val="11"/>
        <color theme="1"/>
        <rFont val="Calibri"/>
        <family val="2"/>
        <scheme val="minor"/>
      </rPr>
      <t>, 5 st.</t>
    </r>
  </si>
  <si>
    <t>nr. 712</t>
  </si>
  <si>
    <r>
      <t xml:space="preserve">Tandwapening haakse kop TTP 450, </t>
    </r>
    <r>
      <rPr>
        <b/>
        <sz val="11"/>
        <color theme="1"/>
        <rFont val="Calibri"/>
        <family val="2"/>
        <scheme val="minor"/>
      </rPr>
      <t>vloer-/dakplaat nr. 713</t>
    </r>
    <r>
      <rPr>
        <sz val="11"/>
        <color theme="1"/>
        <rFont val="Calibri"/>
        <family val="2"/>
        <scheme val="minor"/>
      </rPr>
      <t>, 5 st.</t>
    </r>
  </si>
  <si>
    <t>nr. 713</t>
  </si>
  <si>
    <t>Heipalen</t>
  </si>
  <si>
    <t>Kolommen en balk</t>
  </si>
  <si>
    <t>Kolom</t>
  </si>
  <si>
    <r>
      <t xml:space="preserve">Profiel CR 600/400 (7 st.): verzamelstaat, vooraanzicht, bovenaanzicht, eindaanzicht, middendoorsnede, einddoorsnede en strengen verdeling (aan kolom kop en aan kolom voet), 
</t>
    </r>
    <r>
      <rPr>
        <b/>
        <sz val="11"/>
        <color theme="1"/>
        <rFont val="Calibri"/>
        <family val="2"/>
        <scheme val="minor"/>
      </rPr>
      <t>kolom nr. 111</t>
    </r>
  </si>
  <si>
    <t>nr. 111</t>
  </si>
  <si>
    <r>
      <t xml:space="preserve">Profiel CR 600/400 (1 st.): verzamelstaat, vooraanzicht, bovenaanzicht, eindaanzicht, middendoorsnede, einddoorsnede en strengen verdeling (aan kolom kop en aan kolom voet), 
</t>
    </r>
    <r>
      <rPr>
        <b/>
        <sz val="11"/>
        <color theme="1"/>
        <rFont val="Calibri"/>
        <family val="2"/>
        <scheme val="minor"/>
      </rPr>
      <t>kolom nr. 112</t>
    </r>
  </si>
  <si>
    <t>nr. 112</t>
  </si>
  <si>
    <r>
      <t xml:space="preserve">Profiel CR 600/400 (1 st.): verzamelstaat, vooraanzicht, bovenaanzicht, eindaanzicht, middendoorsnede, einddoorsnede en strengen verdeling (aan kolom kop en aan kolom voet), 
</t>
    </r>
    <r>
      <rPr>
        <b/>
        <sz val="11"/>
        <color theme="1"/>
        <rFont val="Calibri"/>
        <family val="2"/>
        <scheme val="minor"/>
      </rPr>
      <t>kolom nr. 113</t>
    </r>
  </si>
  <si>
    <t>nr. 113</t>
  </si>
  <si>
    <r>
      <t xml:space="preserve">Profiel CR 600/400 (6 st.): verzamelstaat, vooraanzicht, bovenaanzicht, eindaanzicht, middendoorsnede, einddoorsnede en strengen verdeling (aan kolom kop en aan kolom voet), 
</t>
    </r>
    <r>
      <rPr>
        <b/>
        <sz val="11"/>
        <color theme="1"/>
        <rFont val="Calibri"/>
        <family val="2"/>
        <scheme val="minor"/>
      </rPr>
      <t>kolom nr. 101</t>
    </r>
  </si>
  <si>
    <t>nr. 101</t>
  </si>
  <si>
    <r>
      <t xml:space="preserve">Profiel CR 600/400 (1 st.): verzamelstaat, vooraanzicht, bovenaanzicht, eindaanzicht, middendoorsnede, einddoorsnede en strengen verdeling (aan kolom kop en aan kolom voet), 
</t>
    </r>
    <r>
      <rPr>
        <b/>
        <sz val="11"/>
        <color theme="1"/>
        <rFont val="Calibri"/>
        <family val="2"/>
        <scheme val="minor"/>
      </rPr>
      <t>kolom nr. 102</t>
    </r>
  </si>
  <si>
    <t>nr. 102</t>
  </si>
  <si>
    <r>
      <t xml:space="preserve">Profiel CR 600/400 (1 st.): verzamelstaat, vooraanzicht, bovenaanzicht, eindaanzicht, middendoorsnede, einddoorsnede en strengen verdeling (aan kolom kop en aan kolom voet), 
</t>
    </r>
    <r>
      <rPr>
        <b/>
        <sz val="11"/>
        <color theme="1"/>
        <rFont val="Calibri"/>
        <family val="2"/>
        <scheme val="minor"/>
      </rPr>
      <t>kolom nr. 103</t>
    </r>
  </si>
  <si>
    <t>nr. 103</t>
  </si>
  <si>
    <r>
      <t xml:space="preserve">Profiel CR 600/400 (1 st.): verzamelstaat, vooraanzicht, bovenaanzicht, eindaanzicht, middendoorsnede, einddoorsnede en strengen verdeling, </t>
    </r>
    <r>
      <rPr>
        <b/>
        <sz val="11"/>
        <color theme="1"/>
        <rFont val="Calibri"/>
        <family val="2"/>
        <scheme val="minor"/>
      </rPr>
      <t>kolom nr. 105</t>
    </r>
  </si>
  <si>
    <t>nr. 105</t>
  </si>
  <si>
    <r>
      <t>Profiel CR 600/400 (1 st.): verzamelstaat, vooraanzicht, bovenaanzicht, eindaanzicht, middendoorsnede, einddoorsnede en strengen verdeling,</t>
    </r>
    <r>
      <rPr>
        <b/>
        <sz val="11"/>
        <color theme="1"/>
        <rFont val="Calibri"/>
        <family val="2"/>
        <scheme val="minor"/>
      </rPr>
      <t xml:space="preserve"> kolom nr. 106</t>
    </r>
  </si>
  <si>
    <t>nr. 106</t>
  </si>
  <si>
    <r>
      <t xml:space="preserve">Profiel CR 600/500 (3 st.): verzamelstaat, vooraanzicht, bovenaanzicht, eindaanzicht, middendoorsnede, einddoorsnede en strengen verdeling, </t>
    </r>
    <r>
      <rPr>
        <b/>
        <sz val="11"/>
        <color theme="1"/>
        <rFont val="Calibri"/>
        <family val="2"/>
        <scheme val="minor"/>
      </rPr>
      <t>kolom nr. 201</t>
    </r>
  </si>
  <si>
    <t>nr. 201</t>
  </si>
  <si>
    <r>
      <t xml:space="preserve">Profiel CR 600/500 (2 st.): verzamelstaat, vooraanzicht, bovenaanzicht, eindaanzicht, middendoorsnede, einddoorsnede en strengen verdeling, </t>
    </r>
    <r>
      <rPr>
        <b/>
        <sz val="11"/>
        <color theme="1"/>
        <rFont val="Calibri"/>
        <family val="2"/>
        <scheme val="minor"/>
      </rPr>
      <t>kolom nr. 202</t>
    </r>
  </si>
  <si>
    <t>nr. 202</t>
  </si>
  <si>
    <t>Balk</t>
  </si>
  <si>
    <r>
      <t xml:space="preserve">Profiel RR 500/700 (4 st.): verzamelstaat, vooraanzicht, bovenaanzicht, doorsnede en strengenverdeling, </t>
    </r>
    <r>
      <rPr>
        <b/>
        <sz val="11"/>
        <color theme="1"/>
        <rFont val="Calibri"/>
        <family val="2"/>
        <scheme val="minor"/>
      </rPr>
      <t>balk nr. 301</t>
    </r>
  </si>
  <si>
    <t>nr. 301</t>
  </si>
  <si>
    <r>
      <t xml:space="preserve">Profiel RR 500/700 (1 st.): verzamelstaat, vooraanzicht, bovenaanzicht, doorsnede en strengenverdeling, </t>
    </r>
    <r>
      <rPr>
        <b/>
        <sz val="11"/>
        <color theme="1"/>
        <rFont val="Calibri"/>
        <family val="2"/>
        <scheme val="minor"/>
      </rPr>
      <t>balk nr. 302</t>
    </r>
  </si>
  <si>
    <t>nr. 302</t>
  </si>
  <si>
    <r>
      <t xml:space="preserve">Profiel RRHS 600/600 (8 st.): verzamelstaat, vooraanzicht, bovenaanzicht, doorsnede en strengenverdeling, </t>
    </r>
    <r>
      <rPr>
        <b/>
        <sz val="11"/>
        <color theme="1"/>
        <rFont val="Calibri"/>
        <family val="2"/>
        <scheme val="minor"/>
      </rPr>
      <t>balk nr. 401</t>
    </r>
  </si>
  <si>
    <t>nr. 401</t>
  </si>
  <si>
    <r>
      <t xml:space="preserve">Profiel RRHS 600/600 (37 st.): verzamelstaat, vooraanzicht, bovenaanzicht, doorsnede en strengenverdeling, </t>
    </r>
    <r>
      <rPr>
        <b/>
        <sz val="11"/>
        <color theme="1"/>
        <rFont val="Calibri"/>
        <family val="2"/>
        <scheme val="minor"/>
      </rPr>
      <t>balk nr. 402</t>
    </r>
  </si>
  <si>
    <t>nr. 402</t>
  </si>
  <si>
    <r>
      <t xml:space="preserve">Profiel RRHS 600/600 (12 st.): verzamelstaat, vooraanzicht, bovenaanzicht, doorsnede en strengenverdeling, </t>
    </r>
    <r>
      <rPr>
        <b/>
        <sz val="11"/>
        <color theme="1"/>
        <rFont val="Calibri"/>
        <family val="2"/>
        <scheme val="minor"/>
      </rPr>
      <t>balk nr. 403</t>
    </r>
  </si>
  <si>
    <t>nr. 403</t>
  </si>
  <si>
    <r>
      <t xml:space="preserve">Profiel RRHS 600/600 (2 st.): verzamelstaat, vooraanzicht, bovenaanzicht, doorsnede en strengenverdeling, </t>
    </r>
    <r>
      <rPr>
        <b/>
        <sz val="11"/>
        <color theme="1"/>
        <rFont val="Calibri"/>
        <family val="2"/>
        <scheme val="minor"/>
      </rPr>
      <t>balk nr. 404</t>
    </r>
  </si>
  <si>
    <t>nr. 404</t>
  </si>
  <si>
    <r>
      <t xml:space="preserve">Profiel RRHS 600/600 (3 st.): verzamelstaat, vooraanzicht, bovenaanzicht, doorsnede en strengenverdeling, </t>
    </r>
    <r>
      <rPr>
        <b/>
        <sz val="11"/>
        <color theme="1"/>
        <rFont val="Calibri"/>
        <family val="2"/>
        <scheme val="minor"/>
      </rPr>
      <t>balk nr. 405</t>
    </r>
  </si>
  <si>
    <t>nr. 405</t>
  </si>
  <si>
    <t>Wanden</t>
  </si>
  <si>
    <t>Aanzichten stabiliteitswand, wand nr. 801, 1 st.</t>
  </si>
  <si>
    <t>Aanzichten stabiliteitswand, wand nr. 802, 3 st.</t>
  </si>
  <si>
    <t>Aanzichten stabiliteitswand, wand nr. 803, 1 st.</t>
  </si>
  <si>
    <t>Aanzichten stabiliteitswand, wand nr. 804, 1 st.</t>
  </si>
  <si>
    <t>Aanzichten stabiliteitswand, wand nr. 811, 2 st.</t>
  </si>
  <si>
    <t>Aanzichten stabiliteitswand, wand nr. 812, 1 st.</t>
  </si>
  <si>
    <t>Detailaanzichten wand, wand nr. 901, 3 st.</t>
  </si>
  <si>
    <t>Detailaanzichten wand, wand nr. 902, 3 st.</t>
  </si>
  <si>
    <t>Detailaanzichten wand, wand nr. 903, 3 st.</t>
  </si>
  <si>
    <t>Detailaanzichten wand, wand nr. 904, 2 st.</t>
  </si>
  <si>
    <t>Detailaanzichten wand, wand nr. 905, 3 st.</t>
  </si>
  <si>
    <t>Detailaanzichten wand, wand nr. 911, 1 st.</t>
  </si>
  <si>
    <t>Detailaanzichten wand, wand nr. 912, 1 st.</t>
  </si>
  <si>
    <t>Detailaanzichten wand, wand nr. 913, 1 st.</t>
  </si>
  <si>
    <t>Detailaanzichten wand, wand nr. 914, 1 st.</t>
  </si>
  <si>
    <t>Detailaanzichten wand, wand nr. 915, 1 st.</t>
  </si>
  <si>
    <t>Detailaanzichten wand, wand nr. 924, 1 st.</t>
  </si>
  <si>
    <t>Detailaanzichten wand, wand nr. 811</t>
  </si>
  <si>
    <t>Detailaanzichten wand, wand nr. 901</t>
  </si>
  <si>
    <t>Wapening trap, trap nr. 1001</t>
  </si>
  <si>
    <t>Klinkers</t>
  </si>
  <si>
    <t xml:space="preserve">Vloer BG </t>
  </si>
  <si>
    <t>gestort beton</t>
  </si>
  <si>
    <t>breedte</t>
  </si>
  <si>
    <t>Fitesenkelder</t>
  </si>
  <si>
    <t>vloer</t>
  </si>
  <si>
    <t>wanden</t>
  </si>
  <si>
    <t>oppervlakte</t>
  </si>
  <si>
    <t>hoogte</t>
  </si>
  <si>
    <t>betontrap</t>
  </si>
  <si>
    <t>Fundatie</t>
  </si>
  <si>
    <t>Poer driehoek</t>
  </si>
  <si>
    <t>Poer rechthoek</t>
  </si>
  <si>
    <t>fundering</t>
  </si>
  <si>
    <t>(dikte 15cm + vorstrand is 20 gemiddeld)</t>
  </si>
  <si>
    <t>Kanaalplaten</t>
  </si>
  <si>
    <t>totaal ton</t>
  </si>
  <si>
    <t>Fundering, Beton poeren</t>
  </si>
  <si>
    <t>Binnenwanden, Houten regelwerk met hout</t>
  </si>
  <si>
    <t>Buitenwandopeningen, Overhead deur</t>
  </si>
  <si>
    <t>Binnenwandopeningen, Overheaddeur</t>
  </si>
  <si>
    <t>0</t>
  </si>
  <si>
    <t>Plafondafwerking, isolatie</t>
  </si>
  <si>
    <t>Brandblusser poeder</t>
  </si>
  <si>
    <t>Brandblusser schuim</t>
  </si>
  <si>
    <t>Vloeren, beton fietsenkelder</t>
  </si>
  <si>
    <t>Trap, Beton fietsenkelder</t>
  </si>
  <si>
    <t>trappenhuis</t>
  </si>
  <si>
    <t>19 01 01</t>
  </si>
  <si>
    <t>21 01 01</t>
  </si>
  <si>
    <t>22 01 01</t>
  </si>
  <si>
    <t>23 01 01</t>
  </si>
  <si>
    <t>24 01 01</t>
  </si>
  <si>
    <t>25 01 01</t>
  </si>
  <si>
    <t>26 01 01</t>
  </si>
  <si>
    <t>27 01 01</t>
  </si>
  <si>
    <t>28 01 01</t>
  </si>
  <si>
    <t>29 01 01</t>
  </si>
  <si>
    <t>30 01 01</t>
  </si>
  <si>
    <t>31 01 01</t>
  </si>
  <si>
    <t>32 01 01</t>
  </si>
  <si>
    <t>33 01 01</t>
  </si>
  <si>
    <t>34 01 01</t>
  </si>
  <si>
    <t>Vloeren, Prefab beton garagevloer (T-liggers) type 601</t>
  </si>
  <si>
    <t>Vloeren, Prefab beton garagevloer (T-liggers) type 602</t>
  </si>
  <si>
    <t>Vloeren, Prefab beton garagevloer (T-liggers) type 603</t>
  </si>
  <si>
    <t>Vloeren, Prefab beton garagevloer (T-liggers) type 604</t>
  </si>
  <si>
    <t>Vloeren, Prefab beton garagevloer (T-liggers) type 605</t>
  </si>
  <si>
    <t>Vloeren, Prefab beton garagevloer (T-liggers) type 606</t>
  </si>
  <si>
    <t>Vloeren, Prefab beton garagevloer (T-liggers) type 607</t>
  </si>
  <si>
    <t>Vloeren, Prefab beton garagevloer (T-liggers) type 608</t>
  </si>
  <si>
    <t>Vloeren, Prefab beton garagevloer (T-liggers) type 609</t>
  </si>
  <si>
    <t>Vloeren, Prefab beton garagevloer (T-liggers) type 701</t>
  </si>
  <si>
    <t>Vloeren, Prefab beton garagevloer (T-liggers) type 702</t>
  </si>
  <si>
    <t>Vloeren, Prefab beton garagevloer (T-liggers) type 703</t>
  </si>
  <si>
    <t>Vloeren, Prefab beton garagevloer (T-liggers) type 704</t>
  </si>
  <si>
    <t>Vloeren, Prefab beton garagevloer (T-liggers) type 705</t>
  </si>
  <si>
    <t>Vloeren, Prefab beton garagevloer (T-liggers) type 706</t>
  </si>
  <si>
    <t>Vloeren, Prefab beton garagevloer (T-liggers) type 711</t>
  </si>
  <si>
    <t>Vloeren, Prefab beton garagevloer (T-liggers) type 712</t>
  </si>
  <si>
    <t>Vloeren, Prefab beton garagevloer (T-liggers) type 713</t>
  </si>
  <si>
    <t>5</t>
  </si>
  <si>
    <t>Hoofddraagconstructies, Prefab Beton wanden type 801</t>
  </si>
  <si>
    <t>Hoofddraagconstructies, Prefab Beton wanden type 802</t>
  </si>
  <si>
    <t>Hoofddraagconstructies, Prefab Beton wanden type 803</t>
  </si>
  <si>
    <t>Hoofddraagconstructies, Prefab Beton wanden type 804</t>
  </si>
  <si>
    <t>Hoofddraagconstructies, Prefab Beton wanden type 811</t>
  </si>
  <si>
    <t>Hoofddraagconstructies, Prefab Beton wanden type 812</t>
  </si>
  <si>
    <t>Hoofddraagconstructies, Prefab Beton wanden type 901</t>
  </si>
  <si>
    <t>Hoofddraagconstructies, Prefab Beton wanden type 902</t>
  </si>
  <si>
    <t>Hoofddraagconstructies, Prefab Beton wanden type 903</t>
  </si>
  <si>
    <t>Hoofddraagconstructies, Prefab Beton wanden type 904</t>
  </si>
  <si>
    <t>Hoofddraagconstructies, Prefab Beton wanden type 905</t>
  </si>
  <si>
    <t>Hoofddraagconstructies, Prefab Beton wanden type 911</t>
  </si>
  <si>
    <t>Hoofddraagconstructies, Prefab Beton wanden type 912</t>
  </si>
  <si>
    <t>Hoofddraagconstructies, Prefab Beton wanden type 913</t>
  </si>
  <si>
    <t>Hoofddraagconstructies, Prefab Beton wanden type 914</t>
  </si>
  <si>
    <t>Hoofddraagconstructies, Prefab Beton wanden type 915</t>
  </si>
  <si>
    <t>Hoofddraagconstructies, Prefab Beton wanden type 924</t>
  </si>
  <si>
    <t>Trap, Beton trappenhuis</t>
  </si>
  <si>
    <t>Trap, Beton trappenhuis bordes 1</t>
  </si>
  <si>
    <t>Trap, Beton trappenhuis bordes 2</t>
  </si>
  <si>
    <t>Hoofddraagconstructies, Beton kolom type 101</t>
  </si>
  <si>
    <t>Hoofddraagconstructies, Beton kolom type 102</t>
  </si>
  <si>
    <t>Hoofddraagconstructies, Beton kolom type 103</t>
  </si>
  <si>
    <t>Hoofddraagconstructies, Beton kolom type 105</t>
  </si>
  <si>
    <t>Hoofddraagconstructies, Beton kolom type 106</t>
  </si>
  <si>
    <t>Hoofddraagconstructies, Beton kolom type 111</t>
  </si>
  <si>
    <t>Hoofddraagconstructies, Beton kolom type 112</t>
  </si>
  <si>
    <t>Hoofddraagconstructies, Beton kolom type 113</t>
  </si>
  <si>
    <t>Hoofddraagconstructies, Beton kolom type  201</t>
  </si>
  <si>
    <t>Hoofddraagconstructies, Beton kolom type  202</t>
  </si>
  <si>
    <t>Hoofddraagconstructies, Beton kolom type  301</t>
  </si>
  <si>
    <t>Hoofddraagconstructies, Beton kolom type 302</t>
  </si>
  <si>
    <t>Hoofddraagconstructies, Beton kolom type 401</t>
  </si>
  <si>
    <t>Hoofddraagconstructies, Beton kolom type 402</t>
  </si>
  <si>
    <t>Hoofddraagconstructies, Beton kolom type 403</t>
  </si>
  <si>
    <t>Hoofddraagconstructies, Beton kolom type 404</t>
  </si>
  <si>
    <t>Hoofddraagconstructies, Beton kolom type 405</t>
  </si>
  <si>
    <t>Trap, Staal Oostgevel</t>
  </si>
  <si>
    <t>Gevels</t>
  </si>
  <si>
    <t>alu vliesgevel</t>
  </si>
  <si>
    <t>alu deuren</t>
  </si>
  <si>
    <t>allu ramen</t>
  </si>
  <si>
    <t>stalen kolommen 10*10</t>
  </si>
  <si>
    <t>stalen kolommen 13,5x14</t>
  </si>
  <si>
    <t xml:space="preserve">balustrades </t>
  </si>
  <si>
    <t>hekwerk gaas tussen verdiepingen</t>
  </si>
  <si>
    <t>hekwerk stalen spijlen hoog 2,1 m</t>
  </si>
  <si>
    <t>hekwerk stalen spijlen hoog 0,85 m</t>
  </si>
  <si>
    <t>Overig</t>
  </si>
  <si>
    <t>fietsenrekken</t>
  </si>
  <si>
    <t>paaltjes</t>
  </si>
  <si>
    <t>leidspaaltje</t>
  </si>
  <si>
    <t>betontegels</t>
  </si>
  <si>
    <t>Stelconplaten</t>
  </si>
  <si>
    <t>Steigerbuizen</t>
  </si>
  <si>
    <t>buitenlamp</t>
  </si>
  <si>
    <t>biggen ruggetjes</t>
  </si>
  <si>
    <t>let op sparing trap ingemaakt</t>
  </si>
  <si>
    <t>luifel trespa trappenhuis</t>
  </si>
  <si>
    <t>ventilator</t>
  </si>
  <si>
    <t>Hekwerk gaas hoog 1,6m</t>
  </si>
  <si>
    <t>Hekwerk gaas laag 1,2m</t>
  </si>
  <si>
    <t>noord</t>
  </si>
  <si>
    <t>oost</t>
  </si>
  <si>
    <t>zuid</t>
  </si>
  <si>
    <t>west</t>
  </si>
  <si>
    <t>totaal</t>
  </si>
  <si>
    <t>riolering</t>
  </si>
  <si>
    <t>glas enkel</t>
  </si>
  <si>
    <t>glas dubbel</t>
  </si>
  <si>
    <t>trespa gevelbekleding  niveo 0-1 op houten achter constructie</t>
  </si>
  <si>
    <t>vliesgevel</t>
  </si>
  <si>
    <t>Hoofddraagconstructies, Staal kolom 10x10cm</t>
  </si>
  <si>
    <t>Hoofddraagconstructies, Staal kolom 13,5*14cm</t>
  </si>
  <si>
    <t>draadglas</t>
  </si>
  <si>
    <t xml:space="preserve">Buitenwandafwerking, Gevelbekleding </t>
  </si>
  <si>
    <t>Luifel trappenhuis</t>
  </si>
  <si>
    <t>Tussen niveau 0 en 1</t>
  </si>
  <si>
    <t>Terrein, biggenruggetjes</t>
  </si>
  <si>
    <t>2</t>
  </si>
  <si>
    <t>lantaarnpaal enkel</t>
  </si>
  <si>
    <t>lantaarnpaal dubbel</t>
  </si>
  <si>
    <t>Spiraalverwarming in meterkast</t>
  </si>
  <si>
    <t>lantaarnpaal  bol bij entree</t>
  </si>
  <si>
    <t>gestort op 80 mm PS isolatie</t>
  </si>
  <si>
    <t>35, 41</t>
  </si>
  <si>
    <t>niveau 1 t/m5</t>
  </si>
  <si>
    <t>parkeergarage</t>
  </si>
  <si>
    <t>23.2</t>
  </si>
  <si>
    <t>Vloer isolatie, Pur Kunststofschumen</t>
  </si>
  <si>
    <t>Chroom 6  aangetoont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</si>
</sst>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0.000"/>
    <numFmt numFmtId="166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9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2" fontId="0" fillId="0" borderId="0" xfId="0" applyNumberFormat="1"/>
    <xf numFmtId="0" fontId="2" fillId="0" borderId="1" xfId="0" applyFont="1" applyBorder="1"/>
    <xf numFmtId="49" fontId="4" fillId="0" borderId="4" xfId="0" applyNumberFormat="1" applyFont="1" applyBorder="1" applyAlignment="1">
      <alignment horizontal="left"/>
    </xf>
    <xf numFmtId="0" fontId="3" fillId="0" borderId="1" xfId="0" applyFont="1" applyBorder="1"/>
    <xf numFmtId="0" fontId="4" fillId="0" borderId="4" xfId="0" applyFont="1" applyBorder="1"/>
    <xf numFmtId="49" fontId="4" fillId="0" borderId="6" xfId="0" applyNumberFormat="1" applyFont="1" applyBorder="1" applyAlignment="1">
      <alignment horizontal="left"/>
    </xf>
    <xf numFmtId="0" fontId="4" fillId="0" borderId="6" xfId="0" applyFont="1" applyBorder="1"/>
    <xf numFmtId="0" fontId="0" fillId="0" borderId="0" xfId="0" applyAlignment="1">
      <alignment horizontal="right"/>
    </xf>
    <xf numFmtId="0" fontId="4" fillId="0" borderId="3" xfId="0" applyFont="1" applyBorder="1"/>
    <xf numFmtId="0" fontId="4" fillId="0" borderId="7" xfId="0" applyFont="1" applyBorder="1"/>
    <xf numFmtId="49" fontId="0" fillId="0" borderId="3" xfId="0" applyNumberFormat="1" applyBorder="1"/>
    <xf numFmtId="49" fontId="0" fillId="0" borderId="7" xfId="0" applyNumberFormat="1" applyBorder="1"/>
    <xf numFmtId="2" fontId="0" fillId="0" borderId="5" xfId="0" applyNumberFormat="1" applyBorder="1"/>
    <xf numFmtId="49" fontId="4" fillId="0" borderId="0" xfId="0" applyNumberFormat="1" applyFont="1" applyAlignment="1">
      <alignment horizontal="left"/>
    </xf>
    <xf numFmtId="0" fontId="5" fillId="3" borderId="9" xfId="0" applyFont="1" applyFill="1" applyBorder="1" applyAlignment="1" applyProtection="1">
      <alignment wrapText="1"/>
      <protection locked="0"/>
    </xf>
    <xf numFmtId="0" fontId="7" fillId="3" borderId="9" xfId="0" applyFont="1" applyFill="1" applyBorder="1" applyAlignment="1" applyProtection="1">
      <alignment horizontal="left" wrapText="1"/>
      <protection locked="0"/>
    </xf>
    <xf numFmtId="0" fontId="5" fillId="3" borderId="9" xfId="0" applyFont="1" applyFill="1" applyBorder="1" applyAlignment="1" applyProtection="1">
      <alignment horizontal="center" wrapText="1"/>
      <protection locked="0"/>
    </xf>
    <xf numFmtId="2" fontId="5" fillId="3" borderId="9" xfId="0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0" borderId="2" xfId="0" applyNumberFormat="1" applyBorder="1"/>
    <xf numFmtId="49" fontId="0" fillId="0" borderId="5" xfId="0" applyNumberFormat="1" applyBorder="1"/>
    <xf numFmtId="0" fontId="0" fillId="0" borderId="3" xfId="0" applyBorder="1"/>
    <xf numFmtId="49" fontId="0" fillId="0" borderId="3" xfId="0" applyNumberFormat="1" applyBorder="1" applyAlignment="1">
      <alignment horizontal="center"/>
    </xf>
    <xf numFmtId="2" fontId="0" fillId="0" borderId="3" xfId="0" applyNumberFormat="1" applyBorder="1"/>
    <xf numFmtId="0" fontId="0" fillId="0" borderId="3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11" fillId="0" borderId="3" xfId="0" applyFont="1" applyBorder="1" applyAlignment="1">
      <alignment horizontal="left"/>
    </xf>
    <xf numFmtId="0" fontId="0" fillId="0" borderId="4" xfId="0" applyBorder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0" fillId="4" borderId="0" xfId="0" applyFill="1"/>
    <xf numFmtId="2" fontId="3" fillId="0" borderId="1" xfId="0" applyNumberFormat="1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4" fillId="6" borderId="4" xfId="0" applyNumberFormat="1" applyFont="1" applyFill="1" applyBorder="1" applyAlignment="1">
      <alignment horizontal="left"/>
    </xf>
    <xf numFmtId="49" fontId="0" fillId="6" borderId="5" xfId="0" applyNumberFormat="1" applyFill="1" applyBorder="1"/>
    <xf numFmtId="2" fontId="4" fillId="7" borderId="4" xfId="0" applyNumberFormat="1" applyFont="1" applyFill="1" applyBorder="1" applyAlignment="1">
      <alignment horizontal="left"/>
    </xf>
    <xf numFmtId="49" fontId="0" fillId="7" borderId="5" xfId="0" applyNumberFormat="1" applyFill="1" applyBorder="1"/>
    <xf numFmtId="49" fontId="4" fillId="7" borderId="5" xfId="0" applyNumberFormat="1" applyFont="1" applyFill="1" applyBorder="1"/>
    <xf numFmtId="49" fontId="4" fillId="8" borderId="5" xfId="0" applyNumberFormat="1" applyFont="1" applyFill="1" applyBorder="1"/>
    <xf numFmtId="2" fontId="4" fillId="8" borderId="7" xfId="0" applyNumberFormat="1" applyFont="1" applyFill="1" applyBorder="1" applyAlignment="1">
      <alignment horizontal="left"/>
    </xf>
    <xf numFmtId="49" fontId="4" fillId="8" borderId="8" xfId="0" applyNumberFormat="1" applyFont="1" applyFill="1" applyBorder="1"/>
    <xf numFmtId="0" fontId="0" fillId="0" borderId="5" xfId="0" applyBorder="1"/>
    <xf numFmtId="2" fontId="5" fillId="3" borderId="12" xfId="0" applyNumberFormat="1" applyFont="1" applyFill="1" applyBorder="1" applyAlignment="1" applyProtection="1">
      <alignment wrapText="1"/>
      <protection locked="0"/>
    </xf>
    <xf numFmtId="2" fontId="0" fillId="0" borderId="12" xfId="0" applyNumberFormat="1" applyBorder="1"/>
    <xf numFmtId="2" fontId="4" fillId="6" borderId="0" xfId="0" applyNumberFormat="1" applyFont="1" applyFill="1" applyAlignment="1">
      <alignment horizontal="left"/>
    </xf>
    <xf numFmtId="2" fontId="4" fillId="7" borderId="0" xfId="0" applyNumberFormat="1" applyFont="1" applyFill="1" applyAlignment="1">
      <alignment horizontal="left"/>
    </xf>
    <xf numFmtId="2" fontId="4" fillId="8" borderId="0" xfId="0" applyNumberFormat="1" applyFont="1" applyFill="1" applyAlignment="1">
      <alignment horizontal="left"/>
    </xf>
    <xf numFmtId="2" fontId="5" fillId="3" borderId="0" xfId="0" applyNumberFormat="1" applyFont="1" applyFill="1" applyAlignment="1" applyProtection="1">
      <alignment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2" fontId="0" fillId="0" borderId="0" xfId="0" applyNumberFormat="1" applyAlignment="1">
      <alignment horizontal="right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2" fontId="0" fillId="0" borderId="0" xfId="0" applyNumberFormat="1" applyAlignment="1">
      <alignment horizontal="left"/>
    </xf>
    <xf numFmtId="49" fontId="0" fillId="5" borderId="0" xfId="0" applyNumberFormat="1" applyFill="1"/>
    <xf numFmtId="165" fontId="0" fillId="0" borderId="0" xfId="0" applyNumberFormat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3" borderId="10" xfId="0" applyFont="1" applyFill="1" applyBorder="1" applyAlignment="1" applyProtection="1">
      <alignment horizontal="center" wrapText="1"/>
      <protection locked="0"/>
    </xf>
    <xf numFmtId="49" fontId="12" fillId="0" borderId="3" xfId="0" applyNumberFormat="1" applyFont="1" applyBorder="1"/>
    <xf numFmtId="2" fontId="4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12" xfId="0" applyNumberFormat="1" applyFont="1" applyBorder="1"/>
    <xf numFmtId="49" fontId="4" fillId="0" borderId="3" xfId="0" applyNumberFormat="1" applyFont="1" applyBorder="1"/>
    <xf numFmtId="0" fontId="5" fillId="9" borderId="5" xfId="0" applyFont="1" applyFill="1" applyBorder="1" applyAlignment="1" applyProtection="1">
      <alignment wrapText="1"/>
      <protection locked="0"/>
    </xf>
    <xf numFmtId="0" fontId="5" fillId="9" borderId="4" xfId="0" applyFont="1" applyFill="1" applyBorder="1" applyAlignment="1" applyProtection="1">
      <alignment wrapText="1"/>
      <protection locked="0"/>
    </xf>
    <xf numFmtId="0" fontId="13" fillId="0" borderId="2" xfId="0" applyFont="1" applyBorder="1" applyAlignment="1">
      <alignment horizontal="right"/>
    </xf>
    <xf numFmtId="0" fontId="16" fillId="0" borderId="0" xfId="0" applyFont="1"/>
    <xf numFmtId="43" fontId="0" fillId="0" borderId="0" xfId="3" applyFont="1"/>
    <xf numFmtId="0" fontId="16" fillId="5" borderId="0" xfId="0" applyFont="1" applyFill="1"/>
    <xf numFmtId="0" fontId="0" fillId="10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10" borderId="10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0" borderId="0" xfId="0" applyFont="1"/>
    <xf numFmtId="0" fontId="9" fillId="0" borderId="0" xfId="0" applyFont="1"/>
    <xf numFmtId="43" fontId="9" fillId="0" borderId="0" xfId="3" applyFont="1"/>
    <xf numFmtId="43" fontId="14" fillId="0" borderId="0" xfId="3" applyFont="1"/>
    <xf numFmtId="0" fontId="10" fillId="0" borderId="0" xfId="0" applyFont="1"/>
    <xf numFmtId="43" fontId="10" fillId="0" borderId="0" xfId="3" applyFont="1"/>
    <xf numFmtId="43" fontId="17" fillId="0" borderId="0" xfId="3" applyFont="1"/>
    <xf numFmtId="43" fontId="0" fillId="0" borderId="0" xfId="0" applyNumberFormat="1"/>
    <xf numFmtId="43" fontId="9" fillId="0" borderId="0" xfId="0" applyNumberFormat="1" applyFont="1"/>
    <xf numFmtId="166" fontId="0" fillId="0" borderId="0" xfId="3" applyNumberFormat="1" applyFont="1"/>
    <xf numFmtId="0" fontId="0" fillId="0" borderId="4" xfId="0" quotePrefix="1" applyBorder="1" applyAlignment="1">
      <alignment horizontal="center"/>
    </xf>
    <xf numFmtId="0" fontId="0" fillId="5" borderId="5" xfId="0" applyFill="1" applyBorder="1" applyAlignment="1">
      <alignment horizontal="center"/>
    </xf>
  </cellXfs>
  <cellStyles count="4">
    <cellStyle name="Hyperlink 2" xfId="1" xr:uid="{A4ACE41C-10FC-464D-9223-5A12EABB0F92}"/>
    <cellStyle name="Komma" xfId="3" builtinId="3"/>
    <cellStyle name="Komma 2" xfId="2" xr:uid="{8ABF7032-D94C-4490-9FD3-EB1C8C3327A0}"/>
    <cellStyle name="Standaard" xfId="0" builtinId="0"/>
  </cellStyles>
  <dxfs count="176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441106</xdr:colOff>
      <xdr:row>0</xdr:row>
      <xdr:rowOff>124283</xdr:rowOff>
    </xdr:from>
    <xdr:to>
      <xdr:col>18</xdr:col>
      <xdr:colOff>632389</xdr:colOff>
      <xdr:row>2</xdr:row>
      <xdr:rowOff>144202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B8A817E-9872-2861-462E-0498FC481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14515" y="124283"/>
          <a:ext cx="2944874" cy="6433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37</xdr:row>
      <xdr:rowOff>19050</xdr:rowOff>
    </xdr:from>
    <xdr:to>
      <xdr:col>8</xdr:col>
      <xdr:colOff>238125</xdr:colOff>
      <xdr:row>47</xdr:row>
      <xdr:rowOff>57150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A45B2819-171B-227E-05D4-BACA3BF0DB0D}"/>
            </a:ext>
          </a:extLst>
        </xdr:cNvPr>
        <xdr:cNvCxnSpPr/>
      </xdr:nvCxnSpPr>
      <xdr:spPr>
        <a:xfrm>
          <a:off x="361950" y="7324725"/>
          <a:ext cx="7143750" cy="194310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358588</xdr:colOff>
      <xdr:row>46</xdr:row>
      <xdr:rowOff>89647</xdr:rowOff>
    </xdr:from>
    <xdr:to>
      <xdr:col>14</xdr:col>
      <xdr:colOff>112059</xdr:colOff>
      <xdr:row>83</xdr:row>
      <xdr:rowOff>100853</xdr:rowOff>
    </xdr:to>
    <xdr:sp macro="" textlink="">
      <xdr:nvSpPr>
        <xdr:cNvPr id="5" name="Vrije vorm: vorm 4">
          <a:extLst>
            <a:ext uri="{FF2B5EF4-FFF2-40B4-BE49-F238E27FC236}">
              <a16:creationId xmlns:a16="http://schemas.microsoft.com/office/drawing/2014/main" id="{D74DFF90-99CF-4D89-1321-6683AFFB207A}"/>
            </a:ext>
          </a:extLst>
        </xdr:cNvPr>
        <xdr:cNvSpPr/>
      </xdr:nvSpPr>
      <xdr:spPr>
        <a:xfrm>
          <a:off x="7597588" y="9121588"/>
          <a:ext cx="3384177" cy="7059706"/>
        </a:xfrm>
        <a:custGeom>
          <a:avLst/>
          <a:gdLst>
            <a:gd name="connsiteX0" fmla="*/ 0 w 3384177"/>
            <a:gd name="connsiteY0" fmla="*/ 22412 h 7059706"/>
            <a:gd name="connsiteX1" fmla="*/ 3384177 w 3384177"/>
            <a:gd name="connsiteY1" fmla="*/ 0 h 7059706"/>
            <a:gd name="connsiteX2" fmla="*/ 3339353 w 3384177"/>
            <a:gd name="connsiteY2" fmla="*/ 7059706 h 7059706"/>
            <a:gd name="connsiteX3" fmla="*/ 1546412 w 3384177"/>
            <a:gd name="connsiteY3" fmla="*/ 7048500 h 705970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384177" h="7059706">
              <a:moveTo>
                <a:pt x="0" y="22412"/>
              </a:moveTo>
              <a:lnTo>
                <a:pt x="3384177" y="0"/>
              </a:lnTo>
              <a:lnTo>
                <a:pt x="3339353" y="7059706"/>
              </a:lnTo>
              <a:lnTo>
                <a:pt x="1546412" y="7048500"/>
              </a:lnTo>
            </a:path>
          </a:pathLst>
        </a:custGeom>
        <a:noFill/>
        <a:ln w="25400">
          <a:solidFill>
            <a:srgbClr val="FF0000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0"/>
  <sheetViews>
    <sheetView tabSelected="1" view="pageBreakPreview" topLeftCell="D14" zoomScale="70" zoomScaleNormal="90" zoomScaleSheetLayoutView="70" workbookViewId="0">
      <selection activeCell="K161" sqref="K161:L161"/>
    </sheetView>
  </sheetViews>
  <sheetFormatPr defaultRowHeight="15" x14ac:dyDescent="0.25"/>
  <cols>
    <col min="1" max="2" width="0" hidden="1" customWidth="1"/>
    <col min="3" max="3" width="57.42578125" hidden="1" customWidth="1"/>
    <col min="4" max="4" width="16.42578125" style="10" customWidth="1"/>
    <col min="5" max="5" width="54.5703125" style="1" customWidth="1"/>
    <col min="6" max="6" width="18.28515625" style="29" customWidth="1"/>
    <col min="7" max="7" width="77.7109375" style="70" customWidth="1"/>
    <col min="8" max="8" width="33" style="1" hidden="1" customWidth="1"/>
    <col min="9" max="9" width="15.7109375" style="2" customWidth="1"/>
    <col min="10" max="10" width="15.7109375" style="65" customWidth="1"/>
    <col min="11" max="12" width="18.28515625" style="3" customWidth="1"/>
    <col min="13" max="13" width="38.7109375" style="1" customWidth="1"/>
    <col min="14" max="14" width="34.140625" style="1" customWidth="1"/>
    <col min="15" max="15" width="13.7109375" customWidth="1"/>
    <col min="16" max="16" width="13.7109375" style="22" customWidth="1"/>
    <col min="17" max="18" width="13.7109375" customWidth="1"/>
    <col min="19" max="19" width="10.85546875" bestFit="1" customWidth="1"/>
    <col min="20" max="20" width="37.140625" style="50" bestFit="1" customWidth="1"/>
  </cols>
  <sheetData>
    <row r="1" spans="1:20" ht="33.75" x14ac:dyDescent="0.5">
      <c r="A1" s="30"/>
      <c r="B1" s="31"/>
      <c r="C1" s="31"/>
      <c r="D1" s="32" t="s">
        <v>190</v>
      </c>
      <c r="E1" s="13"/>
      <c r="F1" s="11"/>
      <c r="G1" s="74"/>
      <c r="H1" s="13"/>
      <c r="I1" s="26"/>
      <c r="J1" s="25"/>
      <c r="K1" s="27"/>
      <c r="L1" s="27"/>
      <c r="M1" s="13"/>
      <c r="N1" s="68"/>
      <c r="O1" s="25"/>
      <c r="P1" s="28"/>
      <c r="Q1" s="25"/>
      <c r="S1" s="25"/>
      <c r="T1" s="77"/>
    </row>
    <row r="2" spans="1:20" x14ac:dyDescent="0.25">
      <c r="A2" s="33"/>
      <c r="D2" s="34"/>
      <c r="J2"/>
    </row>
    <row r="3" spans="1:20" x14ac:dyDescent="0.25">
      <c r="A3" s="33"/>
      <c r="J3"/>
    </row>
    <row r="4" spans="1:20" x14ac:dyDescent="0.25">
      <c r="A4" s="33"/>
      <c r="G4" s="29"/>
      <c r="J4"/>
      <c r="K4" s="40" t="s">
        <v>0</v>
      </c>
      <c r="L4" s="41"/>
      <c r="M4" s="23"/>
    </row>
    <row r="5" spans="1:20" x14ac:dyDescent="0.25">
      <c r="A5" s="33"/>
      <c r="G5" s="29"/>
      <c r="J5"/>
      <c r="K5" s="42" t="s">
        <v>2</v>
      </c>
      <c r="L5" s="53"/>
      <c r="M5" s="43"/>
    </row>
    <row r="6" spans="1:20" x14ac:dyDescent="0.25">
      <c r="A6" s="33"/>
      <c r="G6" s="29"/>
      <c r="J6"/>
      <c r="K6" s="42" t="s">
        <v>4</v>
      </c>
      <c r="L6" s="53"/>
      <c r="M6" s="43"/>
    </row>
    <row r="7" spans="1:20" x14ac:dyDescent="0.25">
      <c r="A7" s="33"/>
      <c r="G7" s="29"/>
      <c r="J7"/>
      <c r="K7" s="42" t="s">
        <v>6</v>
      </c>
      <c r="L7" s="53"/>
      <c r="M7" s="43"/>
    </row>
    <row r="8" spans="1:20" x14ac:dyDescent="0.25">
      <c r="A8" s="33"/>
      <c r="E8"/>
      <c r="G8" s="29"/>
      <c r="J8"/>
      <c r="K8" s="44" t="s">
        <v>8</v>
      </c>
      <c r="L8" s="54"/>
      <c r="M8" s="45"/>
    </row>
    <row r="9" spans="1:20" x14ac:dyDescent="0.25">
      <c r="A9" s="33"/>
      <c r="E9" s="6" t="s">
        <v>10</v>
      </c>
      <c r="F9" s="11"/>
      <c r="G9" s="6" t="s">
        <v>11</v>
      </c>
      <c r="H9" s="13"/>
      <c r="I9" s="4" t="s">
        <v>1</v>
      </c>
      <c r="J9" s="13"/>
      <c r="K9" s="54" t="s">
        <v>12</v>
      </c>
      <c r="L9" s="54"/>
      <c r="M9" s="45"/>
    </row>
    <row r="10" spans="1:20" x14ac:dyDescent="0.25">
      <c r="A10" s="33"/>
      <c r="E10" s="7" t="s">
        <v>14</v>
      </c>
      <c r="G10" s="7" t="s">
        <v>15</v>
      </c>
      <c r="I10" s="5" t="s">
        <v>3</v>
      </c>
      <c r="J10" s="1"/>
      <c r="K10" s="54" t="s">
        <v>16</v>
      </c>
      <c r="L10" s="54"/>
      <c r="M10" s="45"/>
    </row>
    <row r="11" spans="1:20" x14ac:dyDescent="0.25">
      <c r="A11" s="33"/>
      <c r="E11" s="7" t="s">
        <v>18</v>
      </c>
      <c r="G11" s="7" t="s">
        <v>19</v>
      </c>
      <c r="I11" s="5" t="s">
        <v>5</v>
      </c>
      <c r="J11" s="1"/>
      <c r="K11" s="54" t="s">
        <v>20</v>
      </c>
      <c r="L11" s="54"/>
      <c r="M11" s="46"/>
    </row>
    <row r="12" spans="1:20" x14ac:dyDescent="0.25">
      <c r="A12" s="33"/>
      <c r="E12" s="7" t="s">
        <v>21</v>
      </c>
      <c r="G12" s="7" t="s">
        <v>22</v>
      </c>
      <c r="I12" s="5" t="s">
        <v>7</v>
      </c>
      <c r="J12" s="1"/>
      <c r="K12" s="54" t="s">
        <v>23</v>
      </c>
      <c r="L12" s="54"/>
      <c r="M12" s="46"/>
    </row>
    <row r="13" spans="1:20" x14ac:dyDescent="0.25">
      <c r="A13" s="33"/>
      <c r="E13" s="7" t="s">
        <v>24</v>
      </c>
      <c r="G13" s="7" t="s">
        <v>25</v>
      </c>
      <c r="I13" s="5" t="s">
        <v>9</v>
      </c>
      <c r="J13" s="1"/>
      <c r="K13" s="54" t="s">
        <v>183</v>
      </c>
      <c r="L13" s="54"/>
      <c r="M13" s="46"/>
    </row>
    <row r="14" spans="1:20" x14ac:dyDescent="0.25">
      <c r="A14" s="33"/>
      <c r="E14" s="7" t="s">
        <v>26</v>
      </c>
      <c r="G14" s="7" t="s">
        <v>27</v>
      </c>
      <c r="I14" s="5" t="s">
        <v>13</v>
      </c>
      <c r="J14" s="1"/>
      <c r="K14" s="55" t="s">
        <v>28</v>
      </c>
      <c r="L14" s="55"/>
      <c r="M14" s="47"/>
    </row>
    <row r="15" spans="1:20" ht="15" customHeight="1" x14ac:dyDescent="0.25">
      <c r="A15" s="33"/>
      <c r="E15" s="9" t="s">
        <v>29</v>
      </c>
      <c r="F15" s="12"/>
      <c r="G15" s="9" t="s">
        <v>30</v>
      </c>
      <c r="H15" s="14"/>
      <c r="I15" s="8" t="s">
        <v>17</v>
      </c>
      <c r="J15" s="14"/>
      <c r="K15" s="48" t="s">
        <v>31</v>
      </c>
      <c r="L15" s="48"/>
      <c r="M15" s="49"/>
    </row>
    <row r="16" spans="1:20" x14ac:dyDescent="0.25">
      <c r="A16" s="33"/>
      <c r="E16"/>
      <c r="G16" s="29"/>
      <c r="H16" s="16"/>
      <c r="I16" s="1"/>
      <c r="J16" s="66"/>
      <c r="M16" s="3"/>
      <c r="N16" s="3"/>
      <c r="O16" s="3"/>
      <c r="P16" s="3"/>
      <c r="Q16" s="3"/>
      <c r="R16" s="3"/>
      <c r="S16" s="3"/>
      <c r="T16" s="15"/>
    </row>
    <row r="17" spans="1:20" s="21" customFormat="1" ht="30" x14ac:dyDescent="0.25">
      <c r="A17" s="17" t="s">
        <v>32</v>
      </c>
      <c r="B17" s="17"/>
      <c r="C17" s="17" t="s">
        <v>33</v>
      </c>
      <c r="D17" s="18" t="s">
        <v>34</v>
      </c>
      <c r="E17" s="17" t="s">
        <v>35</v>
      </c>
      <c r="F17" s="17" t="s">
        <v>36</v>
      </c>
      <c r="G17" s="17" t="s">
        <v>37</v>
      </c>
      <c r="H17" s="17" t="s">
        <v>38</v>
      </c>
      <c r="I17" s="19" t="s">
        <v>39</v>
      </c>
      <c r="J17" s="67" t="s">
        <v>174</v>
      </c>
      <c r="K17" s="20" t="s">
        <v>40</v>
      </c>
      <c r="L17" s="51" t="s">
        <v>173</v>
      </c>
      <c r="M17" s="56" t="s">
        <v>175</v>
      </c>
      <c r="N17" s="51" t="s">
        <v>180</v>
      </c>
      <c r="O17" s="57" t="s">
        <v>41</v>
      </c>
      <c r="P17" s="57" t="s">
        <v>177</v>
      </c>
      <c r="Q17" s="57" t="s">
        <v>42</v>
      </c>
      <c r="R17" s="57" t="s">
        <v>43</v>
      </c>
      <c r="S17" s="76" t="s">
        <v>191</v>
      </c>
      <c r="T17" s="75" t="s">
        <v>192</v>
      </c>
    </row>
    <row r="18" spans="1:20" x14ac:dyDescent="0.25">
      <c r="A18" s="39"/>
      <c r="B18" s="39"/>
      <c r="C18" s="39" t="s">
        <v>118</v>
      </c>
      <c r="D18" s="35">
        <v>16</v>
      </c>
      <c r="E18" s="36" t="s">
        <v>50</v>
      </c>
      <c r="G18" s="37"/>
      <c r="H18" s="1" t="s">
        <v>49</v>
      </c>
      <c r="J18" s="65">
        <v>0</v>
      </c>
      <c r="K18" s="3">
        <v>118.21440000000001</v>
      </c>
      <c r="L18" s="52">
        <f t="shared" ref="L18:L22" si="0">SUM(K18*1000)</f>
        <v>118214.40000000001</v>
      </c>
      <c r="M18" s="3"/>
      <c r="N18" s="52"/>
      <c r="O18" s="2"/>
      <c r="P18" s="2"/>
      <c r="Q18" s="22"/>
      <c r="R18" s="22"/>
      <c r="S18" s="65"/>
      <c r="T18" s="64"/>
    </row>
    <row r="19" spans="1:20" x14ac:dyDescent="0.25">
      <c r="A19" s="39"/>
      <c r="B19" s="39"/>
      <c r="C19" s="39" t="s">
        <v>119</v>
      </c>
      <c r="D19" s="10">
        <v>16.100000000000001</v>
      </c>
      <c r="E19" s="38" t="s">
        <v>53</v>
      </c>
      <c r="F19" s="70" t="s">
        <v>56</v>
      </c>
      <c r="G19" s="37" t="s">
        <v>156</v>
      </c>
      <c r="H19" s="1" t="s">
        <v>49</v>
      </c>
      <c r="I19" s="2" t="s">
        <v>184</v>
      </c>
      <c r="J19" s="65">
        <f>Uittrekstaat!G15</f>
        <v>24.756000000000007</v>
      </c>
      <c r="K19" s="3">
        <v>59.414400000000015</v>
      </c>
      <c r="L19" s="52">
        <f t="shared" si="0"/>
        <v>59414.400000000016</v>
      </c>
      <c r="M19" s="3"/>
      <c r="N19" s="52"/>
      <c r="O19" s="2" t="s">
        <v>184</v>
      </c>
      <c r="P19" s="2" t="s">
        <v>194</v>
      </c>
      <c r="Q19" s="22">
        <v>8</v>
      </c>
      <c r="R19" s="22">
        <v>2</v>
      </c>
      <c r="S19" s="65"/>
      <c r="T19" s="64"/>
    </row>
    <row r="20" spans="1:20" x14ac:dyDescent="0.25">
      <c r="A20" s="39"/>
      <c r="B20" s="39"/>
      <c r="C20" s="39" t="s">
        <v>119</v>
      </c>
      <c r="D20" s="10">
        <v>16.100000000000001</v>
      </c>
      <c r="E20" s="38" t="s">
        <v>343</v>
      </c>
      <c r="F20" s="70" t="s">
        <v>56</v>
      </c>
      <c r="G20" s="37" t="s">
        <v>156</v>
      </c>
      <c r="H20" s="1" t="s">
        <v>49</v>
      </c>
      <c r="I20" s="2" t="s">
        <v>184</v>
      </c>
      <c r="J20" s="65">
        <f>Uittrekstaat!G13+Uittrekstaat!G14</f>
        <v>24.5</v>
      </c>
      <c r="K20" s="3">
        <v>58.8</v>
      </c>
      <c r="L20" s="52">
        <f t="shared" ref="L20" si="1">SUM(K20*1000)</f>
        <v>58800</v>
      </c>
      <c r="M20" s="3"/>
      <c r="N20" s="52"/>
      <c r="O20" s="2" t="s">
        <v>184</v>
      </c>
      <c r="P20" s="2" t="s">
        <v>194</v>
      </c>
      <c r="Q20" s="22">
        <v>8</v>
      </c>
      <c r="R20" s="22">
        <v>2</v>
      </c>
      <c r="S20" s="65"/>
      <c r="T20" s="64"/>
    </row>
    <row r="21" spans="1:20" x14ac:dyDescent="0.25">
      <c r="A21" s="39"/>
      <c r="B21" s="39"/>
      <c r="C21" s="39" t="s">
        <v>120</v>
      </c>
      <c r="D21" s="35">
        <v>17</v>
      </c>
      <c r="E21" s="36" t="s">
        <v>54</v>
      </c>
      <c r="G21" s="37"/>
      <c r="J21" s="65">
        <v>0</v>
      </c>
      <c r="K21" s="3">
        <v>37.855620000000002</v>
      </c>
      <c r="L21" s="52">
        <f t="shared" si="0"/>
        <v>37855.620000000003</v>
      </c>
      <c r="M21" s="3"/>
      <c r="N21" s="52"/>
      <c r="O21" s="2"/>
      <c r="P21" s="2"/>
      <c r="Q21" s="22"/>
      <c r="R21" s="22"/>
      <c r="S21" s="65"/>
      <c r="T21" s="64"/>
    </row>
    <row r="22" spans="1:20" x14ac:dyDescent="0.25">
      <c r="A22" s="39"/>
      <c r="B22" s="39"/>
      <c r="C22" s="39" t="s">
        <v>121</v>
      </c>
      <c r="D22" s="10">
        <v>17.100000000000001</v>
      </c>
      <c r="E22" s="38" t="s">
        <v>186</v>
      </c>
      <c r="F22" s="70" t="s">
        <v>56</v>
      </c>
      <c r="G22" s="37" t="s">
        <v>156</v>
      </c>
      <c r="H22" s="1" t="s">
        <v>49</v>
      </c>
      <c r="I22" s="2" t="s">
        <v>184</v>
      </c>
      <c r="J22" s="65">
        <f>Uittrekstaat!F9</f>
        <v>111</v>
      </c>
      <c r="K22" s="3">
        <v>37.855620000000002</v>
      </c>
      <c r="L22" s="52">
        <f t="shared" si="0"/>
        <v>37855.620000000003</v>
      </c>
      <c r="M22" s="3"/>
      <c r="N22" s="52"/>
      <c r="O22" s="2" t="s">
        <v>184</v>
      </c>
      <c r="P22" s="2" t="s">
        <v>194</v>
      </c>
      <c r="Q22" s="22">
        <v>8</v>
      </c>
      <c r="R22" s="22">
        <v>2</v>
      </c>
      <c r="S22" s="65"/>
      <c r="T22" s="64"/>
    </row>
    <row r="23" spans="1:20" x14ac:dyDescent="0.25">
      <c r="A23" s="39"/>
      <c r="B23" s="39"/>
      <c r="C23" s="39" t="s">
        <v>61</v>
      </c>
      <c r="D23" s="35">
        <v>22</v>
      </c>
      <c r="E23" s="36" t="s">
        <v>61</v>
      </c>
      <c r="G23" s="37"/>
      <c r="J23" s="65">
        <v>0</v>
      </c>
      <c r="K23" s="3">
        <v>42.772140000000007</v>
      </c>
      <c r="L23" s="52">
        <f t="shared" ref="L23:L29" si="2">SUM(K23*1000)</f>
        <v>42772.140000000007</v>
      </c>
      <c r="M23" s="3"/>
      <c r="N23" s="52"/>
      <c r="O23" s="2"/>
      <c r="P23" s="2"/>
      <c r="Q23" s="22"/>
      <c r="R23" s="22"/>
      <c r="S23" s="65"/>
      <c r="T23" s="64"/>
    </row>
    <row r="24" spans="1:20" x14ac:dyDescent="0.25">
      <c r="A24" s="39"/>
      <c r="B24" s="39"/>
      <c r="C24" s="39" t="s">
        <v>123</v>
      </c>
      <c r="D24" s="10">
        <v>22.1</v>
      </c>
      <c r="E24" s="38" t="s">
        <v>62</v>
      </c>
      <c r="F24" s="29" t="s">
        <v>47</v>
      </c>
      <c r="G24" s="37" t="s">
        <v>159</v>
      </c>
      <c r="H24" s="1" t="s">
        <v>55</v>
      </c>
      <c r="I24" s="2" t="s">
        <v>184</v>
      </c>
      <c r="J24" s="65">
        <f>SUM(6+4+4+4+4)*2.6</f>
        <v>57.2</v>
      </c>
      <c r="K24" s="3">
        <v>24.024000000000001</v>
      </c>
      <c r="L24" s="52">
        <f t="shared" si="2"/>
        <v>24024</v>
      </c>
      <c r="M24" s="3"/>
      <c r="N24" s="52"/>
      <c r="O24" s="2" t="s">
        <v>387</v>
      </c>
      <c r="P24" s="2" t="s">
        <v>195</v>
      </c>
      <c r="Q24" s="22">
        <v>5</v>
      </c>
      <c r="R24" s="22">
        <v>5</v>
      </c>
      <c r="S24" s="65">
        <v>10</v>
      </c>
      <c r="T24" s="64"/>
    </row>
    <row r="25" spans="1:20" x14ac:dyDescent="0.25">
      <c r="A25" s="39"/>
      <c r="B25" s="39"/>
      <c r="C25" s="39" t="s">
        <v>123</v>
      </c>
      <c r="D25" s="10">
        <v>22.1</v>
      </c>
      <c r="E25" s="38" t="s">
        <v>344</v>
      </c>
      <c r="F25" s="29" t="s">
        <v>47</v>
      </c>
      <c r="G25" s="37" t="s">
        <v>159</v>
      </c>
      <c r="H25" s="70" t="s">
        <v>55</v>
      </c>
      <c r="I25" s="71" t="s">
        <v>184</v>
      </c>
      <c r="J25" s="65">
        <f>SUM(6+4+4+4+4)*1</f>
        <v>22</v>
      </c>
      <c r="K25" s="60">
        <v>3.2339999999999994E-2</v>
      </c>
      <c r="L25" s="73">
        <f t="shared" ref="L25" si="3">SUM(K25*1000)</f>
        <v>32.339999999999996</v>
      </c>
      <c r="M25" s="60"/>
      <c r="N25" s="52"/>
      <c r="O25" s="2" t="s">
        <v>195</v>
      </c>
      <c r="P25" s="2" t="s">
        <v>195</v>
      </c>
      <c r="Q25" s="22">
        <v>5</v>
      </c>
      <c r="R25" s="22">
        <v>5</v>
      </c>
      <c r="S25" s="65">
        <v>10</v>
      </c>
      <c r="T25" s="64"/>
    </row>
    <row r="26" spans="1:20" x14ac:dyDescent="0.25">
      <c r="A26" s="39" t="s">
        <v>44</v>
      </c>
      <c r="B26" s="39"/>
      <c r="C26" s="39" t="s">
        <v>123</v>
      </c>
      <c r="D26" s="10">
        <v>22.1</v>
      </c>
      <c r="E26" t="s">
        <v>193</v>
      </c>
      <c r="F26" s="29" t="s">
        <v>60</v>
      </c>
      <c r="G26" s="37" t="s">
        <v>164</v>
      </c>
      <c r="H26" s="70" t="s">
        <v>55</v>
      </c>
      <c r="I26" s="71" t="s">
        <v>184</v>
      </c>
      <c r="J26" s="72">
        <f>J25</f>
        <v>22</v>
      </c>
      <c r="K26" s="60">
        <v>0.495</v>
      </c>
      <c r="L26" s="73">
        <f t="shared" ref="L26" si="4">SUM(K26*1000)</f>
        <v>495</v>
      </c>
      <c r="M26" s="60"/>
      <c r="N26" s="52"/>
      <c r="O26" s="2" t="s">
        <v>184</v>
      </c>
      <c r="P26" s="2" t="s">
        <v>195</v>
      </c>
      <c r="Q26" s="22">
        <v>5</v>
      </c>
      <c r="R26" s="22">
        <v>5</v>
      </c>
      <c r="S26" s="65">
        <v>10</v>
      </c>
      <c r="T26" s="64"/>
    </row>
    <row r="27" spans="1:20" x14ac:dyDescent="0.25">
      <c r="A27" s="39"/>
      <c r="B27" s="39"/>
      <c r="C27" s="39" t="s">
        <v>123</v>
      </c>
      <c r="D27" s="10">
        <v>22.1</v>
      </c>
      <c r="E27" s="38" t="s">
        <v>63</v>
      </c>
      <c r="F27" s="70" t="s">
        <v>51</v>
      </c>
      <c r="G27" s="37" t="s">
        <v>157</v>
      </c>
      <c r="H27" s="1" t="s">
        <v>49</v>
      </c>
      <c r="I27" s="2" t="s">
        <v>184</v>
      </c>
      <c r="J27" s="65">
        <f>SUM(7.2+7.2+7.2+7.2+4+4+3+2+2)*2.6</f>
        <v>113.88</v>
      </c>
      <c r="K27" s="3">
        <v>18.220800000000004</v>
      </c>
      <c r="L27" s="52">
        <f t="shared" si="2"/>
        <v>18220.800000000003</v>
      </c>
      <c r="M27" s="3"/>
      <c r="N27" s="52"/>
      <c r="O27" s="2" t="s">
        <v>184</v>
      </c>
      <c r="P27" s="2" t="s">
        <v>194</v>
      </c>
      <c r="Q27" s="22">
        <v>8</v>
      </c>
      <c r="R27" s="22">
        <v>2</v>
      </c>
      <c r="S27" s="65">
        <v>9</v>
      </c>
      <c r="T27" s="64"/>
    </row>
    <row r="28" spans="1:20" x14ac:dyDescent="0.25">
      <c r="A28" s="39"/>
      <c r="B28" s="39"/>
      <c r="C28" s="39" t="s">
        <v>64</v>
      </c>
      <c r="D28" s="35">
        <v>23</v>
      </c>
      <c r="E28" s="36" t="s">
        <v>64</v>
      </c>
      <c r="G28" s="37"/>
      <c r="J28" s="65">
        <v>0</v>
      </c>
      <c r="K28" s="3">
        <v>1803.8309999999999</v>
      </c>
      <c r="L28" s="52">
        <f t="shared" si="2"/>
        <v>1803831</v>
      </c>
      <c r="M28" s="3"/>
      <c r="N28" s="52"/>
      <c r="O28" s="2"/>
      <c r="P28" s="2"/>
      <c r="Q28" s="22"/>
      <c r="R28" s="22"/>
      <c r="S28" s="65"/>
      <c r="T28" s="64"/>
    </row>
    <row r="29" spans="1:20" x14ac:dyDescent="0.25">
      <c r="A29" s="39"/>
      <c r="B29" s="39"/>
      <c r="C29" s="39" t="s">
        <v>124</v>
      </c>
      <c r="D29" s="10">
        <v>23.2</v>
      </c>
      <c r="E29" s="38" t="s">
        <v>65</v>
      </c>
      <c r="F29" s="70" t="s">
        <v>56</v>
      </c>
      <c r="G29" s="37" t="s">
        <v>156</v>
      </c>
      <c r="H29" s="1" t="s">
        <v>49</v>
      </c>
      <c r="I29" s="2" t="s">
        <v>184</v>
      </c>
      <c r="J29" s="65">
        <f>SUM(58/2)*16</f>
        <v>464</v>
      </c>
      <c r="K29" s="3">
        <v>222.72</v>
      </c>
      <c r="L29" s="52">
        <f t="shared" si="2"/>
        <v>222720</v>
      </c>
      <c r="M29" s="3"/>
      <c r="N29" s="52"/>
      <c r="O29" s="2" t="s">
        <v>184</v>
      </c>
      <c r="P29" s="2" t="s">
        <v>194</v>
      </c>
      <c r="Q29" s="22">
        <v>8</v>
      </c>
      <c r="R29" s="22">
        <v>2</v>
      </c>
      <c r="S29" s="65">
        <v>9</v>
      </c>
      <c r="T29" s="64"/>
    </row>
    <row r="30" spans="1:20" x14ac:dyDescent="0.25">
      <c r="A30" s="39"/>
      <c r="B30" s="39"/>
      <c r="C30" s="39" t="s">
        <v>122</v>
      </c>
      <c r="D30" s="10" t="s">
        <v>476</v>
      </c>
      <c r="E30" s="38" t="s">
        <v>477</v>
      </c>
      <c r="F30" s="29" t="s">
        <v>60</v>
      </c>
      <c r="G30" s="37" t="s">
        <v>164</v>
      </c>
      <c r="H30" s="1" t="s">
        <v>55</v>
      </c>
      <c r="I30" s="2" t="s">
        <v>184</v>
      </c>
      <c r="J30" s="65">
        <f>J29</f>
        <v>464</v>
      </c>
      <c r="K30" s="3">
        <v>1.4848000000000001</v>
      </c>
      <c r="L30" s="52">
        <f t="shared" ref="L30" si="5">SUM(K30*1000)</f>
        <v>1484.8000000000002</v>
      </c>
      <c r="M30" s="3"/>
      <c r="N30" s="52"/>
      <c r="O30" s="2"/>
      <c r="P30" s="2" t="s">
        <v>195</v>
      </c>
      <c r="Q30" s="22"/>
      <c r="R30" s="22">
        <v>3</v>
      </c>
      <c r="S30" s="65">
        <v>9</v>
      </c>
      <c r="T30" s="64"/>
    </row>
    <row r="31" spans="1:20" x14ac:dyDescent="0.25">
      <c r="A31" s="39"/>
      <c r="B31" s="39"/>
      <c r="C31" s="39" t="s">
        <v>124</v>
      </c>
      <c r="D31" s="10">
        <v>23.2</v>
      </c>
      <c r="E31" s="38" t="s">
        <v>66</v>
      </c>
      <c r="F31" s="70" t="s">
        <v>56</v>
      </c>
      <c r="G31" s="37" t="s">
        <v>156</v>
      </c>
      <c r="I31" s="2" t="s">
        <v>184</v>
      </c>
      <c r="J31" s="65">
        <f>Uittrekstaat!G49</f>
        <v>39.635999999999996</v>
      </c>
      <c r="K31" s="3">
        <v>17.836199999999998</v>
      </c>
      <c r="L31" s="52">
        <f t="shared" ref="L31:L54" si="6">SUM(K31*1000)</f>
        <v>17836.199999999997</v>
      </c>
      <c r="M31" s="3" t="s">
        <v>353</v>
      </c>
      <c r="N31" s="52"/>
      <c r="O31" s="2" t="s">
        <v>184</v>
      </c>
      <c r="P31" s="2" t="s">
        <v>184</v>
      </c>
      <c r="Q31" s="22">
        <v>5</v>
      </c>
      <c r="R31" s="22">
        <v>2</v>
      </c>
      <c r="S31" s="65">
        <v>115</v>
      </c>
      <c r="T31" s="64"/>
    </row>
    <row r="32" spans="1:20" x14ac:dyDescent="0.25">
      <c r="A32" s="39"/>
      <c r="B32" s="39"/>
      <c r="C32" s="39" t="s">
        <v>124</v>
      </c>
      <c r="D32" s="10">
        <v>23.2</v>
      </c>
      <c r="E32" s="38" t="s">
        <v>369</v>
      </c>
      <c r="F32" s="70" t="s">
        <v>56</v>
      </c>
      <c r="G32" s="37" t="s">
        <v>156</v>
      </c>
      <c r="H32" s="70"/>
      <c r="I32" s="71" t="s">
        <v>184</v>
      </c>
      <c r="J32" s="72">
        <f>Uittrekstaat!F66</f>
        <v>5</v>
      </c>
      <c r="K32" s="3">
        <v>62.92</v>
      </c>
      <c r="L32" s="52">
        <f>SUM(K32*1000)</f>
        <v>62920</v>
      </c>
      <c r="M32" s="3"/>
      <c r="N32" s="52"/>
      <c r="O32" s="2" t="s">
        <v>184</v>
      </c>
      <c r="P32" s="2" t="s">
        <v>184</v>
      </c>
      <c r="Q32" s="22">
        <v>5</v>
      </c>
      <c r="R32" s="22">
        <v>2</v>
      </c>
      <c r="S32" s="65">
        <v>46</v>
      </c>
      <c r="T32" s="64"/>
    </row>
    <row r="33" spans="1:20" x14ac:dyDescent="0.25">
      <c r="A33" s="39"/>
      <c r="B33" s="39"/>
      <c r="C33" s="39"/>
      <c r="D33" s="10">
        <v>24.2</v>
      </c>
      <c r="E33" s="38" t="s">
        <v>370</v>
      </c>
      <c r="F33" s="70" t="s">
        <v>165</v>
      </c>
      <c r="G33" s="37" t="s">
        <v>156</v>
      </c>
      <c r="H33" s="70"/>
      <c r="I33" s="71" t="s">
        <v>184</v>
      </c>
      <c r="J33" s="72">
        <f>Uittrekstaat!F67</f>
        <v>25</v>
      </c>
      <c r="K33" s="3">
        <v>315.7</v>
      </c>
      <c r="L33" s="52">
        <f t="shared" ref="L33:L49" si="7">SUM(K33*1000)</f>
        <v>315700</v>
      </c>
      <c r="M33" s="3"/>
      <c r="N33" s="52"/>
      <c r="O33" s="2" t="s">
        <v>184</v>
      </c>
      <c r="P33" s="2" t="s">
        <v>184</v>
      </c>
      <c r="Q33" s="22">
        <v>5</v>
      </c>
      <c r="R33" s="22">
        <v>2</v>
      </c>
      <c r="S33" s="65">
        <v>46</v>
      </c>
      <c r="T33" s="64"/>
    </row>
    <row r="34" spans="1:20" x14ac:dyDescent="0.25">
      <c r="A34" s="39"/>
      <c r="B34" s="39"/>
      <c r="C34" s="39"/>
      <c r="D34" s="10">
        <v>25.2</v>
      </c>
      <c r="E34" s="38" t="s">
        <v>371</v>
      </c>
      <c r="F34" s="70" t="s">
        <v>354</v>
      </c>
      <c r="G34" s="37" t="s">
        <v>156</v>
      </c>
      <c r="H34" s="70"/>
      <c r="I34" s="71" t="s">
        <v>184</v>
      </c>
      <c r="J34" s="72">
        <f>Uittrekstaat!F68</f>
        <v>5</v>
      </c>
      <c r="K34" s="3">
        <v>63.14</v>
      </c>
      <c r="L34" s="52">
        <f t="shared" si="7"/>
        <v>63140</v>
      </c>
      <c r="M34" s="3"/>
      <c r="N34" s="52"/>
      <c r="O34" s="2" t="s">
        <v>184</v>
      </c>
      <c r="P34" s="2" t="s">
        <v>184</v>
      </c>
      <c r="Q34" s="22">
        <v>5</v>
      </c>
      <c r="R34" s="22">
        <v>2</v>
      </c>
      <c r="S34" s="65">
        <v>46</v>
      </c>
      <c r="T34" s="64"/>
    </row>
    <row r="35" spans="1:20" x14ac:dyDescent="0.25">
      <c r="A35" s="39"/>
      <c r="B35" s="39"/>
      <c r="C35" s="39"/>
      <c r="D35" s="10">
        <v>26.2</v>
      </c>
      <c r="E35" s="38" t="s">
        <v>372</v>
      </c>
      <c r="F35" s="70" t="s">
        <v>166</v>
      </c>
      <c r="G35" s="37" t="s">
        <v>156</v>
      </c>
      <c r="H35" s="70"/>
      <c r="I35" s="71" t="s">
        <v>184</v>
      </c>
      <c r="J35" s="72">
        <f>Uittrekstaat!F69</f>
        <v>2</v>
      </c>
      <c r="K35" s="3">
        <v>25.256</v>
      </c>
      <c r="L35" s="52">
        <f t="shared" si="7"/>
        <v>25256</v>
      </c>
      <c r="M35" s="3"/>
      <c r="N35" s="52"/>
      <c r="O35" s="2" t="s">
        <v>184</v>
      </c>
      <c r="P35" s="2" t="s">
        <v>184</v>
      </c>
      <c r="Q35" s="22">
        <v>5</v>
      </c>
      <c r="R35" s="22">
        <v>2</v>
      </c>
      <c r="S35" s="65">
        <v>46</v>
      </c>
      <c r="T35" s="64"/>
    </row>
    <row r="36" spans="1:20" x14ac:dyDescent="0.25">
      <c r="A36" s="39"/>
      <c r="B36" s="39"/>
      <c r="C36" s="39"/>
      <c r="D36" s="10">
        <v>27.2</v>
      </c>
      <c r="E36" s="38" t="s">
        <v>373</v>
      </c>
      <c r="F36" s="70" t="s">
        <v>355</v>
      </c>
      <c r="G36" s="37" t="s">
        <v>156</v>
      </c>
      <c r="H36" s="70"/>
      <c r="I36" s="71" t="s">
        <v>184</v>
      </c>
      <c r="J36" s="72">
        <f>Uittrekstaat!F70</f>
        <v>3</v>
      </c>
      <c r="K36" s="3">
        <v>37.884</v>
      </c>
      <c r="L36" s="52">
        <f t="shared" si="7"/>
        <v>37884</v>
      </c>
      <c r="M36" s="3"/>
      <c r="N36" s="52"/>
      <c r="O36" s="2" t="s">
        <v>184</v>
      </c>
      <c r="P36" s="2" t="s">
        <v>184</v>
      </c>
      <c r="Q36" s="22">
        <v>5</v>
      </c>
      <c r="R36" s="22">
        <v>2</v>
      </c>
      <c r="S36" s="65">
        <v>46</v>
      </c>
      <c r="T36" s="64"/>
    </row>
    <row r="37" spans="1:20" x14ac:dyDescent="0.25">
      <c r="A37" s="39"/>
      <c r="B37" s="39"/>
      <c r="C37" s="39"/>
      <c r="D37" s="10">
        <v>28.2</v>
      </c>
      <c r="E37" s="38" t="s">
        <v>374</v>
      </c>
      <c r="F37" s="70" t="s">
        <v>356</v>
      </c>
      <c r="G37" s="37" t="s">
        <v>156</v>
      </c>
      <c r="H37" s="70"/>
      <c r="I37" s="71" t="s">
        <v>184</v>
      </c>
      <c r="J37" s="72">
        <f>Uittrekstaat!F71</f>
        <v>20</v>
      </c>
      <c r="K37" s="3">
        <v>252.56</v>
      </c>
      <c r="L37" s="52">
        <f t="shared" si="7"/>
        <v>252560</v>
      </c>
      <c r="M37" s="3"/>
      <c r="N37" s="52"/>
      <c r="O37" s="2" t="s">
        <v>184</v>
      </c>
      <c r="P37" s="2" t="s">
        <v>184</v>
      </c>
      <c r="Q37" s="22">
        <v>5</v>
      </c>
      <c r="R37" s="22">
        <v>2</v>
      </c>
      <c r="S37" s="65">
        <v>46</v>
      </c>
      <c r="T37" s="64"/>
    </row>
    <row r="38" spans="1:20" x14ac:dyDescent="0.25">
      <c r="A38" s="39"/>
      <c r="B38" s="39"/>
      <c r="C38" s="39"/>
      <c r="D38" s="10">
        <v>29.2</v>
      </c>
      <c r="E38" s="38" t="s">
        <v>375</v>
      </c>
      <c r="F38" s="70" t="s">
        <v>357</v>
      </c>
      <c r="G38" s="37" t="s">
        <v>156</v>
      </c>
      <c r="H38" s="70"/>
      <c r="I38" s="71" t="s">
        <v>184</v>
      </c>
      <c r="J38" s="72">
        <f>Uittrekstaat!F72</f>
        <v>5</v>
      </c>
      <c r="K38" s="3">
        <v>62.92</v>
      </c>
      <c r="L38" s="52">
        <f t="shared" si="7"/>
        <v>62920</v>
      </c>
      <c r="M38" s="3"/>
      <c r="N38" s="52"/>
      <c r="O38" s="2" t="s">
        <v>184</v>
      </c>
      <c r="P38" s="2" t="s">
        <v>184</v>
      </c>
      <c r="Q38" s="22">
        <v>5</v>
      </c>
      <c r="R38" s="22">
        <v>2</v>
      </c>
      <c r="S38" s="65">
        <v>46</v>
      </c>
      <c r="T38" s="64"/>
    </row>
    <row r="39" spans="1:20" x14ac:dyDescent="0.25">
      <c r="A39" s="39"/>
      <c r="B39" s="39"/>
      <c r="C39" s="39"/>
      <c r="D39" s="10">
        <v>30.2</v>
      </c>
      <c r="E39" s="38" t="s">
        <v>376</v>
      </c>
      <c r="F39" s="70" t="s">
        <v>358</v>
      </c>
      <c r="G39" s="37" t="s">
        <v>156</v>
      </c>
      <c r="H39" s="70"/>
      <c r="I39" s="71" t="s">
        <v>184</v>
      </c>
      <c r="J39" s="72">
        <f>Uittrekstaat!F73</f>
        <v>20</v>
      </c>
      <c r="K39" s="3">
        <v>252.56</v>
      </c>
      <c r="L39" s="52">
        <f t="shared" si="7"/>
        <v>252560</v>
      </c>
      <c r="M39" s="3" t="s">
        <v>445</v>
      </c>
      <c r="N39" s="52"/>
      <c r="O39" s="2" t="s">
        <v>184</v>
      </c>
      <c r="P39" s="2" t="s">
        <v>184</v>
      </c>
      <c r="Q39" s="22">
        <v>5</v>
      </c>
      <c r="R39" s="22">
        <v>2</v>
      </c>
      <c r="S39" s="65">
        <v>68</v>
      </c>
      <c r="T39" s="64"/>
    </row>
    <row r="40" spans="1:20" x14ac:dyDescent="0.25">
      <c r="A40" s="39"/>
      <c r="B40" s="39"/>
      <c r="C40" s="39"/>
      <c r="D40" s="10">
        <v>31.2</v>
      </c>
      <c r="E40" s="38" t="s">
        <v>377</v>
      </c>
      <c r="F40" s="70" t="s">
        <v>359</v>
      </c>
      <c r="G40" s="37" t="s">
        <v>156</v>
      </c>
      <c r="H40" s="70"/>
      <c r="I40" s="71" t="s">
        <v>184</v>
      </c>
      <c r="J40" s="72">
        <f>Uittrekstaat!F74</f>
        <v>5</v>
      </c>
      <c r="K40" s="3">
        <v>62.92</v>
      </c>
      <c r="L40" s="52">
        <f t="shared" si="7"/>
        <v>62920</v>
      </c>
      <c r="M40" s="3"/>
      <c r="N40" s="52"/>
      <c r="O40" s="2" t="s">
        <v>184</v>
      </c>
      <c r="P40" s="2" t="s">
        <v>184</v>
      </c>
      <c r="Q40" s="22">
        <v>5</v>
      </c>
      <c r="R40" s="22">
        <v>2</v>
      </c>
      <c r="S40" s="65">
        <v>46</v>
      </c>
      <c r="T40" s="64"/>
    </row>
    <row r="41" spans="1:20" x14ac:dyDescent="0.25">
      <c r="A41" s="39"/>
      <c r="B41" s="39"/>
      <c r="C41" s="39"/>
      <c r="D41" s="10">
        <v>32.200000000000003</v>
      </c>
      <c r="E41" s="38" t="s">
        <v>378</v>
      </c>
      <c r="F41" s="70" t="s">
        <v>360</v>
      </c>
      <c r="G41" s="37" t="s">
        <v>156</v>
      </c>
      <c r="H41" s="70"/>
      <c r="I41" s="71" t="s">
        <v>184</v>
      </c>
      <c r="J41" s="72">
        <f>Uittrekstaat!F75</f>
        <v>2</v>
      </c>
      <c r="K41" s="3">
        <v>25.27</v>
      </c>
      <c r="L41" s="52">
        <f t="shared" si="7"/>
        <v>25270</v>
      </c>
      <c r="M41" s="3"/>
      <c r="N41" s="52"/>
      <c r="O41" s="2" t="s">
        <v>184</v>
      </c>
      <c r="P41" s="2" t="s">
        <v>184</v>
      </c>
      <c r="Q41" s="22">
        <v>5</v>
      </c>
      <c r="R41" s="22">
        <v>2</v>
      </c>
      <c r="S41" s="65">
        <v>46</v>
      </c>
      <c r="T41" s="64"/>
    </row>
    <row r="42" spans="1:20" x14ac:dyDescent="0.25">
      <c r="A42" s="39"/>
      <c r="B42" s="39"/>
      <c r="C42" s="39"/>
      <c r="D42" s="10">
        <v>33.200000000000003</v>
      </c>
      <c r="E42" s="38" t="s">
        <v>379</v>
      </c>
      <c r="F42" s="70" t="s">
        <v>361</v>
      </c>
      <c r="G42" s="37" t="s">
        <v>156</v>
      </c>
      <c r="H42" s="70"/>
      <c r="I42" s="71" t="s">
        <v>184</v>
      </c>
      <c r="J42" s="72">
        <f>Uittrekstaat!F76</f>
        <v>2</v>
      </c>
      <c r="K42" s="3">
        <v>25.27</v>
      </c>
      <c r="L42" s="52">
        <f t="shared" si="7"/>
        <v>25270</v>
      </c>
      <c r="M42" s="3"/>
      <c r="N42" s="52"/>
      <c r="O42" s="2" t="s">
        <v>184</v>
      </c>
      <c r="P42" s="2" t="s">
        <v>184</v>
      </c>
      <c r="Q42" s="22">
        <v>5</v>
      </c>
      <c r="R42" s="22">
        <v>2</v>
      </c>
      <c r="S42" s="65">
        <v>46</v>
      </c>
      <c r="T42" s="64"/>
    </row>
    <row r="43" spans="1:20" x14ac:dyDescent="0.25">
      <c r="A43" s="39"/>
      <c r="B43" s="39"/>
      <c r="C43" s="39"/>
      <c r="D43" s="10">
        <v>34.200000000000003</v>
      </c>
      <c r="E43" s="38" t="s">
        <v>380</v>
      </c>
      <c r="F43" s="70" t="s">
        <v>362</v>
      </c>
      <c r="G43" s="37" t="s">
        <v>156</v>
      </c>
      <c r="H43" s="70"/>
      <c r="I43" s="71" t="s">
        <v>184</v>
      </c>
      <c r="J43" s="72">
        <f>Uittrekstaat!F77</f>
        <v>2</v>
      </c>
      <c r="K43" s="3">
        <v>25</v>
      </c>
      <c r="L43" s="52">
        <f t="shared" si="7"/>
        <v>25000</v>
      </c>
      <c r="M43" s="3"/>
      <c r="N43" s="52"/>
      <c r="O43" s="2" t="s">
        <v>184</v>
      </c>
      <c r="P43" s="2" t="s">
        <v>184</v>
      </c>
      <c r="Q43" s="22">
        <v>5</v>
      </c>
      <c r="R43" s="22">
        <v>2</v>
      </c>
      <c r="S43" s="65">
        <v>46</v>
      </c>
      <c r="T43" s="64"/>
    </row>
    <row r="44" spans="1:20" x14ac:dyDescent="0.25">
      <c r="A44" s="39"/>
      <c r="B44" s="39"/>
      <c r="C44" s="39"/>
      <c r="D44" s="10">
        <v>35.200000000000003</v>
      </c>
      <c r="E44" s="38" t="s">
        <v>381</v>
      </c>
      <c r="F44" s="70" t="s">
        <v>363</v>
      </c>
      <c r="G44" s="37" t="s">
        <v>156</v>
      </c>
      <c r="H44" s="70"/>
      <c r="I44" s="71" t="s">
        <v>184</v>
      </c>
      <c r="J44" s="72">
        <f>Uittrekstaat!F78</f>
        <v>3</v>
      </c>
      <c r="K44" s="3">
        <v>26.094000000000001</v>
      </c>
      <c r="L44" s="52">
        <f t="shared" si="7"/>
        <v>26094</v>
      </c>
      <c r="M44" s="3"/>
      <c r="N44" s="52"/>
      <c r="O44" s="2" t="s">
        <v>184</v>
      </c>
      <c r="P44" s="2" t="s">
        <v>184</v>
      </c>
      <c r="Q44" s="22">
        <v>5</v>
      </c>
      <c r="R44" s="22">
        <v>2</v>
      </c>
      <c r="S44" s="65">
        <v>46</v>
      </c>
      <c r="T44" s="64"/>
    </row>
    <row r="45" spans="1:20" x14ac:dyDescent="0.25">
      <c r="A45" s="39"/>
      <c r="B45" s="39"/>
      <c r="C45" s="39"/>
      <c r="D45" s="10">
        <v>36.200000000000003</v>
      </c>
      <c r="E45" s="38" t="s">
        <v>382</v>
      </c>
      <c r="F45" s="70" t="s">
        <v>364</v>
      </c>
      <c r="G45" s="37" t="s">
        <v>156</v>
      </c>
      <c r="H45" s="70"/>
      <c r="I45" s="71" t="s">
        <v>184</v>
      </c>
      <c r="J45" s="72">
        <f>Uittrekstaat!F79</f>
        <v>3</v>
      </c>
      <c r="K45" s="3">
        <v>24.36</v>
      </c>
      <c r="L45" s="52">
        <f t="shared" si="7"/>
        <v>24360</v>
      </c>
      <c r="M45" s="3"/>
      <c r="N45" s="52"/>
      <c r="O45" s="2" t="s">
        <v>184</v>
      </c>
      <c r="P45" s="2" t="s">
        <v>184</v>
      </c>
      <c r="Q45" s="22">
        <v>5</v>
      </c>
      <c r="R45" s="22">
        <v>2</v>
      </c>
      <c r="S45" s="65">
        <v>46</v>
      </c>
      <c r="T45" s="64"/>
    </row>
    <row r="46" spans="1:20" x14ac:dyDescent="0.25">
      <c r="A46" s="39"/>
      <c r="B46" s="39"/>
      <c r="C46" s="39"/>
      <c r="D46" s="10">
        <v>37.200000000000003</v>
      </c>
      <c r="E46" s="38" t="s">
        <v>383</v>
      </c>
      <c r="F46" s="70" t="s">
        <v>365</v>
      </c>
      <c r="G46" s="37" t="s">
        <v>156</v>
      </c>
      <c r="H46" s="70"/>
      <c r="I46" s="71" t="s">
        <v>184</v>
      </c>
      <c r="J46" s="72">
        <f>Uittrekstaat!F80</f>
        <v>3</v>
      </c>
      <c r="K46" s="3">
        <v>25.686</v>
      </c>
      <c r="L46" s="52">
        <f t="shared" si="7"/>
        <v>25686</v>
      </c>
      <c r="M46" s="3"/>
      <c r="N46" s="52"/>
      <c r="O46" s="2" t="s">
        <v>184</v>
      </c>
      <c r="P46" s="2" t="s">
        <v>184</v>
      </c>
      <c r="Q46" s="22">
        <v>5</v>
      </c>
      <c r="R46" s="22">
        <v>2</v>
      </c>
      <c r="S46" s="65">
        <v>46</v>
      </c>
      <c r="T46" s="64"/>
    </row>
    <row r="47" spans="1:20" x14ac:dyDescent="0.25">
      <c r="A47" s="39"/>
      <c r="B47" s="39"/>
      <c r="C47" s="39"/>
      <c r="D47" s="10">
        <v>38.200000000000003</v>
      </c>
      <c r="E47" s="38" t="s">
        <v>384</v>
      </c>
      <c r="F47" s="70" t="s">
        <v>366</v>
      </c>
      <c r="G47" s="37" t="s">
        <v>156</v>
      </c>
      <c r="H47" s="70"/>
      <c r="I47" s="71" t="s">
        <v>184</v>
      </c>
      <c r="J47" s="72">
        <f>Uittrekstaat!F81</f>
        <v>5</v>
      </c>
      <c r="K47" s="3">
        <v>63.174999999999997</v>
      </c>
      <c r="L47" s="52">
        <f t="shared" si="7"/>
        <v>63175</v>
      </c>
      <c r="M47" s="3"/>
      <c r="N47" s="52"/>
      <c r="O47" s="2" t="s">
        <v>184</v>
      </c>
      <c r="P47" s="2" t="s">
        <v>184</v>
      </c>
      <c r="Q47" s="22">
        <v>5</v>
      </c>
      <c r="R47" s="22">
        <v>2</v>
      </c>
      <c r="S47" s="65">
        <v>46</v>
      </c>
      <c r="T47" s="64"/>
    </row>
    <row r="48" spans="1:20" x14ac:dyDescent="0.25">
      <c r="A48" s="39"/>
      <c r="B48" s="39"/>
      <c r="C48" s="39"/>
      <c r="D48" s="10">
        <v>39.200000000000003</v>
      </c>
      <c r="E48" s="38" t="s">
        <v>385</v>
      </c>
      <c r="F48" s="70" t="s">
        <v>367</v>
      </c>
      <c r="G48" s="37" t="s">
        <v>156</v>
      </c>
      <c r="H48" s="70"/>
      <c r="I48" s="71" t="s">
        <v>184</v>
      </c>
      <c r="J48" s="72">
        <f>Uittrekstaat!F82</f>
        <v>5</v>
      </c>
      <c r="K48" s="3">
        <v>59.965000000000003</v>
      </c>
      <c r="L48" s="52">
        <f t="shared" si="7"/>
        <v>59965</v>
      </c>
      <c r="M48" s="3"/>
      <c r="N48" s="52"/>
      <c r="O48" s="2" t="s">
        <v>184</v>
      </c>
      <c r="P48" s="2" t="s">
        <v>184</v>
      </c>
      <c r="Q48" s="22">
        <v>5</v>
      </c>
      <c r="R48" s="22">
        <v>2</v>
      </c>
      <c r="S48" s="65">
        <v>46</v>
      </c>
      <c r="T48" s="64"/>
    </row>
    <row r="49" spans="1:20" x14ac:dyDescent="0.25">
      <c r="A49" s="39"/>
      <c r="B49" s="39"/>
      <c r="C49" s="39"/>
      <c r="D49" s="10">
        <v>40.200000000000003</v>
      </c>
      <c r="E49" s="38" t="s">
        <v>386</v>
      </c>
      <c r="F49" s="70" t="s">
        <v>368</v>
      </c>
      <c r="G49" s="37" t="s">
        <v>156</v>
      </c>
      <c r="H49" s="70"/>
      <c r="I49" s="71" t="s">
        <v>184</v>
      </c>
      <c r="J49" s="72">
        <f>Uittrekstaat!F83</f>
        <v>5</v>
      </c>
      <c r="K49" s="3">
        <v>62.505000000000003</v>
      </c>
      <c r="L49" s="52">
        <f t="shared" si="7"/>
        <v>62505</v>
      </c>
      <c r="M49" s="3"/>
      <c r="N49" s="52"/>
      <c r="O49" s="2" t="s">
        <v>184</v>
      </c>
      <c r="P49" s="2" t="s">
        <v>184</v>
      </c>
      <c r="Q49" s="22">
        <v>5</v>
      </c>
      <c r="R49" s="22">
        <v>2</v>
      </c>
      <c r="S49" s="65">
        <v>46</v>
      </c>
      <c r="T49" s="64"/>
    </row>
    <row r="50" spans="1:20" x14ac:dyDescent="0.25">
      <c r="A50" s="39"/>
      <c r="B50" s="39"/>
      <c r="C50" s="39" t="s">
        <v>124</v>
      </c>
      <c r="D50" s="10">
        <v>23.2</v>
      </c>
      <c r="E50" s="38" t="s">
        <v>351</v>
      </c>
      <c r="F50" s="70" t="s">
        <v>56</v>
      </c>
      <c r="G50" s="37" t="s">
        <v>156</v>
      </c>
      <c r="I50" s="2" t="s">
        <v>184</v>
      </c>
      <c r="J50" s="65">
        <f>Uittrekstaat!G21</f>
        <v>40.274999999999999</v>
      </c>
      <c r="K50" s="3">
        <v>88.605000000000004</v>
      </c>
      <c r="L50" s="52">
        <f t="shared" si="6"/>
        <v>88605</v>
      </c>
      <c r="M50" s="3" t="s">
        <v>472</v>
      </c>
      <c r="N50" s="52"/>
      <c r="O50" s="2" t="s">
        <v>184</v>
      </c>
      <c r="P50" s="2" t="s">
        <v>194</v>
      </c>
      <c r="Q50" s="22">
        <v>8</v>
      </c>
      <c r="R50" s="22">
        <v>2</v>
      </c>
      <c r="S50" s="65">
        <v>31</v>
      </c>
      <c r="T50" s="64"/>
    </row>
    <row r="51" spans="1:20" x14ac:dyDescent="0.25">
      <c r="A51" s="39"/>
      <c r="B51" s="39"/>
      <c r="C51" s="39" t="s">
        <v>125</v>
      </c>
      <c r="D51" s="10">
        <v>24.1</v>
      </c>
      <c r="E51" s="38" t="s">
        <v>67</v>
      </c>
      <c r="F51" s="29" t="s">
        <v>45</v>
      </c>
      <c r="G51" s="37" t="s">
        <v>163</v>
      </c>
      <c r="H51" s="1" t="s">
        <v>55</v>
      </c>
      <c r="I51" s="2" t="s">
        <v>184</v>
      </c>
      <c r="J51" s="65">
        <v>2</v>
      </c>
      <c r="K51" s="3">
        <v>0.8</v>
      </c>
      <c r="L51" s="52">
        <f t="shared" si="6"/>
        <v>800</v>
      </c>
      <c r="M51" s="3"/>
      <c r="N51" s="52"/>
      <c r="O51" s="2" t="s">
        <v>195</v>
      </c>
      <c r="P51" s="2" t="s">
        <v>184</v>
      </c>
      <c r="Q51" s="22">
        <v>5</v>
      </c>
      <c r="R51" s="22">
        <v>5</v>
      </c>
      <c r="S51" s="65">
        <v>65</v>
      </c>
      <c r="T51" s="64"/>
    </row>
    <row r="52" spans="1:20" x14ac:dyDescent="0.25">
      <c r="A52" s="39"/>
      <c r="B52" s="39"/>
      <c r="C52" s="39" t="s">
        <v>125</v>
      </c>
      <c r="D52" s="10">
        <v>24.1</v>
      </c>
      <c r="E52" s="38" t="s">
        <v>67</v>
      </c>
      <c r="F52" s="29" t="s">
        <v>45</v>
      </c>
      <c r="G52" s="37" t="s">
        <v>163</v>
      </c>
      <c r="H52" s="1" t="s">
        <v>55</v>
      </c>
      <c r="I52" s="2" t="s">
        <v>184</v>
      </c>
      <c r="J52" s="65">
        <v>1</v>
      </c>
      <c r="K52" s="3">
        <v>0.25</v>
      </c>
      <c r="L52" s="52">
        <f t="shared" ref="L52" si="8">SUM(K52*1000)</f>
        <v>250</v>
      </c>
      <c r="M52" s="3"/>
      <c r="N52" s="52"/>
      <c r="O52" s="2" t="s">
        <v>195</v>
      </c>
      <c r="P52" s="2" t="s">
        <v>184</v>
      </c>
      <c r="Q52" s="22">
        <v>5</v>
      </c>
      <c r="R52" s="22">
        <v>5</v>
      </c>
      <c r="S52" s="65">
        <v>96</v>
      </c>
      <c r="T52" s="64"/>
    </row>
    <row r="53" spans="1:20" x14ac:dyDescent="0.25">
      <c r="A53" s="39"/>
      <c r="B53" s="39"/>
      <c r="C53" s="39" t="s">
        <v>125</v>
      </c>
      <c r="D53" s="10">
        <v>24.1</v>
      </c>
      <c r="E53" s="38" t="s">
        <v>425</v>
      </c>
      <c r="F53" s="29" t="s">
        <v>45</v>
      </c>
      <c r="G53" s="37" t="s">
        <v>163</v>
      </c>
      <c r="H53" s="1" t="s">
        <v>55</v>
      </c>
      <c r="I53" s="2" t="s">
        <v>184</v>
      </c>
      <c r="J53" s="65">
        <v>1</v>
      </c>
      <c r="K53" s="3">
        <v>0.25</v>
      </c>
      <c r="L53" s="52">
        <f t="shared" ref="L53" si="9">SUM(K53*1000)</f>
        <v>250</v>
      </c>
      <c r="M53" s="3"/>
      <c r="N53" s="52"/>
      <c r="O53" s="2" t="s">
        <v>195</v>
      </c>
      <c r="P53" s="2" t="s">
        <v>184</v>
      </c>
      <c r="Q53" s="22">
        <v>5</v>
      </c>
      <c r="R53" s="22">
        <v>5</v>
      </c>
      <c r="S53" s="65">
        <v>29</v>
      </c>
      <c r="T53" s="64"/>
    </row>
    <row r="54" spans="1:20" x14ac:dyDescent="0.25">
      <c r="A54" s="39"/>
      <c r="B54" s="39"/>
      <c r="C54" s="39" t="s">
        <v>125</v>
      </c>
      <c r="D54" s="10">
        <v>24.1</v>
      </c>
      <c r="E54" s="38" t="s">
        <v>352</v>
      </c>
      <c r="F54" s="70" t="s">
        <v>56</v>
      </c>
      <c r="G54" s="37" t="s">
        <v>156</v>
      </c>
      <c r="H54" s="1" t="s">
        <v>49</v>
      </c>
      <c r="I54" s="2" t="s">
        <v>184</v>
      </c>
      <c r="J54" s="65">
        <f>Uittrekstaat!G23</f>
        <v>2.2000000000000002</v>
      </c>
      <c r="K54" s="3">
        <v>5.28</v>
      </c>
      <c r="L54" s="52">
        <f t="shared" si="6"/>
        <v>5280</v>
      </c>
      <c r="M54" s="3"/>
      <c r="N54" s="52"/>
      <c r="O54" s="2" t="s">
        <v>195</v>
      </c>
      <c r="P54" s="2" t="s">
        <v>184</v>
      </c>
      <c r="Q54" s="22">
        <v>8</v>
      </c>
      <c r="R54" s="22">
        <v>5</v>
      </c>
      <c r="S54" s="65">
        <v>25</v>
      </c>
      <c r="T54" s="64"/>
    </row>
    <row r="55" spans="1:20" x14ac:dyDescent="0.25">
      <c r="A55" s="39"/>
      <c r="B55" s="39"/>
      <c r="C55" s="39" t="s">
        <v>125</v>
      </c>
      <c r="D55" s="10">
        <v>24.1</v>
      </c>
      <c r="E55" s="38" t="s">
        <v>405</v>
      </c>
      <c r="F55" s="70" t="s">
        <v>56</v>
      </c>
      <c r="G55" s="37" t="s">
        <v>156</v>
      </c>
      <c r="H55" s="1" t="s">
        <v>49</v>
      </c>
      <c r="I55" s="2" t="s">
        <v>184</v>
      </c>
      <c r="J55" s="65">
        <v>4</v>
      </c>
      <c r="K55" s="3">
        <v>4900</v>
      </c>
      <c r="L55" s="52">
        <f t="shared" ref="L55" si="10">SUM(K55*1000)</f>
        <v>4900000</v>
      </c>
      <c r="M55" s="3"/>
      <c r="N55" s="52"/>
      <c r="O55" s="2" t="s">
        <v>184</v>
      </c>
      <c r="P55" s="2" t="s">
        <v>184</v>
      </c>
      <c r="Q55" s="22">
        <v>5</v>
      </c>
      <c r="R55" s="22">
        <v>5</v>
      </c>
      <c r="S55" s="65">
        <v>129</v>
      </c>
      <c r="T55" s="64"/>
    </row>
    <row r="56" spans="1:20" x14ac:dyDescent="0.25">
      <c r="A56" s="39"/>
      <c r="B56" s="39"/>
      <c r="C56" s="39" t="s">
        <v>125</v>
      </c>
      <c r="D56" s="10">
        <v>24.1</v>
      </c>
      <c r="E56" s="38" t="s">
        <v>406</v>
      </c>
      <c r="F56" s="70" t="s">
        <v>56</v>
      </c>
      <c r="G56" s="37" t="s">
        <v>156</v>
      </c>
      <c r="H56" s="1" t="s">
        <v>49</v>
      </c>
      <c r="I56" s="2" t="s">
        <v>184</v>
      </c>
      <c r="J56" s="65">
        <f>Uittrekstaat!E61</f>
        <v>2</v>
      </c>
      <c r="K56" s="3">
        <v>3640</v>
      </c>
      <c r="L56" s="52">
        <f t="shared" ref="L56:L57" si="11">SUM(K56*1000)</f>
        <v>3640000</v>
      </c>
      <c r="M56" s="3"/>
      <c r="N56" s="52"/>
      <c r="O56" s="2" t="s">
        <v>184</v>
      </c>
      <c r="P56" s="2" t="s">
        <v>194</v>
      </c>
      <c r="Q56" s="22">
        <v>8</v>
      </c>
      <c r="R56" s="22">
        <v>5</v>
      </c>
      <c r="S56" s="65">
        <v>131</v>
      </c>
      <c r="T56" s="64"/>
    </row>
    <row r="57" spans="1:20" x14ac:dyDescent="0.25">
      <c r="A57" s="39"/>
      <c r="B57" s="39"/>
      <c r="C57" s="39" t="s">
        <v>125</v>
      </c>
      <c r="D57" s="10">
        <v>24.1</v>
      </c>
      <c r="E57" s="38" t="s">
        <v>407</v>
      </c>
      <c r="F57" s="70" t="s">
        <v>56</v>
      </c>
      <c r="G57" s="37" t="s">
        <v>156</v>
      </c>
      <c r="H57" s="1" t="s">
        <v>49</v>
      </c>
      <c r="I57" s="2" t="s">
        <v>184</v>
      </c>
      <c r="J57" s="65">
        <f>Uittrekstaat!E62</f>
        <v>3</v>
      </c>
      <c r="K57" s="3">
        <v>29175</v>
      </c>
      <c r="L57" s="52">
        <f t="shared" si="11"/>
        <v>29175000</v>
      </c>
      <c r="M57" s="3"/>
      <c r="N57" s="52"/>
      <c r="O57" s="2" t="s">
        <v>184</v>
      </c>
      <c r="P57" s="2" t="s">
        <v>194</v>
      </c>
      <c r="Q57" s="22">
        <v>8</v>
      </c>
      <c r="R57" s="22">
        <v>5</v>
      </c>
      <c r="S57" s="65">
        <v>132</v>
      </c>
      <c r="T57" s="64"/>
    </row>
    <row r="58" spans="1:20" x14ac:dyDescent="0.25">
      <c r="A58" s="39"/>
      <c r="B58" s="39"/>
      <c r="C58" s="39" t="s">
        <v>68</v>
      </c>
      <c r="D58" s="35">
        <v>28</v>
      </c>
      <c r="E58" s="36" t="s">
        <v>68</v>
      </c>
      <c r="G58" s="37"/>
      <c r="J58" s="65">
        <v>0</v>
      </c>
      <c r="K58" s="3">
        <v>647.05265999999995</v>
      </c>
      <c r="L58" s="52">
        <f t="shared" ref="L58:L96" si="12">SUM(K58*1000)</f>
        <v>647052.65999999992</v>
      </c>
      <c r="M58" s="3"/>
      <c r="N58" s="52"/>
      <c r="O58" s="2"/>
      <c r="P58" s="2"/>
      <c r="Q58" s="22"/>
      <c r="R58" s="22"/>
      <c r="S58" s="65"/>
      <c r="T58" s="64"/>
    </row>
    <row r="59" spans="1:20" x14ac:dyDescent="0.25">
      <c r="A59" s="39"/>
      <c r="B59" s="39"/>
      <c r="C59" s="39" t="s">
        <v>126</v>
      </c>
      <c r="D59" s="10">
        <v>28.1</v>
      </c>
      <c r="E59" s="38" t="s">
        <v>408</v>
      </c>
      <c r="F59" s="70" t="s">
        <v>56</v>
      </c>
      <c r="G59" s="37" t="s">
        <v>156</v>
      </c>
      <c r="I59" s="2" t="s">
        <v>184</v>
      </c>
      <c r="J59" s="65">
        <f>Uittrekstaat!D92</f>
        <v>6</v>
      </c>
      <c r="K59" s="3">
        <v>32.076000000000001</v>
      </c>
      <c r="L59" s="52">
        <f t="shared" si="12"/>
        <v>32076</v>
      </c>
      <c r="M59" s="3"/>
      <c r="N59" s="52"/>
      <c r="O59" s="2" t="s">
        <v>184</v>
      </c>
      <c r="P59" s="2" t="s">
        <v>387</v>
      </c>
      <c r="Q59" s="22">
        <v>5</v>
      </c>
      <c r="R59" s="22">
        <v>2</v>
      </c>
      <c r="S59" s="65"/>
      <c r="T59" s="64"/>
    </row>
    <row r="60" spans="1:20" x14ac:dyDescent="0.25">
      <c r="A60" s="39"/>
      <c r="B60" s="39"/>
      <c r="C60" s="39"/>
      <c r="D60" s="10">
        <v>28.1</v>
      </c>
      <c r="E60" s="38" t="s">
        <v>409</v>
      </c>
      <c r="F60" s="70" t="s">
        <v>56</v>
      </c>
      <c r="G60" s="37" t="s">
        <v>156</v>
      </c>
      <c r="I60" s="2" t="s">
        <v>184</v>
      </c>
      <c r="J60" s="65">
        <f>Uittrekstaat!D93</f>
        <v>1</v>
      </c>
      <c r="K60" s="3">
        <v>5.67</v>
      </c>
      <c r="L60" s="52">
        <f t="shared" si="12"/>
        <v>5670</v>
      </c>
      <c r="M60" s="3"/>
      <c r="N60" s="52"/>
      <c r="O60" s="2" t="s">
        <v>184</v>
      </c>
      <c r="P60" s="2" t="s">
        <v>387</v>
      </c>
      <c r="Q60" s="22">
        <v>5</v>
      </c>
      <c r="R60" s="22">
        <v>2</v>
      </c>
      <c r="S60" s="65"/>
      <c r="T60" s="64"/>
    </row>
    <row r="61" spans="1:20" x14ac:dyDescent="0.25">
      <c r="A61" s="39"/>
      <c r="B61" s="39"/>
      <c r="C61" s="39"/>
      <c r="D61" s="10">
        <v>28.1</v>
      </c>
      <c r="E61" s="38" t="s">
        <v>410</v>
      </c>
      <c r="F61" s="70" t="s">
        <v>56</v>
      </c>
      <c r="G61" s="37" t="s">
        <v>156</v>
      </c>
      <c r="I61" s="2" t="s">
        <v>184</v>
      </c>
      <c r="J61" s="65">
        <f>Uittrekstaat!D94</f>
        <v>1</v>
      </c>
      <c r="K61" s="3">
        <v>5.0960000000000001</v>
      </c>
      <c r="L61" s="52">
        <f t="shared" si="12"/>
        <v>5096</v>
      </c>
      <c r="M61" s="3"/>
      <c r="N61" s="52"/>
      <c r="O61" s="2" t="s">
        <v>184</v>
      </c>
      <c r="P61" s="2" t="s">
        <v>387</v>
      </c>
      <c r="Q61" s="22">
        <v>5</v>
      </c>
      <c r="R61" s="22">
        <v>2</v>
      </c>
      <c r="S61" s="65"/>
      <c r="T61" s="64"/>
    </row>
    <row r="62" spans="1:20" x14ac:dyDescent="0.25">
      <c r="A62" s="39"/>
      <c r="B62" s="39"/>
      <c r="C62" s="39"/>
      <c r="D62" s="10">
        <v>28.1</v>
      </c>
      <c r="E62" s="38" t="s">
        <v>411</v>
      </c>
      <c r="F62" s="70" t="s">
        <v>56</v>
      </c>
      <c r="G62" s="37" t="s">
        <v>156</v>
      </c>
      <c r="I62" s="2" t="s">
        <v>184</v>
      </c>
      <c r="J62" s="65">
        <f>Uittrekstaat!D95</f>
        <v>1</v>
      </c>
      <c r="K62" s="3">
        <v>4.83</v>
      </c>
      <c r="L62" s="52">
        <f t="shared" si="12"/>
        <v>4830</v>
      </c>
      <c r="M62" s="3"/>
      <c r="N62" s="52"/>
      <c r="O62" s="2" t="s">
        <v>184</v>
      </c>
      <c r="P62" s="2" t="s">
        <v>387</v>
      </c>
      <c r="Q62" s="22">
        <v>5</v>
      </c>
      <c r="R62" s="22">
        <v>2</v>
      </c>
      <c r="S62" s="65"/>
      <c r="T62" s="64"/>
    </row>
    <row r="63" spans="1:20" x14ac:dyDescent="0.25">
      <c r="A63" s="39"/>
      <c r="B63" s="39"/>
      <c r="C63" s="39"/>
      <c r="D63" s="10">
        <v>28.1</v>
      </c>
      <c r="E63" s="38" t="s">
        <v>412</v>
      </c>
      <c r="F63" s="70" t="s">
        <v>56</v>
      </c>
      <c r="G63" s="37" t="s">
        <v>156</v>
      </c>
      <c r="I63" s="2" t="s">
        <v>184</v>
      </c>
      <c r="J63" s="65">
        <f>Uittrekstaat!D96</f>
        <v>1</v>
      </c>
      <c r="K63" s="3">
        <v>5.218</v>
      </c>
      <c r="L63" s="52">
        <f t="shared" si="12"/>
        <v>5218</v>
      </c>
      <c r="M63" s="3"/>
      <c r="N63" s="52"/>
      <c r="O63" s="2" t="s">
        <v>184</v>
      </c>
      <c r="P63" s="2" t="s">
        <v>387</v>
      </c>
      <c r="Q63" s="22">
        <v>5</v>
      </c>
      <c r="R63" s="22">
        <v>2</v>
      </c>
      <c r="S63" s="65"/>
      <c r="T63" s="64"/>
    </row>
    <row r="64" spans="1:20" x14ac:dyDescent="0.25">
      <c r="A64" s="39"/>
      <c r="B64" s="39"/>
      <c r="C64" s="39"/>
      <c r="D64" s="10">
        <v>28.1</v>
      </c>
      <c r="E64" s="38" t="s">
        <v>413</v>
      </c>
      <c r="F64" s="70" t="s">
        <v>56</v>
      </c>
      <c r="G64" s="37" t="s">
        <v>156</v>
      </c>
      <c r="I64" s="2" t="s">
        <v>184</v>
      </c>
      <c r="J64" s="65">
        <f>Uittrekstaat!D97</f>
        <v>7</v>
      </c>
      <c r="K64" s="3">
        <v>30.695</v>
      </c>
      <c r="L64" s="52">
        <f t="shared" si="12"/>
        <v>30695</v>
      </c>
      <c r="M64" s="3"/>
      <c r="N64" s="52"/>
      <c r="O64" s="2" t="s">
        <v>184</v>
      </c>
      <c r="P64" s="2" t="s">
        <v>387</v>
      </c>
      <c r="Q64" s="22">
        <v>5</v>
      </c>
      <c r="R64" s="22">
        <v>2</v>
      </c>
      <c r="S64" s="65"/>
      <c r="T64" s="64"/>
    </row>
    <row r="65" spans="1:20" x14ac:dyDescent="0.25">
      <c r="A65" s="39"/>
      <c r="B65" s="39"/>
      <c r="C65" s="39"/>
      <c r="D65" s="10">
        <v>28.1</v>
      </c>
      <c r="E65" s="38" t="s">
        <v>414</v>
      </c>
      <c r="F65" s="70" t="s">
        <v>56</v>
      </c>
      <c r="G65" s="37" t="s">
        <v>156</v>
      </c>
      <c r="I65" s="2" t="s">
        <v>184</v>
      </c>
      <c r="J65" s="65">
        <f>Uittrekstaat!D98</f>
        <v>1</v>
      </c>
      <c r="K65" s="3">
        <v>4.0910000000000002</v>
      </c>
      <c r="L65" s="52">
        <f t="shared" si="12"/>
        <v>4091</v>
      </c>
      <c r="M65" s="3"/>
      <c r="N65" s="52"/>
      <c r="O65" s="2" t="s">
        <v>184</v>
      </c>
      <c r="P65" s="2" t="s">
        <v>387</v>
      </c>
      <c r="Q65" s="22">
        <v>5</v>
      </c>
      <c r="R65" s="22">
        <v>2</v>
      </c>
      <c r="S65" s="65"/>
      <c r="T65" s="64"/>
    </row>
    <row r="66" spans="1:20" x14ac:dyDescent="0.25">
      <c r="A66" s="39"/>
      <c r="B66" s="39"/>
      <c r="C66" s="39"/>
      <c r="D66" s="10">
        <v>28.1</v>
      </c>
      <c r="E66" s="38" t="s">
        <v>415</v>
      </c>
      <c r="F66" s="70" t="s">
        <v>56</v>
      </c>
      <c r="G66" s="37" t="s">
        <v>156</v>
      </c>
      <c r="I66" s="2" t="s">
        <v>184</v>
      </c>
      <c r="J66" s="65">
        <f>Uittrekstaat!D99</f>
        <v>1</v>
      </c>
      <c r="K66" s="3">
        <v>4.0910000000000002</v>
      </c>
      <c r="L66" s="52">
        <f t="shared" si="12"/>
        <v>4091</v>
      </c>
      <c r="M66" s="3"/>
      <c r="N66" s="52"/>
      <c r="O66" s="2" t="s">
        <v>184</v>
      </c>
      <c r="P66" s="2" t="s">
        <v>387</v>
      </c>
      <c r="Q66" s="22">
        <v>5</v>
      </c>
      <c r="R66" s="22">
        <v>2</v>
      </c>
      <c r="S66" s="65"/>
      <c r="T66" s="64"/>
    </row>
    <row r="67" spans="1:20" x14ac:dyDescent="0.25">
      <c r="A67" s="39"/>
      <c r="B67" s="39"/>
      <c r="C67" s="39"/>
      <c r="D67" s="10">
        <v>28.1</v>
      </c>
      <c r="E67" s="38" t="s">
        <v>416</v>
      </c>
      <c r="F67" s="70" t="s">
        <v>56</v>
      </c>
      <c r="G67" s="37" t="s">
        <v>156</v>
      </c>
      <c r="I67" s="2" t="s">
        <v>184</v>
      </c>
      <c r="J67" s="65">
        <f>Uittrekstaat!D100</f>
        <v>3</v>
      </c>
      <c r="K67" s="3">
        <v>18.375</v>
      </c>
      <c r="L67" s="52">
        <f t="shared" si="12"/>
        <v>18375</v>
      </c>
      <c r="M67" s="3"/>
      <c r="N67" s="52"/>
      <c r="O67" s="2" t="s">
        <v>184</v>
      </c>
      <c r="P67" s="2" t="s">
        <v>387</v>
      </c>
      <c r="Q67" s="22">
        <v>5</v>
      </c>
      <c r="R67" s="22">
        <v>2</v>
      </c>
      <c r="S67" s="65"/>
      <c r="T67" s="64"/>
    </row>
    <row r="68" spans="1:20" x14ac:dyDescent="0.25">
      <c r="A68" s="39"/>
      <c r="B68" s="39"/>
      <c r="C68" s="39"/>
      <c r="D68" s="10">
        <v>28.1</v>
      </c>
      <c r="E68" s="38" t="s">
        <v>417</v>
      </c>
      <c r="F68" s="70" t="s">
        <v>56</v>
      </c>
      <c r="G68" s="37" t="s">
        <v>156</v>
      </c>
      <c r="I68" s="2" t="s">
        <v>184</v>
      </c>
      <c r="J68" s="65">
        <f>Uittrekstaat!D101</f>
        <v>2</v>
      </c>
      <c r="K68" s="3">
        <v>11.564</v>
      </c>
      <c r="L68" s="52">
        <f t="shared" si="12"/>
        <v>11564</v>
      </c>
      <c r="M68" s="3"/>
      <c r="N68" s="52"/>
      <c r="O68" s="2" t="s">
        <v>184</v>
      </c>
      <c r="P68" s="2" t="s">
        <v>387</v>
      </c>
      <c r="Q68" s="22">
        <v>5</v>
      </c>
      <c r="R68" s="22">
        <v>2</v>
      </c>
      <c r="S68" s="65"/>
      <c r="T68" s="64"/>
    </row>
    <row r="69" spans="1:20" x14ac:dyDescent="0.25">
      <c r="A69" s="39"/>
      <c r="B69" s="39"/>
      <c r="C69" s="39"/>
      <c r="D69" s="10">
        <v>28.1</v>
      </c>
      <c r="E69" s="38" t="s">
        <v>418</v>
      </c>
      <c r="F69" s="70" t="s">
        <v>56</v>
      </c>
      <c r="G69" s="37" t="s">
        <v>156</v>
      </c>
      <c r="I69" s="2" t="s">
        <v>184</v>
      </c>
      <c r="J69" s="65">
        <f>Uittrekstaat!D102</f>
        <v>4</v>
      </c>
      <c r="K69" s="3">
        <v>22.64</v>
      </c>
      <c r="L69" s="52">
        <f t="shared" si="12"/>
        <v>22640</v>
      </c>
      <c r="M69" s="3"/>
      <c r="N69" s="52"/>
      <c r="O69" s="2" t="s">
        <v>184</v>
      </c>
      <c r="P69" s="2" t="s">
        <v>387</v>
      </c>
      <c r="Q69" s="22">
        <v>5</v>
      </c>
      <c r="R69" s="22">
        <v>2</v>
      </c>
      <c r="S69" s="65"/>
      <c r="T69" s="64"/>
    </row>
    <row r="70" spans="1:20" x14ac:dyDescent="0.25">
      <c r="A70" s="39"/>
      <c r="B70" s="39"/>
      <c r="C70" s="39"/>
      <c r="D70" s="10">
        <v>28.1</v>
      </c>
      <c r="E70" s="38" t="s">
        <v>419</v>
      </c>
      <c r="F70" s="70" t="s">
        <v>56</v>
      </c>
      <c r="G70" s="37" t="s">
        <v>156</v>
      </c>
      <c r="I70" s="2" t="s">
        <v>184</v>
      </c>
      <c r="J70" s="65">
        <f>Uittrekstaat!D103</f>
        <v>1</v>
      </c>
      <c r="K70" s="3">
        <v>5.66</v>
      </c>
      <c r="L70" s="52">
        <f t="shared" si="12"/>
        <v>5660</v>
      </c>
      <c r="M70" s="3"/>
      <c r="N70" s="52"/>
      <c r="O70" s="2" t="s">
        <v>184</v>
      </c>
      <c r="P70" s="2" t="s">
        <v>387</v>
      </c>
      <c r="Q70" s="22">
        <v>5</v>
      </c>
      <c r="R70" s="22">
        <v>2</v>
      </c>
      <c r="S70" s="65"/>
      <c r="T70" s="64"/>
    </row>
    <row r="71" spans="1:20" x14ac:dyDescent="0.25">
      <c r="A71" s="39"/>
      <c r="B71" s="39"/>
      <c r="C71" s="39"/>
      <c r="D71" s="10">
        <v>28.1</v>
      </c>
      <c r="E71" s="38" t="s">
        <v>420</v>
      </c>
      <c r="F71" s="70" t="s">
        <v>56</v>
      </c>
      <c r="G71" s="37" t="s">
        <v>156</v>
      </c>
      <c r="I71" s="2" t="s">
        <v>184</v>
      </c>
      <c r="J71" s="65">
        <f>Uittrekstaat!D104</f>
        <v>8</v>
      </c>
      <c r="K71" s="3">
        <v>36.856000000000002</v>
      </c>
      <c r="L71" s="52">
        <f t="shared" si="12"/>
        <v>36856</v>
      </c>
      <c r="M71" s="3"/>
      <c r="N71" s="52"/>
      <c r="O71" s="2" t="s">
        <v>184</v>
      </c>
      <c r="P71" s="2" t="s">
        <v>387</v>
      </c>
      <c r="Q71" s="22">
        <v>5</v>
      </c>
      <c r="R71" s="22">
        <v>2</v>
      </c>
      <c r="S71" s="65"/>
      <c r="T71" s="64"/>
    </row>
    <row r="72" spans="1:20" x14ac:dyDescent="0.25">
      <c r="A72" s="39"/>
      <c r="B72" s="39"/>
      <c r="C72" s="39"/>
      <c r="D72" s="10">
        <v>28.1</v>
      </c>
      <c r="E72" s="38" t="s">
        <v>421</v>
      </c>
      <c r="F72" s="70" t="s">
        <v>56</v>
      </c>
      <c r="G72" s="37" t="s">
        <v>156</v>
      </c>
      <c r="I72" s="2" t="s">
        <v>184</v>
      </c>
      <c r="J72" s="65">
        <f>Uittrekstaat!D105</f>
        <v>37</v>
      </c>
      <c r="K72" s="3">
        <v>167.018</v>
      </c>
      <c r="L72" s="52">
        <f t="shared" si="12"/>
        <v>167018</v>
      </c>
      <c r="M72" s="3"/>
      <c r="N72" s="52"/>
      <c r="O72" s="2" t="s">
        <v>184</v>
      </c>
      <c r="P72" s="2" t="s">
        <v>387</v>
      </c>
      <c r="Q72" s="22">
        <v>5</v>
      </c>
      <c r="R72" s="22">
        <v>2</v>
      </c>
      <c r="S72" s="65"/>
      <c r="T72" s="64"/>
    </row>
    <row r="73" spans="1:20" x14ac:dyDescent="0.25">
      <c r="A73" s="39"/>
      <c r="B73" s="39"/>
      <c r="C73" s="39"/>
      <c r="D73" s="10">
        <v>28.1</v>
      </c>
      <c r="E73" s="38" t="s">
        <v>422</v>
      </c>
      <c r="F73" s="70" t="s">
        <v>56</v>
      </c>
      <c r="G73" s="37" t="s">
        <v>156</v>
      </c>
      <c r="I73" s="2" t="s">
        <v>184</v>
      </c>
      <c r="J73" s="65">
        <f>Uittrekstaat!D106</f>
        <v>12</v>
      </c>
      <c r="K73" s="3">
        <v>53.328000000000003</v>
      </c>
      <c r="L73" s="52">
        <f t="shared" si="12"/>
        <v>53328</v>
      </c>
      <c r="M73" s="3"/>
      <c r="N73" s="52"/>
      <c r="O73" s="2" t="s">
        <v>184</v>
      </c>
      <c r="P73" s="2" t="s">
        <v>387</v>
      </c>
      <c r="Q73" s="22">
        <v>5</v>
      </c>
      <c r="R73" s="22">
        <v>2</v>
      </c>
      <c r="S73" s="65"/>
      <c r="T73" s="64"/>
    </row>
    <row r="74" spans="1:20" x14ac:dyDescent="0.25">
      <c r="A74" s="39"/>
      <c r="B74" s="39"/>
      <c r="C74" s="39"/>
      <c r="D74" s="10">
        <v>28.1</v>
      </c>
      <c r="E74" s="38" t="s">
        <v>423</v>
      </c>
      <c r="F74" s="70" t="s">
        <v>56</v>
      </c>
      <c r="G74" s="37" t="s">
        <v>156</v>
      </c>
      <c r="I74" s="2" t="s">
        <v>184</v>
      </c>
      <c r="J74" s="65">
        <f>Uittrekstaat!D107</f>
        <v>2</v>
      </c>
      <c r="K74" s="3">
        <v>9.2140000000000004</v>
      </c>
      <c r="L74" s="52">
        <f t="shared" si="12"/>
        <v>9214</v>
      </c>
      <c r="M74" s="3"/>
      <c r="N74" s="52"/>
      <c r="O74" s="2" t="s">
        <v>184</v>
      </c>
      <c r="P74" s="2" t="s">
        <v>387</v>
      </c>
      <c r="Q74" s="22">
        <v>5</v>
      </c>
      <c r="R74" s="22">
        <v>2</v>
      </c>
      <c r="S74" s="65"/>
      <c r="T74" s="64"/>
    </row>
    <row r="75" spans="1:20" x14ac:dyDescent="0.25">
      <c r="A75" s="39"/>
      <c r="B75" s="39"/>
      <c r="C75" s="39"/>
      <c r="D75" s="10">
        <v>28.1</v>
      </c>
      <c r="E75" s="38" t="s">
        <v>424</v>
      </c>
      <c r="F75" s="70" t="s">
        <v>56</v>
      </c>
      <c r="G75" s="37" t="s">
        <v>156</v>
      </c>
      <c r="I75" s="2" t="s">
        <v>184</v>
      </c>
      <c r="J75" s="65">
        <f>Uittrekstaat!D108</f>
        <v>3</v>
      </c>
      <c r="K75" s="3">
        <v>13.332000000000001</v>
      </c>
      <c r="L75" s="52">
        <f t="shared" si="12"/>
        <v>13332</v>
      </c>
      <c r="M75" s="3"/>
      <c r="N75" s="52"/>
      <c r="O75" s="2" t="s">
        <v>184</v>
      </c>
      <c r="P75" s="2" t="s">
        <v>387</v>
      </c>
      <c r="Q75" s="22">
        <v>5</v>
      </c>
      <c r="R75" s="22">
        <v>2</v>
      </c>
      <c r="S75" s="65"/>
      <c r="T75" s="64"/>
    </row>
    <row r="76" spans="1:20" x14ac:dyDescent="0.25">
      <c r="A76" s="39"/>
      <c r="B76" s="39"/>
      <c r="C76" s="39" t="s">
        <v>126</v>
      </c>
      <c r="D76" s="10">
        <v>28.1</v>
      </c>
      <c r="E76" s="38" t="s">
        <v>388</v>
      </c>
      <c r="F76" s="70" t="s">
        <v>56</v>
      </c>
      <c r="G76" s="37" t="s">
        <v>156</v>
      </c>
      <c r="I76" s="2" t="s">
        <v>184</v>
      </c>
      <c r="J76" s="65">
        <f>Uittrekstaat!G112</f>
        <v>1</v>
      </c>
      <c r="K76" s="3">
        <v>13.339</v>
      </c>
      <c r="L76" s="52">
        <f t="shared" si="12"/>
        <v>13339</v>
      </c>
      <c r="M76" s="3"/>
      <c r="N76" s="52"/>
      <c r="O76" s="2" t="s">
        <v>184</v>
      </c>
      <c r="P76" s="2" t="s">
        <v>387</v>
      </c>
      <c r="Q76" s="22">
        <v>5</v>
      </c>
      <c r="R76" s="22">
        <v>2</v>
      </c>
      <c r="S76" s="65"/>
      <c r="T76" s="64"/>
    </row>
    <row r="77" spans="1:20" x14ac:dyDescent="0.25">
      <c r="A77" s="39"/>
      <c r="B77" s="39"/>
      <c r="C77" s="39"/>
      <c r="D77" s="10">
        <v>28.1</v>
      </c>
      <c r="E77" s="38" t="s">
        <v>389</v>
      </c>
      <c r="F77" s="70" t="s">
        <v>56</v>
      </c>
      <c r="G77" s="37" t="s">
        <v>156</v>
      </c>
      <c r="I77" s="2" t="s">
        <v>184</v>
      </c>
      <c r="J77" s="65">
        <f>Uittrekstaat!G113</f>
        <v>3</v>
      </c>
      <c r="K77" s="3">
        <v>28.5</v>
      </c>
      <c r="L77" s="52">
        <f t="shared" ref="L77:L92" si="13">SUM(K77*1000)</f>
        <v>28500</v>
      </c>
      <c r="M77" s="3"/>
      <c r="N77" s="52"/>
      <c r="O77" s="2" t="s">
        <v>184</v>
      </c>
      <c r="P77" s="2" t="s">
        <v>387</v>
      </c>
      <c r="Q77" s="22">
        <v>5</v>
      </c>
      <c r="R77" s="22">
        <v>2</v>
      </c>
      <c r="S77" s="65"/>
      <c r="T77" s="64"/>
    </row>
    <row r="78" spans="1:20" x14ac:dyDescent="0.25">
      <c r="A78" s="39"/>
      <c r="B78" s="39"/>
      <c r="C78" s="39"/>
      <c r="D78" s="10">
        <v>28.1</v>
      </c>
      <c r="E78" s="38" t="s">
        <v>390</v>
      </c>
      <c r="F78" s="70" t="s">
        <v>56</v>
      </c>
      <c r="G78" s="37" t="s">
        <v>156</v>
      </c>
      <c r="I78" s="2" t="s">
        <v>184</v>
      </c>
      <c r="J78" s="65">
        <f>Uittrekstaat!G114</f>
        <v>1</v>
      </c>
      <c r="K78" s="3">
        <v>8.4499999999999993</v>
      </c>
      <c r="L78" s="52">
        <f t="shared" si="13"/>
        <v>8450</v>
      </c>
      <c r="M78" s="3"/>
      <c r="N78" s="52"/>
      <c r="O78" s="2" t="s">
        <v>184</v>
      </c>
      <c r="P78" s="2" t="s">
        <v>387</v>
      </c>
      <c r="Q78" s="22">
        <v>5</v>
      </c>
      <c r="R78" s="22">
        <v>2</v>
      </c>
      <c r="S78" s="65"/>
      <c r="T78" s="64"/>
    </row>
    <row r="79" spans="1:20" x14ac:dyDescent="0.25">
      <c r="A79" s="39"/>
      <c r="B79" s="39"/>
      <c r="C79" s="39"/>
      <c r="D79" s="10">
        <v>28.1</v>
      </c>
      <c r="E79" s="38" t="s">
        <v>391</v>
      </c>
      <c r="F79" s="70" t="s">
        <v>56</v>
      </c>
      <c r="G79" s="37" t="s">
        <v>156</v>
      </c>
      <c r="I79" s="2" t="s">
        <v>184</v>
      </c>
      <c r="J79" s="65">
        <f>Uittrekstaat!G115</f>
        <v>1</v>
      </c>
      <c r="K79" s="3">
        <v>3.282</v>
      </c>
      <c r="L79" s="52">
        <f t="shared" si="13"/>
        <v>3282</v>
      </c>
      <c r="M79" s="3"/>
      <c r="N79" s="52"/>
      <c r="O79" s="2" t="s">
        <v>184</v>
      </c>
      <c r="P79" s="2" t="s">
        <v>387</v>
      </c>
      <c r="Q79" s="22">
        <v>5</v>
      </c>
      <c r="R79" s="22">
        <v>2</v>
      </c>
      <c r="S79" s="65"/>
      <c r="T79" s="64"/>
    </row>
    <row r="80" spans="1:20" x14ac:dyDescent="0.25">
      <c r="A80" s="39"/>
      <c r="B80" s="39"/>
      <c r="C80" s="39"/>
      <c r="D80" s="10">
        <v>28.1</v>
      </c>
      <c r="E80" s="38" t="s">
        <v>392</v>
      </c>
      <c r="F80" s="70" t="s">
        <v>56</v>
      </c>
      <c r="G80" s="37" t="s">
        <v>156</v>
      </c>
      <c r="I80" s="2" t="s">
        <v>184</v>
      </c>
      <c r="J80" s="65">
        <f>Uittrekstaat!G116</f>
        <v>2</v>
      </c>
      <c r="K80" s="3">
        <v>21.782</v>
      </c>
      <c r="L80" s="52">
        <f t="shared" si="13"/>
        <v>21782</v>
      </c>
      <c r="M80" s="3"/>
      <c r="N80" s="52"/>
      <c r="O80" s="2" t="s">
        <v>184</v>
      </c>
      <c r="P80" s="2" t="s">
        <v>387</v>
      </c>
      <c r="Q80" s="22">
        <v>5</v>
      </c>
      <c r="R80" s="22">
        <v>2</v>
      </c>
      <c r="S80" s="65"/>
      <c r="T80" s="64"/>
    </row>
    <row r="81" spans="1:20" x14ac:dyDescent="0.25">
      <c r="A81" s="39"/>
      <c r="B81" s="39"/>
      <c r="C81" s="39"/>
      <c r="D81" s="10">
        <v>28.1</v>
      </c>
      <c r="E81" s="38" t="s">
        <v>393</v>
      </c>
      <c r="F81" s="70" t="s">
        <v>56</v>
      </c>
      <c r="G81" s="37" t="s">
        <v>156</v>
      </c>
      <c r="I81" s="2" t="s">
        <v>184</v>
      </c>
      <c r="J81" s="65">
        <f>Uittrekstaat!G117</f>
        <v>1</v>
      </c>
      <c r="K81" s="3">
        <v>7.62</v>
      </c>
      <c r="L81" s="52">
        <f t="shared" si="13"/>
        <v>7620</v>
      </c>
      <c r="M81" s="3"/>
      <c r="N81" s="52"/>
      <c r="O81" s="2" t="s">
        <v>184</v>
      </c>
      <c r="P81" s="2" t="s">
        <v>387</v>
      </c>
      <c r="Q81" s="22">
        <v>5</v>
      </c>
      <c r="R81" s="22">
        <v>2</v>
      </c>
      <c r="S81" s="65"/>
      <c r="T81" s="64"/>
    </row>
    <row r="82" spans="1:20" x14ac:dyDescent="0.25">
      <c r="A82" s="39"/>
      <c r="B82" s="39"/>
      <c r="C82" s="39"/>
      <c r="D82" s="10">
        <v>28.1</v>
      </c>
      <c r="E82" s="38" t="s">
        <v>394</v>
      </c>
      <c r="F82" s="70" t="s">
        <v>56</v>
      </c>
      <c r="G82" s="37" t="s">
        <v>156</v>
      </c>
      <c r="I82" s="2" t="s">
        <v>184</v>
      </c>
      <c r="J82" s="65">
        <f>Uittrekstaat!G118</f>
        <v>3</v>
      </c>
      <c r="K82" s="3">
        <v>25.14</v>
      </c>
      <c r="L82" s="52">
        <f t="shared" si="13"/>
        <v>25140</v>
      </c>
      <c r="M82" s="3"/>
      <c r="N82" s="52"/>
      <c r="O82" s="2" t="s">
        <v>184</v>
      </c>
      <c r="P82" s="2" t="s">
        <v>387</v>
      </c>
      <c r="Q82" s="22">
        <v>5</v>
      </c>
      <c r="R82" s="22">
        <v>2</v>
      </c>
      <c r="S82" s="65"/>
      <c r="T82" s="64"/>
    </row>
    <row r="83" spans="1:20" x14ac:dyDescent="0.25">
      <c r="A83" s="39"/>
      <c r="B83" s="39"/>
      <c r="C83" s="39"/>
      <c r="D83" s="10">
        <v>28.1</v>
      </c>
      <c r="E83" s="38" t="s">
        <v>395</v>
      </c>
      <c r="F83" s="70" t="s">
        <v>56</v>
      </c>
      <c r="G83" s="37" t="s">
        <v>156</v>
      </c>
      <c r="I83" s="2" t="s">
        <v>184</v>
      </c>
      <c r="J83" s="65">
        <f>Uittrekstaat!G119</f>
        <v>3</v>
      </c>
      <c r="K83" s="3">
        <v>27.69</v>
      </c>
      <c r="L83" s="52">
        <f t="shared" si="13"/>
        <v>27690</v>
      </c>
      <c r="M83" s="3"/>
      <c r="N83" s="52"/>
      <c r="O83" s="2" t="s">
        <v>184</v>
      </c>
      <c r="P83" s="2" t="s">
        <v>387</v>
      </c>
      <c r="Q83" s="22">
        <v>5</v>
      </c>
      <c r="R83" s="22">
        <v>2</v>
      </c>
      <c r="S83" s="65"/>
      <c r="T83" s="64"/>
    </row>
    <row r="84" spans="1:20" x14ac:dyDescent="0.25">
      <c r="A84" s="39"/>
      <c r="B84" s="39"/>
      <c r="C84" s="39"/>
      <c r="D84" s="10">
        <v>28.1</v>
      </c>
      <c r="E84" s="38" t="s">
        <v>396</v>
      </c>
      <c r="F84" s="70" t="s">
        <v>56</v>
      </c>
      <c r="G84" s="37" t="s">
        <v>156</v>
      </c>
      <c r="I84" s="2" t="s">
        <v>184</v>
      </c>
      <c r="J84" s="65">
        <f>Uittrekstaat!G120</f>
        <v>3</v>
      </c>
      <c r="K84" s="3">
        <v>14.37</v>
      </c>
      <c r="L84" s="52">
        <f t="shared" si="13"/>
        <v>14370</v>
      </c>
      <c r="M84" s="3"/>
      <c r="N84" s="52"/>
      <c r="O84" s="2" t="s">
        <v>184</v>
      </c>
      <c r="P84" s="2" t="s">
        <v>387</v>
      </c>
      <c r="Q84" s="22">
        <v>5</v>
      </c>
      <c r="R84" s="22">
        <v>2</v>
      </c>
      <c r="S84" s="65"/>
      <c r="T84" s="64"/>
    </row>
    <row r="85" spans="1:20" x14ac:dyDescent="0.25">
      <c r="A85" s="39"/>
      <c r="B85" s="39"/>
      <c r="C85" s="39"/>
      <c r="D85" s="10">
        <v>28.1</v>
      </c>
      <c r="E85" s="38" t="s">
        <v>397</v>
      </c>
      <c r="F85" s="70" t="s">
        <v>56</v>
      </c>
      <c r="G85" s="37" t="s">
        <v>156</v>
      </c>
      <c r="I85" s="2" t="s">
        <v>184</v>
      </c>
      <c r="J85" s="65">
        <f>Uittrekstaat!G121</f>
        <v>2</v>
      </c>
      <c r="K85" s="3">
        <v>12.72</v>
      </c>
      <c r="L85" s="52">
        <f t="shared" si="13"/>
        <v>12720</v>
      </c>
      <c r="M85" s="3"/>
      <c r="N85" s="52"/>
      <c r="O85" s="2" t="s">
        <v>184</v>
      </c>
      <c r="P85" s="2" t="s">
        <v>387</v>
      </c>
      <c r="Q85" s="22">
        <v>5</v>
      </c>
      <c r="R85" s="22">
        <v>2</v>
      </c>
      <c r="S85" s="65"/>
      <c r="T85" s="64"/>
    </row>
    <row r="86" spans="1:20" x14ac:dyDescent="0.25">
      <c r="A86" s="39"/>
      <c r="B86" s="39"/>
      <c r="C86" s="39"/>
      <c r="D86" s="10">
        <v>28.1</v>
      </c>
      <c r="E86" s="38" t="s">
        <v>398</v>
      </c>
      <c r="F86" s="70" t="s">
        <v>56</v>
      </c>
      <c r="G86" s="37" t="s">
        <v>156</v>
      </c>
      <c r="I86" s="2" t="s">
        <v>184</v>
      </c>
      <c r="J86" s="65">
        <f>Uittrekstaat!G122</f>
        <v>3</v>
      </c>
      <c r="K86" s="3">
        <v>15.15</v>
      </c>
      <c r="L86" s="52">
        <f t="shared" si="13"/>
        <v>15150</v>
      </c>
      <c r="M86" s="3"/>
      <c r="N86" s="52"/>
      <c r="O86" s="2" t="s">
        <v>184</v>
      </c>
      <c r="P86" s="2" t="s">
        <v>387</v>
      </c>
      <c r="Q86" s="22">
        <v>5</v>
      </c>
      <c r="R86" s="22">
        <v>2</v>
      </c>
      <c r="S86" s="65"/>
      <c r="T86" s="64"/>
    </row>
    <row r="87" spans="1:20" x14ac:dyDescent="0.25">
      <c r="A87" s="39"/>
      <c r="B87" s="39"/>
      <c r="C87" s="39"/>
      <c r="D87" s="10">
        <v>28.1</v>
      </c>
      <c r="E87" s="38" t="s">
        <v>399</v>
      </c>
      <c r="F87" s="70" t="s">
        <v>56</v>
      </c>
      <c r="G87" s="37" t="s">
        <v>156</v>
      </c>
      <c r="I87" s="2" t="s">
        <v>184</v>
      </c>
      <c r="J87" s="65">
        <f>Uittrekstaat!G123</f>
        <v>1</v>
      </c>
      <c r="K87" s="3">
        <v>7.44</v>
      </c>
      <c r="L87" s="52">
        <f t="shared" si="13"/>
        <v>7440</v>
      </c>
      <c r="M87" s="3"/>
      <c r="N87" s="52"/>
      <c r="O87" s="2" t="s">
        <v>184</v>
      </c>
      <c r="P87" s="2" t="s">
        <v>387</v>
      </c>
      <c r="Q87" s="22">
        <v>5</v>
      </c>
      <c r="R87" s="22">
        <v>2</v>
      </c>
      <c r="S87" s="65"/>
      <c r="T87" s="64"/>
    </row>
    <row r="88" spans="1:20" x14ac:dyDescent="0.25">
      <c r="A88" s="39"/>
      <c r="B88" s="39"/>
      <c r="C88" s="39"/>
      <c r="D88" s="10">
        <v>28.1</v>
      </c>
      <c r="E88" s="38" t="s">
        <v>400</v>
      </c>
      <c r="F88" s="70" t="s">
        <v>56</v>
      </c>
      <c r="G88" s="37" t="s">
        <v>156</v>
      </c>
      <c r="I88" s="2" t="s">
        <v>184</v>
      </c>
      <c r="J88" s="65">
        <f>Uittrekstaat!G124</f>
        <v>1</v>
      </c>
      <c r="K88" s="3">
        <v>6.2009999999999996</v>
      </c>
      <c r="L88" s="52">
        <f t="shared" si="13"/>
        <v>6201</v>
      </c>
      <c r="M88" s="3"/>
      <c r="N88" s="52"/>
      <c r="O88" s="2" t="s">
        <v>184</v>
      </c>
      <c r="P88" s="2" t="s">
        <v>387</v>
      </c>
      <c r="Q88" s="22">
        <v>5</v>
      </c>
      <c r="R88" s="22">
        <v>2</v>
      </c>
      <c r="S88" s="65"/>
      <c r="T88" s="64"/>
    </row>
    <row r="89" spans="1:20" x14ac:dyDescent="0.25">
      <c r="A89" s="39"/>
      <c r="B89" s="39"/>
      <c r="C89" s="39"/>
      <c r="D89" s="10">
        <v>28.1</v>
      </c>
      <c r="E89" s="38" t="s">
        <v>401</v>
      </c>
      <c r="F89" s="70" t="s">
        <v>56</v>
      </c>
      <c r="G89" s="37" t="s">
        <v>156</v>
      </c>
      <c r="I89" s="2" t="s">
        <v>184</v>
      </c>
      <c r="J89" s="65">
        <f>Uittrekstaat!G125</f>
        <v>1</v>
      </c>
      <c r="K89" s="3">
        <v>4.6150000000000002</v>
      </c>
      <c r="L89" s="52">
        <f t="shared" si="13"/>
        <v>4615</v>
      </c>
      <c r="M89" s="3"/>
      <c r="N89" s="52"/>
      <c r="O89" s="2" t="s">
        <v>184</v>
      </c>
      <c r="P89" s="2" t="s">
        <v>387</v>
      </c>
      <c r="Q89" s="22">
        <v>5</v>
      </c>
      <c r="R89" s="22">
        <v>2</v>
      </c>
      <c r="S89" s="65"/>
      <c r="T89" s="64"/>
    </row>
    <row r="90" spans="1:20" x14ac:dyDescent="0.25">
      <c r="A90" s="39"/>
      <c r="B90" s="39"/>
      <c r="C90" s="39"/>
      <c r="D90" s="10">
        <v>28.1</v>
      </c>
      <c r="E90" s="38" t="s">
        <v>402</v>
      </c>
      <c r="F90" s="70" t="s">
        <v>56</v>
      </c>
      <c r="G90" s="37" t="s">
        <v>156</v>
      </c>
      <c r="I90" s="2" t="s">
        <v>184</v>
      </c>
      <c r="J90" s="65">
        <f>Uittrekstaat!G126</f>
        <v>1</v>
      </c>
      <c r="K90" s="3">
        <v>4.3150000000000004</v>
      </c>
      <c r="L90" s="52">
        <f t="shared" si="13"/>
        <v>4315</v>
      </c>
      <c r="M90" s="3"/>
      <c r="N90" s="52"/>
      <c r="O90" s="2" t="s">
        <v>184</v>
      </c>
      <c r="P90" s="2" t="s">
        <v>387</v>
      </c>
      <c r="Q90" s="22">
        <v>5</v>
      </c>
      <c r="R90" s="22">
        <v>2</v>
      </c>
      <c r="S90" s="65"/>
      <c r="T90" s="64"/>
    </row>
    <row r="91" spans="1:20" x14ac:dyDescent="0.25">
      <c r="A91" s="39"/>
      <c r="B91" s="39"/>
      <c r="C91" s="39"/>
      <c r="D91" s="10">
        <v>28.1</v>
      </c>
      <c r="E91" s="38" t="s">
        <v>403</v>
      </c>
      <c r="F91" s="70" t="s">
        <v>56</v>
      </c>
      <c r="G91" s="37" t="s">
        <v>156</v>
      </c>
      <c r="I91" s="2" t="s">
        <v>184</v>
      </c>
      <c r="J91" s="65">
        <f>Uittrekstaat!G127</f>
        <v>1</v>
      </c>
      <c r="K91" s="3">
        <v>3.4820000000000002</v>
      </c>
      <c r="L91" s="52">
        <f t="shared" si="13"/>
        <v>3482</v>
      </c>
      <c r="M91" s="3"/>
      <c r="N91" s="52"/>
      <c r="O91" s="2" t="s">
        <v>184</v>
      </c>
      <c r="P91" s="2" t="s">
        <v>387</v>
      </c>
      <c r="Q91" s="22">
        <v>5</v>
      </c>
      <c r="R91" s="22">
        <v>2</v>
      </c>
      <c r="S91" s="65"/>
      <c r="T91" s="64"/>
    </row>
    <row r="92" spans="1:20" x14ac:dyDescent="0.25">
      <c r="A92" s="39"/>
      <c r="B92" s="39"/>
      <c r="C92" s="39"/>
      <c r="D92" s="10">
        <v>28.1</v>
      </c>
      <c r="E92" s="38" t="s">
        <v>404</v>
      </c>
      <c r="F92" s="70" t="s">
        <v>56</v>
      </c>
      <c r="G92" s="37" t="s">
        <v>156</v>
      </c>
      <c r="I92" s="2" t="s">
        <v>184</v>
      </c>
      <c r="J92" s="65">
        <f>Uittrekstaat!G128</f>
        <v>1</v>
      </c>
      <c r="K92" s="3">
        <v>9.4250000000000007</v>
      </c>
      <c r="L92" s="52">
        <f t="shared" si="13"/>
        <v>9425</v>
      </c>
      <c r="M92" s="3"/>
      <c r="N92" s="52"/>
      <c r="O92" s="2" t="s">
        <v>184</v>
      </c>
      <c r="P92" s="2" t="s">
        <v>387</v>
      </c>
      <c r="Q92" s="22">
        <v>5</v>
      </c>
      <c r="R92" s="22">
        <v>2</v>
      </c>
      <c r="S92" s="65"/>
      <c r="T92" s="64"/>
    </row>
    <row r="93" spans="1:20" x14ac:dyDescent="0.25">
      <c r="A93" s="39"/>
      <c r="B93" s="39"/>
      <c r="C93" s="39" t="s">
        <v>126</v>
      </c>
      <c r="D93" s="10">
        <v>28.1</v>
      </c>
      <c r="E93" s="38" t="s">
        <v>460</v>
      </c>
      <c r="F93" s="29" t="s">
        <v>45</v>
      </c>
      <c r="G93" s="37" t="s">
        <v>163</v>
      </c>
      <c r="H93" s="1" t="s">
        <v>55</v>
      </c>
      <c r="I93" s="2" t="s">
        <v>184</v>
      </c>
      <c r="J93" s="65">
        <f>Uittrekstaat!I146</f>
        <v>93</v>
      </c>
      <c r="K93" s="3">
        <v>1.5903000000000003</v>
      </c>
      <c r="L93" s="52">
        <f t="shared" si="12"/>
        <v>1590.3000000000002</v>
      </c>
      <c r="M93" s="3"/>
      <c r="N93" s="52"/>
      <c r="O93" s="2" t="s">
        <v>184</v>
      </c>
      <c r="P93" s="2" t="s">
        <v>184</v>
      </c>
      <c r="Q93" s="22">
        <v>3</v>
      </c>
      <c r="R93" s="22">
        <v>2</v>
      </c>
      <c r="S93" s="65">
        <v>134</v>
      </c>
      <c r="T93" s="64"/>
    </row>
    <row r="94" spans="1:20" x14ac:dyDescent="0.25">
      <c r="A94" s="39"/>
      <c r="B94" s="39"/>
      <c r="C94" s="39" t="s">
        <v>126</v>
      </c>
      <c r="D94" s="10">
        <v>28.1</v>
      </c>
      <c r="E94" s="38" t="s">
        <v>461</v>
      </c>
      <c r="F94" s="29" t="s">
        <v>45</v>
      </c>
      <c r="G94" s="37" t="s">
        <v>163</v>
      </c>
      <c r="H94" s="1" t="s">
        <v>55</v>
      </c>
      <c r="I94" s="2" t="s">
        <v>184</v>
      </c>
      <c r="J94" s="65">
        <f>Uittrekstaat!I147</f>
        <v>86.8</v>
      </c>
      <c r="K94" s="3">
        <v>2.1873599999999995</v>
      </c>
      <c r="L94" s="52">
        <f t="shared" ref="L94" si="14">SUM(K94*1000)</f>
        <v>2187.3599999999997</v>
      </c>
      <c r="M94" s="3"/>
      <c r="N94" s="52"/>
      <c r="O94" s="2" t="s">
        <v>184</v>
      </c>
      <c r="P94" s="2" t="s">
        <v>184</v>
      </c>
      <c r="Q94" s="22">
        <v>3</v>
      </c>
      <c r="R94" s="22">
        <v>2</v>
      </c>
      <c r="S94" s="65">
        <v>140</v>
      </c>
      <c r="T94" s="64"/>
    </row>
    <row r="95" spans="1:20" x14ac:dyDescent="0.25">
      <c r="A95" s="39"/>
      <c r="B95" s="39"/>
      <c r="C95" s="39" t="s">
        <v>71</v>
      </c>
      <c r="D95" s="35">
        <v>31</v>
      </c>
      <c r="E95" s="36" t="s">
        <v>71</v>
      </c>
      <c r="G95" s="37"/>
      <c r="J95" s="65">
        <v>0</v>
      </c>
      <c r="K95" s="3">
        <v>135.54707999999997</v>
      </c>
      <c r="L95" s="52">
        <f t="shared" si="12"/>
        <v>135547.07999999996</v>
      </c>
      <c r="M95" s="3"/>
      <c r="N95" s="52"/>
      <c r="O95" s="2"/>
      <c r="P95" s="2"/>
      <c r="Q95" s="22"/>
      <c r="R95" s="22"/>
      <c r="S95" s="65"/>
      <c r="T95" s="64"/>
    </row>
    <row r="96" spans="1:20" x14ac:dyDescent="0.25">
      <c r="A96" s="39"/>
      <c r="B96" s="39"/>
      <c r="C96" s="39" t="s">
        <v>127</v>
      </c>
      <c r="D96" s="10">
        <v>31.1</v>
      </c>
      <c r="E96" s="38" t="s">
        <v>72</v>
      </c>
      <c r="F96" s="70" t="s">
        <v>57</v>
      </c>
      <c r="G96" s="37" t="s">
        <v>154</v>
      </c>
      <c r="H96" s="1" t="s">
        <v>58</v>
      </c>
      <c r="I96" s="2" t="s">
        <v>184</v>
      </c>
      <c r="J96" s="65">
        <f>Uittrekstaat!I142</f>
        <v>171.27</v>
      </c>
      <c r="K96" s="58">
        <v>68.507999999999996</v>
      </c>
      <c r="L96" s="52">
        <f t="shared" si="12"/>
        <v>68508</v>
      </c>
      <c r="M96" s="58"/>
      <c r="N96" s="52"/>
      <c r="O96" s="2" t="s">
        <v>184</v>
      </c>
      <c r="P96" s="2" t="s">
        <v>194</v>
      </c>
      <c r="Q96" s="22">
        <v>8</v>
      </c>
      <c r="R96" s="22">
        <v>3</v>
      </c>
      <c r="S96" s="65">
        <v>137</v>
      </c>
      <c r="T96" s="64" t="s">
        <v>474</v>
      </c>
    </row>
    <row r="97" spans="1:20" x14ac:dyDescent="0.25">
      <c r="A97" s="39"/>
      <c r="B97" s="39"/>
      <c r="C97" s="39" t="s">
        <v>127</v>
      </c>
      <c r="D97" s="10">
        <v>31.1</v>
      </c>
      <c r="E97" s="38" t="s">
        <v>73</v>
      </c>
      <c r="F97" s="70" t="s">
        <v>57</v>
      </c>
      <c r="G97" s="37" t="s">
        <v>154</v>
      </c>
      <c r="H97" s="1" t="s">
        <v>58</v>
      </c>
      <c r="I97" s="2" t="s">
        <v>184</v>
      </c>
      <c r="J97" s="65">
        <f>Uittrekstaat!I143</f>
        <v>80.819999999999993</v>
      </c>
      <c r="K97" s="58">
        <v>32.327999999999996</v>
      </c>
      <c r="L97" s="52">
        <f>SUM(K97*1000)</f>
        <v>32327.999999999996</v>
      </c>
      <c r="M97" s="3"/>
      <c r="N97" s="52"/>
      <c r="O97" s="2" t="s">
        <v>184</v>
      </c>
      <c r="P97" s="2" t="s">
        <v>194</v>
      </c>
      <c r="Q97" s="22">
        <v>8</v>
      </c>
      <c r="R97" s="22">
        <v>3</v>
      </c>
      <c r="S97" s="65">
        <v>152</v>
      </c>
      <c r="T97" s="64" t="s">
        <v>204</v>
      </c>
    </row>
    <row r="98" spans="1:20" x14ac:dyDescent="0.25">
      <c r="A98" s="39"/>
      <c r="B98" s="39"/>
      <c r="C98" s="39" t="s">
        <v>127</v>
      </c>
      <c r="D98" s="10">
        <v>31.1</v>
      </c>
      <c r="E98" s="38" t="s">
        <v>74</v>
      </c>
      <c r="F98" s="70" t="s">
        <v>57</v>
      </c>
      <c r="G98" s="37" t="s">
        <v>154</v>
      </c>
      <c r="H98" s="1" t="s">
        <v>58</v>
      </c>
      <c r="I98" s="2" t="s">
        <v>185</v>
      </c>
      <c r="J98" s="65">
        <f>Uittrekstaat!I170</f>
        <v>19.2</v>
      </c>
      <c r="K98" s="58">
        <v>7.68</v>
      </c>
      <c r="L98" s="52">
        <f t="shared" ref="L98:L99" si="15">SUM(K98*1000)</f>
        <v>7680</v>
      </c>
      <c r="M98" s="58"/>
      <c r="N98" s="52"/>
      <c r="O98" s="2" t="s">
        <v>195</v>
      </c>
      <c r="P98" s="2" t="s">
        <v>194</v>
      </c>
      <c r="Q98" s="22">
        <v>8</v>
      </c>
      <c r="R98" s="22">
        <v>3</v>
      </c>
      <c r="S98" s="65">
        <v>159</v>
      </c>
      <c r="T98" s="97" t="s">
        <v>204</v>
      </c>
    </row>
    <row r="99" spans="1:20" x14ac:dyDescent="0.25">
      <c r="A99" s="39"/>
      <c r="B99" s="39"/>
      <c r="C99" s="39" t="s">
        <v>127</v>
      </c>
      <c r="D99" s="10">
        <v>31.1</v>
      </c>
      <c r="E99" s="38" t="s">
        <v>168</v>
      </c>
      <c r="F99" s="70" t="s">
        <v>76</v>
      </c>
      <c r="G99" s="37" t="s">
        <v>160</v>
      </c>
      <c r="H99" s="1" t="s">
        <v>58</v>
      </c>
      <c r="I99" s="2" t="s">
        <v>184</v>
      </c>
      <c r="J99" s="96">
        <f>J98</f>
        <v>19.2</v>
      </c>
      <c r="K99" s="58">
        <v>0.23039999999999999</v>
      </c>
      <c r="L99" s="52">
        <f t="shared" si="15"/>
        <v>230.4</v>
      </c>
      <c r="M99" s="58"/>
      <c r="N99" s="52"/>
      <c r="O99" s="2" t="s">
        <v>195</v>
      </c>
      <c r="P99" s="2"/>
      <c r="Q99" s="22">
        <v>3</v>
      </c>
      <c r="R99" s="22">
        <v>3</v>
      </c>
      <c r="S99" s="65">
        <v>159</v>
      </c>
      <c r="T99" s="97"/>
    </row>
    <row r="100" spans="1:20" x14ac:dyDescent="0.25">
      <c r="A100" s="39"/>
      <c r="B100" s="39"/>
      <c r="C100" s="39" t="s">
        <v>128</v>
      </c>
      <c r="D100" s="10">
        <v>31.2</v>
      </c>
      <c r="E100" s="38" t="s">
        <v>77</v>
      </c>
      <c r="F100" s="70" t="s">
        <v>59</v>
      </c>
      <c r="G100" s="37" t="s">
        <v>162</v>
      </c>
      <c r="H100" s="1" t="s">
        <v>58</v>
      </c>
      <c r="I100" s="2" t="s">
        <v>184</v>
      </c>
      <c r="J100" s="65">
        <f>Uittrekstaat!I141</f>
        <v>529.79999999999995</v>
      </c>
      <c r="K100" s="58">
        <v>14.834399999999999</v>
      </c>
      <c r="L100" s="52">
        <f t="shared" ref="L100:L102" si="16">SUM(K100*1000)</f>
        <v>14834.399999999998</v>
      </c>
      <c r="M100" s="61" t="s">
        <v>459</v>
      </c>
      <c r="N100" s="52"/>
      <c r="O100" s="2" t="s">
        <v>184</v>
      </c>
      <c r="P100" s="2" t="s">
        <v>195</v>
      </c>
      <c r="Q100" s="22">
        <v>3</v>
      </c>
      <c r="R100" s="22">
        <v>3</v>
      </c>
      <c r="S100" s="65">
        <v>27</v>
      </c>
      <c r="T100" s="64"/>
    </row>
    <row r="101" spans="1:20" x14ac:dyDescent="0.25">
      <c r="A101" s="39"/>
      <c r="B101" s="39"/>
      <c r="C101" s="39" t="s">
        <v>128</v>
      </c>
      <c r="D101" s="10">
        <v>31.2</v>
      </c>
      <c r="E101" s="38" t="s">
        <v>78</v>
      </c>
      <c r="F101" s="29" t="s">
        <v>47</v>
      </c>
      <c r="G101" s="37" t="s">
        <v>159</v>
      </c>
      <c r="H101" s="1" t="s">
        <v>55</v>
      </c>
      <c r="I101" s="2" t="s">
        <v>184</v>
      </c>
      <c r="J101" s="65">
        <v>3</v>
      </c>
      <c r="K101" s="58">
        <v>0.06</v>
      </c>
      <c r="L101" s="52">
        <f t="shared" ref="L101" si="17">SUM(K101*1000)</f>
        <v>60</v>
      </c>
      <c r="M101" s="58"/>
      <c r="N101" s="52"/>
      <c r="O101" s="2" t="s">
        <v>195</v>
      </c>
      <c r="P101" s="2" t="s">
        <v>195</v>
      </c>
      <c r="Q101" s="22">
        <v>8</v>
      </c>
      <c r="R101" s="22">
        <v>3</v>
      </c>
      <c r="S101" s="65">
        <v>54</v>
      </c>
      <c r="T101" s="64"/>
    </row>
    <row r="102" spans="1:20" ht="15" customHeight="1" x14ac:dyDescent="0.25">
      <c r="A102" s="39"/>
      <c r="B102" s="39"/>
      <c r="C102" s="39" t="s">
        <v>128</v>
      </c>
      <c r="D102" s="10">
        <v>31.2</v>
      </c>
      <c r="E102" s="38" t="s">
        <v>79</v>
      </c>
      <c r="F102" s="70" t="s">
        <v>59</v>
      </c>
      <c r="G102" s="37" t="s">
        <v>162</v>
      </c>
      <c r="H102" s="1" t="s">
        <v>58</v>
      </c>
      <c r="I102" s="2" t="s">
        <v>185</v>
      </c>
      <c r="J102" s="65">
        <v>7</v>
      </c>
      <c r="K102" s="58">
        <v>0.11900000000000001</v>
      </c>
      <c r="L102" s="52">
        <f t="shared" si="16"/>
        <v>119.00000000000001</v>
      </c>
      <c r="M102" s="58"/>
      <c r="N102" s="52"/>
      <c r="O102" s="2" t="s">
        <v>184</v>
      </c>
      <c r="P102" s="2" t="s">
        <v>195</v>
      </c>
      <c r="Q102" s="22">
        <v>3</v>
      </c>
      <c r="R102" s="22">
        <v>3</v>
      </c>
      <c r="S102" s="65">
        <v>140</v>
      </c>
      <c r="T102" s="64"/>
    </row>
    <row r="103" spans="1:20" x14ac:dyDescent="0.25">
      <c r="A103" s="39"/>
      <c r="B103" s="39"/>
      <c r="C103" s="39" t="s">
        <v>129</v>
      </c>
      <c r="D103" s="10">
        <v>31.3</v>
      </c>
      <c r="E103" s="38" t="s">
        <v>80</v>
      </c>
      <c r="F103" s="70" t="s">
        <v>51</v>
      </c>
      <c r="G103" s="37" t="s">
        <v>157</v>
      </c>
      <c r="H103" s="1" t="s">
        <v>75</v>
      </c>
      <c r="I103" s="2" t="s">
        <v>185</v>
      </c>
      <c r="J103" s="65">
        <v>3</v>
      </c>
      <c r="K103" s="58">
        <v>9</v>
      </c>
      <c r="L103" s="52">
        <f>SUM(J103*3)/1000</f>
        <v>8.9999999999999993E-3</v>
      </c>
      <c r="M103" s="3"/>
      <c r="N103" s="52"/>
      <c r="O103" s="2" t="s">
        <v>184</v>
      </c>
      <c r="P103" s="2" t="s">
        <v>194</v>
      </c>
      <c r="Q103" s="22">
        <v>8</v>
      </c>
      <c r="R103" s="22">
        <v>3</v>
      </c>
      <c r="S103" s="65">
        <v>54</v>
      </c>
      <c r="T103" s="64"/>
    </row>
    <row r="104" spans="1:20" x14ac:dyDescent="0.25">
      <c r="A104" s="39"/>
      <c r="B104" s="39"/>
      <c r="C104" s="39" t="s">
        <v>129</v>
      </c>
      <c r="D104" s="10">
        <v>31.3</v>
      </c>
      <c r="E104" s="38" t="s">
        <v>178</v>
      </c>
      <c r="F104" s="29" t="s">
        <v>59</v>
      </c>
      <c r="G104" s="37" t="s">
        <v>162</v>
      </c>
      <c r="H104" s="1" t="s">
        <v>55</v>
      </c>
      <c r="I104" s="2" t="s">
        <v>184</v>
      </c>
      <c r="J104" s="65">
        <f>Uittrekstaat!I144</f>
        <v>3</v>
      </c>
      <c r="K104" s="58">
        <v>0.13608000000000001</v>
      </c>
      <c r="L104" s="52">
        <f t="shared" ref="L104" si="18">SUM(K104*1000)</f>
        <v>136.08000000000001</v>
      </c>
      <c r="M104" s="3"/>
      <c r="N104" s="52"/>
      <c r="O104" s="2" t="s">
        <v>184</v>
      </c>
      <c r="P104" s="2" t="s">
        <v>184</v>
      </c>
      <c r="Q104" s="22">
        <v>3</v>
      </c>
      <c r="R104" s="22">
        <v>3</v>
      </c>
      <c r="S104" s="65"/>
      <c r="T104" s="64"/>
    </row>
    <row r="105" spans="1:20" x14ac:dyDescent="0.25">
      <c r="A105" s="39"/>
      <c r="B105" s="39"/>
      <c r="C105" s="39" t="s">
        <v>129</v>
      </c>
      <c r="D105" s="10">
        <v>31.3</v>
      </c>
      <c r="E105" s="38" t="s">
        <v>81</v>
      </c>
      <c r="F105" s="29" t="s">
        <v>47</v>
      </c>
      <c r="G105" s="37" t="s">
        <v>159</v>
      </c>
      <c r="H105" s="1" t="s">
        <v>55</v>
      </c>
      <c r="I105" s="2" t="s">
        <v>184</v>
      </c>
      <c r="J105" s="65">
        <v>3</v>
      </c>
      <c r="K105" s="58">
        <v>0.1512</v>
      </c>
      <c r="L105" s="52">
        <f t="shared" ref="L105:L109" si="19">SUM(K105*1000)</f>
        <v>151.19999999999999</v>
      </c>
      <c r="M105" s="3" t="s">
        <v>353</v>
      </c>
      <c r="N105" s="52"/>
      <c r="O105" s="2" t="s">
        <v>195</v>
      </c>
      <c r="P105" s="2" t="s">
        <v>467</v>
      </c>
      <c r="Q105" s="22">
        <v>3</v>
      </c>
      <c r="R105" s="22">
        <v>3</v>
      </c>
      <c r="S105" s="65">
        <v>54</v>
      </c>
      <c r="T105" s="64"/>
    </row>
    <row r="106" spans="1:20" x14ac:dyDescent="0.25">
      <c r="A106" s="39" t="s">
        <v>44</v>
      </c>
      <c r="B106" s="39"/>
      <c r="C106" s="39" t="s">
        <v>130</v>
      </c>
      <c r="D106" s="10">
        <v>31.4</v>
      </c>
      <c r="E106" s="38" t="s">
        <v>345</v>
      </c>
      <c r="G106" s="37"/>
      <c r="I106" s="2" t="s">
        <v>184</v>
      </c>
      <c r="J106" s="65">
        <v>2</v>
      </c>
      <c r="K106" s="3">
        <v>2.5</v>
      </c>
      <c r="L106" s="52">
        <f t="shared" si="19"/>
        <v>2500</v>
      </c>
      <c r="M106" s="3"/>
      <c r="N106" s="52"/>
      <c r="O106" s="2" t="s">
        <v>184</v>
      </c>
      <c r="P106" s="2" t="s">
        <v>467</v>
      </c>
      <c r="Q106" s="22">
        <v>3</v>
      </c>
      <c r="R106" s="22">
        <v>3</v>
      </c>
      <c r="S106" s="65" t="s">
        <v>473</v>
      </c>
      <c r="T106" s="64"/>
    </row>
    <row r="107" spans="1:20" x14ac:dyDescent="0.25">
      <c r="A107" s="39" t="s">
        <v>44</v>
      </c>
      <c r="B107" s="39"/>
      <c r="C107" s="39" t="s">
        <v>82</v>
      </c>
      <c r="D107" s="35">
        <v>32</v>
      </c>
      <c r="E107" s="36" t="s">
        <v>82</v>
      </c>
      <c r="G107" s="37"/>
      <c r="J107" s="65">
        <v>0</v>
      </c>
      <c r="K107" s="3">
        <v>1.536</v>
      </c>
      <c r="L107" s="52">
        <f t="shared" si="19"/>
        <v>1536</v>
      </c>
      <c r="M107" s="3"/>
      <c r="N107" s="52"/>
      <c r="O107" s="2"/>
      <c r="P107" s="2"/>
      <c r="Q107" s="22"/>
      <c r="R107" s="22"/>
      <c r="S107" s="65"/>
      <c r="T107" s="64"/>
    </row>
    <row r="108" spans="1:20" x14ac:dyDescent="0.25">
      <c r="A108" s="39"/>
      <c r="B108" s="39"/>
      <c r="C108" s="39" t="s">
        <v>131</v>
      </c>
      <c r="D108" s="10">
        <v>32.299999999999997</v>
      </c>
      <c r="E108" s="38" t="s">
        <v>83</v>
      </c>
      <c r="F108" s="29" t="s">
        <v>47</v>
      </c>
      <c r="G108" s="37" t="s">
        <v>159</v>
      </c>
      <c r="H108" s="1" t="s">
        <v>55</v>
      </c>
      <c r="I108" s="2" t="s">
        <v>184</v>
      </c>
      <c r="J108" s="65">
        <v>7</v>
      </c>
      <c r="K108" s="58">
        <v>0.14000000000000001</v>
      </c>
      <c r="L108" s="52">
        <f t="shared" si="19"/>
        <v>140</v>
      </c>
      <c r="M108" s="3"/>
      <c r="N108" s="52"/>
      <c r="O108" s="2" t="s">
        <v>195</v>
      </c>
      <c r="P108" s="2" t="s">
        <v>467</v>
      </c>
      <c r="Q108" s="22">
        <v>3</v>
      </c>
      <c r="R108" s="22">
        <v>5</v>
      </c>
      <c r="S108" s="65">
        <v>19</v>
      </c>
      <c r="T108" s="64"/>
    </row>
    <row r="109" spans="1:20" x14ac:dyDescent="0.25">
      <c r="A109" s="39"/>
      <c r="B109" s="39"/>
      <c r="C109" s="39" t="s">
        <v>131</v>
      </c>
      <c r="D109" s="10">
        <v>32.299999999999997</v>
      </c>
      <c r="E109" s="38" t="s">
        <v>181</v>
      </c>
      <c r="F109" s="29" t="s">
        <v>47</v>
      </c>
      <c r="G109" s="37" t="s">
        <v>159</v>
      </c>
      <c r="H109" s="1" t="s">
        <v>55</v>
      </c>
      <c r="I109" s="2" t="s">
        <v>184</v>
      </c>
      <c r="J109" s="65">
        <f>J108</f>
        <v>7</v>
      </c>
      <c r="K109" s="58">
        <v>0.14000000000000001</v>
      </c>
      <c r="L109" s="52">
        <f t="shared" si="19"/>
        <v>140</v>
      </c>
      <c r="M109" s="58"/>
      <c r="N109" s="52"/>
      <c r="O109" s="2" t="s">
        <v>195</v>
      </c>
      <c r="P109" s="2" t="s">
        <v>195</v>
      </c>
      <c r="Q109" s="22">
        <v>8</v>
      </c>
      <c r="R109" s="22">
        <v>3</v>
      </c>
      <c r="S109" s="65">
        <v>19</v>
      </c>
      <c r="T109" s="64"/>
    </row>
    <row r="110" spans="1:20" x14ac:dyDescent="0.25">
      <c r="A110" s="39"/>
      <c r="B110" s="39"/>
      <c r="C110" s="39" t="s">
        <v>132</v>
      </c>
      <c r="D110" s="10">
        <v>32.4</v>
      </c>
      <c r="E110" s="38" t="s">
        <v>346</v>
      </c>
      <c r="G110" s="37"/>
      <c r="I110" s="2" t="s">
        <v>184</v>
      </c>
      <c r="J110" s="65">
        <v>1</v>
      </c>
      <c r="K110" s="3">
        <v>1.25</v>
      </c>
      <c r="L110" s="52">
        <f t="shared" ref="L110:L113" si="20">SUM(K110*1000)</f>
        <v>1250</v>
      </c>
      <c r="M110" s="3"/>
      <c r="N110" s="52"/>
      <c r="O110" s="2" t="s">
        <v>184</v>
      </c>
      <c r="P110" s="2" t="s">
        <v>467</v>
      </c>
      <c r="Q110" s="22">
        <v>3</v>
      </c>
      <c r="R110" s="22">
        <v>5</v>
      </c>
      <c r="S110" s="65">
        <v>8</v>
      </c>
      <c r="T110" s="64"/>
    </row>
    <row r="111" spans="1:20" x14ac:dyDescent="0.25">
      <c r="A111" s="39"/>
      <c r="B111" s="39"/>
      <c r="C111" s="39" t="s">
        <v>132</v>
      </c>
      <c r="D111" s="10">
        <v>32.4</v>
      </c>
      <c r="E111" s="38" t="s">
        <v>176</v>
      </c>
      <c r="F111" s="29" t="s">
        <v>45</v>
      </c>
      <c r="G111" s="37" t="s">
        <v>163</v>
      </c>
      <c r="I111" s="2" t="s">
        <v>184</v>
      </c>
      <c r="J111" s="65">
        <v>3</v>
      </c>
      <c r="K111" s="58">
        <v>6.0000000000000001E-3</v>
      </c>
      <c r="L111" s="52">
        <f t="shared" si="20"/>
        <v>6</v>
      </c>
      <c r="M111" s="3"/>
      <c r="N111" s="52"/>
      <c r="O111" s="2" t="s">
        <v>184</v>
      </c>
      <c r="P111" s="2" t="s">
        <v>184</v>
      </c>
      <c r="Q111" s="22">
        <v>3</v>
      </c>
      <c r="R111" s="22">
        <v>4</v>
      </c>
      <c r="S111" s="65">
        <v>59</v>
      </c>
      <c r="T111" s="64"/>
    </row>
    <row r="112" spans="1:20" x14ac:dyDescent="0.25">
      <c r="A112" s="39"/>
      <c r="B112" s="39"/>
      <c r="C112" s="39" t="s">
        <v>84</v>
      </c>
      <c r="D112" s="35">
        <v>34</v>
      </c>
      <c r="E112" s="36" t="s">
        <v>169</v>
      </c>
      <c r="G112" s="37"/>
      <c r="J112" s="65">
        <v>0</v>
      </c>
      <c r="K112" s="52">
        <v>1.05</v>
      </c>
      <c r="L112" s="52">
        <f>SUM(L113:L113)</f>
        <v>750</v>
      </c>
      <c r="M112" s="58"/>
      <c r="N112" s="52"/>
      <c r="O112" s="2"/>
      <c r="P112" s="2"/>
      <c r="Q112" s="22"/>
      <c r="R112" s="22"/>
      <c r="S112" s="65"/>
      <c r="T112" s="64"/>
    </row>
    <row r="113" spans="1:20" x14ac:dyDescent="0.25">
      <c r="A113" s="39"/>
      <c r="B113" s="39"/>
      <c r="C113" s="39" t="s">
        <v>133</v>
      </c>
      <c r="D113" s="10">
        <v>34.1</v>
      </c>
      <c r="E113" s="38" t="s">
        <v>85</v>
      </c>
      <c r="F113" s="29" t="s">
        <v>45</v>
      </c>
      <c r="G113" s="37" t="s">
        <v>163</v>
      </c>
      <c r="H113" s="1" t="s">
        <v>55</v>
      </c>
      <c r="I113" s="2" t="s">
        <v>184</v>
      </c>
      <c r="J113" s="65">
        <v>3</v>
      </c>
      <c r="K113" s="58">
        <v>0.75</v>
      </c>
      <c r="L113" s="52">
        <f t="shared" si="20"/>
        <v>750</v>
      </c>
      <c r="M113" s="58"/>
      <c r="N113" s="52" t="s">
        <v>478</v>
      </c>
      <c r="O113" s="2" t="s">
        <v>195</v>
      </c>
      <c r="P113" s="2" t="s">
        <v>195</v>
      </c>
      <c r="Q113" s="22">
        <v>3</v>
      </c>
      <c r="R113" s="22">
        <v>5</v>
      </c>
      <c r="S113" s="65">
        <v>133</v>
      </c>
      <c r="T113" s="64" t="s">
        <v>353</v>
      </c>
    </row>
    <row r="114" spans="1:20" x14ac:dyDescent="0.25">
      <c r="A114" s="39"/>
      <c r="B114" s="39"/>
      <c r="C114" s="39" t="s">
        <v>134</v>
      </c>
      <c r="D114" s="10">
        <v>34.200000000000003</v>
      </c>
      <c r="E114" s="38" t="s">
        <v>187</v>
      </c>
      <c r="F114" s="29" t="s">
        <v>45</v>
      </c>
      <c r="G114" s="37" t="s">
        <v>163</v>
      </c>
      <c r="H114" s="1" t="s">
        <v>55</v>
      </c>
      <c r="I114" s="2" t="s">
        <v>184</v>
      </c>
      <c r="J114" s="65">
        <v>3</v>
      </c>
      <c r="K114" s="59">
        <v>0.3</v>
      </c>
      <c r="L114" s="52">
        <f>SUM(K114*1000)</f>
        <v>300</v>
      </c>
      <c r="M114" s="69"/>
      <c r="N114" s="52" t="s">
        <v>179</v>
      </c>
      <c r="O114" s="2" t="s">
        <v>195</v>
      </c>
      <c r="P114" s="2" t="s">
        <v>195</v>
      </c>
      <c r="Q114" s="22">
        <v>3</v>
      </c>
      <c r="R114" s="22">
        <v>5</v>
      </c>
      <c r="S114" s="65">
        <v>132</v>
      </c>
      <c r="T114" s="64" t="s">
        <v>353</v>
      </c>
    </row>
    <row r="115" spans="1:20" x14ac:dyDescent="0.25">
      <c r="A115" s="39"/>
      <c r="B115" s="39"/>
      <c r="C115" s="39" t="s">
        <v>135</v>
      </c>
      <c r="D115" s="35">
        <v>41</v>
      </c>
      <c r="E115" s="36" t="s">
        <v>86</v>
      </c>
      <c r="G115" s="37"/>
      <c r="I115" s="2" t="s">
        <v>347</v>
      </c>
      <c r="J115" s="65">
        <v>0</v>
      </c>
      <c r="K115" s="3">
        <v>1.7576000000000003</v>
      </c>
      <c r="L115" s="52">
        <f t="shared" ref="L115:L118" si="21">SUM(K115*1000)</f>
        <v>1757.6000000000004</v>
      </c>
      <c r="M115" s="3"/>
      <c r="N115" s="52"/>
      <c r="O115" s="2"/>
      <c r="P115" s="2"/>
      <c r="Q115" s="22"/>
      <c r="R115" s="22"/>
      <c r="S115" s="65"/>
      <c r="T115" s="64"/>
    </row>
    <row r="116" spans="1:20" x14ac:dyDescent="0.25">
      <c r="A116" s="39"/>
      <c r="B116" s="39"/>
      <c r="C116" s="39" t="s">
        <v>136</v>
      </c>
      <c r="D116" s="10">
        <v>41.1</v>
      </c>
      <c r="E116" s="38" t="s">
        <v>463</v>
      </c>
      <c r="F116" s="29" t="s">
        <v>76</v>
      </c>
      <c r="G116" s="37" t="s">
        <v>160</v>
      </c>
      <c r="H116" s="1" t="s">
        <v>58</v>
      </c>
      <c r="I116" s="2" t="s">
        <v>184</v>
      </c>
      <c r="J116" s="65">
        <f>Uittrekstaat!I157</f>
        <v>33.800000000000004</v>
      </c>
      <c r="K116" s="3">
        <v>1.7576000000000003</v>
      </c>
      <c r="L116" s="52">
        <f t="shared" si="21"/>
        <v>1757.6000000000004</v>
      </c>
      <c r="M116" s="61" t="s">
        <v>464</v>
      </c>
      <c r="N116" s="52"/>
      <c r="O116" s="2" t="s">
        <v>195</v>
      </c>
      <c r="P116" s="2" t="s">
        <v>184</v>
      </c>
      <c r="Q116" s="22">
        <v>3</v>
      </c>
      <c r="R116" s="22">
        <v>3</v>
      </c>
      <c r="S116" s="65">
        <v>124</v>
      </c>
      <c r="T116" s="64"/>
    </row>
    <row r="117" spans="1:20" x14ac:dyDescent="0.25">
      <c r="A117" s="39" t="s">
        <v>44</v>
      </c>
      <c r="B117" s="39"/>
      <c r="C117" s="39" t="s">
        <v>137</v>
      </c>
      <c r="D117" s="35">
        <v>42</v>
      </c>
      <c r="E117" s="36" t="s">
        <v>88</v>
      </c>
      <c r="G117" s="37"/>
      <c r="J117" s="65">
        <v>0</v>
      </c>
      <c r="K117" s="3">
        <v>2.4788400000000004</v>
      </c>
      <c r="L117" s="52">
        <f t="shared" si="21"/>
        <v>2478.8400000000006</v>
      </c>
      <c r="M117" s="58"/>
      <c r="N117" s="52"/>
      <c r="O117" s="2"/>
      <c r="P117" s="2"/>
      <c r="Q117" s="22"/>
      <c r="R117" s="22"/>
      <c r="S117" s="65"/>
      <c r="T117" s="64"/>
    </row>
    <row r="118" spans="1:20" x14ac:dyDescent="0.25">
      <c r="A118" s="39" t="s">
        <v>44</v>
      </c>
      <c r="B118" s="39"/>
      <c r="C118" s="39" t="s">
        <v>138</v>
      </c>
      <c r="D118" s="10">
        <v>42.1</v>
      </c>
      <c r="E118" s="38" t="s">
        <v>89</v>
      </c>
      <c r="F118" s="29" t="s">
        <v>90</v>
      </c>
      <c r="G118" s="37" t="s">
        <v>158</v>
      </c>
      <c r="H118" s="1" t="s">
        <v>75</v>
      </c>
      <c r="I118" s="2" t="s">
        <v>184</v>
      </c>
      <c r="J118" s="65">
        <f>SUM(4+4+3+3-2)*2.6</f>
        <v>31.200000000000003</v>
      </c>
      <c r="K118" s="58">
        <v>0.38220000000000004</v>
      </c>
      <c r="L118" s="52">
        <f t="shared" si="21"/>
        <v>382.20000000000005</v>
      </c>
      <c r="M118" s="58"/>
      <c r="N118" s="52"/>
      <c r="O118" s="2" t="s">
        <v>184</v>
      </c>
      <c r="P118" s="2" t="s">
        <v>194</v>
      </c>
      <c r="Q118" s="22">
        <v>8</v>
      </c>
      <c r="R118" s="22">
        <v>5</v>
      </c>
      <c r="S118" s="65">
        <v>9</v>
      </c>
      <c r="T118" s="64"/>
    </row>
    <row r="119" spans="1:20" x14ac:dyDescent="0.25">
      <c r="A119" s="39"/>
      <c r="B119" s="39"/>
      <c r="C119" s="39" t="s">
        <v>136</v>
      </c>
      <c r="D119" s="10">
        <v>42.1</v>
      </c>
      <c r="E119" s="38" t="s">
        <v>463</v>
      </c>
      <c r="F119" s="29" t="s">
        <v>76</v>
      </c>
      <c r="G119" s="37" t="s">
        <v>160</v>
      </c>
      <c r="H119" s="1" t="s">
        <v>58</v>
      </c>
      <c r="I119" s="2" t="s">
        <v>184</v>
      </c>
      <c r="J119" s="65">
        <f>Uittrekstaat!I158</f>
        <v>40.32</v>
      </c>
      <c r="K119" s="3">
        <v>2.0966400000000003</v>
      </c>
      <c r="L119" s="52">
        <f t="shared" ref="L119" si="22">SUM(K119*1000)</f>
        <v>2096.6400000000003</v>
      </c>
      <c r="M119" s="61" t="s">
        <v>465</v>
      </c>
      <c r="N119" s="52"/>
      <c r="O119" s="2" t="s">
        <v>184</v>
      </c>
      <c r="P119" s="2" t="s">
        <v>184</v>
      </c>
      <c r="Q119" s="22">
        <v>3</v>
      </c>
      <c r="R119" s="22">
        <v>3</v>
      </c>
      <c r="S119" s="65">
        <v>6</v>
      </c>
      <c r="T119" s="64"/>
    </row>
    <row r="120" spans="1:20" x14ac:dyDescent="0.25">
      <c r="A120" s="39"/>
      <c r="B120" s="39"/>
      <c r="C120" s="39" t="s">
        <v>92</v>
      </c>
      <c r="D120" s="35">
        <v>43</v>
      </c>
      <c r="E120" s="36" t="s">
        <v>92</v>
      </c>
      <c r="G120" s="37"/>
      <c r="J120" s="65">
        <v>0</v>
      </c>
      <c r="K120" s="3">
        <v>1.3202088000000003</v>
      </c>
      <c r="L120" s="52">
        <f t="shared" ref="L120:L126" si="23">SUM(K120*1000)</f>
        <v>1320.2088000000003</v>
      </c>
      <c r="M120" s="3"/>
      <c r="N120" s="52"/>
      <c r="O120" s="2"/>
      <c r="P120" s="2"/>
      <c r="Q120" s="22"/>
      <c r="R120" s="22"/>
      <c r="S120" s="65"/>
      <c r="T120" s="64"/>
    </row>
    <row r="121" spans="1:20" x14ac:dyDescent="0.25">
      <c r="A121" s="39"/>
      <c r="B121" s="39"/>
      <c r="C121" s="39" t="s">
        <v>139</v>
      </c>
      <c r="D121" s="10">
        <v>43.2</v>
      </c>
      <c r="E121" s="38" t="s">
        <v>93</v>
      </c>
      <c r="F121" s="29" t="s">
        <v>90</v>
      </c>
      <c r="G121" s="37" t="s">
        <v>158</v>
      </c>
      <c r="H121" s="1" t="s">
        <v>75</v>
      </c>
      <c r="I121" s="2" t="s">
        <v>184</v>
      </c>
      <c r="J121" s="65">
        <f>SUM(3*4)</f>
        <v>12</v>
      </c>
      <c r="K121" s="3">
        <v>1.3200000000000003</v>
      </c>
      <c r="L121" s="52">
        <f t="shared" si="23"/>
        <v>1320.0000000000002</v>
      </c>
      <c r="M121" s="3"/>
      <c r="N121" s="52"/>
      <c r="O121" s="2" t="s">
        <v>184</v>
      </c>
      <c r="P121" s="2" t="s">
        <v>194</v>
      </c>
      <c r="Q121" s="22">
        <v>8</v>
      </c>
      <c r="R121" s="22">
        <v>5</v>
      </c>
      <c r="S121" s="65">
        <v>19</v>
      </c>
      <c r="T121" s="64"/>
    </row>
    <row r="122" spans="1:20" x14ac:dyDescent="0.25">
      <c r="A122" s="39"/>
      <c r="B122" s="39"/>
      <c r="C122" s="39" t="s">
        <v>139</v>
      </c>
      <c r="D122" s="10">
        <v>43.2</v>
      </c>
      <c r="E122" s="38" t="s">
        <v>182</v>
      </c>
      <c r="F122" s="29" t="s">
        <v>76</v>
      </c>
      <c r="G122" s="37" t="s">
        <v>160</v>
      </c>
      <c r="I122" s="2" t="s">
        <v>184</v>
      </c>
      <c r="J122" s="65">
        <f>SUM(3*4)+(3*4)</f>
        <v>24</v>
      </c>
      <c r="K122" s="3">
        <v>2.0879999999999998E-4</v>
      </c>
      <c r="L122" s="52">
        <f t="shared" si="23"/>
        <v>0.20879999999999999</v>
      </c>
      <c r="M122" s="3"/>
      <c r="N122" s="52"/>
      <c r="O122" s="2" t="s">
        <v>387</v>
      </c>
      <c r="P122" s="2" t="s">
        <v>194</v>
      </c>
      <c r="Q122" s="22">
        <v>8</v>
      </c>
      <c r="R122" s="22">
        <v>5</v>
      </c>
      <c r="S122" s="65">
        <v>13</v>
      </c>
      <c r="T122" s="64"/>
    </row>
    <row r="123" spans="1:20" x14ac:dyDescent="0.25">
      <c r="A123" s="39" t="s">
        <v>44</v>
      </c>
      <c r="B123" s="39"/>
      <c r="C123" s="39" t="s">
        <v>140</v>
      </c>
      <c r="D123" s="35">
        <v>45</v>
      </c>
      <c r="E123" s="36" t="s">
        <v>94</v>
      </c>
      <c r="G123" s="37"/>
      <c r="J123" s="65">
        <v>0</v>
      </c>
      <c r="K123" s="3">
        <v>1.6127999999999998</v>
      </c>
      <c r="L123" s="52">
        <f t="shared" si="23"/>
        <v>1612.7999999999997</v>
      </c>
      <c r="M123" s="58"/>
      <c r="N123" s="52"/>
      <c r="O123" s="2"/>
      <c r="P123" s="2"/>
      <c r="Q123" s="22"/>
      <c r="R123" s="22"/>
      <c r="S123" s="65"/>
      <c r="T123" s="64"/>
    </row>
    <row r="124" spans="1:20" x14ac:dyDescent="0.25">
      <c r="A124" s="39"/>
      <c r="B124" s="39"/>
      <c r="C124" s="39" t="s">
        <v>142</v>
      </c>
      <c r="D124" s="10">
        <v>45.1</v>
      </c>
      <c r="E124" s="38" t="s">
        <v>348</v>
      </c>
      <c r="F124" s="29" t="s">
        <v>60</v>
      </c>
      <c r="G124" s="37" t="s">
        <v>164</v>
      </c>
      <c r="H124" s="1" t="s">
        <v>55</v>
      </c>
      <c r="I124" s="2" t="s">
        <v>184</v>
      </c>
      <c r="J124" s="65">
        <f>SUM(7.2*4)+(7.2*4)</f>
        <v>57.6</v>
      </c>
      <c r="K124" s="3">
        <v>1.6127999999999998</v>
      </c>
      <c r="L124" s="52">
        <f t="shared" ref="L124" si="24">SUM(K124*1000)</f>
        <v>1612.7999999999997</v>
      </c>
      <c r="M124" s="58"/>
      <c r="N124" s="52"/>
      <c r="O124" s="2" t="s">
        <v>184</v>
      </c>
      <c r="P124" s="2" t="s">
        <v>184</v>
      </c>
      <c r="Q124" s="22">
        <v>3</v>
      </c>
      <c r="R124" s="22">
        <v>3</v>
      </c>
      <c r="S124" s="65">
        <v>20</v>
      </c>
      <c r="T124" s="64"/>
    </row>
    <row r="125" spans="1:20" x14ac:dyDescent="0.25">
      <c r="A125" s="39" t="s">
        <v>44</v>
      </c>
      <c r="B125" s="39"/>
      <c r="C125" s="39" t="s">
        <v>141</v>
      </c>
      <c r="D125" s="35">
        <v>47</v>
      </c>
      <c r="E125" s="36" t="s">
        <v>95</v>
      </c>
      <c r="G125" s="37"/>
      <c r="J125" s="65">
        <v>0</v>
      </c>
      <c r="K125" s="3">
        <v>6.2752000000000002E-2</v>
      </c>
      <c r="L125" s="52">
        <f t="shared" si="23"/>
        <v>62.752000000000002</v>
      </c>
      <c r="N125" s="52"/>
      <c r="O125" s="2"/>
      <c r="P125" s="2"/>
      <c r="Q125" s="22"/>
      <c r="R125" s="22"/>
      <c r="S125" s="65"/>
      <c r="T125" s="64"/>
    </row>
    <row r="126" spans="1:20" x14ac:dyDescent="0.25">
      <c r="A126" s="39"/>
      <c r="B126" s="39"/>
      <c r="C126" s="39" t="s">
        <v>142</v>
      </c>
      <c r="D126" s="10">
        <v>47.1</v>
      </c>
      <c r="E126" s="38" t="s">
        <v>96</v>
      </c>
      <c r="F126" s="29" t="s">
        <v>87</v>
      </c>
      <c r="G126" s="37" t="s">
        <v>161</v>
      </c>
      <c r="H126" s="1" t="s">
        <v>55</v>
      </c>
      <c r="I126" s="2" t="s">
        <v>184</v>
      </c>
      <c r="J126" s="65">
        <f>SUM(5.3*7.4)</f>
        <v>39.22</v>
      </c>
      <c r="K126" s="3">
        <v>6.2752000000000002E-2</v>
      </c>
      <c r="L126" s="52">
        <f t="shared" si="23"/>
        <v>62.752000000000002</v>
      </c>
      <c r="M126" s="3"/>
      <c r="N126" s="52"/>
      <c r="O126" s="2" t="s">
        <v>184</v>
      </c>
      <c r="P126" s="2" t="s">
        <v>194</v>
      </c>
      <c r="Q126" s="22">
        <v>8</v>
      </c>
      <c r="R126" s="22">
        <v>3</v>
      </c>
      <c r="S126" s="65">
        <v>119</v>
      </c>
      <c r="T126" s="64"/>
    </row>
    <row r="127" spans="1:20" x14ac:dyDescent="0.25">
      <c r="A127" s="39"/>
      <c r="B127" s="39"/>
      <c r="C127" s="39" t="s">
        <v>98</v>
      </c>
      <c r="D127" s="35">
        <v>52</v>
      </c>
      <c r="E127" s="36" t="s">
        <v>98</v>
      </c>
      <c r="G127" s="37"/>
      <c r="J127" s="65">
        <v>0</v>
      </c>
      <c r="K127" s="3">
        <v>0.40732999999999997</v>
      </c>
      <c r="L127" s="52">
        <f t="shared" ref="L127:L128" si="25">SUM(K127*1000)</f>
        <v>407.33</v>
      </c>
      <c r="M127" s="3"/>
      <c r="N127" s="52"/>
      <c r="O127" s="2"/>
      <c r="P127" s="2"/>
      <c r="Q127" s="22"/>
      <c r="R127" s="22"/>
      <c r="S127" s="65"/>
      <c r="T127" s="64"/>
    </row>
    <row r="128" spans="1:20" x14ac:dyDescent="0.25">
      <c r="A128" s="39" t="s">
        <v>44</v>
      </c>
      <c r="B128" s="39"/>
      <c r="C128" s="39" t="s">
        <v>143</v>
      </c>
      <c r="D128" s="10">
        <v>52.1</v>
      </c>
      <c r="E128" s="38" t="s">
        <v>170</v>
      </c>
      <c r="F128" s="29" t="s">
        <v>45</v>
      </c>
      <c r="G128" s="37" t="s">
        <v>163</v>
      </c>
      <c r="H128" s="1" t="s">
        <v>55</v>
      </c>
      <c r="I128" s="2" t="s">
        <v>185</v>
      </c>
      <c r="J128" s="65">
        <f>SUM(7*5.6)+(7*7.05)</f>
        <v>88.55</v>
      </c>
      <c r="K128" s="3">
        <v>0.40732999999999997</v>
      </c>
      <c r="L128" s="52">
        <f t="shared" si="25"/>
        <v>407.33</v>
      </c>
      <c r="M128" s="3"/>
      <c r="N128" s="52"/>
      <c r="O128" s="2" t="s">
        <v>195</v>
      </c>
      <c r="P128" s="2" t="s">
        <v>184</v>
      </c>
      <c r="Q128" s="22">
        <v>3</v>
      </c>
      <c r="R128" s="22">
        <v>4</v>
      </c>
      <c r="S128" s="65">
        <v>44</v>
      </c>
      <c r="T128" s="64"/>
    </row>
    <row r="129" spans="1:20" x14ac:dyDescent="0.25">
      <c r="A129" s="39"/>
      <c r="B129" s="39"/>
      <c r="C129" s="39" t="s">
        <v>144</v>
      </c>
      <c r="D129" s="10">
        <v>56.2</v>
      </c>
      <c r="E129" s="38" t="s">
        <v>100</v>
      </c>
      <c r="F129" s="29" t="s">
        <v>99</v>
      </c>
      <c r="G129" s="37" t="s">
        <v>155</v>
      </c>
      <c r="I129" s="2" t="s">
        <v>185</v>
      </c>
      <c r="J129" s="65">
        <v>1</v>
      </c>
      <c r="K129" s="3">
        <v>2.5000000000000001E-3</v>
      </c>
      <c r="L129" s="52">
        <f t="shared" ref="L129:L136" si="26">SUM(K129*1000)</f>
        <v>2.5</v>
      </c>
      <c r="M129" s="3" t="s">
        <v>470</v>
      </c>
      <c r="N129" s="52"/>
      <c r="O129" s="2"/>
      <c r="P129" s="2" t="s">
        <v>195</v>
      </c>
      <c r="Q129" s="22">
        <v>2</v>
      </c>
      <c r="R129" s="22">
        <v>5</v>
      </c>
      <c r="S129" s="65">
        <v>163</v>
      </c>
      <c r="T129" s="64"/>
    </row>
    <row r="130" spans="1:20" x14ac:dyDescent="0.25">
      <c r="A130" s="39"/>
      <c r="B130" s="39"/>
      <c r="C130" s="39" t="s">
        <v>145</v>
      </c>
      <c r="D130" s="10">
        <v>57.1</v>
      </c>
      <c r="E130" s="38" t="s">
        <v>101</v>
      </c>
      <c r="F130" s="70" t="s">
        <v>99</v>
      </c>
      <c r="G130" s="37" t="s">
        <v>155</v>
      </c>
      <c r="H130" s="1" t="s">
        <v>55</v>
      </c>
      <c r="I130" s="2" t="s">
        <v>184</v>
      </c>
      <c r="J130" s="65">
        <v>2</v>
      </c>
      <c r="K130" s="3">
        <v>6.0000000000000001E-3</v>
      </c>
      <c r="L130" s="52">
        <f t="shared" si="26"/>
        <v>6</v>
      </c>
      <c r="M130" s="3"/>
      <c r="N130" s="52"/>
      <c r="O130" s="2" t="s">
        <v>195</v>
      </c>
      <c r="P130" s="2" t="s">
        <v>184</v>
      </c>
      <c r="Q130" s="22">
        <v>3</v>
      </c>
      <c r="R130" s="22">
        <v>6</v>
      </c>
      <c r="S130" s="65">
        <v>151</v>
      </c>
      <c r="T130" s="64"/>
    </row>
    <row r="131" spans="1:20" x14ac:dyDescent="0.25">
      <c r="A131" s="39" t="s">
        <v>69</v>
      </c>
      <c r="B131" s="39"/>
      <c r="C131" s="39" t="s">
        <v>102</v>
      </c>
      <c r="D131" s="35">
        <v>61</v>
      </c>
      <c r="E131" s="36" t="s">
        <v>102</v>
      </c>
      <c r="G131" s="37"/>
      <c r="J131" s="65">
        <v>0</v>
      </c>
      <c r="K131" s="3">
        <v>0.38706999999999997</v>
      </c>
      <c r="L131" s="52">
        <f t="shared" si="26"/>
        <v>387.07</v>
      </c>
      <c r="M131" s="3"/>
      <c r="N131" s="52"/>
      <c r="O131" s="2"/>
      <c r="P131" s="2"/>
      <c r="Q131" s="22"/>
      <c r="R131" s="22"/>
      <c r="S131" s="65"/>
      <c r="T131" s="64"/>
    </row>
    <row r="132" spans="1:20" x14ac:dyDescent="0.25">
      <c r="A132" s="39"/>
      <c r="B132" s="39"/>
      <c r="C132" s="39" t="s">
        <v>146</v>
      </c>
      <c r="D132" s="10">
        <v>61.4</v>
      </c>
      <c r="E132" s="38" t="s">
        <v>103</v>
      </c>
      <c r="F132" s="29" t="s">
        <v>99</v>
      </c>
      <c r="G132" s="37" t="s">
        <v>155</v>
      </c>
      <c r="I132" s="2" t="s">
        <v>185</v>
      </c>
      <c r="J132" s="65">
        <f>SUM(8*7.2)*3</f>
        <v>172.8</v>
      </c>
      <c r="K132" s="3">
        <v>0.32832</v>
      </c>
      <c r="L132" s="52">
        <f t="shared" si="26"/>
        <v>328.32</v>
      </c>
      <c r="M132" s="3"/>
      <c r="N132" s="52"/>
      <c r="O132" s="2" t="s">
        <v>387</v>
      </c>
      <c r="P132" s="2" t="s">
        <v>184</v>
      </c>
      <c r="Q132" s="22">
        <v>8</v>
      </c>
      <c r="R132" s="22">
        <v>4</v>
      </c>
      <c r="S132" s="65">
        <v>21</v>
      </c>
      <c r="T132" s="64"/>
    </row>
    <row r="133" spans="1:20" x14ac:dyDescent="0.25">
      <c r="A133" s="39"/>
      <c r="B133" s="39"/>
      <c r="C133" s="39" t="s">
        <v>146</v>
      </c>
      <c r="D133" s="10">
        <v>61.4</v>
      </c>
      <c r="E133" s="38" t="s">
        <v>104</v>
      </c>
      <c r="F133" s="29" t="s">
        <v>99</v>
      </c>
      <c r="G133" s="37" t="s">
        <v>155</v>
      </c>
      <c r="I133" s="2" t="s">
        <v>185</v>
      </c>
      <c r="J133" s="65">
        <v>7</v>
      </c>
      <c r="K133" s="3">
        <v>8.7500000000000008E-3</v>
      </c>
      <c r="L133" s="52">
        <f t="shared" si="26"/>
        <v>8.75</v>
      </c>
      <c r="M133" s="3"/>
      <c r="N133" s="52"/>
      <c r="O133" s="2" t="s">
        <v>195</v>
      </c>
      <c r="P133" s="2" t="s">
        <v>184</v>
      </c>
      <c r="Q133" s="22">
        <v>3</v>
      </c>
      <c r="R133" s="22">
        <v>4</v>
      </c>
      <c r="S133" s="65">
        <v>10</v>
      </c>
      <c r="T133" s="64"/>
    </row>
    <row r="134" spans="1:20" x14ac:dyDescent="0.25">
      <c r="A134" s="39"/>
      <c r="B134" s="39"/>
      <c r="C134" s="39" t="s">
        <v>146</v>
      </c>
      <c r="D134" s="10">
        <v>61.4</v>
      </c>
      <c r="E134" s="38" t="s">
        <v>197</v>
      </c>
      <c r="F134" s="29" t="s">
        <v>99</v>
      </c>
      <c r="G134" s="37" t="s">
        <v>155</v>
      </c>
      <c r="I134" s="2" t="s">
        <v>185</v>
      </c>
      <c r="J134" s="65">
        <v>1</v>
      </c>
      <c r="K134" s="3">
        <v>0.05</v>
      </c>
      <c r="L134" s="52">
        <f t="shared" si="26"/>
        <v>50</v>
      </c>
      <c r="M134" s="3" t="s">
        <v>196</v>
      </c>
      <c r="N134" s="52"/>
      <c r="O134" s="2" t="s">
        <v>195</v>
      </c>
      <c r="P134" s="2" t="s">
        <v>184</v>
      </c>
      <c r="Q134" s="22">
        <v>3</v>
      </c>
      <c r="R134" s="22">
        <v>4</v>
      </c>
      <c r="S134" s="65">
        <v>162</v>
      </c>
      <c r="T134" s="64"/>
    </row>
    <row r="135" spans="1:20" x14ac:dyDescent="0.25">
      <c r="A135" s="39"/>
      <c r="B135" s="39"/>
      <c r="C135" s="39" t="s">
        <v>105</v>
      </c>
      <c r="D135" s="35">
        <v>63</v>
      </c>
      <c r="E135" s="36" t="s">
        <v>105</v>
      </c>
      <c r="G135" s="37"/>
      <c r="J135" s="65">
        <v>0</v>
      </c>
      <c r="K135" s="3">
        <v>0.37159999999999999</v>
      </c>
      <c r="L135" s="52">
        <f t="shared" si="26"/>
        <v>371.59999999999997</v>
      </c>
      <c r="M135" s="3"/>
      <c r="N135" s="52"/>
      <c r="O135" s="2"/>
      <c r="P135" s="2"/>
      <c r="Q135" s="22"/>
      <c r="R135" s="22"/>
      <c r="S135" s="65"/>
      <c r="T135" s="64"/>
    </row>
    <row r="136" spans="1:20" x14ac:dyDescent="0.25">
      <c r="A136" s="39"/>
      <c r="B136" s="39"/>
      <c r="C136" s="39" t="s">
        <v>147</v>
      </c>
      <c r="D136" s="10">
        <v>63.1</v>
      </c>
      <c r="E136" s="38" t="s">
        <v>106</v>
      </c>
      <c r="F136" s="70" t="s">
        <v>99</v>
      </c>
      <c r="G136" s="37" t="s">
        <v>155</v>
      </c>
      <c r="I136" s="2" t="s">
        <v>184</v>
      </c>
      <c r="J136" s="65">
        <f>SUM(4*3)+1+1</f>
        <v>14</v>
      </c>
      <c r="K136" s="3">
        <v>5.6000000000000001E-2</v>
      </c>
      <c r="L136" s="52">
        <f t="shared" si="26"/>
        <v>56</v>
      </c>
      <c r="M136" s="3"/>
      <c r="N136" s="52"/>
      <c r="O136" s="2" t="s">
        <v>184</v>
      </c>
      <c r="P136" s="2" t="s">
        <v>184</v>
      </c>
      <c r="Q136" s="22">
        <v>3</v>
      </c>
      <c r="R136" s="22">
        <v>5</v>
      </c>
      <c r="S136" s="65">
        <v>51</v>
      </c>
      <c r="T136" s="64"/>
    </row>
    <row r="137" spans="1:20" x14ac:dyDescent="0.25">
      <c r="A137" s="39"/>
      <c r="B137" s="39"/>
      <c r="C137" s="39" t="s">
        <v>147</v>
      </c>
      <c r="D137" s="10">
        <v>63.1</v>
      </c>
      <c r="E137" s="38" t="s">
        <v>107</v>
      </c>
      <c r="F137" s="70" t="s">
        <v>99</v>
      </c>
      <c r="G137" s="37" t="s">
        <v>155</v>
      </c>
      <c r="H137" s="62"/>
      <c r="I137" s="2" t="s">
        <v>184</v>
      </c>
      <c r="J137" s="65">
        <v>5</v>
      </c>
      <c r="K137" s="3">
        <v>0.02</v>
      </c>
      <c r="L137" s="52">
        <f t="shared" ref="L137:L142" si="27">SUM(K137*1000)</f>
        <v>20</v>
      </c>
      <c r="M137" s="3"/>
      <c r="N137" s="52"/>
      <c r="O137" s="2" t="s">
        <v>184</v>
      </c>
      <c r="P137" s="2" t="s">
        <v>184</v>
      </c>
      <c r="Q137" s="22">
        <v>3</v>
      </c>
      <c r="R137" s="22">
        <v>5</v>
      </c>
      <c r="S137" s="65">
        <v>4</v>
      </c>
      <c r="T137" s="64"/>
    </row>
    <row r="138" spans="1:20" x14ac:dyDescent="0.25">
      <c r="A138" s="39"/>
      <c r="B138" s="39"/>
      <c r="C138" s="39" t="s">
        <v>147</v>
      </c>
      <c r="D138" s="10">
        <v>63.1</v>
      </c>
      <c r="E138" s="38" t="s">
        <v>108</v>
      </c>
      <c r="F138" s="29" t="s">
        <v>109</v>
      </c>
      <c r="G138" s="37" t="s">
        <v>167</v>
      </c>
      <c r="H138" s="1" t="s">
        <v>91</v>
      </c>
      <c r="I138" s="2" t="s">
        <v>184</v>
      </c>
      <c r="J138" s="65">
        <f>J139*2</f>
        <v>160</v>
      </c>
      <c r="K138" s="3">
        <v>0.16</v>
      </c>
      <c r="L138" s="52">
        <f t="shared" si="27"/>
        <v>160</v>
      </c>
      <c r="M138" s="3"/>
      <c r="N138" s="52"/>
      <c r="O138" s="2" t="s">
        <v>184</v>
      </c>
      <c r="P138" s="2" t="s">
        <v>184</v>
      </c>
      <c r="Q138" s="22">
        <v>8</v>
      </c>
      <c r="R138" s="22">
        <v>6</v>
      </c>
      <c r="S138" s="65">
        <v>47</v>
      </c>
      <c r="T138" s="64"/>
    </row>
    <row r="139" spans="1:20" x14ac:dyDescent="0.25">
      <c r="A139" s="39"/>
      <c r="B139" s="39"/>
      <c r="C139" s="39" t="s">
        <v>148</v>
      </c>
      <c r="D139" s="10">
        <v>63.2</v>
      </c>
      <c r="E139" s="38" t="s">
        <v>110</v>
      </c>
      <c r="F139" s="70" t="s">
        <v>189</v>
      </c>
      <c r="G139" s="37" t="s">
        <v>188</v>
      </c>
      <c r="I139" s="2" t="s">
        <v>184</v>
      </c>
      <c r="J139" s="65">
        <f>SUM(16*5)</f>
        <v>80</v>
      </c>
      <c r="K139" s="3">
        <v>0.12</v>
      </c>
      <c r="L139" s="52">
        <f t="shared" si="27"/>
        <v>120</v>
      </c>
      <c r="M139" s="3"/>
      <c r="N139" s="52"/>
      <c r="O139" s="2" t="s">
        <v>184</v>
      </c>
      <c r="P139" s="2" t="s">
        <v>184</v>
      </c>
      <c r="Q139" s="22">
        <v>3</v>
      </c>
      <c r="R139" s="22">
        <v>6</v>
      </c>
      <c r="S139" s="65">
        <v>47</v>
      </c>
      <c r="T139" s="64"/>
    </row>
    <row r="140" spans="1:20" x14ac:dyDescent="0.25">
      <c r="A140" s="39"/>
      <c r="B140" s="39"/>
      <c r="C140" s="39" t="s">
        <v>148</v>
      </c>
      <c r="D140" s="10">
        <v>63.2</v>
      </c>
      <c r="E140" s="38" t="s">
        <v>171</v>
      </c>
      <c r="F140" s="70" t="s">
        <v>189</v>
      </c>
      <c r="G140" s="37" t="s">
        <v>188</v>
      </c>
      <c r="I140" s="2" t="s">
        <v>185</v>
      </c>
      <c r="J140" s="65">
        <v>6</v>
      </c>
      <c r="K140" s="3">
        <v>1.5599999999999999E-2</v>
      </c>
      <c r="L140" s="52">
        <f t="shared" si="27"/>
        <v>15.6</v>
      </c>
      <c r="M140" s="3"/>
      <c r="N140" s="52"/>
      <c r="O140" s="2" t="s">
        <v>184</v>
      </c>
      <c r="P140" s="2" t="s">
        <v>184</v>
      </c>
      <c r="Q140" s="22">
        <v>3</v>
      </c>
      <c r="R140" s="22">
        <v>6</v>
      </c>
      <c r="S140" s="65">
        <v>115</v>
      </c>
      <c r="T140" s="64"/>
    </row>
    <row r="141" spans="1:20" x14ac:dyDescent="0.25">
      <c r="A141" s="39"/>
      <c r="B141" s="39"/>
      <c r="C141" s="39" t="s">
        <v>149</v>
      </c>
      <c r="D141" s="35">
        <v>65</v>
      </c>
      <c r="E141" s="36" t="s">
        <v>111</v>
      </c>
      <c r="G141" s="37"/>
      <c r="J141" s="65">
        <v>0</v>
      </c>
      <c r="K141" s="3">
        <v>1.6E-2</v>
      </c>
      <c r="L141" s="52">
        <f t="shared" si="27"/>
        <v>16</v>
      </c>
      <c r="M141" s="3"/>
      <c r="N141" s="52"/>
      <c r="O141" s="2"/>
      <c r="P141" s="2"/>
      <c r="Q141" s="22"/>
      <c r="R141" s="22"/>
      <c r="S141" s="65"/>
      <c r="T141" s="64"/>
    </row>
    <row r="142" spans="1:20" x14ac:dyDescent="0.25">
      <c r="A142" s="39"/>
      <c r="B142" s="39"/>
      <c r="C142" s="39" t="s">
        <v>150</v>
      </c>
      <c r="D142" s="10">
        <v>65.099999999999994</v>
      </c>
      <c r="E142" s="38" t="s">
        <v>349</v>
      </c>
      <c r="F142" s="70" t="s">
        <v>99</v>
      </c>
      <c r="G142" s="37" t="s">
        <v>155</v>
      </c>
      <c r="I142" s="2" t="s">
        <v>184</v>
      </c>
      <c r="J142" s="65">
        <v>5</v>
      </c>
      <c r="K142" s="3">
        <v>0.01</v>
      </c>
      <c r="L142" s="52">
        <f t="shared" si="27"/>
        <v>10</v>
      </c>
      <c r="M142" s="3"/>
      <c r="N142" s="52"/>
      <c r="O142" s="2" t="s">
        <v>184</v>
      </c>
      <c r="P142" s="2" t="s">
        <v>184</v>
      </c>
      <c r="Q142" s="22">
        <v>3</v>
      </c>
      <c r="R142" s="22">
        <v>6</v>
      </c>
      <c r="S142" s="65">
        <v>49</v>
      </c>
      <c r="T142" s="64" t="s">
        <v>475</v>
      </c>
    </row>
    <row r="143" spans="1:20" x14ac:dyDescent="0.25">
      <c r="A143" s="39"/>
      <c r="B143" s="39"/>
      <c r="C143" s="39" t="s">
        <v>150</v>
      </c>
      <c r="D143" s="10">
        <v>65.099999999999994</v>
      </c>
      <c r="E143" s="38" t="s">
        <v>350</v>
      </c>
      <c r="F143" s="70" t="s">
        <v>99</v>
      </c>
      <c r="G143" s="37" t="s">
        <v>155</v>
      </c>
      <c r="I143" s="2" t="s">
        <v>184</v>
      </c>
      <c r="J143" s="65">
        <v>3</v>
      </c>
      <c r="K143" s="3">
        <v>6.0000000000000001E-3</v>
      </c>
      <c r="L143" s="52">
        <f t="shared" ref="L143" si="28">SUM(K143*1000)</f>
        <v>6</v>
      </c>
      <c r="M143" s="3"/>
      <c r="N143" s="52"/>
      <c r="O143" s="2" t="s">
        <v>184</v>
      </c>
      <c r="P143" s="2" t="s">
        <v>184</v>
      </c>
      <c r="Q143" s="22">
        <v>3</v>
      </c>
      <c r="R143" s="22">
        <v>6</v>
      </c>
      <c r="S143" s="65">
        <v>56</v>
      </c>
      <c r="T143" s="64" t="s">
        <v>353</v>
      </c>
    </row>
    <row r="144" spans="1:20" x14ac:dyDescent="0.25">
      <c r="A144" s="39" t="s">
        <v>69</v>
      </c>
      <c r="B144" s="39"/>
      <c r="C144" s="39" t="s">
        <v>112</v>
      </c>
      <c r="D144" s="35">
        <v>73</v>
      </c>
      <c r="E144" s="36" t="s">
        <v>112</v>
      </c>
      <c r="G144" s="37"/>
      <c r="J144" s="65">
        <v>0</v>
      </c>
      <c r="K144" s="3">
        <v>0.15</v>
      </c>
      <c r="L144" s="52">
        <f t="shared" ref="L144:L157" si="29">SUM(K144*1000)</f>
        <v>150</v>
      </c>
      <c r="M144" s="3"/>
      <c r="N144" s="52"/>
      <c r="O144" s="2"/>
      <c r="P144" s="2"/>
      <c r="Q144" s="22"/>
      <c r="R144" s="22"/>
      <c r="S144" s="65"/>
      <c r="T144" s="64"/>
    </row>
    <row r="145" spans="1:20" x14ac:dyDescent="0.25">
      <c r="A145" s="39"/>
      <c r="B145" s="39"/>
      <c r="C145" s="39" t="s">
        <v>151</v>
      </c>
      <c r="D145" s="10">
        <v>73.099999999999994</v>
      </c>
      <c r="E145" s="38" t="s">
        <v>172</v>
      </c>
      <c r="F145" s="29" t="s">
        <v>47</v>
      </c>
      <c r="G145" s="37" t="s">
        <v>159</v>
      </c>
      <c r="I145" s="2" t="s">
        <v>184</v>
      </c>
      <c r="J145" s="65">
        <v>1</v>
      </c>
      <c r="K145" s="3">
        <v>0.15</v>
      </c>
      <c r="L145" s="52">
        <f t="shared" si="29"/>
        <v>150</v>
      </c>
      <c r="M145" s="3"/>
      <c r="N145" s="52"/>
      <c r="O145" s="2" t="s">
        <v>387</v>
      </c>
      <c r="P145" s="2" t="s">
        <v>184</v>
      </c>
      <c r="Q145" s="22">
        <v>8</v>
      </c>
      <c r="R145" s="22">
        <v>8</v>
      </c>
      <c r="S145" s="65">
        <v>17</v>
      </c>
      <c r="T145" s="64"/>
    </row>
    <row r="146" spans="1:20" x14ac:dyDescent="0.25">
      <c r="A146" s="39" t="s">
        <v>69</v>
      </c>
      <c r="B146" s="39"/>
      <c r="C146" s="39" t="s">
        <v>152</v>
      </c>
      <c r="D146" s="35">
        <v>90</v>
      </c>
      <c r="E146" s="36" t="s">
        <v>113</v>
      </c>
      <c r="G146" s="37"/>
      <c r="J146" s="65">
        <v>0</v>
      </c>
      <c r="K146" s="3">
        <v>458.99144000000001</v>
      </c>
      <c r="L146" s="52">
        <f t="shared" si="29"/>
        <v>458991.44</v>
      </c>
      <c r="M146" s="3"/>
      <c r="N146" s="52"/>
      <c r="O146" s="2"/>
      <c r="P146" s="2"/>
      <c r="Q146" s="22"/>
      <c r="R146" s="22"/>
      <c r="S146" s="65"/>
      <c r="T146" s="64"/>
    </row>
    <row r="147" spans="1:20" x14ac:dyDescent="0.25">
      <c r="A147" s="39" t="s">
        <v>69</v>
      </c>
      <c r="B147" s="39"/>
      <c r="C147" s="39" t="s">
        <v>153</v>
      </c>
      <c r="D147" s="10">
        <v>90.4</v>
      </c>
      <c r="E147" s="38" t="s">
        <v>114</v>
      </c>
      <c r="F147" s="70" t="s">
        <v>90</v>
      </c>
      <c r="G147" s="37" t="s">
        <v>158</v>
      </c>
      <c r="H147" s="1" t="s">
        <v>49</v>
      </c>
      <c r="I147" s="2" t="s">
        <v>184</v>
      </c>
      <c r="J147" s="65">
        <f>SUM(86*1.8)</f>
        <v>154.80000000000001</v>
      </c>
      <c r="K147" s="3">
        <v>371.52000000000004</v>
      </c>
      <c r="L147" s="52">
        <f t="shared" si="29"/>
        <v>371520.00000000006</v>
      </c>
      <c r="M147" s="63"/>
      <c r="N147" s="52"/>
      <c r="O147" s="2" t="s">
        <v>184</v>
      </c>
      <c r="P147" s="2" t="s">
        <v>184</v>
      </c>
      <c r="Q147" s="22">
        <v>3</v>
      </c>
      <c r="R147" s="22">
        <v>1</v>
      </c>
      <c r="S147" s="65">
        <v>150</v>
      </c>
      <c r="T147" s="64"/>
    </row>
    <row r="148" spans="1:20" x14ac:dyDescent="0.25">
      <c r="A148" s="39"/>
      <c r="B148" s="39"/>
      <c r="C148" s="39" t="s">
        <v>153</v>
      </c>
      <c r="D148" s="10">
        <v>90.4</v>
      </c>
      <c r="E148" s="38" t="s">
        <v>115</v>
      </c>
      <c r="F148" s="70" t="s">
        <v>56</v>
      </c>
      <c r="G148" s="37" t="s">
        <v>156</v>
      </c>
      <c r="H148" s="1" t="s">
        <v>49</v>
      </c>
      <c r="I148" s="2" t="s">
        <v>184</v>
      </c>
      <c r="J148" s="65">
        <v>300</v>
      </c>
      <c r="K148" s="3">
        <v>72</v>
      </c>
      <c r="L148" s="52">
        <f t="shared" si="29"/>
        <v>72000</v>
      </c>
      <c r="M148" s="63"/>
      <c r="N148" s="52"/>
      <c r="O148" s="2" t="s">
        <v>184</v>
      </c>
      <c r="P148" s="2" t="s">
        <v>184</v>
      </c>
      <c r="Q148" s="22">
        <v>3</v>
      </c>
      <c r="R148" s="22">
        <v>1</v>
      </c>
      <c r="S148" s="65">
        <v>40</v>
      </c>
      <c r="T148" s="64"/>
    </row>
    <row r="149" spans="1:20" x14ac:dyDescent="0.25">
      <c r="A149" s="39"/>
      <c r="B149" s="39"/>
      <c r="C149" s="39" t="s">
        <v>153</v>
      </c>
      <c r="D149" s="10">
        <v>90.4</v>
      </c>
      <c r="E149" s="38" t="s">
        <v>116</v>
      </c>
      <c r="F149" s="29" t="s">
        <v>99</v>
      </c>
      <c r="G149" s="37" t="s">
        <v>155</v>
      </c>
      <c r="H149" s="1" t="s">
        <v>49</v>
      </c>
      <c r="I149" s="2" t="s">
        <v>184</v>
      </c>
      <c r="J149" s="65">
        <v>13</v>
      </c>
      <c r="K149" s="3">
        <v>0.02</v>
      </c>
      <c r="L149" s="52">
        <f t="shared" si="29"/>
        <v>20</v>
      </c>
      <c r="M149" s="3"/>
      <c r="N149" s="52"/>
      <c r="O149" s="2" t="s">
        <v>195</v>
      </c>
      <c r="P149" s="2" t="s">
        <v>184</v>
      </c>
      <c r="Q149" s="22">
        <v>5</v>
      </c>
      <c r="R149" s="22">
        <v>1</v>
      </c>
      <c r="S149" s="65">
        <v>111</v>
      </c>
      <c r="T149" s="64"/>
    </row>
    <row r="150" spans="1:20" x14ac:dyDescent="0.25">
      <c r="A150" s="39"/>
      <c r="B150" s="39"/>
      <c r="C150" s="39" t="s">
        <v>153</v>
      </c>
      <c r="D150" s="10">
        <v>90.4</v>
      </c>
      <c r="E150" s="38" t="s">
        <v>116</v>
      </c>
      <c r="F150" s="29" t="s">
        <v>99</v>
      </c>
      <c r="G150" s="37" t="s">
        <v>155</v>
      </c>
      <c r="H150" s="1" t="s">
        <v>49</v>
      </c>
      <c r="I150" s="2" t="s">
        <v>184</v>
      </c>
      <c r="J150" s="65">
        <v>8</v>
      </c>
      <c r="K150" s="3">
        <v>1.2</v>
      </c>
      <c r="L150" s="52">
        <f t="shared" ref="L150" si="30">SUM(K150*1000)</f>
        <v>1200</v>
      </c>
      <c r="M150" s="3" t="s">
        <v>468</v>
      </c>
      <c r="N150" s="52"/>
      <c r="O150" s="2" t="s">
        <v>195</v>
      </c>
      <c r="P150" s="2" t="s">
        <v>184</v>
      </c>
      <c r="Q150" s="22">
        <v>5</v>
      </c>
      <c r="R150" s="22">
        <v>1</v>
      </c>
      <c r="S150" s="65">
        <v>94</v>
      </c>
      <c r="T150" s="64"/>
    </row>
    <row r="151" spans="1:20" x14ac:dyDescent="0.25">
      <c r="A151" s="39"/>
      <c r="B151" s="39"/>
      <c r="C151" s="39" t="s">
        <v>153</v>
      </c>
      <c r="D151" s="10">
        <v>90.4</v>
      </c>
      <c r="E151" s="38" t="s">
        <v>116</v>
      </c>
      <c r="F151" s="29" t="s">
        <v>99</v>
      </c>
      <c r="G151" s="37" t="s">
        <v>155</v>
      </c>
      <c r="H151" s="1" t="s">
        <v>49</v>
      </c>
      <c r="I151" s="2" t="s">
        <v>184</v>
      </c>
      <c r="J151" s="65">
        <v>3</v>
      </c>
      <c r="K151" s="3">
        <v>0.45</v>
      </c>
      <c r="L151" s="52">
        <f t="shared" ref="L151" si="31">SUM(K151*1000)</f>
        <v>450</v>
      </c>
      <c r="M151" s="3" t="s">
        <v>469</v>
      </c>
      <c r="N151" s="52"/>
      <c r="O151" s="2" t="s">
        <v>195</v>
      </c>
      <c r="P151" s="2" t="s">
        <v>184</v>
      </c>
      <c r="Q151" s="22">
        <v>5</v>
      </c>
      <c r="R151" s="22">
        <v>1</v>
      </c>
      <c r="S151" s="65">
        <v>107</v>
      </c>
      <c r="T151" s="64"/>
    </row>
    <row r="152" spans="1:20" x14ac:dyDescent="0.25">
      <c r="A152" s="39"/>
      <c r="B152" s="39"/>
      <c r="C152" s="39" t="s">
        <v>153</v>
      </c>
      <c r="D152" s="10">
        <v>90.4</v>
      </c>
      <c r="E152" s="38" t="s">
        <v>116</v>
      </c>
      <c r="F152" s="29" t="s">
        <v>99</v>
      </c>
      <c r="G152" s="37" t="s">
        <v>155</v>
      </c>
      <c r="H152" s="1" t="s">
        <v>49</v>
      </c>
      <c r="I152" s="2" t="s">
        <v>184</v>
      </c>
      <c r="J152" s="65">
        <v>1</v>
      </c>
      <c r="K152" s="3">
        <v>0.15</v>
      </c>
      <c r="L152" s="52">
        <f t="shared" ref="L152" si="32">SUM(K152*1000)</f>
        <v>150</v>
      </c>
      <c r="M152" s="3" t="s">
        <v>471</v>
      </c>
      <c r="N152" s="52"/>
      <c r="O152" s="2" t="s">
        <v>195</v>
      </c>
      <c r="P152" s="2" t="s">
        <v>184</v>
      </c>
      <c r="Q152" s="22">
        <v>5</v>
      </c>
      <c r="R152" s="22">
        <v>1</v>
      </c>
      <c r="S152" s="65">
        <v>148</v>
      </c>
      <c r="T152" s="64"/>
    </row>
    <row r="153" spans="1:20" x14ac:dyDescent="0.25">
      <c r="A153" s="39"/>
      <c r="B153" s="39"/>
      <c r="C153" s="39" t="s">
        <v>153</v>
      </c>
      <c r="D153" s="10">
        <v>90.4</v>
      </c>
      <c r="E153" s="38" t="s">
        <v>117</v>
      </c>
      <c r="F153" s="29" t="s">
        <v>45</v>
      </c>
      <c r="G153" s="37" t="s">
        <v>163</v>
      </c>
      <c r="I153" s="2" t="s">
        <v>184</v>
      </c>
      <c r="J153" s="65">
        <f>Uittrekstaat!I148</f>
        <v>555.6</v>
      </c>
      <c r="K153" s="3">
        <v>2.778</v>
      </c>
      <c r="L153" s="52">
        <f t="shared" ref="L153:L156" si="33">SUM(K153*1000)</f>
        <v>2778</v>
      </c>
      <c r="M153" s="3" t="str">
        <f>Uittrekstaat!B148</f>
        <v xml:space="preserve">balustrades </v>
      </c>
      <c r="N153" s="52"/>
      <c r="O153" s="2" t="s">
        <v>184</v>
      </c>
      <c r="P153" s="2" t="s">
        <v>184</v>
      </c>
      <c r="Q153" s="22">
        <v>3</v>
      </c>
      <c r="R153" s="22">
        <v>1</v>
      </c>
      <c r="S153" s="65">
        <v>139</v>
      </c>
      <c r="T153" s="64"/>
    </row>
    <row r="154" spans="1:20" x14ac:dyDescent="0.25">
      <c r="A154" s="39"/>
      <c r="B154" s="39"/>
      <c r="C154" s="39" t="s">
        <v>153</v>
      </c>
      <c r="D154" s="10">
        <v>90.4</v>
      </c>
      <c r="E154" s="38" t="s">
        <v>117</v>
      </c>
      <c r="F154" s="29" t="s">
        <v>45</v>
      </c>
      <c r="G154" s="37" t="s">
        <v>163</v>
      </c>
      <c r="I154" s="2" t="s">
        <v>184</v>
      </c>
      <c r="J154" s="65">
        <f>Uittrekstaat!I149</f>
        <v>101.6</v>
      </c>
      <c r="K154" s="3">
        <v>0.81279999999999997</v>
      </c>
      <c r="L154" s="52">
        <f t="shared" si="33"/>
        <v>812.8</v>
      </c>
      <c r="M154" s="3" t="str">
        <f>Uittrekstaat!B149</f>
        <v>hekwerk stalen spijlen hoog 2,1 m</v>
      </c>
      <c r="N154" s="52"/>
      <c r="O154" s="2" t="s">
        <v>184</v>
      </c>
      <c r="P154" s="2" t="s">
        <v>184</v>
      </c>
      <c r="Q154" s="22">
        <v>3</v>
      </c>
      <c r="R154" s="22">
        <v>1</v>
      </c>
      <c r="S154" s="65">
        <v>70</v>
      </c>
      <c r="T154" s="64"/>
    </row>
    <row r="155" spans="1:20" x14ac:dyDescent="0.25">
      <c r="A155" s="39"/>
      <c r="B155" s="39"/>
      <c r="C155" s="39" t="s">
        <v>153</v>
      </c>
      <c r="D155" s="10">
        <v>90.4</v>
      </c>
      <c r="E155" s="38" t="s">
        <v>117</v>
      </c>
      <c r="F155" s="29" t="s">
        <v>45</v>
      </c>
      <c r="G155" s="37" t="s">
        <v>163</v>
      </c>
      <c r="I155" s="2" t="s">
        <v>184</v>
      </c>
      <c r="J155" s="65">
        <f>Uittrekstaat!I150</f>
        <v>79.599999999999994</v>
      </c>
      <c r="K155" s="3">
        <v>0.39800000000000002</v>
      </c>
      <c r="L155" s="52">
        <f t="shared" si="33"/>
        <v>398</v>
      </c>
      <c r="M155" s="3" t="str">
        <f>Uittrekstaat!B150</f>
        <v>hekwerk stalen spijlen hoog 0,85 m</v>
      </c>
      <c r="N155" s="52"/>
      <c r="O155" s="2" t="s">
        <v>184</v>
      </c>
      <c r="P155" s="2" t="s">
        <v>184</v>
      </c>
      <c r="Q155" s="22">
        <v>3</v>
      </c>
      <c r="R155" s="22">
        <v>1</v>
      </c>
      <c r="S155" s="65">
        <v>139</v>
      </c>
      <c r="T155" s="64"/>
    </row>
    <row r="156" spans="1:20" x14ac:dyDescent="0.25">
      <c r="A156" s="39"/>
      <c r="B156" s="39"/>
      <c r="C156" s="39" t="s">
        <v>153</v>
      </c>
      <c r="D156" s="10">
        <v>90.4</v>
      </c>
      <c r="E156" s="38" t="s">
        <v>117</v>
      </c>
      <c r="F156" s="29" t="s">
        <v>45</v>
      </c>
      <c r="G156" s="37" t="s">
        <v>163</v>
      </c>
      <c r="I156" s="2" t="s">
        <v>184</v>
      </c>
      <c r="J156" s="65">
        <f>Uittrekstaat!I151</f>
        <v>101.6</v>
      </c>
      <c r="K156" s="3">
        <v>0.30479999999999996</v>
      </c>
      <c r="L156" s="52">
        <f t="shared" si="33"/>
        <v>304.79999999999995</v>
      </c>
      <c r="M156" s="3" t="str">
        <f>Uittrekstaat!B151</f>
        <v>Hekwerk gaas hoog 1,6m</v>
      </c>
      <c r="N156" s="52"/>
      <c r="O156" s="2" t="s">
        <v>184</v>
      </c>
      <c r="P156" s="2" t="s">
        <v>184</v>
      </c>
      <c r="Q156" s="22">
        <v>3</v>
      </c>
      <c r="R156" s="22">
        <v>1</v>
      </c>
      <c r="S156" s="65">
        <v>77</v>
      </c>
      <c r="T156" s="64"/>
    </row>
    <row r="157" spans="1:20" x14ac:dyDescent="0.25">
      <c r="A157" s="39"/>
      <c r="B157" s="39"/>
      <c r="C157" s="39" t="s">
        <v>153</v>
      </c>
      <c r="D157" s="10">
        <v>90.4</v>
      </c>
      <c r="E157" s="38" t="s">
        <v>117</v>
      </c>
      <c r="F157" s="29" t="s">
        <v>45</v>
      </c>
      <c r="G157" s="37" t="s">
        <v>163</v>
      </c>
      <c r="I157" s="2" t="s">
        <v>184</v>
      </c>
      <c r="J157" s="65">
        <f>Uittrekstaat!I152</f>
        <v>101.6</v>
      </c>
      <c r="K157" s="3">
        <v>0.20319999999999999</v>
      </c>
      <c r="L157" s="52">
        <f t="shared" si="29"/>
        <v>203.2</v>
      </c>
      <c r="M157" s="3" t="str">
        <f>Uittrekstaat!B152</f>
        <v>Hekwerk gaas laag 1,2m</v>
      </c>
      <c r="N157" s="52"/>
      <c r="O157" s="2" t="s">
        <v>184</v>
      </c>
      <c r="P157" s="2" t="s">
        <v>184</v>
      </c>
      <c r="Q157" s="22">
        <v>3</v>
      </c>
      <c r="R157" s="22">
        <v>1</v>
      </c>
      <c r="S157" s="65">
        <v>76</v>
      </c>
      <c r="T157" s="64"/>
    </row>
    <row r="158" spans="1:20" x14ac:dyDescent="0.25">
      <c r="A158" s="39"/>
      <c r="B158" s="39"/>
      <c r="C158" s="39" t="s">
        <v>153</v>
      </c>
      <c r="D158" s="10">
        <v>90.4</v>
      </c>
      <c r="E158" s="38" t="s">
        <v>117</v>
      </c>
      <c r="F158" s="29" t="s">
        <v>45</v>
      </c>
      <c r="G158" s="37" t="s">
        <v>163</v>
      </c>
      <c r="I158" s="2" t="s">
        <v>184</v>
      </c>
      <c r="J158" s="65">
        <f>Uittrekstaat!I153</f>
        <v>77</v>
      </c>
      <c r="K158" s="3">
        <v>0.154</v>
      </c>
      <c r="L158" s="52">
        <f t="shared" ref="L158:L159" si="34">SUM(K158*1000)</f>
        <v>154</v>
      </c>
      <c r="M158" s="3" t="str">
        <f>Uittrekstaat!B153</f>
        <v>Steigerbuizen</v>
      </c>
      <c r="N158" s="52"/>
      <c r="O158" s="2" t="s">
        <v>184</v>
      </c>
      <c r="P158" s="2" t="s">
        <v>184</v>
      </c>
      <c r="Q158" s="22">
        <v>3</v>
      </c>
      <c r="R158" s="22">
        <v>1</v>
      </c>
      <c r="S158" s="65">
        <v>80</v>
      </c>
      <c r="T158" s="64"/>
    </row>
    <row r="159" spans="1:20" x14ac:dyDescent="0.25">
      <c r="A159" s="39"/>
      <c r="B159" s="39"/>
      <c r="C159" s="39" t="s">
        <v>153</v>
      </c>
      <c r="D159" s="10">
        <v>90.4</v>
      </c>
      <c r="E159" s="38" t="s">
        <v>117</v>
      </c>
      <c r="F159" s="29" t="s">
        <v>45</v>
      </c>
      <c r="G159" s="37" t="s">
        <v>163</v>
      </c>
      <c r="I159" s="2" t="s">
        <v>184</v>
      </c>
      <c r="J159" s="65">
        <f>Uittrekstaat!I155</f>
        <v>115.2</v>
      </c>
      <c r="K159" s="3">
        <v>8.0640000000000003E-2</v>
      </c>
      <c r="L159" s="52">
        <f t="shared" si="34"/>
        <v>80.64</v>
      </c>
      <c r="M159" s="3" t="str">
        <f>Uittrekstaat!B155</f>
        <v>hekwerk gaas tussen verdiepingen</v>
      </c>
      <c r="N159" s="52"/>
      <c r="O159" s="2" t="s">
        <v>387</v>
      </c>
      <c r="P159" s="2" t="s">
        <v>184</v>
      </c>
      <c r="Q159" s="22">
        <v>3</v>
      </c>
      <c r="R159" s="22">
        <v>1</v>
      </c>
      <c r="S159" s="65">
        <v>6</v>
      </c>
      <c r="T159" s="64"/>
    </row>
    <row r="160" spans="1:20" x14ac:dyDescent="0.25">
      <c r="A160" s="39"/>
      <c r="B160" s="39"/>
      <c r="C160" s="39" t="s">
        <v>153</v>
      </c>
      <c r="D160" s="10">
        <v>90.4</v>
      </c>
      <c r="E160" s="38" t="s">
        <v>466</v>
      </c>
      <c r="F160" s="29" t="s">
        <v>56</v>
      </c>
      <c r="G160" s="37" t="s">
        <v>156</v>
      </c>
      <c r="I160" s="2" t="s">
        <v>184</v>
      </c>
      <c r="J160" s="65">
        <f>Uittrekstaat!I172</f>
        <v>446</v>
      </c>
      <c r="K160" s="3">
        <v>8.92</v>
      </c>
      <c r="L160" s="52">
        <f t="shared" ref="L160" si="35">SUM(K160*1000)</f>
        <v>8920</v>
      </c>
      <c r="M160" s="3"/>
      <c r="N160" s="52"/>
      <c r="O160" s="2" t="s">
        <v>184</v>
      </c>
      <c r="P160" s="2" t="s">
        <v>194</v>
      </c>
      <c r="Q160" s="22">
        <v>8</v>
      </c>
      <c r="R160" s="22">
        <v>4</v>
      </c>
      <c r="S160" s="65">
        <v>7</v>
      </c>
      <c r="T160" s="64"/>
    </row>
    <row r="161" spans="17:20" x14ac:dyDescent="0.25">
      <c r="Q161" s="1"/>
      <c r="R161" s="1"/>
      <c r="S161" s="1"/>
      <c r="T161" s="24"/>
    </row>
    <row r="162" spans="17:20" x14ac:dyDescent="0.25">
      <c r="Q162" s="1"/>
      <c r="R162" s="1"/>
      <c r="S162" s="1"/>
      <c r="T162" s="24"/>
    </row>
    <row r="163" spans="17:20" x14ac:dyDescent="0.25">
      <c r="Q163" s="1"/>
      <c r="R163" s="1"/>
      <c r="S163" s="1"/>
      <c r="T163" s="24"/>
    </row>
    <row r="164" spans="17:20" x14ac:dyDescent="0.25">
      <c r="Q164" s="1"/>
      <c r="R164" s="1"/>
      <c r="S164" s="1"/>
      <c r="T164" s="24"/>
    </row>
    <row r="165" spans="17:20" x14ac:dyDescent="0.25">
      <c r="Q165" s="1"/>
      <c r="R165" s="1"/>
      <c r="S165" s="1"/>
      <c r="T165" s="24"/>
    </row>
    <row r="166" spans="17:20" x14ac:dyDescent="0.25">
      <c r="Q166" s="1"/>
      <c r="R166" s="1"/>
      <c r="S166" s="1"/>
      <c r="T166" s="24"/>
    </row>
    <row r="167" spans="17:20" x14ac:dyDescent="0.25">
      <c r="Q167" s="1"/>
      <c r="R167" s="1"/>
      <c r="S167" s="1"/>
      <c r="T167" s="24"/>
    </row>
    <row r="168" spans="17:20" x14ac:dyDescent="0.25">
      <c r="Q168" s="1"/>
      <c r="R168" s="1"/>
      <c r="S168" s="1"/>
      <c r="T168" s="24"/>
    </row>
    <row r="169" spans="17:20" x14ac:dyDescent="0.25">
      <c r="Q169" s="1"/>
      <c r="R169" s="1"/>
      <c r="S169" s="1"/>
      <c r="T169" s="24"/>
    </row>
    <row r="170" spans="17:20" x14ac:dyDescent="0.25">
      <c r="Q170" s="1"/>
      <c r="R170" s="1"/>
      <c r="S170" s="1"/>
      <c r="T170" s="24"/>
    </row>
    <row r="171" spans="17:20" x14ac:dyDescent="0.25">
      <c r="Q171" s="1"/>
      <c r="R171" s="1"/>
      <c r="S171" s="1"/>
      <c r="T171" s="24"/>
    </row>
    <row r="172" spans="17:20" x14ac:dyDescent="0.25">
      <c r="Q172" s="1"/>
      <c r="R172" s="1"/>
      <c r="S172" s="1"/>
      <c r="T172" s="24"/>
    </row>
    <row r="173" spans="17:20" x14ac:dyDescent="0.25">
      <c r="Q173" s="1"/>
      <c r="R173" s="1"/>
      <c r="S173" s="1"/>
      <c r="T173" s="24"/>
    </row>
    <row r="174" spans="17:20" x14ac:dyDescent="0.25">
      <c r="Q174" s="1"/>
      <c r="R174" s="1"/>
      <c r="S174" s="1"/>
      <c r="T174" s="24"/>
    </row>
    <row r="175" spans="17:20" x14ac:dyDescent="0.25">
      <c r="Q175" s="1"/>
      <c r="R175" s="1"/>
      <c r="S175" s="1"/>
      <c r="T175" s="24"/>
    </row>
    <row r="176" spans="17:20" x14ac:dyDescent="0.25">
      <c r="Q176" s="1"/>
      <c r="R176" s="1"/>
      <c r="S176" s="1"/>
      <c r="T176" s="24"/>
    </row>
    <row r="177" spans="17:20" x14ac:dyDescent="0.25">
      <c r="Q177" s="1"/>
      <c r="R177" s="1"/>
      <c r="S177" s="1"/>
      <c r="T177" s="24"/>
    </row>
    <row r="178" spans="17:20" x14ac:dyDescent="0.25">
      <c r="Q178" s="1"/>
      <c r="R178" s="1"/>
      <c r="S178" s="1"/>
      <c r="T178" s="24"/>
    </row>
    <row r="179" spans="17:20" x14ac:dyDescent="0.25">
      <c r="Q179" s="1"/>
      <c r="R179" s="1"/>
      <c r="S179" s="1"/>
      <c r="T179" s="24"/>
    </row>
    <row r="180" spans="17:20" x14ac:dyDescent="0.25">
      <c r="Q180" s="1"/>
      <c r="R180" s="1"/>
      <c r="S180" s="1"/>
      <c r="T180" s="24"/>
    </row>
    <row r="181" spans="17:20" x14ac:dyDescent="0.25">
      <c r="Q181" s="1"/>
      <c r="R181" s="1"/>
      <c r="S181" s="1"/>
      <c r="T181" s="24"/>
    </row>
    <row r="182" spans="17:20" x14ac:dyDescent="0.25">
      <c r="Q182" s="1"/>
      <c r="R182" s="1"/>
      <c r="S182" s="1"/>
      <c r="T182" s="24"/>
    </row>
    <row r="183" spans="17:20" x14ac:dyDescent="0.25">
      <c r="Q183" s="1"/>
      <c r="R183" s="1"/>
      <c r="S183" s="1"/>
      <c r="T183" s="24"/>
    </row>
    <row r="184" spans="17:20" x14ac:dyDescent="0.25">
      <c r="Q184" s="1"/>
      <c r="R184" s="1"/>
      <c r="S184" s="1"/>
      <c r="T184" s="24"/>
    </row>
    <row r="185" spans="17:20" x14ac:dyDescent="0.25">
      <c r="Q185" s="1"/>
      <c r="R185" s="1"/>
      <c r="S185" s="1"/>
      <c r="T185" s="24"/>
    </row>
    <row r="186" spans="17:20" x14ac:dyDescent="0.25">
      <c r="Q186" s="1"/>
      <c r="R186" s="1"/>
      <c r="S186" s="1"/>
      <c r="T186" s="24"/>
    </row>
    <row r="187" spans="17:20" x14ac:dyDescent="0.25">
      <c r="Q187" s="1"/>
      <c r="R187" s="1"/>
      <c r="S187" s="1"/>
      <c r="T187" s="24"/>
    </row>
    <row r="188" spans="17:20" x14ac:dyDescent="0.25">
      <c r="Q188" s="1"/>
      <c r="R188" s="1"/>
      <c r="S188" s="1"/>
      <c r="T188" s="24"/>
    </row>
    <row r="189" spans="17:20" x14ac:dyDescent="0.25">
      <c r="Q189" s="1"/>
      <c r="R189" s="1"/>
      <c r="S189" s="1"/>
      <c r="T189" s="24"/>
    </row>
    <row r="190" spans="17:20" x14ac:dyDescent="0.25">
      <c r="Q190" s="1"/>
      <c r="R190" s="1"/>
      <c r="S190" s="1"/>
      <c r="T190" s="24"/>
    </row>
    <row r="191" spans="17:20" x14ac:dyDescent="0.25">
      <c r="Q191" s="1"/>
      <c r="R191" s="1"/>
      <c r="S191" s="1"/>
      <c r="T191" s="24"/>
    </row>
    <row r="192" spans="17:20" x14ac:dyDescent="0.25">
      <c r="Q192" s="1"/>
      <c r="R192" s="1"/>
      <c r="S192" s="1"/>
      <c r="T192" s="24"/>
    </row>
    <row r="193" spans="17:20" x14ac:dyDescent="0.25">
      <c r="Q193" s="1"/>
      <c r="R193" s="1"/>
      <c r="S193" s="1"/>
      <c r="T193" s="24"/>
    </row>
    <row r="194" spans="17:20" x14ac:dyDescent="0.25">
      <c r="Q194" s="1"/>
      <c r="R194" s="1"/>
      <c r="S194" s="1"/>
      <c r="T194" s="24"/>
    </row>
    <row r="195" spans="17:20" x14ac:dyDescent="0.25">
      <c r="Q195" s="1"/>
      <c r="R195" s="1"/>
      <c r="S195" s="1"/>
      <c r="T195" s="24"/>
    </row>
    <row r="196" spans="17:20" x14ac:dyDescent="0.25">
      <c r="Q196" s="1"/>
      <c r="R196" s="1"/>
      <c r="S196" s="1"/>
      <c r="T196" s="24"/>
    </row>
    <row r="197" spans="17:20" x14ac:dyDescent="0.25">
      <c r="Q197" s="1"/>
      <c r="R197" s="1"/>
      <c r="S197" s="1"/>
      <c r="T197" s="24"/>
    </row>
    <row r="198" spans="17:20" x14ac:dyDescent="0.25">
      <c r="Q198" s="1"/>
      <c r="R198" s="1"/>
      <c r="S198" s="1"/>
      <c r="T198" s="24"/>
    </row>
    <row r="199" spans="17:20" x14ac:dyDescent="0.25">
      <c r="Q199" s="1"/>
      <c r="R199" s="1"/>
      <c r="S199" s="1"/>
      <c r="T199" s="24"/>
    </row>
    <row r="200" spans="17:20" x14ac:dyDescent="0.25">
      <c r="Q200" s="1"/>
      <c r="R200" s="1"/>
      <c r="S200" s="1"/>
      <c r="T200" s="24"/>
    </row>
    <row r="201" spans="17:20" x14ac:dyDescent="0.25">
      <c r="Q201" s="1"/>
      <c r="R201" s="1"/>
      <c r="S201" s="1"/>
      <c r="T201" s="24"/>
    </row>
    <row r="202" spans="17:20" x14ac:dyDescent="0.25">
      <c r="Q202" s="1"/>
      <c r="R202" s="1"/>
      <c r="S202" s="1"/>
      <c r="T202" s="24"/>
    </row>
    <row r="203" spans="17:20" x14ac:dyDescent="0.25">
      <c r="Q203" s="1"/>
      <c r="R203" s="1"/>
      <c r="S203" s="1"/>
      <c r="T203" s="24"/>
    </row>
    <row r="204" spans="17:20" x14ac:dyDescent="0.25">
      <c r="Q204" s="1"/>
      <c r="R204" s="1"/>
      <c r="S204" s="1"/>
      <c r="T204" s="24"/>
    </row>
    <row r="205" spans="17:20" x14ac:dyDescent="0.25">
      <c r="Q205" s="1"/>
      <c r="R205" s="1"/>
      <c r="S205" s="1"/>
      <c r="T205" s="24"/>
    </row>
    <row r="206" spans="17:20" x14ac:dyDescent="0.25">
      <c r="Q206" s="1"/>
      <c r="R206" s="1"/>
      <c r="S206" s="1"/>
      <c r="T206" s="24"/>
    </row>
    <row r="207" spans="17:20" x14ac:dyDescent="0.25">
      <c r="Q207" s="1"/>
      <c r="R207" s="1"/>
      <c r="S207" s="1"/>
      <c r="T207" s="24"/>
    </row>
    <row r="208" spans="17:20" x14ac:dyDescent="0.25">
      <c r="Q208" s="1"/>
      <c r="R208" s="1"/>
      <c r="S208" s="1"/>
      <c r="T208" s="24"/>
    </row>
    <row r="209" spans="17:20" x14ac:dyDescent="0.25">
      <c r="Q209" s="1"/>
      <c r="R209" s="1"/>
      <c r="S209" s="1"/>
      <c r="T209" s="24"/>
    </row>
    <row r="210" spans="17:20" x14ac:dyDescent="0.25">
      <c r="Q210" s="1"/>
      <c r="R210" s="1"/>
      <c r="S210" s="1"/>
      <c r="T210" s="24"/>
    </row>
    <row r="211" spans="17:20" x14ac:dyDescent="0.25">
      <c r="Q211" s="1"/>
      <c r="R211" s="1"/>
      <c r="S211" s="1"/>
      <c r="T211" s="24"/>
    </row>
    <row r="212" spans="17:20" x14ac:dyDescent="0.25">
      <c r="Q212" s="1"/>
      <c r="R212" s="1"/>
      <c r="S212" s="1"/>
      <c r="T212" s="24"/>
    </row>
    <row r="213" spans="17:20" x14ac:dyDescent="0.25">
      <c r="Q213" s="1"/>
      <c r="R213" s="1"/>
      <c r="S213" s="1"/>
      <c r="T213" s="24"/>
    </row>
    <row r="214" spans="17:20" x14ac:dyDescent="0.25">
      <c r="Q214" s="1"/>
      <c r="R214" s="1"/>
      <c r="S214" s="1"/>
      <c r="T214" s="24"/>
    </row>
    <row r="215" spans="17:20" x14ac:dyDescent="0.25">
      <c r="Q215" s="1"/>
      <c r="R215" s="1"/>
      <c r="S215" s="1"/>
      <c r="T215" s="24"/>
    </row>
    <row r="216" spans="17:20" x14ac:dyDescent="0.25">
      <c r="Q216" s="1"/>
      <c r="R216" s="1"/>
      <c r="S216" s="1"/>
      <c r="T216" s="24"/>
    </row>
    <row r="217" spans="17:20" x14ac:dyDescent="0.25">
      <c r="Q217" s="1"/>
      <c r="R217" s="1"/>
      <c r="S217" s="1"/>
      <c r="T217" s="24"/>
    </row>
    <row r="218" spans="17:20" x14ac:dyDescent="0.25">
      <c r="Q218" s="1"/>
      <c r="R218" s="1"/>
      <c r="S218" s="1"/>
      <c r="T218" s="24"/>
    </row>
    <row r="219" spans="17:20" x14ac:dyDescent="0.25">
      <c r="Q219" s="1"/>
      <c r="R219" s="1"/>
      <c r="S219" s="1"/>
      <c r="T219" s="24"/>
    </row>
    <row r="220" spans="17:20" x14ac:dyDescent="0.25">
      <c r="Q220" s="1"/>
      <c r="R220" s="1"/>
      <c r="S220" s="1"/>
      <c r="T220" s="24"/>
    </row>
    <row r="221" spans="17:20" x14ac:dyDescent="0.25">
      <c r="Q221" s="1"/>
      <c r="R221" s="1"/>
      <c r="S221" s="1"/>
      <c r="T221" s="24"/>
    </row>
    <row r="222" spans="17:20" x14ac:dyDescent="0.25">
      <c r="Q222" s="1"/>
      <c r="R222" s="1"/>
      <c r="S222" s="1"/>
      <c r="T222" s="24"/>
    </row>
    <row r="223" spans="17:20" x14ac:dyDescent="0.25">
      <c r="Q223" s="1"/>
      <c r="R223" s="1"/>
      <c r="S223" s="1"/>
      <c r="T223" s="24"/>
    </row>
    <row r="224" spans="17:20" x14ac:dyDescent="0.25">
      <c r="Q224" s="1"/>
      <c r="R224" s="1"/>
      <c r="S224" s="1"/>
      <c r="T224" s="24"/>
    </row>
    <row r="225" spans="17:20" x14ac:dyDescent="0.25">
      <c r="Q225" s="1"/>
      <c r="R225" s="1"/>
      <c r="S225" s="1"/>
      <c r="T225" s="24"/>
    </row>
    <row r="226" spans="17:20" x14ac:dyDescent="0.25">
      <c r="Q226" s="1"/>
      <c r="R226" s="1"/>
      <c r="S226" s="1"/>
      <c r="T226" s="24"/>
    </row>
    <row r="227" spans="17:20" x14ac:dyDescent="0.25">
      <c r="Q227" s="1"/>
      <c r="R227" s="1"/>
      <c r="S227" s="1"/>
      <c r="T227" s="24"/>
    </row>
    <row r="228" spans="17:20" x14ac:dyDescent="0.25">
      <c r="Q228" s="1"/>
      <c r="R228" s="1"/>
      <c r="S228" s="1"/>
      <c r="T228" s="24"/>
    </row>
    <row r="229" spans="17:20" x14ac:dyDescent="0.25">
      <c r="Q229" s="1"/>
      <c r="R229" s="1"/>
      <c r="S229" s="1"/>
      <c r="T229" s="24"/>
    </row>
    <row r="230" spans="17:20" x14ac:dyDescent="0.25">
      <c r="Q230" s="1"/>
      <c r="R230" s="1"/>
      <c r="S230" s="1"/>
      <c r="T230" s="24"/>
    </row>
    <row r="231" spans="17:20" x14ac:dyDescent="0.25">
      <c r="Q231" s="1"/>
      <c r="R231" s="1"/>
      <c r="S231" s="1"/>
      <c r="T231" s="24"/>
    </row>
    <row r="232" spans="17:20" x14ac:dyDescent="0.25">
      <c r="Q232" s="1"/>
      <c r="R232" s="1"/>
      <c r="S232" s="1"/>
      <c r="T232" s="24"/>
    </row>
    <row r="233" spans="17:20" x14ac:dyDescent="0.25">
      <c r="Q233" s="1"/>
      <c r="R233" s="1"/>
      <c r="S233" s="1"/>
      <c r="T233" s="24"/>
    </row>
    <row r="234" spans="17:20" x14ac:dyDescent="0.25">
      <c r="Q234" s="1"/>
      <c r="R234" s="1"/>
      <c r="S234" s="1"/>
      <c r="T234" s="24"/>
    </row>
    <row r="235" spans="17:20" x14ac:dyDescent="0.25">
      <c r="Q235" s="1"/>
      <c r="R235" s="1"/>
      <c r="S235" s="1"/>
      <c r="T235" s="24"/>
    </row>
    <row r="236" spans="17:20" x14ac:dyDescent="0.25">
      <c r="Q236" s="1"/>
      <c r="R236" s="1"/>
      <c r="S236" s="1"/>
      <c r="T236" s="24"/>
    </row>
    <row r="237" spans="17:20" x14ac:dyDescent="0.25">
      <c r="Q237" s="1"/>
      <c r="R237" s="1"/>
      <c r="S237" s="1"/>
      <c r="T237" s="24"/>
    </row>
    <row r="238" spans="17:20" x14ac:dyDescent="0.25">
      <c r="Q238" s="1"/>
      <c r="R238" s="1"/>
      <c r="S238" s="1"/>
      <c r="T238" s="24"/>
    </row>
    <row r="239" spans="17:20" x14ac:dyDescent="0.25">
      <c r="Q239" s="1"/>
      <c r="R239" s="1"/>
      <c r="S239" s="1"/>
      <c r="T239" s="24"/>
    </row>
    <row r="240" spans="17:20" x14ac:dyDescent="0.25">
      <c r="Q240" s="1"/>
      <c r="R240" s="1"/>
      <c r="S240" s="1"/>
      <c r="T240" s="24"/>
    </row>
    <row r="241" spans="17:20" x14ac:dyDescent="0.25">
      <c r="Q241" s="1"/>
      <c r="R241" s="1"/>
      <c r="S241" s="1"/>
      <c r="T241" s="24"/>
    </row>
    <row r="242" spans="17:20" x14ac:dyDescent="0.25">
      <c r="Q242" s="1"/>
      <c r="R242" s="1"/>
      <c r="S242" s="1"/>
      <c r="T242" s="24"/>
    </row>
    <row r="243" spans="17:20" x14ac:dyDescent="0.25">
      <c r="Q243" s="1"/>
      <c r="R243" s="1"/>
      <c r="S243" s="1"/>
      <c r="T243" s="24"/>
    </row>
    <row r="244" spans="17:20" x14ac:dyDescent="0.25">
      <c r="Q244" s="1"/>
      <c r="R244" s="1"/>
      <c r="S244" s="1"/>
      <c r="T244" s="24"/>
    </row>
    <row r="245" spans="17:20" x14ac:dyDescent="0.25">
      <c r="Q245" s="1"/>
      <c r="R245" s="1"/>
      <c r="S245" s="1"/>
      <c r="T245" s="24"/>
    </row>
    <row r="246" spans="17:20" x14ac:dyDescent="0.25">
      <c r="Q246" s="1"/>
      <c r="R246" s="1"/>
      <c r="S246" s="1"/>
      <c r="T246" s="24"/>
    </row>
    <row r="247" spans="17:20" x14ac:dyDescent="0.25">
      <c r="Q247" s="1"/>
      <c r="R247" s="1"/>
      <c r="S247" s="1"/>
      <c r="T247" s="24"/>
    </row>
    <row r="248" spans="17:20" x14ac:dyDescent="0.25">
      <c r="Q248" s="1"/>
      <c r="R248" s="1"/>
      <c r="S248" s="1"/>
      <c r="T248" s="24"/>
    </row>
    <row r="249" spans="17:20" x14ac:dyDescent="0.25">
      <c r="Q249" s="1"/>
      <c r="R249" s="1"/>
      <c r="S249" s="1"/>
      <c r="T249" s="24"/>
    </row>
    <row r="250" spans="17:20" x14ac:dyDescent="0.25">
      <c r="Q250" s="1"/>
      <c r="R250" s="1"/>
      <c r="S250" s="1"/>
      <c r="T250" s="24"/>
    </row>
    <row r="251" spans="17:20" x14ac:dyDescent="0.25">
      <c r="Q251" s="1"/>
      <c r="R251" s="1"/>
      <c r="S251" s="1"/>
      <c r="T251" s="24"/>
    </row>
    <row r="252" spans="17:20" x14ac:dyDescent="0.25">
      <c r="Q252" s="1"/>
      <c r="R252" s="1"/>
      <c r="S252" s="1"/>
      <c r="T252" s="24"/>
    </row>
    <row r="253" spans="17:20" x14ac:dyDescent="0.25">
      <c r="Q253" s="1"/>
      <c r="R253" s="1"/>
      <c r="S253" s="1"/>
      <c r="T253" s="24"/>
    </row>
    <row r="254" spans="17:20" x14ac:dyDescent="0.25">
      <c r="Q254" s="1"/>
      <c r="R254" s="1"/>
      <c r="S254" s="1"/>
      <c r="T254" s="24"/>
    </row>
    <row r="255" spans="17:20" x14ac:dyDescent="0.25">
      <c r="Q255" s="1"/>
      <c r="R255" s="1"/>
      <c r="S255" s="1"/>
      <c r="T255" s="24"/>
    </row>
    <row r="256" spans="17:20" x14ac:dyDescent="0.25">
      <c r="Q256" s="1"/>
      <c r="R256" s="1"/>
      <c r="S256" s="1"/>
      <c r="T256" s="24"/>
    </row>
    <row r="257" spans="17:20" x14ac:dyDescent="0.25">
      <c r="Q257" s="1"/>
      <c r="R257" s="1"/>
      <c r="S257" s="1"/>
      <c r="T257" s="24"/>
    </row>
    <row r="258" spans="17:20" x14ac:dyDescent="0.25">
      <c r="Q258" s="1"/>
      <c r="R258" s="1"/>
      <c r="S258" s="1"/>
      <c r="T258" s="24"/>
    </row>
    <row r="259" spans="17:20" x14ac:dyDescent="0.25">
      <c r="Q259" s="1"/>
      <c r="R259" s="1"/>
      <c r="S259" s="1"/>
      <c r="T259" s="24"/>
    </row>
    <row r="260" spans="17:20" x14ac:dyDescent="0.25">
      <c r="Q260" s="1"/>
      <c r="R260" s="1"/>
      <c r="S260" s="1"/>
      <c r="T260" s="24"/>
    </row>
    <row r="261" spans="17:20" x14ac:dyDescent="0.25">
      <c r="Q261" s="1"/>
      <c r="R261" s="1"/>
      <c r="S261" s="1"/>
      <c r="T261" s="24"/>
    </row>
    <row r="262" spans="17:20" x14ac:dyDescent="0.25">
      <c r="Q262" s="1"/>
      <c r="R262" s="1"/>
      <c r="S262" s="1"/>
      <c r="T262" s="24"/>
    </row>
    <row r="263" spans="17:20" x14ac:dyDescent="0.25">
      <c r="Q263" s="1"/>
      <c r="R263" s="1"/>
      <c r="S263" s="1"/>
      <c r="T263" s="24"/>
    </row>
    <row r="264" spans="17:20" x14ac:dyDescent="0.25">
      <c r="Q264" s="1"/>
      <c r="R264" s="1"/>
      <c r="S264" s="1"/>
      <c r="T264" s="24"/>
    </row>
    <row r="265" spans="17:20" x14ac:dyDescent="0.25">
      <c r="Q265" s="1"/>
      <c r="R265" s="1"/>
      <c r="S265" s="1"/>
      <c r="T265" s="24"/>
    </row>
    <row r="266" spans="17:20" x14ac:dyDescent="0.25">
      <c r="Q266" s="1"/>
      <c r="R266" s="1"/>
      <c r="S266" s="1"/>
      <c r="T266" s="24"/>
    </row>
    <row r="267" spans="17:20" x14ac:dyDescent="0.25">
      <c r="Q267" s="1"/>
      <c r="R267" s="1"/>
      <c r="S267" s="1"/>
      <c r="T267" s="24"/>
    </row>
    <row r="268" spans="17:20" x14ac:dyDescent="0.25">
      <c r="Q268" s="1"/>
      <c r="R268" s="1"/>
      <c r="S268" s="1"/>
      <c r="T268" s="24"/>
    </row>
    <row r="269" spans="17:20" x14ac:dyDescent="0.25">
      <c r="Q269" s="1"/>
      <c r="R269" s="1"/>
      <c r="S269" s="1"/>
      <c r="T269" s="24"/>
    </row>
    <row r="270" spans="17:20" x14ac:dyDescent="0.25">
      <c r="Q270" s="1"/>
      <c r="R270" s="1"/>
      <c r="S270" s="1"/>
      <c r="T270" s="24"/>
    </row>
  </sheetData>
  <autoFilter ref="C17:R160" xr:uid="{00000000-0001-0000-0000-000000000000}"/>
  <sortState xmlns:xlrd2="http://schemas.microsoft.com/office/spreadsheetml/2017/richdata2" ref="D18:S160">
    <sortCondition ref="D18:D160" customList="0,1,2,3,4,5,6,7,8,9,10"/>
  </sortState>
  <dataConsolidate>
    <dataRefs count="1">
      <dataRef ref="D1:D1048576" sheet="Stoffen inventarisatie"/>
    </dataRefs>
  </dataConsolidate>
  <phoneticPr fontId="6" type="noConversion"/>
  <conditionalFormatting sqref="K110:M110 L111:M111 K112 L105 M25 O117 O127:Q128 K117 O118:Q118 D111:I111 F59:F75 K59:K75 L94:N94 G94:J94 G58:I93 D59:E94 G105:I105 O105:T105 N31:Q49 I153:I159 D153:F159 I149:J152 D149:E152 H147:J148 D146:J146 F142:F143 F140:G140 D139:E139 D134:E137 O132:T139 L132:L143 N132:N143 M132:M138 L130:T131 G130:I139 G126:I126 G125:H125 L125:L129 N125:N129 J125:J145 M125:M128 O125:T126 K123:T123 M121:M122 G121:I122 J120:J123 D120:E120 N119:T122 M117:N118 G118:J119 Q117:T117 D116:E118 G115:I116 J115:J117 L115:L122 M115:T116 K115 D113:E113 L112:N113 G112:J113 O112:T112 D110:E110 J110:J111 N110:T111 G107:J109 L106:T109 M104:N105 D103:E103 L103:Q103 H103:I103 L102 J102:J106 R102:T103 N102:Q102 D102:F102 L100:T100 G97:G98 H96:I98 D98:E98 F96:F98 J95:J100 N95:N99 O95:T98 M95:M97 G95:I95 M58:N93 O58:Q92 D51:E57 M50:Q57 L31:L93 H50:I57 G50 L28:Q30 L27 N27:Q27 J27:J93 R27:T94 E27 G27:I27 D24:E24 J21:J25 G21:I24 L21:T22 D18:F21 R18:T20 D20:Q20 J153:J160 K23:T24 G18:Q19 K126:K137 K141 K107 K50:K57 K144:T160 K30 K95:L99 K104:K105 K25">
    <cfRule type="expression" dxfId="175" priority="5886">
      <formula>MOD(ROW(),2)=0</formula>
    </cfRule>
  </conditionalFormatting>
  <conditionalFormatting sqref="D126:E126 D29:E29 H117:I117 D28:I28 G106:I106 P117 G141:I141 I125 M141 M120 M129 D96:E97 H100:I100 D129:E129 H29:I29 H102 H110:I111 G147 G144:I145 O129:Q129 O113:Q113 O141:Q141 G123:I123 D106:E107 E25 H120:I120 G127:I127 H128:I129 K120 K28 K106 K21:K22 O93:Q94 D160:E160 H160:I160 M31:M49 H31:I49 D31:E50 G30:I30">
    <cfRule type="expression" dxfId="174" priority="2871">
      <formula>MOD(ROW(),2)=0</formula>
    </cfRule>
  </conditionalFormatting>
  <conditionalFormatting sqref="D58:F58 D100:F100 D108:F108 D127:F127 D131:F131 D95:E95 D115:E115 D122:E122 D130:E130 D22:E22 D133:F133 D141:E141 D144:F144 D145:E145 D121:F121 D132:E132 D31:E49 D105:F105">
    <cfRule type="expression" dxfId="173" priority="2869">
      <formula>MOD(ROW(),2)=0</formula>
    </cfRule>
  </conditionalFormatting>
  <conditionalFormatting sqref="F103 F113 F115:F116 F122 F130 F132 F135 F106:F107 F93:F95">
    <cfRule type="expression" dxfId="172" priority="2868">
      <formula>MOD(ROW(),2)=0</formula>
    </cfRule>
  </conditionalFormatting>
  <conditionalFormatting sqref="F23">
    <cfRule type="expression" dxfId="171" priority="2865">
      <formula>MOD(ROW(),2)=0</formula>
    </cfRule>
  </conditionalFormatting>
  <conditionalFormatting sqref="D23:E23">
    <cfRule type="expression" dxfId="170" priority="2866">
      <formula>MOD(ROW(),2)=0</formula>
    </cfRule>
  </conditionalFormatting>
  <conditionalFormatting sqref="D123:F123">
    <cfRule type="expression" dxfId="169" priority="2799">
      <formula>MOD(ROW(),2)=0</formula>
    </cfRule>
  </conditionalFormatting>
  <conditionalFormatting sqref="D125:E125">
    <cfRule type="expression" dxfId="168" priority="2795">
      <formula>MOD(ROW(),2)=0</formula>
    </cfRule>
  </conditionalFormatting>
  <conditionalFormatting sqref="F125">
    <cfRule type="expression" dxfId="167" priority="2794">
      <formula>MOD(ROW(),2)=0</formula>
    </cfRule>
  </conditionalFormatting>
  <conditionalFormatting sqref="D128:E128">
    <cfRule type="expression" dxfId="166" priority="2793">
      <formula>MOD(ROW(),2)=0</formula>
    </cfRule>
  </conditionalFormatting>
  <conditionalFormatting sqref="F110:G111">
    <cfRule type="expression" dxfId="165" priority="2704">
      <formula>MOD(ROW(),2)=0</formula>
    </cfRule>
  </conditionalFormatting>
  <conditionalFormatting sqref="F110:G111">
    <cfRule type="expression" dxfId="164" priority="2702">
      <formula>MOD(ROW(),2)=0</formula>
    </cfRule>
  </conditionalFormatting>
  <conditionalFormatting sqref="F117:G117">
    <cfRule type="expression" dxfId="163" priority="2678">
      <formula>MOD(ROW(),2)=0</formula>
    </cfRule>
  </conditionalFormatting>
  <conditionalFormatting sqref="F126">
    <cfRule type="expression" dxfId="162" priority="2733">
      <formula>MOD(ROW(),2)=0</formula>
    </cfRule>
  </conditionalFormatting>
  <conditionalFormatting sqref="G102">
    <cfRule type="expression" dxfId="161" priority="2690">
      <formula>MOD(ROW(),2)=0</formula>
    </cfRule>
  </conditionalFormatting>
  <conditionalFormatting sqref="F118">
    <cfRule type="expression" dxfId="160" priority="2677">
      <formula>MOD(ROW(),2)=0</formula>
    </cfRule>
  </conditionalFormatting>
  <conditionalFormatting sqref="F24">
    <cfRule type="expression" dxfId="159" priority="2653">
      <formula>MOD(ROW(),2)=0</formula>
    </cfRule>
  </conditionalFormatting>
  <conditionalFormatting sqref="F27">
    <cfRule type="expression" dxfId="158" priority="2649">
      <formula>MOD(ROW(),2)=0</formula>
    </cfRule>
  </conditionalFormatting>
  <conditionalFormatting sqref="G54:G57 F51:G53">
    <cfRule type="expression" dxfId="157" priority="2642">
      <formula>MOD(ROW(),2)=0</formula>
    </cfRule>
  </conditionalFormatting>
  <conditionalFormatting sqref="F120:G120">
    <cfRule type="expression" dxfId="156" priority="2616">
      <formula>MOD(ROW(),2)=0</formula>
    </cfRule>
  </conditionalFormatting>
  <conditionalFormatting sqref="F141">
    <cfRule type="expression" dxfId="155" priority="2593">
      <formula>MOD(ROW(),2)=0</formula>
    </cfRule>
  </conditionalFormatting>
  <conditionalFormatting sqref="F134">
    <cfRule type="expression" dxfId="154" priority="2599">
      <formula>MOD(ROW(),2)=0</formula>
    </cfRule>
  </conditionalFormatting>
  <conditionalFormatting sqref="D112:F112">
    <cfRule type="expression" dxfId="153" priority="2833">
      <formula>MOD(ROW(),2)=0</formula>
    </cfRule>
  </conditionalFormatting>
  <conditionalFormatting sqref="D27">
    <cfRule type="expression" dxfId="152" priority="2780">
      <formula>MOD(ROW(),2)=0</formula>
    </cfRule>
  </conditionalFormatting>
  <conditionalFormatting sqref="F19:F20">
    <cfRule type="expression" dxfId="151" priority="2664">
      <formula>MOD(ROW(),2)=0</formula>
    </cfRule>
  </conditionalFormatting>
  <conditionalFormatting sqref="F107:G107">
    <cfRule type="expression" dxfId="150" priority="2687">
      <formula>MOD(ROW(),2)=0</formula>
    </cfRule>
  </conditionalFormatting>
  <conditionalFormatting sqref="F128:G128">
    <cfRule type="expression" dxfId="149" priority="2673">
      <formula>MOD(ROW(),2)=0</formula>
    </cfRule>
  </conditionalFormatting>
  <conditionalFormatting sqref="G153:H159">
    <cfRule type="expression" dxfId="148" priority="2339">
      <formula>MOD(ROW(),2)=0</formula>
    </cfRule>
  </conditionalFormatting>
  <conditionalFormatting sqref="D147:F148">
    <cfRule type="expression" dxfId="147" priority="2338">
      <formula>MOD(ROW(),2)=0</formula>
    </cfRule>
  </conditionalFormatting>
  <conditionalFormatting sqref="F160">
    <cfRule type="expression" dxfId="146" priority="2333">
      <formula>MOD(ROW(),2)=0</formula>
    </cfRule>
  </conditionalFormatting>
  <conditionalFormatting sqref="M27">
    <cfRule type="expression" dxfId="145" priority="2329">
      <formula>MOD(ROW(),2)=0</formula>
    </cfRule>
  </conditionalFormatting>
  <conditionalFormatting sqref="K58">
    <cfRule type="expression" dxfId="144" priority="2285">
      <formula>MOD(ROW(),2)=0</formula>
    </cfRule>
  </conditionalFormatting>
  <conditionalFormatting sqref="M102">
    <cfRule type="expression" dxfId="143" priority="1953">
      <formula>MOD(ROW(),2)=0</formula>
    </cfRule>
  </conditionalFormatting>
  <conditionalFormatting sqref="M98">
    <cfRule type="expression" dxfId="142" priority="1888">
      <formula>MOD(ROW(),2)=0</formula>
    </cfRule>
  </conditionalFormatting>
  <conditionalFormatting sqref="M139">
    <cfRule type="expression" dxfId="141" priority="1864">
      <formula>MOD(ROW(),2)=0</formula>
    </cfRule>
  </conditionalFormatting>
  <conditionalFormatting sqref="D138:E138">
    <cfRule type="expression" dxfId="140" priority="1821">
      <formula>MOD(ROW(),2)=0</formula>
    </cfRule>
  </conditionalFormatting>
  <conditionalFormatting sqref="H140:I140 M140 O140:Q140">
    <cfRule type="expression" dxfId="139" priority="1781">
      <formula>MOD(ROW(),2)=0</formula>
    </cfRule>
  </conditionalFormatting>
  <conditionalFormatting sqref="D140:E140">
    <cfRule type="expression" dxfId="138" priority="1780">
      <formula>MOD(ROW(),2)=0</formula>
    </cfRule>
  </conditionalFormatting>
  <conditionalFormatting sqref="G142:I143 M142:M143 O142:Q143">
    <cfRule type="expression" dxfId="137" priority="1767">
      <formula>MOD(ROW(),2)=0</formula>
    </cfRule>
  </conditionalFormatting>
  <conditionalFormatting sqref="D142:E143">
    <cfRule type="expression" dxfId="136" priority="1766">
      <formula>MOD(ROW(),2)=0</formula>
    </cfRule>
  </conditionalFormatting>
  <conditionalFormatting sqref="D111:F111 M111 H111:I111 O111:Q111">
    <cfRule type="expression" dxfId="135" priority="1725">
      <formula>MOD(ROW(),2)=0</formula>
    </cfRule>
  </conditionalFormatting>
  <conditionalFormatting sqref="K125">
    <cfRule type="expression" dxfId="134" priority="1706">
      <formula>MOD(ROW(),2)=0</formula>
    </cfRule>
  </conditionalFormatting>
  <conditionalFormatting sqref="D99:E99 M99 H99:I99 O99:Q99">
    <cfRule type="expression" dxfId="133" priority="1710">
      <formula>MOD(ROW(),2)=0</formula>
    </cfRule>
  </conditionalFormatting>
  <conditionalFormatting sqref="K125">
    <cfRule type="expression" dxfId="132" priority="1707">
      <formula>MOD(ROW(),2)=0</formula>
    </cfRule>
  </conditionalFormatting>
  <conditionalFormatting sqref="F145">
    <cfRule type="expression" dxfId="131" priority="1636">
      <formula>MOD(ROW(),2)=0</formula>
    </cfRule>
  </conditionalFormatting>
  <conditionalFormatting sqref="G148">
    <cfRule type="expression" dxfId="130" priority="1616">
      <formula>MOD(ROW(),2)=0</formula>
    </cfRule>
  </conditionalFormatting>
  <conditionalFormatting sqref="H149:H152">
    <cfRule type="expression" dxfId="129" priority="1611">
      <formula>MOD(ROW(),2)=0</formula>
    </cfRule>
  </conditionalFormatting>
  <conditionalFormatting sqref="F136:F137">
    <cfRule type="expression" dxfId="128" priority="1608">
      <formula>MOD(ROW(),2)=0</formula>
    </cfRule>
  </conditionalFormatting>
  <conditionalFormatting sqref="G100">
    <cfRule type="expression" dxfId="127" priority="1587">
      <formula>MOD(ROW(),2)=0</formula>
    </cfRule>
  </conditionalFormatting>
  <conditionalFormatting sqref="G29 G31:G49">
    <cfRule type="expression" dxfId="126" priority="1592">
      <formula>MOD(ROW(),2)=0</formula>
    </cfRule>
  </conditionalFormatting>
  <conditionalFormatting sqref="G130">
    <cfRule type="expression" dxfId="125" priority="1579">
      <formula>MOD(ROW(),2)=0</formula>
    </cfRule>
  </conditionalFormatting>
  <conditionalFormatting sqref="G103">
    <cfRule type="expression" dxfId="124" priority="1585">
      <formula>MOD(ROW(),2)=0</formula>
    </cfRule>
  </conditionalFormatting>
  <conditionalFormatting sqref="F22">
    <cfRule type="expression" dxfId="123" priority="1425">
      <formula>MOD(ROW(),2)=0</formula>
    </cfRule>
  </conditionalFormatting>
  <conditionalFormatting sqref="F29">
    <cfRule type="expression" dxfId="122" priority="1419">
      <formula>MOD(ROW(),2)=0</formula>
    </cfRule>
  </conditionalFormatting>
  <conditionalFormatting sqref="F31">
    <cfRule type="expression" dxfId="121" priority="1418">
      <formula>MOD(ROW(),2)=0</formula>
    </cfRule>
  </conditionalFormatting>
  <conditionalFormatting sqref="F32:F49">
    <cfRule type="expression" dxfId="120" priority="1417">
      <formula>MOD(ROW(),2)=0</formula>
    </cfRule>
  </conditionalFormatting>
  <conditionalFormatting sqref="F54:F57">
    <cfRule type="expression" dxfId="119" priority="1414">
      <formula>MOD(ROW(),2)=0</formula>
    </cfRule>
  </conditionalFormatting>
  <conditionalFormatting sqref="F76:F92">
    <cfRule type="expression" dxfId="118" priority="1409">
      <formula>MOD(ROW(),2)=0</formula>
    </cfRule>
  </conditionalFormatting>
  <conditionalFormatting sqref="F138">
    <cfRule type="expression" dxfId="117" priority="1398">
      <formula>MOD(ROW(),2)=0</formula>
    </cfRule>
  </conditionalFormatting>
  <conditionalFormatting sqref="K27">
    <cfRule type="expression" dxfId="116" priority="1278">
      <formula>MOD(ROW(),2)=0</formula>
    </cfRule>
  </conditionalFormatting>
  <conditionalFormatting sqref="K29">
    <cfRule type="expression" dxfId="115" priority="1268">
      <formula>MOD(ROW(),2)=0</formula>
    </cfRule>
  </conditionalFormatting>
  <conditionalFormatting sqref="K31">
    <cfRule type="expression" dxfId="114" priority="1267">
      <formula>MOD(ROW(),2)=0</formula>
    </cfRule>
  </conditionalFormatting>
  <conditionalFormatting sqref="K32:K49">
    <cfRule type="expression" dxfId="113" priority="1266">
      <formula>MOD(ROW(),2)=0</formula>
    </cfRule>
  </conditionalFormatting>
  <conditionalFormatting sqref="K100">
    <cfRule type="expression" dxfId="112" priority="1231">
      <formula>MOD(ROW(),2)=0</formula>
    </cfRule>
  </conditionalFormatting>
  <conditionalFormatting sqref="K102">
    <cfRule type="expression" dxfId="111" priority="1225">
      <formula>MOD(ROW(),2)=0</formula>
    </cfRule>
  </conditionalFormatting>
  <conditionalFormatting sqref="K103">
    <cfRule type="expression" dxfId="110" priority="1214">
      <formula>MOD(ROW(),2)=0</formula>
    </cfRule>
  </conditionalFormatting>
  <conditionalFormatting sqref="K111">
    <cfRule type="expression" dxfId="109" priority="1182">
      <formula>MOD(ROW(),2)=0</formula>
    </cfRule>
  </conditionalFormatting>
  <conditionalFormatting sqref="K113">
    <cfRule type="expression" dxfId="108" priority="1176">
      <formula>MOD(ROW(),2)=0</formula>
    </cfRule>
  </conditionalFormatting>
  <conditionalFormatting sqref="K138">
    <cfRule type="expression" dxfId="107" priority="1082">
      <formula>MOD(ROW(),2)=0</formula>
    </cfRule>
  </conditionalFormatting>
  <conditionalFormatting sqref="K140">
    <cfRule type="expression" dxfId="106" priority="1078">
      <formula>MOD(ROW(),2)=0</formula>
    </cfRule>
  </conditionalFormatting>
  <conditionalFormatting sqref="K142:K143">
    <cfRule type="expression" dxfId="105" priority="1065">
      <formula>MOD(ROW(),2)=0</formula>
    </cfRule>
  </conditionalFormatting>
  <conditionalFormatting sqref="K76:K92">
    <cfRule type="expression" dxfId="104" priority="1037">
      <formula>MOD(ROW(),2)=0</formula>
    </cfRule>
  </conditionalFormatting>
  <conditionalFormatting sqref="K93:K94">
    <cfRule type="expression" dxfId="103" priority="1036">
      <formula>MOD(ROW(),2)=0</formula>
    </cfRule>
  </conditionalFormatting>
  <conditionalFormatting sqref="K108">
    <cfRule type="expression" dxfId="102" priority="1020">
      <formula>MOD(ROW(),2)=0</formula>
    </cfRule>
  </conditionalFormatting>
  <conditionalFormatting sqref="K116">
    <cfRule type="expression" dxfId="101" priority="999">
      <formula>MOD(ROW(),2)=0</formula>
    </cfRule>
  </conditionalFormatting>
  <conditionalFormatting sqref="K118">
    <cfRule type="expression" dxfId="100" priority="992">
      <formula>MOD(ROW(),2)=0</formula>
    </cfRule>
  </conditionalFormatting>
  <conditionalFormatting sqref="K121">
    <cfRule type="expression" dxfId="99" priority="988">
      <formula>MOD(ROW(),2)=0</formula>
    </cfRule>
  </conditionalFormatting>
  <conditionalFormatting sqref="K122">
    <cfRule type="expression" dxfId="98" priority="986">
      <formula>MOD(ROW(),2)=0</formula>
    </cfRule>
  </conditionalFormatting>
  <conditionalFormatting sqref="D104:E104">
    <cfRule type="expression" dxfId="97" priority="938">
      <formula>MOD(ROW(),2)=0</formula>
    </cfRule>
  </conditionalFormatting>
  <conditionalFormatting sqref="K139">
    <cfRule type="expression" dxfId="96" priority="944">
      <formula>MOD(ROW(),2)=0</formula>
    </cfRule>
  </conditionalFormatting>
  <conditionalFormatting sqref="L104">
    <cfRule type="expression" dxfId="95" priority="940">
      <formula>MOD(ROW(),2)=0</formula>
    </cfRule>
  </conditionalFormatting>
  <conditionalFormatting sqref="H104:I104 O104:Q104">
    <cfRule type="expression" dxfId="94" priority="939">
      <formula>MOD(ROW(),2)=0</formula>
    </cfRule>
  </conditionalFormatting>
  <conditionalFormatting sqref="F104:G104">
    <cfRule type="expression" dxfId="93" priority="937">
      <formula>MOD(ROW(),2)=0</formula>
    </cfRule>
  </conditionalFormatting>
  <conditionalFormatting sqref="G160">
    <cfRule type="expression" dxfId="92" priority="934">
      <formula>MOD(ROW(),2)=0</formula>
    </cfRule>
  </conditionalFormatting>
  <conditionalFormatting sqref="N125:N160 N115:N123 N102:N113 N27:N100 N18:N24">
    <cfRule type="containsText" dxfId="91" priority="909" operator="containsText" text="verdacht">
      <formula>NOT(ISERROR(SEARCH("verdacht",N18)))</formula>
    </cfRule>
    <cfRule type="containsText" dxfId="90" priority="910" operator="containsText" text="aangetoont">
      <formula>NOT(ISERROR(SEARCH("aangetoont",N18)))</formula>
    </cfRule>
  </conditionalFormatting>
  <conditionalFormatting sqref="G96">
    <cfRule type="expression" dxfId="89" priority="908">
      <formula>MOD(ROW(),2)=0</formula>
    </cfRule>
  </conditionalFormatting>
  <conditionalFormatting sqref="E109:F109">
    <cfRule type="expression" dxfId="88" priority="892">
      <formula>MOD(ROW(),2)=0</formula>
    </cfRule>
  </conditionalFormatting>
  <conditionalFormatting sqref="K109">
    <cfRule type="expression" dxfId="87" priority="874">
      <formula>MOD(ROW(),2)=0</formula>
    </cfRule>
  </conditionalFormatting>
  <conditionalFormatting sqref="D109">
    <cfRule type="expression" dxfId="86" priority="860">
      <formula>MOD(ROW(),2)=0</formula>
    </cfRule>
  </conditionalFormatting>
  <conditionalFormatting sqref="L101">
    <cfRule type="expression" dxfId="85" priority="815">
      <formula>MOD(ROW(),2)=0</formula>
    </cfRule>
  </conditionalFormatting>
  <conditionalFormatting sqref="M101:Q101 H101:J101">
    <cfRule type="expression" dxfId="84" priority="814">
      <formula>MOD(ROW(),2)=0</formula>
    </cfRule>
  </conditionalFormatting>
  <conditionalFormatting sqref="D101:F101">
    <cfRule type="expression" dxfId="83" priority="813">
      <formula>MOD(ROW(),2)=0</formula>
    </cfRule>
  </conditionalFormatting>
  <conditionalFormatting sqref="G101">
    <cfRule type="expression" dxfId="82" priority="810">
      <formula>MOD(ROW(),2)=0</formula>
    </cfRule>
  </conditionalFormatting>
  <conditionalFormatting sqref="K101">
    <cfRule type="expression" dxfId="81" priority="808">
      <formula>MOD(ROW(),2)=0</formula>
    </cfRule>
  </conditionalFormatting>
  <conditionalFormatting sqref="N101">
    <cfRule type="containsText" dxfId="80" priority="806" operator="containsText" text="verdacht">
      <formula>NOT(ISERROR(SEARCH("verdacht",N101)))</formula>
    </cfRule>
    <cfRule type="containsText" dxfId="79" priority="807" operator="containsText" text="aangetoont">
      <formula>NOT(ISERROR(SEARCH("aangetoont",N101)))</formula>
    </cfRule>
  </conditionalFormatting>
  <conditionalFormatting sqref="F153:F1048576 F140:F148 F130:F138 F125:F128 F115:F123 F100:F113 F27:F98 F1:F24">
    <cfRule type="containsText" dxfId="78" priority="744" operator="containsText" text="?? ?? ???">
      <formula>NOT(ISERROR(SEARCH("?? ?? ???",F1)))</formula>
    </cfRule>
  </conditionalFormatting>
  <conditionalFormatting sqref="L114">
    <cfRule type="expression" dxfId="77" priority="734">
      <formula>MOD(ROW(),2)=0</formula>
    </cfRule>
  </conditionalFormatting>
  <conditionalFormatting sqref="H114:J114 M114:Q114">
    <cfRule type="expression" dxfId="76" priority="733">
      <formula>MOD(ROW(),2)=0</formula>
    </cfRule>
  </conditionalFormatting>
  <conditionalFormatting sqref="D114:E114">
    <cfRule type="expression" dxfId="75" priority="732">
      <formula>MOD(ROW(),2)=0</formula>
    </cfRule>
  </conditionalFormatting>
  <conditionalFormatting sqref="K114">
    <cfRule type="expression" dxfId="74" priority="728">
      <formula>MOD(ROW(),2)=0</formula>
    </cfRule>
  </conditionalFormatting>
  <conditionalFormatting sqref="N114">
    <cfRule type="containsText" dxfId="73" priority="726" operator="containsText" text="verdacht">
      <formula>NOT(ISERROR(SEARCH("verdacht",N114)))</formula>
    </cfRule>
    <cfRule type="containsText" dxfId="72" priority="727" operator="containsText" text="aangetoont">
      <formula>NOT(ISERROR(SEARCH("aangetoont",N114)))</formula>
    </cfRule>
  </conditionalFormatting>
  <conditionalFormatting sqref="G114">
    <cfRule type="expression" dxfId="71" priority="724">
      <formula>MOD(ROW(),2)=0</formula>
    </cfRule>
  </conditionalFormatting>
  <conditionalFormatting sqref="F114">
    <cfRule type="expression" dxfId="70" priority="723">
      <formula>MOD(ROW(),2)=0</formula>
    </cfRule>
  </conditionalFormatting>
  <conditionalFormatting sqref="F114">
    <cfRule type="containsText" dxfId="69" priority="722" operator="containsText" text="?? ?? ???">
      <formula>NOT(ISERROR(SEARCH("?? ?? ???",F114)))</formula>
    </cfRule>
  </conditionalFormatting>
  <conditionalFormatting sqref="I102">
    <cfRule type="expression" dxfId="68" priority="721">
      <formula>MOD(ROW(),2)=0</formula>
    </cfRule>
  </conditionalFormatting>
  <conditionalFormatting sqref="N124 J124 L124">
    <cfRule type="expression" dxfId="67" priority="720">
      <formula>MOD(ROW(),2)=0</formula>
    </cfRule>
  </conditionalFormatting>
  <conditionalFormatting sqref="M124 O124:Q124">
    <cfRule type="expression" dxfId="66" priority="719">
      <formula>MOD(ROW(),2)=0</formula>
    </cfRule>
  </conditionalFormatting>
  <conditionalFormatting sqref="F124">
    <cfRule type="expression" dxfId="65" priority="717">
      <formula>MOD(ROW(),2)=0</formula>
    </cfRule>
  </conditionalFormatting>
  <conditionalFormatting sqref="G124:I124">
    <cfRule type="expression" dxfId="64" priority="718">
      <formula>MOD(ROW(),2)=0</formula>
    </cfRule>
  </conditionalFormatting>
  <conditionalFormatting sqref="K124">
    <cfRule type="expression" dxfId="63" priority="716">
      <formula>MOD(ROW(),2)=0</formula>
    </cfRule>
  </conditionalFormatting>
  <conditionalFormatting sqref="N124">
    <cfRule type="containsText" dxfId="62" priority="714" operator="containsText" text="verdacht">
      <formula>NOT(ISERROR(SEARCH("verdacht",N124)))</formula>
    </cfRule>
    <cfRule type="containsText" dxfId="61" priority="715" operator="containsText" text="aangetoont">
      <formula>NOT(ISERROR(SEARCH("aangetoont",N124)))</formula>
    </cfRule>
  </conditionalFormatting>
  <conditionalFormatting sqref="F124">
    <cfRule type="containsText" dxfId="60" priority="713" operator="containsText" text="?? ?? ???">
      <formula>NOT(ISERROR(SEARCH("?? ?? ???",F124)))</formula>
    </cfRule>
  </conditionalFormatting>
  <conditionalFormatting sqref="D124:E124">
    <cfRule type="expression" dxfId="59" priority="712">
      <formula>MOD(ROW(),2)=0</formula>
    </cfRule>
  </conditionalFormatting>
  <conditionalFormatting sqref="L26 J26 N26">
    <cfRule type="expression" dxfId="58" priority="556">
      <formula>MOD(ROW(),2)=0</formula>
    </cfRule>
  </conditionalFormatting>
  <conditionalFormatting sqref="O26:Q26 M26">
    <cfRule type="expression" dxfId="57" priority="555">
      <formula>MOD(ROW(),2)=0</formula>
    </cfRule>
  </conditionalFormatting>
  <conditionalFormatting sqref="D26">
    <cfRule type="expression" dxfId="56" priority="553">
      <formula>MOD(ROW(),2)=0</formula>
    </cfRule>
  </conditionalFormatting>
  <conditionalFormatting sqref="E26:F26">
    <cfRule type="expression" dxfId="55" priority="551">
      <formula>MOD(ROW(),2)=0</formula>
    </cfRule>
  </conditionalFormatting>
  <conditionalFormatting sqref="G26:I26">
    <cfRule type="expression" dxfId="54" priority="552">
      <formula>MOD(ROW(),2)=0</formula>
    </cfRule>
  </conditionalFormatting>
  <conditionalFormatting sqref="K26">
    <cfRule type="expression" dxfId="53" priority="549">
      <formula>MOD(ROW(),2)=0</formula>
    </cfRule>
  </conditionalFormatting>
  <conditionalFormatting sqref="N26">
    <cfRule type="containsText" dxfId="52" priority="546" operator="containsText" text="verdacht">
      <formula>NOT(ISERROR(SEARCH("verdacht",N26)))</formula>
    </cfRule>
    <cfRule type="containsText" dxfId="51" priority="547" operator="containsText" text="aangetoont">
      <formula>NOT(ISERROR(SEARCH("aangetoont",N26)))</formula>
    </cfRule>
  </conditionalFormatting>
  <conditionalFormatting sqref="F26">
    <cfRule type="containsText" dxfId="50" priority="545" operator="containsText" text="?? ?? ???">
      <formula>NOT(ISERROR(SEARCH("?? ?? ???",F26)))</formula>
    </cfRule>
  </conditionalFormatting>
  <conditionalFormatting sqref="L25 N25:Q25">
    <cfRule type="expression" dxfId="49" priority="544">
      <formula>MOD(ROW(),2)=0</formula>
    </cfRule>
  </conditionalFormatting>
  <conditionalFormatting sqref="H25:I25">
    <cfRule type="expression" dxfId="48" priority="543">
      <formula>MOD(ROW(),2)=0</formula>
    </cfRule>
  </conditionalFormatting>
  <conditionalFormatting sqref="D25">
    <cfRule type="expression" dxfId="47" priority="542">
      <formula>MOD(ROW(),2)=0</formula>
    </cfRule>
  </conditionalFormatting>
  <conditionalFormatting sqref="F25">
    <cfRule type="expression" dxfId="46" priority="541">
      <formula>MOD(ROW(),2)=0</formula>
    </cfRule>
  </conditionalFormatting>
  <conditionalFormatting sqref="G25">
    <cfRule type="expression" dxfId="45" priority="540">
      <formula>MOD(ROW(),2)=0</formula>
    </cfRule>
  </conditionalFormatting>
  <conditionalFormatting sqref="N25">
    <cfRule type="containsText" dxfId="44" priority="538" operator="containsText" text="verdacht">
      <formula>NOT(ISERROR(SEARCH("verdacht",N25)))</formula>
    </cfRule>
    <cfRule type="containsText" dxfId="43" priority="539" operator="containsText" text="aangetoont">
      <formula>NOT(ISERROR(SEARCH("aangetoont",N25)))</formula>
    </cfRule>
  </conditionalFormatting>
  <conditionalFormatting sqref="F25">
    <cfRule type="containsText" dxfId="42" priority="537" operator="containsText" text="?? ?? ???">
      <formula>NOT(ISERROR(SEARCH("?? ?? ???",F25)))</formula>
    </cfRule>
  </conditionalFormatting>
  <conditionalFormatting sqref="G99">
    <cfRule type="expression" dxfId="41" priority="509">
      <formula>MOD(ROW(),2)=0</formula>
    </cfRule>
  </conditionalFormatting>
  <conditionalFormatting sqref="F99">
    <cfRule type="expression" dxfId="40" priority="508">
      <formula>MOD(ROW(),2)=0</formula>
    </cfRule>
  </conditionalFormatting>
  <conditionalFormatting sqref="F99">
    <cfRule type="containsText" dxfId="39" priority="507" operator="containsText" text="?? ?? ???">
      <formula>NOT(ISERROR(SEARCH("?? ?? ???",F99)))</formula>
    </cfRule>
  </conditionalFormatting>
  <conditionalFormatting sqref="F139">
    <cfRule type="expression" dxfId="38" priority="436">
      <formula>MOD(ROW(),2)=0</formula>
    </cfRule>
  </conditionalFormatting>
  <conditionalFormatting sqref="F139">
    <cfRule type="containsText" dxfId="37" priority="435" operator="containsText" text="?? ?? ???">
      <formula>NOT(ISERROR(SEARCH("?? ?? ???",F139)))</formula>
    </cfRule>
  </conditionalFormatting>
  <conditionalFormatting sqref="G129">
    <cfRule type="expression" dxfId="36" priority="391">
      <formula>MOD(ROW(),2)=0</formula>
    </cfRule>
  </conditionalFormatting>
  <conditionalFormatting sqref="F129">
    <cfRule type="expression" dxfId="35" priority="390">
      <formula>MOD(ROW(),2)=0</formula>
    </cfRule>
  </conditionalFormatting>
  <conditionalFormatting sqref="F129">
    <cfRule type="containsText" dxfId="34" priority="389" operator="containsText" text="?? ?? ???">
      <formula>NOT(ISERROR(SEARCH("?? ?? ???",F129)))</formula>
    </cfRule>
  </conditionalFormatting>
  <conditionalFormatting sqref="R127:S128">
    <cfRule type="expression" dxfId="33" priority="290">
      <formula>MOD(ROW(),2)=0</formula>
    </cfRule>
  </conditionalFormatting>
  <conditionalFormatting sqref="R118:S118 R129:S129 R113:S113 R141:S141">
    <cfRule type="expression" dxfId="32" priority="289">
      <formula>MOD(ROW(),2)=0</formula>
    </cfRule>
  </conditionalFormatting>
  <conditionalFormatting sqref="R140:S140">
    <cfRule type="expression" dxfId="31" priority="278">
      <formula>MOD(ROW(),2)=0</formula>
    </cfRule>
  </conditionalFormatting>
  <conditionalFormatting sqref="R142:S143">
    <cfRule type="expression" dxfId="30" priority="275">
      <formula>MOD(ROW(),2)=0</formula>
    </cfRule>
  </conditionalFormatting>
  <conditionalFormatting sqref="R111:S111">
    <cfRule type="expression" dxfId="29" priority="266">
      <formula>MOD(ROW(),2)=0</formula>
    </cfRule>
  </conditionalFormatting>
  <conditionalFormatting sqref="R99:S99">
    <cfRule type="expression" dxfId="28" priority="261">
      <formula>MOD(ROW(),2)=0</formula>
    </cfRule>
  </conditionalFormatting>
  <conditionalFormatting sqref="R104:S104">
    <cfRule type="expression" dxfId="27" priority="247">
      <formula>MOD(ROW(),2)=0</formula>
    </cfRule>
  </conditionalFormatting>
  <conditionalFormatting sqref="R101:S101">
    <cfRule type="expression" dxfId="26" priority="241">
      <formula>MOD(ROW(),2)=0</formula>
    </cfRule>
  </conditionalFormatting>
  <conditionalFormatting sqref="R114:S114">
    <cfRule type="expression" dxfId="25" priority="236">
      <formula>MOD(ROW(),2)=0</formula>
    </cfRule>
  </conditionalFormatting>
  <conditionalFormatting sqref="R124:S124">
    <cfRule type="expression" dxfId="24" priority="235">
      <formula>MOD(ROW(),2)=0</formula>
    </cfRule>
  </conditionalFormatting>
  <conditionalFormatting sqref="R26:S26">
    <cfRule type="expression" dxfId="23" priority="226">
      <formula>MOD(ROW(),2)=0</formula>
    </cfRule>
  </conditionalFormatting>
  <conditionalFormatting sqref="R25:S25">
    <cfRule type="expression" dxfId="22" priority="225">
      <formula>MOD(ROW(),2)=0</formula>
    </cfRule>
  </conditionalFormatting>
  <conditionalFormatting sqref="T127:T128">
    <cfRule type="expression" dxfId="21" priority="206">
      <formula>MOD(ROW(),2)=0</formula>
    </cfRule>
  </conditionalFormatting>
  <conditionalFormatting sqref="T118 T129 T113 T141">
    <cfRule type="expression" dxfId="20" priority="205">
      <formula>MOD(ROW(),2)=0</formula>
    </cfRule>
  </conditionalFormatting>
  <conditionalFormatting sqref="T140">
    <cfRule type="expression" dxfId="19" priority="194">
      <formula>MOD(ROW(),2)=0</formula>
    </cfRule>
  </conditionalFormatting>
  <conditionalFormatting sqref="T142:T143">
    <cfRule type="expression" dxfId="18" priority="191">
      <formula>MOD(ROW(),2)=0</formula>
    </cfRule>
  </conditionalFormatting>
  <conditionalFormatting sqref="T111">
    <cfRule type="expression" dxfId="17" priority="182">
      <formula>MOD(ROW(),2)=0</formula>
    </cfRule>
  </conditionalFormatting>
  <conditionalFormatting sqref="T99">
    <cfRule type="expression" dxfId="16" priority="177">
      <formula>MOD(ROW(),2)=0</formula>
    </cfRule>
  </conditionalFormatting>
  <conditionalFormatting sqref="T104">
    <cfRule type="expression" dxfId="15" priority="163">
      <formula>MOD(ROW(),2)=0</formula>
    </cfRule>
  </conditionalFormatting>
  <conditionalFormatting sqref="T101">
    <cfRule type="expression" dxfId="14" priority="157">
      <formula>MOD(ROW(),2)=0</formula>
    </cfRule>
  </conditionalFormatting>
  <conditionalFormatting sqref="T114">
    <cfRule type="expression" dxfId="13" priority="152">
      <formula>MOD(ROW(),2)=0</formula>
    </cfRule>
  </conditionalFormatting>
  <conditionalFormatting sqref="T124">
    <cfRule type="expression" dxfId="12" priority="151">
      <formula>MOD(ROW(),2)=0</formula>
    </cfRule>
  </conditionalFormatting>
  <conditionalFormatting sqref="T26">
    <cfRule type="expression" dxfId="11" priority="142">
      <formula>MOD(ROW(),2)=0</formula>
    </cfRule>
  </conditionalFormatting>
  <conditionalFormatting sqref="T25">
    <cfRule type="expression" dxfId="10" priority="141">
      <formula>MOD(ROW(),2)=0</formula>
    </cfRule>
  </conditionalFormatting>
  <conditionalFormatting sqref="G149:G152">
    <cfRule type="expression" dxfId="9" priority="19">
      <formula>MOD(ROW(),2)=0</formula>
    </cfRule>
  </conditionalFormatting>
  <conditionalFormatting sqref="F149:F152">
    <cfRule type="expression" dxfId="8" priority="18">
      <formula>MOD(ROW(),2)=0</formula>
    </cfRule>
  </conditionalFormatting>
  <conditionalFormatting sqref="F149:F152">
    <cfRule type="containsText" dxfId="7" priority="17" operator="containsText" text="?? ?? ???">
      <formula>NOT(ISERROR(SEARCH("?? ?? ???",F149)))</formula>
    </cfRule>
  </conditionalFormatting>
  <conditionalFormatting sqref="F50">
    <cfRule type="expression" dxfId="6" priority="12">
      <formula>MOD(ROW(),2)=0</formula>
    </cfRule>
  </conditionalFormatting>
  <conditionalFormatting sqref="M119">
    <cfRule type="expression" dxfId="5" priority="11">
      <formula>MOD(ROW(),2)=0</formula>
    </cfRule>
  </conditionalFormatting>
  <conditionalFormatting sqref="D119:E119">
    <cfRule type="expression" dxfId="4" priority="10">
      <formula>MOD(ROW(),2)=0</formula>
    </cfRule>
  </conditionalFormatting>
  <conditionalFormatting sqref="F119">
    <cfRule type="expression" dxfId="3" priority="9">
      <formula>MOD(ROW(),2)=0</formula>
    </cfRule>
  </conditionalFormatting>
  <conditionalFormatting sqref="K119">
    <cfRule type="expression" dxfId="2" priority="4">
      <formula>MOD(ROW(),2)=0</formula>
    </cfRule>
  </conditionalFormatting>
  <conditionalFormatting sqref="D30:E30">
    <cfRule type="expression" dxfId="1" priority="3">
      <formula>MOD(ROW(),2)=0</formula>
    </cfRule>
  </conditionalFormatting>
  <conditionalFormatting sqref="F30">
    <cfRule type="expression" dxfId="0" priority="2">
      <formula>MOD(ROW(),2)=0</formula>
    </cfRule>
  </conditionalFormatting>
  <pageMargins left="0.7" right="0.7" top="0.75" bottom="0.75" header="0.3" footer="0.3"/>
  <pageSetup paperSize="8" scale="5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prompt="Gebruik de termen verdacht/aangetoont bij invoer of selecteer een optie van het drop-down menu." xr:uid="{3A9D7109-78F0-4F72-BE88-4DF751AA5652}">
          <x14:formula1>
            <xm:f>#REF!</xm:f>
          </x14:formula1>
          <xm:sqref>N18:N160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6498-97D1-4066-974D-081A55A30FB2}">
  <dimension ref="A2:N176"/>
  <sheetViews>
    <sheetView zoomScale="85" zoomScaleNormal="85" workbookViewId="0">
      <selection activeCell="F146" sqref="F146"/>
    </sheetView>
  </sheetViews>
  <sheetFormatPr defaultRowHeight="15" x14ac:dyDescent="0.25"/>
  <cols>
    <col min="2" max="2" width="88.85546875" customWidth="1"/>
    <col min="8" max="8" width="12.5703125" style="79" bestFit="1" customWidth="1"/>
  </cols>
  <sheetData>
    <row r="2" spans="2:8" x14ac:dyDescent="0.25">
      <c r="B2" s="87" t="s">
        <v>267</v>
      </c>
      <c r="C2" t="s">
        <v>206</v>
      </c>
      <c r="D2" t="s">
        <v>329</v>
      </c>
      <c r="E2" t="s">
        <v>229</v>
      </c>
      <c r="F2" t="s">
        <v>218</v>
      </c>
      <c r="G2" t="s">
        <v>48</v>
      </c>
    </row>
    <row r="3" spans="2:8" x14ac:dyDescent="0.25">
      <c r="B3" s="87"/>
      <c r="C3">
        <v>0.32</v>
      </c>
      <c r="D3">
        <v>0.32</v>
      </c>
      <c r="E3">
        <v>1.5</v>
      </c>
      <c r="F3">
        <v>12</v>
      </c>
      <c r="G3">
        <f>SUM(C3*D3*E3*F3)</f>
        <v>1.8432000000000002</v>
      </c>
    </row>
    <row r="4" spans="2:8" x14ac:dyDescent="0.25">
      <c r="B4" s="87"/>
      <c r="C4">
        <v>0.32</v>
      </c>
      <c r="D4">
        <v>0.32</v>
      </c>
      <c r="E4">
        <v>1.5</v>
      </c>
      <c r="F4">
        <v>34</v>
      </c>
      <c r="G4">
        <f t="shared" ref="G4:G8" si="0">SUM(C4*D4*E4*F4)</f>
        <v>5.2224000000000004</v>
      </c>
    </row>
    <row r="5" spans="2:8" x14ac:dyDescent="0.25">
      <c r="B5" s="87"/>
      <c r="C5">
        <v>0.32</v>
      </c>
      <c r="D5">
        <v>0.32</v>
      </c>
      <c r="E5">
        <v>1.5</v>
      </c>
      <c r="F5">
        <v>18</v>
      </c>
      <c r="G5">
        <f t="shared" si="0"/>
        <v>2.7648000000000001</v>
      </c>
    </row>
    <row r="6" spans="2:8" x14ac:dyDescent="0.25">
      <c r="B6" s="87"/>
      <c r="C6">
        <v>0.32</v>
      </c>
      <c r="D6">
        <v>0.32</v>
      </c>
      <c r="E6">
        <v>1.5</v>
      </c>
      <c r="F6">
        <v>25</v>
      </c>
      <c r="G6">
        <f t="shared" si="0"/>
        <v>3.8400000000000003</v>
      </c>
    </row>
    <row r="7" spans="2:8" x14ac:dyDescent="0.25">
      <c r="B7" s="87"/>
      <c r="C7">
        <v>0.38</v>
      </c>
      <c r="D7">
        <v>0.38</v>
      </c>
      <c r="E7">
        <v>1.5</v>
      </c>
      <c r="F7">
        <v>12</v>
      </c>
      <c r="G7">
        <f t="shared" si="0"/>
        <v>2.5992000000000002</v>
      </c>
    </row>
    <row r="8" spans="2:8" x14ac:dyDescent="0.25">
      <c r="B8" s="87"/>
      <c r="C8">
        <v>0.25</v>
      </c>
      <c r="D8">
        <v>0.25</v>
      </c>
      <c r="E8">
        <v>1.5</v>
      </c>
      <c r="F8">
        <v>10</v>
      </c>
      <c r="G8">
        <f t="shared" si="0"/>
        <v>0.9375</v>
      </c>
    </row>
    <row r="9" spans="2:8" x14ac:dyDescent="0.25">
      <c r="B9" s="87"/>
      <c r="F9">
        <f>SUM(F3:F8)</f>
        <v>111</v>
      </c>
      <c r="G9" s="87">
        <f>SUM(G3:G8)</f>
        <v>17.207100000000001</v>
      </c>
      <c r="H9" s="79" t="s">
        <v>48</v>
      </c>
    </row>
    <row r="10" spans="2:8" x14ac:dyDescent="0.25">
      <c r="B10" s="87"/>
    </row>
    <row r="11" spans="2:8" x14ac:dyDescent="0.25">
      <c r="B11" s="87"/>
    </row>
    <row r="12" spans="2:8" x14ac:dyDescent="0.25">
      <c r="B12" s="87" t="s">
        <v>336</v>
      </c>
      <c r="C12" t="s">
        <v>218</v>
      </c>
      <c r="D12" t="s">
        <v>206</v>
      </c>
      <c r="E12" t="s">
        <v>329</v>
      </c>
      <c r="F12" t="s">
        <v>202</v>
      </c>
      <c r="G12" t="s">
        <v>48</v>
      </c>
      <c r="H12" s="89"/>
    </row>
    <row r="13" spans="2:8" x14ac:dyDescent="0.25">
      <c r="B13" t="s">
        <v>337</v>
      </c>
      <c r="C13">
        <v>14</v>
      </c>
      <c r="D13">
        <v>1.25</v>
      </c>
      <c r="E13">
        <v>1.25</v>
      </c>
      <c r="F13">
        <v>1</v>
      </c>
      <c r="G13">
        <f>SUM(C13+D13+E13+F13)</f>
        <v>17.5</v>
      </c>
      <c r="H13" s="89"/>
    </row>
    <row r="14" spans="2:8" x14ac:dyDescent="0.25">
      <c r="B14" t="s">
        <v>338</v>
      </c>
      <c r="C14">
        <v>3</v>
      </c>
      <c r="D14">
        <v>1.5</v>
      </c>
      <c r="E14">
        <v>1.5</v>
      </c>
      <c r="F14">
        <v>1</v>
      </c>
      <c r="G14">
        <f>SUM(C14+D14+E14+F14)</f>
        <v>7</v>
      </c>
      <c r="H14" s="89"/>
    </row>
    <row r="15" spans="2:8" x14ac:dyDescent="0.25">
      <c r="B15" s="87" t="s">
        <v>339</v>
      </c>
      <c r="D15">
        <f>SUM(8.8+7.55+7.55+15+7.2+5.2+6.85+7.5+7.2+7.7+7.7+4.7+4.7+3.9+1.6)</f>
        <v>103.15000000000002</v>
      </c>
      <c r="E15">
        <v>0.4</v>
      </c>
      <c r="F15">
        <v>0.6</v>
      </c>
      <c r="G15">
        <f>SUM(D15*E15*F15)</f>
        <v>24.756000000000007</v>
      </c>
      <c r="H15" s="89"/>
    </row>
    <row r="16" spans="2:8" x14ac:dyDescent="0.25">
      <c r="G16">
        <f>SUM(G13:G15)</f>
        <v>49.256000000000007</v>
      </c>
      <c r="H16" s="89"/>
    </row>
    <row r="17" spans="2:14" x14ac:dyDescent="0.25">
      <c r="H17" s="89"/>
    </row>
    <row r="18" spans="2:14" x14ac:dyDescent="0.25">
      <c r="H18" s="89"/>
    </row>
    <row r="19" spans="2:14" x14ac:dyDescent="0.25">
      <c r="H19" s="89"/>
    </row>
    <row r="20" spans="2:14" x14ac:dyDescent="0.25">
      <c r="B20" s="87" t="s">
        <v>330</v>
      </c>
      <c r="C20" t="s">
        <v>206</v>
      </c>
      <c r="D20" t="s">
        <v>334</v>
      </c>
      <c r="E20" t="s">
        <v>202</v>
      </c>
      <c r="F20" t="s">
        <v>333</v>
      </c>
      <c r="G20" t="s">
        <v>48</v>
      </c>
    </row>
    <row r="21" spans="2:14" x14ac:dyDescent="0.25">
      <c r="B21" t="s">
        <v>331</v>
      </c>
      <c r="E21">
        <v>0.25</v>
      </c>
      <c r="F21">
        <f>SUM(18.55*6.8)+(4*((26-18.55))+4.3*1.2)</f>
        <v>161.1</v>
      </c>
      <c r="G21">
        <f>SUM(E21*F21)</f>
        <v>40.274999999999999</v>
      </c>
    </row>
    <row r="22" spans="2:14" x14ac:dyDescent="0.25">
      <c r="B22" t="s">
        <v>332</v>
      </c>
      <c r="C22">
        <f>SUM(2.6+6.8+26+6.8+4.3+4.3)</f>
        <v>50.79999999999999</v>
      </c>
      <c r="D22">
        <v>1.4</v>
      </c>
      <c r="E22">
        <v>0.25</v>
      </c>
      <c r="G22">
        <f>SUM(C22*D22*E22)</f>
        <v>17.779999999999994</v>
      </c>
    </row>
    <row r="23" spans="2:14" s="87" customFormat="1" x14ac:dyDescent="0.25">
      <c r="B23" t="s">
        <v>335</v>
      </c>
      <c r="G23">
        <v>2.2000000000000002</v>
      </c>
      <c r="H23" s="88"/>
    </row>
    <row r="24" spans="2:14" x14ac:dyDescent="0.25">
      <c r="G24" s="87">
        <f>SUM(G21:G23)</f>
        <v>60.254999999999995</v>
      </c>
    </row>
    <row r="25" spans="2:14" ht="21.75" customHeight="1" x14ac:dyDescent="0.25"/>
    <row r="26" spans="2:14" ht="21.75" customHeight="1" x14ac:dyDescent="0.25"/>
    <row r="27" spans="2:14" ht="21.75" customHeight="1" x14ac:dyDescent="0.25"/>
    <row r="28" spans="2:14" x14ac:dyDescent="0.25">
      <c r="B28" s="78" t="s">
        <v>327</v>
      </c>
      <c r="H28" s="79" t="s">
        <v>198</v>
      </c>
      <c r="I28" t="s">
        <v>199</v>
      </c>
      <c r="J28" t="s">
        <v>200</v>
      </c>
      <c r="L28" s="78" t="s">
        <v>201</v>
      </c>
      <c r="M28" t="s">
        <v>202</v>
      </c>
      <c r="N28" t="s">
        <v>203</v>
      </c>
    </row>
    <row r="29" spans="2:14" x14ac:dyDescent="0.25">
      <c r="B29" t="s">
        <v>204</v>
      </c>
      <c r="E29">
        <v>16.3</v>
      </c>
      <c r="F29">
        <v>58</v>
      </c>
      <c r="H29" s="79">
        <f>E29*F29</f>
        <v>945.40000000000009</v>
      </c>
      <c r="I29">
        <v>35.200000000000003</v>
      </c>
      <c r="J29">
        <v>50.4</v>
      </c>
      <c r="L29">
        <f>(H29)-I29+J29</f>
        <v>960.6</v>
      </c>
      <c r="M29">
        <v>0.2</v>
      </c>
      <c r="N29">
        <f>SUM(L29*M29)</f>
        <v>192.12</v>
      </c>
    </row>
    <row r="31" spans="2:14" x14ac:dyDescent="0.25">
      <c r="E31" t="s">
        <v>206</v>
      </c>
      <c r="F31" t="s">
        <v>329</v>
      </c>
      <c r="G31" t="s">
        <v>202</v>
      </c>
      <c r="H31" s="79" t="s">
        <v>48</v>
      </c>
    </row>
    <row r="32" spans="2:14" x14ac:dyDescent="0.25">
      <c r="B32" t="s">
        <v>326</v>
      </c>
      <c r="E32">
        <f>+SUM(7.2+7.2+7.2+7.2)</f>
        <v>28.8</v>
      </c>
      <c r="F32">
        <v>16</v>
      </c>
      <c r="G32">
        <v>0.1</v>
      </c>
      <c r="H32" s="79">
        <f>SUM(E32*F32*G32)</f>
        <v>46.080000000000005</v>
      </c>
    </row>
    <row r="33" spans="2:10" x14ac:dyDescent="0.25">
      <c r="B33" t="s">
        <v>328</v>
      </c>
      <c r="E33">
        <f>E32</f>
        <v>28.8</v>
      </c>
      <c r="F33">
        <f>F32</f>
        <v>16</v>
      </c>
      <c r="G33">
        <v>0.2</v>
      </c>
      <c r="H33" s="79">
        <f>SUM(E33*F33*G33)</f>
        <v>92.160000000000011</v>
      </c>
      <c r="J33" t="s">
        <v>340</v>
      </c>
    </row>
    <row r="35" spans="2:10" x14ac:dyDescent="0.25">
      <c r="E35" t="s">
        <v>205</v>
      </c>
      <c r="F35" t="s">
        <v>206</v>
      </c>
      <c r="H35" s="79" t="s">
        <v>207</v>
      </c>
      <c r="I35" t="s">
        <v>97</v>
      </c>
    </row>
    <row r="36" spans="2:10" x14ac:dyDescent="0.25">
      <c r="B36" s="78" t="s">
        <v>208</v>
      </c>
      <c r="E36">
        <v>2.4</v>
      </c>
      <c r="F36">
        <v>15.595000000000001</v>
      </c>
      <c r="H36" s="79">
        <v>12584</v>
      </c>
      <c r="I36">
        <f>SUM(H36/F36)</f>
        <v>806.92529656941326</v>
      </c>
    </row>
    <row r="38" spans="2:10" x14ac:dyDescent="0.25">
      <c r="D38" t="s">
        <v>209</v>
      </c>
      <c r="G38" t="s">
        <v>46</v>
      </c>
      <c r="H38" s="79" t="s">
        <v>207</v>
      </c>
    </row>
    <row r="39" spans="2:10" x14ac:dyDescent="0.25">
      <c r="B39" s="90" t="s">
        <v>210</v>
      </c>
      <c r="C39" s="90"/>
      <c r="D39" s="90">
        <v>24</v>
      </c>
      <c r="E39" s="90">
        <v>2.4</v>
      </c>
      <c r="F39" s="90">
        <v>15.595000000000001</v>
      </c>
      <c r="G39" s="90">
        <f t="shared" ref="G39:G46" si="1">SUM(D39*E39*F39)</f>
        <v>898.27199999999993</v>
      </c>
      <c r="H39" s="91">
        <f>SUM(D39*$H$36)</f>
        <v>302016</v>
      </c>
    </row>
    <row r="40" spans="2:10" x14ac:dyDescent="0.25">
      <c r="B40" s="90" t="s">
        <v>211</v>
      </c>
      <c r="C40" s="90"/>
      <c r="D40" s="90">
        <v>3</v>
      </c>
      <c r="E40" s="90">
        <v>2.4</v>
      </c>
      <c r="F40" s="90">
        <v>-5</v>
      </c>
      <c r="G40" s="90">
        <f t="shared" si="1"/>
        <v>-36</v>
      </c>
      <c r="H40" s="91">
        <f>SUM(G40*$I$36)</f>
        <v>-29049.310676498877</v>
      </c>
    </row>
    <row r="41" spans="2:10" x14ac:dyDescent="0.25">
      <c r="B41" s="90" t="s">
        <v>212</v>
      </c>
      <c r="C41" s="90"/>
      <c r="D41" s="90">
        <v>24</v>
      </c>
      <c r="E41" s="90">
        <v>2.4</v>
      </c>
      <c r="F41" s="90">
        <v>15.595000000000001</v>
      </c>
      <c r="G41" s="90">
        <f t="shared" si="1"/>
        <v>898.27199999999993</v>
      </c>
      <c r="H41" s="91">
        <f>SUM(D41*$H$36)</f>
        <v>302016</v>
      </c>
    </row>
    <row r="42" spans="2:10" x14ac:dyDescent="0.25">
      <c r="B42" s="90" t="s">
        <v>213</v>
      </c>
      <c r="C42" s="90"/>
      <c r="D42" s="90">
        <v>24</v>
      </c>
      <c r="E42" s="90">
        <v>2.4</v>
      </c>
      <c r="F42" s="90">
        <v>15.595000000000001</v>
      </c>
      <c r="G42" s="90">
        <f t="shared" si="1"/>
        <v>898.27199999999993</v>
      </c>
      <c r="H42" s="91">
        <f>SUM(D42*$H$36)</f>
        <v>302016</v>
      </c>
    </row>
    <row r="43" spans="2:10" x14ac:dyDescent="0.25">
      <c r="B43" s="90" t="s">
        <v>211</v>
      </c>
      <c r="C43" s="90"/>
      <c r="D43" s="90">
        <v>3</v>
      </c>
      <c r="E43" s="90">
        <v>2.4</v>
      </c>
      <c r="F43" s="90">
        <v>-5</v>
      </c>
      <c r="G43" s="90">
        <f t="shared" si="1"/>
        <v>-36</v>
      </c>
      <c r="H43" s="91">
        <f>SUM(G43*$I$36)</f>
        <v>-29049.310676498877</v>
      </c>
    </row>
    <row r="44" spans="2:10" x14ac:dyDescent="0.25">
      <c r="B44" s="90" t="s">
        <v>214</v>
      </c>
      <c r="C44" s="90"/>
      <c r="D44" s="90">
        <v>24</v>
      </c>
      <c r="E44" s="90">
        <v>2.4</v>
      </c>
      <c r="F44" s="90">
        <v>15.595000000000001</v>
      </c>
      <c r="G44" s="90">
        <f t="shared" si="1"/>
        <v>898.27199999999993</v>
      </c>
      <c r="H44" s="91">
        <f>SUM(D44*$H$36)</f>
        <v>302016</v>
      </c>
    </row>
    <row r="45" spans="2:10" x14ac:dyDescent="0.25">
      <c r="B45" s="90" t="s">
        <v>215</v>
      </c>
      <c r="C45" s="90"/>
      <c r="D45" s="90">
        <v>24</v>
      </c>
      <c r="E45" s="90">
        <v>2.4</v>
      </c>
      <c r="F45" s="90">
        <v>15.595000000000001</v>
      </c>
      <c r="G45" s="90">
        <f t="shared" si="1"/>
        <v>898.27199999999993</v>
      </c>
      <c r="H45" s="91">
        <f>SUM(D45*$H$36)</f>
        <v>302016</v>
      </c>
    </row>
    <row r="46" spans="2:10" x14ac:dyDescent="0.25">
      <c r="B46" s="90" t="s">
        <v>211</v>
      </c>
      <c r="C46" s="90"/>
      <c r="D46" s="90">
        <v>3</v>
      </c>
      <c r="E46" s="90">
        <v>2.4</v>
      </c>
      <c r="F46" s="90">
        <v>-5</v>
      </c>
      <c r="G46" s="90">
        <f t="shared" si="1"/>
        <v>-36</v>
      </c>
      <c r="H46" s="91">
        <f>SUM(G46*$I$36)</f>
        <v>-29049.310676498877</v>
      </c>
    </row>
    <row r="47" spans="2:10" x14ac:dyDescent="0.25">
      <c r="B47" s="90"/>
      <c r="C47" s="90"/>
      <c r="D47" s="90"/>
      <c r="E47" s="90"/>
      <c r="F47" s="90"/>
      <c r="G47" s="90"/>
      <c r="H47" s="92">
        <f>SUM(H39:H46)</f>
        <v>1422932.0679705036</v>
      </c>
    </row>
    <row r="48" spans="2:10" x14ac:dyDescent="0.25">
      <c r="B48" s="80" t="s">
        <v>341</v>
      </c>
    </row>
    <row r="49" spans="2:9" x14ac:dyDescent="0.25">
      <c r="B49" t="s">
        <v>216</v>
      </c>
      <c r="D49">
        <v>6</v>
      </c>
      <c r="E49">
        <v>1.2</v>
      </c>
      <c r="F49">
        <v>5.5049999999999999</v>
      </c>
      <c r="G49" s="87">
        <f>SUM(D49*E49*F49)</f>
        <v>39.635999999999996</v>
      </c>
    </row>
    <row r="54" spans="2:9" x14ac:dyDescent="0.25">
      <c r="B54" s="78" t="s">
        <v>217</v>
      </c>
      <c r="E54" t="s">
        <v>218</v>
      </c>
      <c r="F54" t="s">
        <v>219</v>
      </c>
      <c r="G54" t="s">
        <v>202</v>
      </c>
      <c r="H54" s="79" t="s">
        <v>203</v>
      </c>
    </row>
    <row r="55" spans="2:9" x14ac:dyDescent="0.25">
      <c r="B55" t="s">
        <v>220</v>
      </c>
      <c r="F55">
        <f>SUM(36-9)</f>
        <v>27</v>
      </c>
      <c r="G55">
        <v>0.2</v>
      </c>
      <c r="H55" s="79">
        <f>SUM(F55*G55)</f>
        <v>5.4</v>
      </c>
    </row>
    <row r="56" spans="2:9" x14ac:dyDescent="0.25">
      <c r="B56" t="s">
        <v>221</v>
      </c>
      <c r="F56">
        <f>SUM(36-9)</f>
        <v>27</v>
      </c>
      <c r="G56">
        <v>1.2</v>
      </c>
      <c r="H56" s="79">
        <f>SUM(F56*G56)</f>
        <v>32.4</v>
      </c>
    </row>
    <row r="57" spans="2:9" x14ac:dyDescent="0.25">
      <c r="B57" t="s">
        <v>222</v>
      </c>
      <c r="F57">
        <f>SUM(36-9)</f>
        <v>27</v>
      </c>
      <c r="G57">
        <v>2.2000000000000002</v>
      </c>
      <c r="H57" s="79">
        <f>SUM(F57*G57)</f>
        <v>59.400000000000006</v>
      </c>
    </row>
    <row r="59" spans="2:9" x14ac:dyDescent="0.25">
      <c r="B59" t="s">
        <v>223</v>
      </c>
      <c r="E59">
        <v>2</v>
      </c>
      <c r="H59" s="88">
        <v>1225</v>
      </c>
      <c r="I59" s="93">
        <f>SUM(E59*H59)</f>
        <v>2450</v>
      </c>
    </row>
    <row r="60" spans="2:9" x14ac:dyDescent="0.25">
      <c r="B60" t="s">
        <v>224</v>
      </c>
      <c r="E60">
        <v>2</v>
      </c>
      <c r="H60" s="88">
        <v>1225</v>
      </c>
      <c r="I60" s="93">
        <f t="shared" ref="I60:I62" si="2">SUM(E60*H60)</f>
        <v>2450</v>
      </c>
    </row>
    <row r="61" spans="2:9" x14ac:dyDescent="0.25">
      <c r="B61" t="s">
        <v>225</v>
      </c>
      <c r="E61">
        <v>2</v>
      </c>
      <c r="H61" s="88">
        <v>1820</v>
      </c>
      <c r="I61" s="93">
        <f t="shared" si="2"/>
        <v>3640</v>
      </c>
    </row>
    <row r="62" spans="2:9" x14ac:dyDescent="0.25">
      <c r="B62" t="s">
        <v>226</v>
      </c>
      <c r="E62">
        <v>3</v>
      </c>
      <c r="H62" s="88">
        <v>9725</v>
      </c>
      <c r="I62" s="93">
        <f t="shared" si="2"/>
        <v>29175</v>
      </c>
    </row>
    <row r="65" spans="2:11" x14ac:dyDescent="0.25">
      <c r="E65" t="s">
        <v>227</v>
      </c>
      <c r="F65" t="s">
        <v>174</v>
      </c>
      <c r="G65" t="s">
        <v>206</v>
      </c>
      <c r="H65" t="s">
        <v>228</v>
      </c>
      <c r="I65" t="s">
        <v>229</v>
      </c>
      <c r="J65" s="79" t="s">
        <v>230</v>
      </c>
    </row>
    <row r="66" spans="2:11" x14ac:dyDescent="0.25">
      <c r="B66" s="81" t="s">
        <v>231</v>
      </c>
      <c r="E66" t="s">
        <v>232</v>
      </c>
      <c r="F66">
        <v>5</v>
      </c>
      <c r="J66">
        <v>12584</v>
      </c>
      <c r="K66">
        <f>SUM(F66*J66)</f>
        <v>62920</v>
      </c>
    </row>
    <row r="67" spans="2:11" x14ac:dyDescent="0.25">
      <c r="B67" s="82" t="s">
        <v>233</v>
      </c>
      <c r="E67" t="s">
        <v>234</v>
      </c>
      <c r="F67">
        <v>25</v>
      </c>
      <c r="J67">
        <v>12628</v>
      </c>
      <c r="K67">
        <f t="shared" ref="K67:K83" si="3">SUM(F67*J67)</f>
        <v>315700</v>
      </c>
    </row>
    <row r="68" spans="2:11" x14ac:dyDescent="0.25">
      <c r="B68" s="81" t="s">
        <v>235</v>
      </c>
      <c r="E68" t="s">
        <v>236</v>
      </c>
      <c r="F68">
        <v>5</v>
      </c>
      <c r="J68">
        <v>12628</v>
      </c>
      <c r="K68">
        <f t="shared" si="3"/>
        <v>63140</v>
      </c>
    </row>
    <row r="69" spans="2:11" x14ac:dyDescent="0.25">
      <c r="B69" s="82" t="s">
        <v>237</v>
      </c>
      <c r="E69" t="s">
        <v>238</v>
      </c>
      <c r="F69">
        <v>2</v>
      </c>
      <c r="J69">
        <v>12628</v>
      </c>
      <c r="K69">
        <f t="shared" si="3"/>
        <v>25256</v>
      </c>
    </row>
    <row r="70" spans="2:11" x14ac:dyDescent="0.25">
      <c r="B70" s="81" t="s">
        <v>239</v>
      </c>
      <c r="E70" t="s">
        <v>240</v>
      </c>
      <c r="F70">
        <v>3</v>
      </c>
      <c r="J70">
        <v>12628</v>
      </c>
      <c r="K70">
        <f t="shared" si="3"/>
        <v>37884</v>
      </c>
    </row>
    <row r="71" spans="2:11" x14ac:dyDescent="0.25">
      <c r="B71" s="82" t="s">
        <v>241</v>
      </c>
      <c r="E71" t="s">
        <v>242</v>
      </c>
      <c r="F71">
        <v>20</v>
      </c>
      <c r="J71">
        <v>12628</v>
      </c>
      <c r="K71">
        <f t="shared" si="3"/>
        <v>252560</v>
      </c>
    </row>
    <row r="72" spans="2:11" x14ac:dyDescent="0.25">
      <c r="B72" s="81" t="s">
        <v>243</v>
      </c>
      <c r="E72" t="s">
        <v>244</v>
      </c>
      <c r="F72">
        <v>5</v>
      </c>
      <c r="J72">
        <v>12584</v>
      </c>
      <c r="K72">
        <f t="shared" si="3"/>
        <v>62920</v>
      </c>
    </row>
    <row r="73" spans="2:11" x14ac:dyDescent="0.25">
      <c r="B73" s="82" t="s">
        <v>245</v>
      </c>
      <c r="E73" t="s">
        <v>246</v>
      </c>
      <c r="F73">
        <v>20</v>
      </c>
      <c r="J73">
        <v>12628</v>
      </c>
      <c r="K73">
        <f t="shared" si="3"/>
        <v>252560</v>
      </c>
    </row>
    <row r="74" spans="2:11" x14ac:dyDescent="0.25">
      <c r="B74" s="81" t="s">
        <v>247</v>
      </c>
      <c r="E74" t="s">
        <v>248</v>
      </c>
      <c r="F74">
        <v>5</v>
      </c>
      <c r="J74">
        <v>12584</v>
      </c>
      <c r="K74">
        <f t="shared" si="3"/>
        <v>62920</v>
      </c>
    </row>
    <row r="75" spans="2:11" x14ac:dyDescent="0.25">
      <c r="B75" s="82" t="s">
        <v>249</v>
      </c>
      <c r="E75" t="s">
        <v>250</v>
      </c>
      <c r="F75">
        <v>2</v>
      </c>
      <c r="J75">
        <v>12635</v>
      </c>
      <c r="K75">
        <f t="shared" si="3"/>
        <v>25270</v>
      </c>
    </row>
    <row r="76" spans="2:11" x14ac:dyDescent="0.25">
      <c r="B76" s="81" t="s">
        <v>251</v>
      </c>
      <c r="E76" t="s">
        <v>252</v>
      </c>
      <c r="F76">
        <v>2</v>
      </c>
      <c r="J76">
        <v>12635</v>
      </c>
      <c r="K76">
        <f t="shared" si="3"/>
        <v>25270</v>
      </c>
    </row>
    <row r="77" spans="2:11" x14ac:dyDescent="0.25">
      <c r="B77" s="82" t="s">
        <v>253</v>
      </c>
      <c r="E77" t="s">
        <v>254</v>
      </c>
      <c r="F77">
        <v>2</v>
      </c>
      <c r="J77">
        <v>12500</v>
      </c>
      <c r="K77">
        <f t="shared" si="3"/>
        <v>25000</v>
      </c>
    </row>
    <row r="78" spans="2:11" x14ac:dyDescent="0.25">
      <c r="B78" s="81" t="s">
        <v>255</v>
      </c>
      <c r="E78" t="s">
        <v>256</v>
      </c>
      <c r="F78">
        <v>3</v>
      </c>
      <c r="J78">
        <v>8698</v>
      </c>
      <c r="K78">
        <f t="shared" si="3"/>
        <v>26094</v>
      </c>
    </row>
    <row r="79" spans="2:11" x14ac:dyDescent="0.25">
      <c r="B79" s="82" t="s">
        <v>257</v>
      </c>
      <c r="E79" t="s">
        <v>258</v>
      </c>
      <c r="F79">
        <v>3</v>
      </c>
      <c r="J79">
        <v>8120</v>
      </c>
      <c r="K79">
        <f t="shared" si="3"/>
        <v>24360</v>
      </c>
    </row>
    <row r="80" spans="2:11" x14ac:dyDescent="0.25">
      <c r="B80" s="81" t="s">
        <v>259</v>
      </c>
      <c r="E80" t="s">
        <v>260</v>
      </c>
      <c r="F80">
        <v>3</v>
      </c>
      <c r="J80">
        <v>8562</v>
      </c>
      <c r="K80">
        <f t="shared" si="3"/>
        <v>25686</v>
      </c>
    </row>
    <row r="81" spans="1:11" x14ac:dyDescent="0.25">
      <c r="B81" s="82" t="s">
        <v>261</v>
      </c>
      <c r="E81" t="s">
        <v>262</v>
      </c>
      <c r="F81">
        <v>5</v>
      </c>
      <c r="J81">
        <v>12635</v>
      </c>
      <c r="K81">
        <f t="shared" si="3"/>
        <v>63175</v>
      </c>
    </row>
    <row r="82" spans="1:11" x14ac:dyDescent="0.25">
      <c r="B82" s="81" t="s">
        <v>263</v>
      </c>
      <c r="E82" t="s">
        <v>264</v>
      </c>
      <c r="F82">
        <v>5</v>
      </c>
      <c r="J82">
        <v>11993</v>
      </c>
      <c r="K82">
        <f t="shared" si="3"/>
        <v>59965</v>
      </c>
    </row>
    <row r="83" spans="1:11" x14ac:dyDescent="0.25">
      <c r="B83" s="82" t="s">
        <v>265</v>
      </c>
      <c r="E83" t="s">
        <v>266</v>
      </c>
      <c r="F83">
        <v>5</v>
      </c>
      <c r="J83">
        <v>12501</v>
      </c>
      <c r="K83">
        <f t="shared" si="3"/>
        <v>62505</v>
      </c>
    </row>
    <row r="84" spans="1:11" x14ac:dyDescent="0.25">
      <c r="K84" s="87">
        <f>SUM(K66:K83)</f>
        <v>1473185</v>
      </c>
    </row>
    <row r="91" spans="1:11" x14ac:dyDescent="0.25">
      <c r="B91" s="78" t="s">
        <v>268</v>
      </c>
      <c r="C91" t="s">
        <v>227</v>
      </c>
      <c r="D91" t="s">
        <v>174</v>
      </c>
      <c r="E91" t="s">
        <v>206</v>
      </c>
      <c r="F91" t="s">
        <v>228</v>
      </c>
      <c r="G91" t="s">
        <v>229</v>
      </c>
      <c r="H91" s="79" t="s">
        <v>230</v>
      </c>
      <c r="I91" t="s">
        <v>342</v>
      </c>
    </row>
    <row r="92" spans="1:11" ht="31.5" customHeight="1" x14ac:dyDescent="0.25">
      <c r="A92" t="s">
        <v>269</v>
      </c>
      <c r="B92" s="84" t="s">
        <v>276</v>
      </c>
      <c r="C92" t="s">
        <v>277</v>
      </c>
      <c r="D92">
        <v>6</v>
      </c>
      <c r="E92">
        <v>8.57</v>
      </c>
      <c r="H92" s="79">
        <v>5346</v>
      </c>
      <c r="I92" s="93">
        <f t="shared" ref="I92:I108" si="4">SUM(D92*H92)/1000</f>
        <v>32.076000000000001</v>
      </c>
    </row>
    <row r="93" spans="1:11" ht="36" customHeight="1" x14ac:dyDescent="0.25">
      <c r="A93" t="s">
        <v>269</v>
      </c>
      <c r="B93" s="83" t="s">
        <v>278</v>
      </c>
      <c r="C93" t="s">
        <v>279</v>
      </c>
      <c r="D93">
        <v>1</v>
      </c>
      <c r="E93">
        <v>9.6</v>
      </c>
      <c r="H93" s="79">
        <v>5670</v>
      </c>
      <c r="I93" s="93">
        <f t="shared" si="4"/>
        <v>5.67</v>
      </c>
    </row>
    <row r="94" spans="1:11" ht="39" customHeight="1" x14ac:dyDescent="0.25">
      <c r="A94" t="s">
        <v>269</v>
      </c>
      <c r="B94" s="84" t="s">
        <v>280</v>
      </c>
      <c r="C94" t="s">
        <v>281</v>
      </c>
      <c r="D94">
        <v>1</v>
      </c>
      <c r="E94">
        <v>8.57</v>
      </c>
      <c r="H94" s="79">
        <v>5096</v>
      </c>
      <c r="I94" s="93">
        <f t="shared" si="4"/>
        <v>5.0960000000000001</v>
      </c>
    </row>
    <row r="95" spans="1:11" ht="35.25" customHeight="1" x14ac:dyDescent="0.25">
      <c r="A95" t="s">
        <v>269</v>
      </c>
      <c r="B95" s="83" t="s">
        <v>282</v>
      </c>
      <c r="C95" t="s">
        <v>283</v>
      </c>
      <c r="D95">
        <v>1</v>
      </c>
      <c r="E95">
        <v>7.67</v>
      </c>
      <c r="H95" s="79">
        <v>4830</v>
      </c>
      <c r="I95" s="93">
        <f t="shared" si="4"/>
        <v>4.83</v>
      </c>
    </row>
    <row r="96" spans="1:11" ht="39" customHeight="1" x14ac:dyDescent="0.25">
      <c r="A96" t="s">
        <v>269</v>
      </c>
      <c r="B96" s="84" t="s">
        <v>284</v>
      </c>
      <c r="C96" t="s">
        <v>285</v>
      </c>
      <c r="D96">
        <v>1</v>
      </c>
      <c r="E96">
        <v>8.2590000000000003</v>
      </c>
      <c r="H96" s="79">
        <v>5218</v>
      </c>
      <c r="I96" s="93">
        <f t="shared" si="4"/>
        <v>5.218</v>
      </c>
    </row>
    <row r="97" spans="1:9" ht="29.25" customHeight="1" x14ac:dyDescent="0.25">
      <c r="A97" t="s">
        <v>269</v>
      </c>
      <c r="B97" s="83" t="s">
        <v>270</v>
      </c>
      <c r="C97" t="s">
        <v>271</v>
      </c>
      <c r="D97">
        <v>7</v>
      </c>
      <c r="E97">
        <v>7.17</v>
      </c>
      <c r="H97" s="79">
        <v>4385</v>
      </c>
      <c r="I97" s="93">
        <f>SUM(D97*H97)/1000</f>
        <v>30.695</v>
      </c>
    </row>
    <row r="98" spans="1:9" ht="33" customHeight="1" x14ac:dyDescent="0.25">
      <c r="A98" t="s">
        <v>269</v>
      </c>
      <c r="B98" s="84" t="s">
        <v>272</v>
      </c>
      <c r="C98" t="s">
        <v>273</v>
      </c>
      <c r="D98">
        <v>1</v>
      </c>
      <c r="E98">
        <v>7.17</v>
      </c>
      <c r="H98" s="79">
        <v>4091</v>
      </c>
      <c r="I98" s="93">
        <f>SUM(D98*H98)/1000</f>
        <v>4.0910000000000002</v>
      </c>
    </row>
    <row r="99" spans="1:9" ht="27.75" customHeight="1" x14ac:dyDescent="0.25">
      <c r="A99" t="s">
        <v>269</v>
      </c>
      <c r="B99" s="83" t="s">
        <v>274</v>
      </c>
      <c r="C99" t="s">
        <v>275</v>
      </c>
      <c r="D99">
        <v>1</v>
      </c>
      <c r="E99">
        <v>7.17</v>
      </c>
      <c r="H99" s="79">
        <v>4091</v>
      </c>
      <c r="I99" s="93">
        <f>SUM(D99*H99)/1000</f>
        <v>4.0910000000000002</v>
      </c>
    </row>
    <row r="100" spans="1:9" ht="37.5" customHeight="1" x14ac:dyDescent="0.25">
      <c r="A100" t="s">
        <v>269</v>
      </c>
      <c r="B100" s="83" t="s">
        <v>286</v>
      </c>
      <c r="C100" t="s">
        <v>287</v>
      </c>
      <c r="D100">
        <v>3</v>
      </c>
      <c r="E100">
        <v>7.65</v>
      </c>
      <c r="H100" s="79">
        <v>6125</v>
      </c>
      <c r="I100" s="93">
        <f t="shared" si="4"/>
        <v>18.375</v>
      </c>
    </row>
    <row r="101" spans="1:9" ht="38.25" customHeight="1" x14ac:dyDescent="0.25">
      <c r="A101" t="s">
        <v>269</v>
      </c>
      <c r="B101" s="84" t="s">
        <v>288</v>
      </c>
      <c r="C101" t="s">
        <v>289</v>
      </c>
      <c r="D101">
        <v>2</v>
      </c>
      <c r="E101">
        <v>7.65</v>
      </c>
      <c r="H101" s="79">
        <v>5782</v>
      </c>
      <c r="I101" s="93">
        <f t="shared" si="4"/>
        <v>11.564</v>
      </c>
    </row>
    <row r="102" spans="1:9" ht="30" x14ac:dyDescent="0.25">
      <c r="A102" t="s">
        <v>290</v>
      </c>
      <c r="B102" s="83" t="s">
        <v>291</v>
      </c>
      <c r="C102" t="s">
        <v>292</v>
      </c>
      <c r="D102">
        <v>4</v>
      </c>
      <c r="E102">
        <v>6.9850000000000003</v>
      </c>
      <c r="H102" s="79">
        <v>5660</v>
      </c>
      <c r="I102" s="93">
        <f t="shared" si="4"/>
        <v>22.64</v>
      </c>
    </row>
    <row r="103" spans="1:9" ht="30" x14ac:dyDescent="0.25">
      <c r="A103" t="s">
        <v>290</v>
      </c>
      <c r="B103" s="84" t="s">
        <v>293</v>
      </c>
      <c r="C103" t="s">
        <v>294</v>
      </c>
      <c r="D103">
        <v>1</v>
      </c>
      <c r="E103">
        <v>6.9850000000000003</v>
      </c>
      <c r="H103" s="79">
        <v>5660</v>
      </c>
      <c r="I103" s="93">
        <f t="shared" si="4"/>
        <v>5.66</v>
      </c>
    </row>
    <row r="104" spans="1:9" ht="30" x14ac:dyDescent="0.25">
      <c r="A104" t="s">
        <v>290</v>
      </c>
      <c r="B104" s="83" t="s">
        <v>295</v>
      </c>
      <c r="C104" t="s">
        <v>296</v>
      </c>
      <c r="D104">
        <v>8</v>
      </c>
      <c r="E104">
        <v>6.915</v>
      </c>
      <c r="H104" s="79">
        <v>4607</v>
      </c>
      <c r="I104" s="93">
        <f t="shared" si="4"/>
        <v>36.856000000000002</v>
      </c>
    </row>
    <row r="105" spans="1:9" ht="30" x14ac:dyDescent="0.25">
      <c r="A105" t="s">
        <v>290</v>
      </c>
      <c r="B105" s="84" t="s">
        <v>297</v>
      </c>
      <c r="C105" t="s">
        <v>298</v>
      </c>
      <c r="D105">
        <v>37</v>
      </c>
      <c r="E105">
        <v>6.77</v>
      </c>
      <c r="H105" s="79">
        <v>4514</v>
      </c>
      <c r="I105" s="93">
        <f t="shared" si="4"/>
        <v>167.018</v>
      </c>
    </row>
    <row r="106" spans="1:9" ht="30" x14ac:dyDescent="0.25">
      <c r="A106" t="s">
        <v>290</v>
      </c>
      <c r="B106" s="83" t="s">
        <v>299</v>
      </c>
      <c r="C106" t="s">
        <v>300</v>
      </c>
      <c r="D106">
        <v>12</v>
      </c>
      <c r="E106">
        <v>6.67</v>
      </c>
      <c r="H106" s="79">
        <v>4444</v>
      </c>
      <c r="I106" s="93">
        <f t="shared" si="4"/>
        <v>53.328000000000003</v>
      </c>
    </row>
    <row r="107" spans="1:9" ht="30" x14ac:dyDescent="0.25">
      <c r="A107" t="s">
        <v>290</v>
      </c>
      <c r="B107" s="84" t="s">
        <v>301</v>
      </c>
      <c r="C107" t="s">
        <v>302</v>
      </c>
      <c r="D107">
        <v>2</v>
      </c>
      <c r="E107">
        <v>6.915</v>
      </c>
      <c r="H107" s="79">
        <v>4607</v>
      </c>
      <c r="I107" s="93">
        <f t="shared" si="4"/>
        <v>9.2140000000000004</v>
      </c>
    </row>
    <row r="108" spans="1:9" ht="30" x14ac:dyDescent="0.25">
      <c r="A108" t="s">
        <v>290</v>
      </c>
      <c r="B108" s="83" t="s">
        <v>303</v>
      </c>
      <c r="C108" t="s">
        <v>304</v>
      </c>
      <c r="D108">
        <v>3</v>
      </c>
      <c r="E108">
        <v>6.67</v>
      </c>
      <c r="H108" s="79">
        <v>4444</v>
      </c>
      <c r="I108" s="93">
        <f t="shared" si="4"/>
        <v>13.332000000000001</v>
      </c>
    </row>
    <row r="109" spans="1:9" x14ac:dyDescent="0.25">
      <c r="B109" s="85"/>
      <c r="I109" s="94">
        <f>SUM(I92:I108)</f>
        <v>429.75399999999996</v>
      </c>
    </row>
    <row r="111" spans="1:9" x14ac:dyDescent="0.25">
      <c r="B111" s="78" t="s">
        <v>305</v>
      </c>
      <c r="G111" t="s">
        <v>218</v>
      </c>
      <c r="H111" s="79" t="s">
        <v>230</v>
      </c>
      <c r="I111" t="s">
        <v>342</v>
      </c>
    </row>
    <row r="112" spans="1:9" x14ac:dyDescent="0.25">
      <c r="B112" t="s">
        <v>306</v>
      </c>
      <c r="G112">
        <v>1</v>
      </c>
      <c r="H112" s="79">
        <v>13339</v>
      </c>
      <c r="I112" s="93">
        <f>SUM(G112*H112)/1000</f>
        <v>13.339</v>
      </c>
    </row>
    <row r="113" spans="2:9" x14ac:dyDescent="0.25">
      <c r="B113" t="s">
        <v>307</v>
      </c>
      <c r="G113">
        <v>3</v>
      </c>
      <c r="H113" s="79">
        <v>9500</v>
      </c>
      <c r="I113" s="93">
        <f t="shared" ref="I113:I128" si="5">SUM(G113*H113)/1000</f>
        <v>28.5</v>
      </c>
    </row>
    <row r="114" spans="2:9" x14ac:dyDescent="0.25">
      <c r="B114" t="s">
        <v>308</v>
      </c>
      <c r="G114">
        <v>1</v>
      </c>
      <c r="H114" s="79">
        <v>8450</v>
      </c>
      <c r="I114" s="93">
        <f t="shared" si="5"/>
        <v>8.4499999999999993</v>
      </c>
    </row>
    <row r="115" spans="2:9" x14ac:dyDescent="0.25">
      <c r="B115" t="s">
        <v>309</v>
      </c>
      <c r="G115">
        <v>1</v>
      </c>
      <c r="H115" s="79">
        <v>3282</v>
      </c>
      <c r="I115" s="93">
        <f t="shared" si="5"/>
        <v>3.282</v>
      </c>
    </row>
    <row r="116" spans="2:9" x14ac:dyDescent="0.25">
      <c r="B116" t="s">
        <v>310</v>
      </c>
      <c r="G116">
        <v>2</v>
      </c>
      <c r="H116" s="79">
        <v>10891</v>
      </c>
      <c r="I116" s="93">
        <f t="shared" si="5"/>
        <v>21.782</v>
      </c>
    </row>
    <row r="117" spans="2:9" x14ac:dyDescent="0.25">
      <c r="B117" t="s">
        <v>311</v>
      </c>
      <c r="G117">
        <v>1</v>
      </c>
      <c r="H117" s="79">
        <v>7620</v>
      </c>
      <c r="I117" s="93">
        <f t="shared" si="5"/>
        <v>7.62</v>
      </c>
    </row>
    <row r="118" spans="2:9" x14ac:dyDescent="0.25">
      <c r="B118" t="s">
        <v>312</v>
      </c>
      <c r="G118">
        <v>3</v>
      </c>
      <c r="H118" s="79">
        <v>8380</v>
      </c>
      <c r="I118" s="93">
        <f t="shared" si="5"/>
        <v>25.14</v>
      </c>
    </row>
    <row r="119" spans="2:9" x14ac:dyDescent="0.25">
      <c r="B119" t="s">
        <v>313</v>
      </c>
      <c r="G119">
        <v>3</v>
      </c>
      <c r="H119" s="79">
        <v>9230</v>
      </c>
      <c r="I119" s="93">
        <f t="shared" si="5"/>
        <v>27.69</v>
      </c>
    </row>
    <row r="120" spans="2:9" x14ac:dyDescent="0.25">
      <c r="B120" t="s">
        <v>314</v>
      </c>
      <c r="G120">
        <v>3</v>
      </c>
      <c r="H120" s="79">
        <v>4790</v>
      </c>
      <c r="I120" s="93">
        <f t="shared" si="5"/>
        <v>14.37</v>
      </c>
    </row>
    <row r="121" spans="2:9" x14ac:dyDescent="0.25">
      <c r="B121" t="s">
        <v>315</v>
      </c>
      <c r="G121">
        <v>2</v>
      </c>
      <c r="H121" s="79">
        <v>6360</v>
      </c>
      <c r="I121" s="93">
        <f t="shared" si="5"/>
        <v>12.72</v>
      </c>
    </row>
    <row r="122" spans="2:9" x14ac:dyDescent="0.25">
      <c r="B122" t="s">
        <v>316</v>
      </c>
      <c r="G122">
        <v>3</v>
      </c>
      <c r="H122" s="79">
        <v>5050</v>
      </c>
      <c r="I122" s="93">
        <f t="shared" si="5"/>
        <v>15.15</v>
      </c>
    </row>
    <row r="123" spans="2:9" x14ac:dyDescent="0.25">
      <c r="B123" t="s">
        <v>317</v>
      </c>
      <c r="G123">
        <v>1</v>
      </c>
      <c r="H123" s="79">
        <v>7440</v>
      </c>
      <c r="I123" s="93">
        <f t="shared" si="5"/>
        <v>7.44</v>
      </c>
    </row>
    <row r="124" spans="2:9" x14ac:dyDescent="0.25">
      <c r="B124" t="s">
        <v>318</v>
      </c>
      <c r="G124">
        <v>1</v>
      </c>
      <c r="H124" s="79">
        <v>6201</v>
      </c>
      <c r="I124" s="93">
        <f t="shared" si="5"/>
        <v>6.2009999999999996</v>
      </c>
    </row>
    <row r="125" spans="2:9" x14ac:dyDescent="0.25">
      <c r="B125" t="s">
        <v>319</v>
      </c>
      <c r="G125">
        <v>1</v>
      </c>
      <c r="H125" s="79">
        <v>4615</v>
      </c>
      <c r="I125" s="93">
        <f t="shared" si="5"/>
        <v>4.6150000000000002</v>
      </c>
    </row>
    <row r="126" spans="2:9" x14ac:dyDescent="0.25">
      <c r="B126" t="s">
        <v>320</v>
      </c>
      <c r="G126">
        <v>1</v>
      </c>
      <c r="H126" s="79">
        <v>4315</v>
      </c>
      <c r="I126" s="93">
        <f t="shared" si="5"/>
        <v>4.3150000000000004</v>
      </c>
    </row>
    <row r="127" spans="2:9" x14ac:dyDescent="0.25">
      <c r="B127" t="s">
        <v>321</v>
      </c>
      <c r="G127">
        <v>1</v>
      </c>
      <c r="H127" s="79">
        <v>3482</v>
      </c>
      <c r="I127" s="93">
        <f t="shared" si="5"/>
        <v>3.4820000000000002</v>
      </c>
    </row>
    <row r="128" spans="2:9" x14ac:dyDescent="0.25">
      <c r="B128" t="s">
        <v>322</v>
      </c>
      <c r="G128">
        <v>1</v>
      </c>
      <c r="H128" s="79">
        <v>9425</v>
      </c>
      <c r="I128" s="93">
        <f t="shared" si="5"/>
        <v>9.4250000000000007</v>
      </c>
    </row>
    <row r="129" spans="2:10" x14ac:dyDescent="0.25">
      <c r="B129" s="86" t="s">
        <v>307</v>
      </c>
      <c r="C129" s="86"/>
      <c r="D129" s="86"/>
      <c r="E129" s="86"/>
      <c r="F129" s="86"/>
    </row>
    <row r="130" spans="2:10" x14ac:dyDescent="0.25">
      <c r="B130" s="86" t="s">
        <v>323</v>
      </c>
    </row>
    <row r="131" spans="2:10" x14ac:dyDescent="0.25">
      <c r="B131" s="86" t="s">
        <v>324</v>
      </c>
      <c r="C131" s="86"/>
      <c r="D131" s="86"/>
      <c r="E131" s="86"/>
    </row>
    <row r="132" spans="2:10" x14ac:dyDescent="0.25">
      <c r="B132" s="86" t="s">
        <v>313</v>
      </c>
    </row>
    <row r="133" spans="2:10" x14ac:dyDescent="0.25">
      <c r="B133" s="86" t="s">
        <v>314</v>
      </c>
    </row>
    <row r="134" spans="2:10" x14ac:dyDescent="0.25">
      <c r="B134" s="86" t="s">
        <v>325</v>
      </c>
    </row>
    <row r="135" spans="2:10" x14ac:dyDescent="0.25">
      <c r="I135" s="94">
        <f>SUM(I112:I134)</f>
        <v>213.52100000000002</v>
      </c>
    </row>
    <row r="140" spans="2:10" x14ac:dyDescent="0.25">
      <c r="B140" s="87" t="s">
        <v>426</v>
      </c>
      <c r="E140" t="s">
        <v>450</v>
      </c>
      <c r="F140" t="s">
        <v>451</v>
      </c>
      <c r="G140" t="s">
        <v>452</v>
      </c>
      <c r="H140" s="79" t="s">
        <v>453</v>
      </c>
      <c r="I140" t="s">
        <v>454</v>
      </c>
    </row>
    <row r="141" spans="2:10" x14ac:dyDescent="0.25">
      <c r="B141" t="s">
        <v>427</v>
      </c>
      <c r="E141">
        <f>SUM((8*7.2)*(6.2))-(7.2*2.8)</f>
        <v>336.96</v>
      </c>
      <c r="F141">
        <f>SUM(5*8.2)+(5*6.2)+(11*2.8)</f>
        <v>102.8</v>
      </c>
      <c r="G141">
        <f>SUM(7.2*8.2)</f>
        <v>59.04</v>
      </c>
      <c r="H141" s="79">
        <f>SUM(5*6.2)</f>
        <v>31</v>
      </c>
      <c r="I141">
        <f>SUM(E141:H141)</f>
        <v>529.79999999999995</v>
      </c>
      <c r="J141" t="s">
        <v>46</v>
      </c>
    </row>
    <row r="142" spans="2:10" x14ac:dyDescent="0.25">
      <c r="B142" t="s">
        <v>456</v>
      </c>
      <c r="E142">
        <f>SUM(((7.2*8)*(2))+(8*10))*0.9-E143</f>
        <v>125.28</v>
      </c>
      <c r="F142">
        <f>SUM(15)+(3.75*2)+(2.8*11)*0.9-F143</f>
        <v>19.8</v>
      </c>
      <c r="G142">
        <f>SUM(7.2*3)*0.9</f>
        <v>19.440000000000001</v>
      </c>
      <c r="H142">
        <f>SUM((3.75*2)*0.9)</f>
        <v>6.75</v>
      </c>
      <c r="I142">
        <f>SUM(E142:H142)</f>
        <v>171.27</v>
      </c>
      <c r="J142" t="s">
        <v>46</v>
      </c>
    </row>
    <row r="143" spans="2:10" x14ac:dyDescent="0.25">
      <c r="B143" t="s">
        <v>457</v>
      </c>
      <c r="E143">
        <f>SUM(7.2*7*1)</f>
        <v>50.4</v>
      </c>
      <c r="F143">
        <f>SUM(2.8*11+3)*0.9</f>
        <v>30.419999999999998</v>
      </c>
      <c r="I143">
        <f>SUM(E143:H143)</f>
        <v>80.819999999999993</v>
      </c>
      <c r="J143" t="s">
        <v>46</v>
      </c>
    </row>
    <row r="144" spans="2:10" x14ac:dyDescent="0.25">
      <c r="B144" t="s">
        <v>428</v>
      </c>
      <c r="E144">
        <v>1</v>
      </c>
      <c r="F144">
        <v>2</v>
      </c>
      <c r="I144">
        <f>SUM(E144:H144)</f>
        <v>3</v>
      </c>
      <c r="J144" t="s">
        <v>70</v>
      </c>
    </row>
    <row r="145" spans="2:10" x14ac:dyDescent="0.25">
      <c r="B145" t="s">
        <v>429</v>
      </c>
      <c r="E145">
        <v>5</v>
      </c>
      <c r="F145">
        <v>2</v>
      </c>
      <c r="I145">
        <f t="shared" ref="I145:I147" si="6">SUM(E145:H145)</f>
        <v>7</v>
      </c>
      <c r="J145" t="s">
        <v>70</v>
      </c>
    </row>
    <row r="146" spans="2:10" x14ac:dyDescent="0.25">
      <c r="B146" t="s">
        <v>430</v>
      </c>
      <c r="F146">
        <f>SUM(5*6.2)+(5*3.1)</f>
        <v>46.5</v>
      </c>
      <c r="H146">
        <f>F146</f>
        <v>46.5</v>
      </c>
      <c r="I146">
        <f t="shared" si="6"/>
        <v>93</v>
      </c>
      <c r="J146" t="s">
        <v>52</v>
      </c>
    </row>
    <row r="147" spans="2:10" x14ac:dyDescent="0.25">
      <c r="B147" t="s">
        <v>431</v>
      </c>
      <c r="G147">
        <f>SUM(14*6.2)</f>
        <v>86.8</v>
      </c>
      <c r="I147">
        <f t="shared" si="6"/>
        <v>86.8</v>
      </c>
      <c r="J147" t="s">
        <v>52</v>
      </c>
    </row>
    <row r="148" spans="2:10" x14ac:dyDescent="0.25">
      <c r="B148" t="s">
        <v>432</v>
      </c>
      <c r="E148">
        <f>SUM(7.2*8)*3</f>
        <v>172.8</v>
      </c>
      <c r="F148">
        <f>SUM(35*3)</f>
        <v>105</v>
      </c>
      <c r="G148">
        <f>SUM(7.2*8)*3</f>
        <v>172.8</v>
      </c>
      <c r="H148" s="79">
        <f>F148</f>
        <v>105</v>
      </c>
      <c r="I148">
        <f t="shared" ref="I148:I152" si="7">SUM(E148:H148)</f>
        <v>555.6</v>
      </c>
      <c r="J148" t="s">
        <v>52</v>
      </c>
    </row>
    <row r="149" spans="2:10" x14ac:dyDescent="0.25">
      <c r="B149" t="s">
        <v>434</v>
      </c>
      <c r="F149">
        <v>22</v>
      </c>
      <c r="G149">
        <f>SUM(7.2*8)</f>
        <v>57.6</v>
      </c>
      <c r="H149" s="79">
        <f>F149</f>
        <v>22</v>
      </c>
      <c r="I149">
        <f t="shared" si="7"/>
        <v>101.6</v>
      </c>
      <c r="J149" t="s">
        <v>52</v>
      </c>
    </row>
    <row r="150" spans="2:10" x14ac:dyDescent="0.25">
      <c r="B150" t="s">
        <v>435</v>
      </c>
      <c r="F150">
        <v>11</v>
      </c>
      <c r="G150">
        <f t="shared" ref="G150:G152" si="8">SUM(7.2*8)</f>
        <v>57.6</v>
      </c>
      <c r="H150" s="79">
        <f t="shared" ref="H150:H152" si="9">F150</f>
        <v>11</v>
      </c>
      <c r="I150">
        <f t="shared" si="7"/>
        <v>79.599999999999994</v>
      </c>
      <c r="J150" t="s">
        <v>52</v>
      </c>
    </row>
    <row r="151" spans="2:10" x14ac:dyDescent="0.25">
      <c r="B151" t="s">
        <v>448</v>
      </c>
      <c r="F151">
        <v>22</v>
      </c>
      <c r="G151">
        <f t="shared" si="8"/>
        <v>57.6</v>
      </c>
      <c r="H151" s="79">
        <f t="shared" si="9"/>
        <v>22</v>
      </c>
      <c r="I151">
        <f t="shared" si="7"/>
        <v>101.6</v>
      </c>
      <c r="J151" t="s">
        <v>52</v>
      </c>
    </row>
    <row r="152" spans="2:10" x14ac:dyDescent="0.25">
      <c r="B152" t="s">
        <v>449</v>
      </c>
      <c r="F152">
        <v>22</v>
      </c>
      <c r="G152">
        <f t="shared" si="8"/>
        <v>57.6</v>
      </c>
      <c r="H152" s="79">
        <f t="shared" si="9"/>
        <v>22</v>
      </c>
      <c r="I152">
        <f t="shared" si="7"/>
        <v>101.6</v>
      </c>
      <c r="J152" t="s">
        <v>52</v>
      </c>
    </row>
    <row r="153" spans="2:10" x14ac:dyDescent="0.25">
      <c r="B153" t="s">
        <v>442</v>
      </c>
      <c r="H153" s="79">
        <f>SUM(H149:H152)</f>
        <v>77</v>
      </c>
      <c r="I153">
        <f t="shared" ref="I153" si="10">SUM(E153:H153)</f>
        <v>77</v>
      </c>
      <c r="J153" t="s">
        <v>52</v>
      </c>
    </row>
    <row r="155" spans="2:10" x14ac:dyDescent="0.25">
      <c r="B155" t="s">
        <v>433</v>
      </c>
      <c r="I155">
        <f>SUM(7.2*8)*2</f>
        <v>115.2</v>
      </c>
      <c r="J155" t="s">
        <v>52</v>
      </c>
    </row>
    <row r="156" spans="2:10" x14ac:dyDescent="0.25">
      <c r="B156" t="s">
        <v>443</v>
      </c>
      <c r="I156">
        <v>13</v>
      </c>
      <c r="J156" t="s">
        <v>70</v>
      </c>
    </row>
    <row r="157" spans="2:10" x14ac:dyDescent="0.25">
      <c r="B157" t="s">
        <v>446</v>
      </c>
      <c r="I157">
        <f>SUM(5.5+5.5+7.5+7.5)*1.3</f>
        <v>33.800000000000004</v>
      </c>
      <c r="J157" t="s">
        <v>46</v>
      </c>
    </row>
    <row r="158" spans="2:10" x14ac:dyDescent="0.25">
      <c r="B158" t="s">
        <v>458</v>
      </c>
      <c r="I158">
        <f>SUM(7.2*4)*1.4</f>
        <v>40.32</v>
      </c>
      <c r="J158" t="s">
        <v>46</v>
      </c>
    </row>
    <row r="161" spans="2:10" x14ac:dyDescent="0.25">
      <c r="B161" s="87" t="s">
        <v>113</v>
      </c>
    </row>
    <row r="162" spans="2:10" x14ac:dyDescent="0.25">
      <c r="B162" t="s">
        <v>326</v>
      </c>
    </row>
    <row r="163" spans="2:10" x14ac:dyDescent="0.25">
      <c r="B163" t="s">
        <v>440</v>
      </c>
    </row>
    <row r="164" spans="2:10" x14ac:dyDescent="0.25">
      <c r="B164" t="s">
        <v>441</v>
      </c>
    </row>
    <row r="166" spans="2:10" x14ac:dyDescent="0.25">
      <c r="B166" s="87" t="s">
        <v>436</v>
      </c>
    </row>
    <row r="167" spans="2:10" x14ac:dyDescent="0.25">
      <c r="B167" t="s">
        <v>437</v>
      </c>
      <c r="I167">
        <v>22</v>
      </c>
      <c r="J167" t="s">
        <v>70</v>
      </c>
    </row>
    <row r="168" spans="2:10" x14ac:dyDescent="0.25">
      <c r="B168" t="s">
        <v>438</v>
      </c>
      <c r="I168">
        <v>12</v>
      </c>
      <c r="J168" t="s">
        <v>70</v>
      </c>
    </row>
    <row r="169" spans="2:10" x14ac:dyDescent="0.25">
      <c r="B169" t="s">
        <v>439</v>
      </c>
      <c r="I169">
        <v>1</v>
      </c>
      <c r="J169" t="s">
        <v>70</v>
      </c>
    </row>
    <row r="170" spans="2:10" x14ac:dyDescent="0.25">
      <c r="B170" t="s">
        <v>462</v>
      </c>
      <c r="H170" s="95"/>
      <c r="I170">
        <f>SUM(4+4+1+4+3)*1.2</f>
        <v>19.2</v>
      </c>
      <c r="J170" t="s">
        <v>46</v>
      </c>
    </row>
    <row r="171" spans="2:10" x14ac:dyDescent="0.25">
      <c r="C171">
        <v>0</v>
      </c>
      <c r="D171">
        <v>1</v>
      </c>
      <c r="E171">
        <v>2</v>
      </c>
      <c r="F171">
        <v>3</v>
      </c>
      <c r="G171">
        <v>4</v>
      </c>
      <c r="H171" s="95">
        <v>5</v>
      </c>
    </row>
    <row r="172" spans="2:10" x14ac:dyDescent="0.25">
      <c r="B172" t="s">
        <v>444</v>
      </c>
      <c r="C172">
        <v>34</v>
      </c>
      <c r="D172">
        <v>84</v>
      </c>
      <c r="E172">
        <f>SUM(48+34)</f>
        <v>82</v>
      </c>
      <c r="F172">
        <f>E172</f>
        <v>82</v>
      </c>
      <c r="G172">
        <f>F172</f>
        <v>82</v>
      </c>
      <c r="H172" s="95">
        <f>G172</f>
        <v>82</v>
      </c>
      <c r="I172">
        <f>SUM(C172:H172)</f>
        <v>446</v>
      </c>
      <c r="J172" t="s">
        <v>70</v>
      </c>
    </row>
    <row r="175" spans="2:10" x14ac:dyDescent="0.25">
      <c r="B175" t="s">
        <v>447</v>
      </c>
      <c r="C175">
        <v>2</v>
      </c>
      <c r="D175" t="s">
        <v>70</v>
      </c>
    </row>
    <row r="176" spans="2:10" x14ac:dyDescent="0.25">
      <c r="B176" t="s">
        <v>455</v>
      </c>
    </row>
  </sheetData>
  <phoneticPr fontId="6" type="noConversion"/>
  <pageMargins left="0.7" right="0.7" top="0.75" bottom="0.75" header="0.3" footer="0.3"/>
  <pageSetup paperSize="9" orientation="portrait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5A161CA762C842A3DAA9E2E53D263C" ma:contentTypeVersion="8" ma:contentTypeDescription="Een nieuw document maken." ma:contentTypeScope="" ma:versionID="1554d671f9e4b8970190d4240d3bed5a">
  <xsd:schema xmlns:xsd="http://www.w3.org/2001/XMLSchema" xmlns:xs="http://www.w3.org/2001/XMLSchema" xmlns:p="http://schemas.microsoft.com/office/2006/metadata/properties" xmlns:ns2="348627a5-358d-4d18-bea9-6d9f4871d8fd" targetNamespace="http://schemas.microsoft.com/office/2006/metadata/properties" ma:root="true" ma:fieldsID="3149108d3f9148b5360000627179b721" ns2:_="">
    <xsd:import namespace="348627a5-358d-4d18-bea9-6d9f4871d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627a5-358d-4d18-bea9-6d9f4871d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91EC0-0AC9-4345-B338-AD4FBBFBFA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942462-93AC-4D82-B2D2-E742D9757A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D65047-F906-4D4E-B4B0-E39B95EAD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8627a5-358d-4d18-bea9-6d9f4871d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Stoffen inventarisatie</vt:lpstr>
      <vt:lpstr>Uittrekstaat</vt:lpstr>
      <vt:lpstr>'Stoffen inventarisatie'!Afdrukbereik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Bram Kroon</dc:creator>
  <cp:keywords/>
  <dc:description/>
  <cp:lastModifiedBy>Bram Kroon</cp:lastModifiedBy>
  <cp:revision/>
  <cp:lastPrinted>2023-11-21T11:55:04Z</cp:lastPrinted>
  <dcterms:created xsi:type="dcterms:W3CDTF">2021-04-14T13:54:03Z</dcterms:created>
  <dcterms:modified xsi:type="dcterms:W3CDTF">2024-01-22T12:19:48Z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0x010100545A161CA762C842A3DAA9E2E53D263C</vt:lpwstr>
  </property>
</Properties>
</file>