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lusv-my.sharepoint.com/personal/c_gribbroek_kplusv_nl/Documents/Regio de Vallei/NvI2/te publiceren/"/>
    </mc:Choice>
  </mc:AlternateContent>
  <xr:revisionPtr revIDLastSave="0" documentId="8_{C987325E-E073-406F-BBD5-7F3929A6A190}" xr6:coauthVersionLast="47" xr6:coauthVersionMax="47" xr10:uidLastSave="{00000000-0000-0000-0000-000000000000}"/>
  <workbookProtection workbookAlgorithmName="SHA-512" workbookHashValue="G24MghjrYqj6XmxhnJg5nA8dN9BJtnm8WOsfZ3Se5GWQA/GxhVQlymNHgEZcGyuaXLIFvsQHCV5L0QzrgqEDqQ==" workbookSaltValue="8/Q7pYgEeq7npj/KQEVTxg==" workbookSpinCount="100000" lockStructure="1"/>
  <bookViews>
    <workbookView xWindow="-110" yWindow="-110" windowWidth="19420" windowHeight="10300" xr2:uid="{540D9F80-83B1-4532-BB7E-D9C2A5F9AADA}"/>
  </bookViews>
  <sheets>
    <sheet name="fijn huishoudelijk restafval" sheetId="1" r:id="rId1"/>
    <sheet name="grof huishoudelijk restafva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H39" i="1"/>
  <c r="D39" i="1"/>
  <c r="H41" i="1" l="1"/>
  <c r="D21" i="1"/>
  <c r="E58" i="1" s="1"/>
  <c r="D35" i="5"/>
  <c r="D55" i="5"/>
  <c r="E55" i="5" s="1"/>
  <c r="D54" i="5"/>
  <c r="E54" i="5" s="1"/>
  <c r="D53" i="5"/>
  <c r="E53" i="5" s="1"/>
  <c r="D52" i="5"/>
  <c r="E52" i="5" s="1"/>
  <c r="D48" i="5"/>
  <c r="E48" i="5" s="1"/>
  <c r="D47" i="5"/>
  <c r="E47" i="5" s="1"/>
  <c r="C46" i="5"/>
  <c r="E46" i="5" s="1"/>
  <c r="C45" i="5"/>
  <c r="E45" i="5" s="1"/>
  <c r="C44" i="5"/>
  <c r="E44" i="5" s="1"/>
  <c r="D36" i="5"/>
  <c r="E36" i="5" s="1"/>
  <c r="C35" i="5"/>
  <c r="C34" i="5"/>
  <c r="E34" i="5" s="1"/>
  <c r="C29" i="5"/>
  <c r="D49" i="5" s="1"/>
  <c r="E49" i="5" s="1"/>
  <c r="I58" i="1"/>
  <c r="I33" i="1"/>
  <c r="I54" i="1" s="1"/>
  <c r="I32" i="1"/>
  <c r="I53" i="1" s="1"/>
  <c r="I31" i="1"/>
  <c r="I52" i="1" s="1"/>
  <c r="F32" i="1"/>
  <c r="E32" i="1" s="1"/>
  <c r="E53" i="1" s="1"/>
  <c r="F33" i="1"/>
  <c r="E33" i="1" s="1"/>
  <c r="E54" i="1" s="1"/>
  <c r="F31" i="1"/>
  <c r="E31" i="1" s="1"/>
  <c r="E52" i="1" s="1"/>
  <c r="I59" i="1"/>
  <c r="I60" i="1"/>
  <c r="I61" i="1"/>
  <c r="I55" i="1"/>
  <c r="H55" i="1"/>
  <c r="H54" i="1"/>
  <c r="H53" i="1"/>
  <c r="H52" i="1"/>
  <c r="D54" i="1"/>
  <c r="D53" i="1"/>
  <c r="D52" i="1"/>
  <c r="H44" i="1"/>
  <c r="D44" i="1"/>
  <c r="D43" i="1"/>
  <c r="D42" i="1"/>
  <c r="D40" i="1"/>
  <c r="E50" i="5" l="1"/>
  <c r="E39" i="1"/>
  <c r="E56" i="5"/>
  <c r="E35" i="5"/>
  <c r="E37" i="5" s="1"/>
  <c r="C40" i="5" s="1"/>
  <c r="C62" i="5" s="1"/>
  <c r="J53" i="1"/>
  <c r="J54" i="1"/>
  <c r="F53" i="1"/>
  <c r="F54" i="1"/>
  <c r="J52" i="1"/>
  <c r="H36" i="1"/>
  <c r="I43" i="1"/>
  <c r="I42" i="1"/>
  <c r="I41" i="1"/>
  <c r="I40" i="1"/>
  <c r="I39" i="1"/>
  <c r="I38" i="1"/>
  <c r="I44" i="1" s="1"/>
  <c r="H43" i="1"/>
  <c r="H42" i="1"/>
  <c r="H40" i="1"/>
  <c r="J60" i="1"/>
  <c r="J59" i="1"/>
  <c r="J58" i="1"/>
  <c r="J55" i="1"/>
  <c r="H38" i="1"/>
  <c r="C58" i="5" l="1"/>
  <c r="C63" i="5" s="1"/>
  <c r="C64" i="5" s="1"/>
  <c r="J44" i="1"/>
  <c r="J39" i="1"/>
  <c r="J40" i="1"/>
  <c r="J56" i="1"/>
  <c r="J38" i="1"/>
  <c r="J41" i="1"/>
  <c r="J42" i="1"/>
  <c r="J43" i="1"/>
  <c r="E38" i="1"/>
  <c r="E55" i="1"/>
  <c r="E59" i="1"/>
  <c r="E60" i="1"/>
  <c r="E61" i="1"/>
  <c r="J61" i="1"/>
  <c r="J62" i="1" s="1"/>
  <c r="E41" i="1" l="1"/>
  <c r="F41" i="1" s="1"/>
  <c r="E44" i="1"/>
  <c r="F44" i="1" s="1"/>
  <c r="E40" i="1"/>
  <c r="F40" i="1" s="1"/>
  <c r="E43" i="1"/>
  <c r="F43" i="1" s="1"/>
  <c r="E42" i="1"/>
  <c r="F42" i="1" s="1"/>
  <c r="H64" i="1"/>
  <c r="J45" i="1"/>
  <c r="H48" i="1" s="1"/>
  <c r="F39" i="1" l="1"/>
  <c r="D38" i="1"/>
  <c r="F38" i="1" s="1"/>
  <c r="F59" i="1"/>
  <c r="F60" i="1"/>
  <c r="F61" i="1"/>
  <c r="F58" i="1"/>
  <c r="F55" i="1"/>
  <c r="F62" i="1" l="1"/>
  <c r="F45" i="1"/>
  <c r="D48" i="1" s="1"/>
  <c r="D68" i="1" s="1"/>
  <c r="F52" i="1"/>
  <c r="F56" i="1" s="1"/>
  <c r="D64" i="1" l="1"/>
  <c r="D69" i="1" s="1"/>
  <c r="D70" i="1" l="1"/>
</calcChain>
</file>

<file path=xl/sharedStrings.xml><?xml version="1.0" encoding="utf-8"?>
<sst xmlns="http://schemas.openxmlformats.org/spreadsheetml/2006/main" count="195" uniqueCount="85">
  <si>
    <t>0. INSCHRIJVER</t>
  </si>
  <si>
    <t>Naam</t>
  </si>
  <si>
    <t>KvK-nummer</t>
  </si>
  <si>
    <t>Hoofdaannemer</t>
  </si>
  <si>
    <t>&lt;naam&gt;</t>
  </si>
  <si>
    <t>&lt;KvK-nummer&gt;</t>
  </si>
  <si>
    <t>Onderaannemer verwerking</t>
  </si>
  <si>
    <t>Indien van toepassing</t>
  </si>
  <si>
    <t>1. BEROEP OP DERDEN</t>
  </si>
  <si>
    <t>Derde op wie Inschrijver beroep doet voor de gevraagde technische bekwaamheid</t>
  </si>
  <si>
    <t>Kerncompetentie 1: verwerking</t>
  </si>
  <si>
    <t>2. EIGENSCHAPPEN LOCATIE(S)</t>
  </si>
  <si>
    <t>Afvalverwerkingsinstallatie</t>
  </si>
  <si>
    <t>Adres</t>
  </si>
  <si>
    <t>&lt;adres&gt;</t>
  </si>
  <si>
    <t>R1-waarde AEC</t>
  </si>
  <si>
    <t>Hoeveelheid (ton)</t>
  </si>
  <si>
    <t>Kosten per jaar</t>
  </si>
  <si>
    <t>Verwerkingstarief per ton, exclusief BTW, afvalstoffenbelasting en CO2-kosten, inclusief overige kosten</t>
  </si>
  <si>
    <t>Fictief R-status bedrag</t>
  </si>
  <si>
    <t>CO2-kosten 2026</t>
  </si>
  <si>
    <t>CO2-kosten 2027</t>
  </si>
  <si>
    <t>Totale beoordelingsbedrag (totaal berekende kosten over 4 jaar)</t>
  </si>
  <si>
    <t>: ________________</t>
  </si>
  <si>
    <t>Firma naam</t>
  </si>
  <si>
    <t>Functie</t>
  </si>
  <si>
    <t>Datum</t>
  </si>
  <si>
    <t>Handtekening</t>
  </si>
  <si>
    <t>CO2-kosten 2025 (CO2-heffing, ETS,…; zie definitie)</t>
  </si>
  <si>
    <t>CO2-kosten 2028</t>
  </si>
  <si>
    <t>CO2 afvang</t>
  </si>
  <si>
    <t>5. BEOORDELINGTARIEF</t>
  </si>
  <si>
    <t>Metaal afscheiding (bodemas)</t>
  </si>
  <si>
    <t>3. DUURZAAMHEID</t>
  </si>
  <si>
    <t>4. KOSTEN</t>
  </si>
  <si>
    <t>CO2 afvang operationeel per</t>
  </si>
  <si>
    <t>N.v.t.</t>
  </si>
  <si>
    <t>Percentage van rookgassen die gewassen worden om CO2 af te vangen</t>
  </si>
  <si>
    <t>Metaal afscheiding uit bodemassen?</t>
  </si>
  <si>
    <t>Ja</t>
  </si>
  <si>
    <t>Nee</t>
  </si>
  <si>
    <t>Fictieve korting per jaar</t>
  </si>
  <si>
    <t>Duurzaamheidswinst per jaar</t>
  </si>
  <si>
    <t>Inschrijfformulier Verwerking fijn huishoudelijk restafval</t>
  </si>
  <si>
    <t>Fictief bedrag CO2-uitstoot</t>
  </si>
  <si>
    <t>Totaal beoordelingsbedrag duurzaamheid (per ton per jaar)</t>
  </si>
  <si>
    <t>Totaal beoordelingsbedrag kosten (per ton per jaar)</t>
  </si>
  <si>
    <t>Integraal beoordelingstarief (per ton per jaar)</t>
  </si>
  <si>
    <t>Inschrijfformulier Verwerking grof huishoudelijk restafval</t>
  </si>
  <si>
    <t>Emissie (per ton restafval)</t>
  </si>
  <si>
    <t>CO2-kosten over 4 jaar</t>
  </si>
  <si>
    <t>Overslag, transport en verwerkingskosten over 4 jaar</t>
  </si>
  <si>
    <t>ONF vergisting</t>
  </si>
  <si>
    <t>Nascheiding kunststof</t>
  </si>
  <si>
    <t>Nascheiding metaal</t>
  </si>
  <si>
    <t>Nascheiding glas</t>
  </si>
  <si>
    <t>Vergisting van organisch natte fractie (ONF) als gevolge van nascheiding?</t>
  </si>
  <si>
    <t>Nascheiding metaal +metaal afscheiding uit bodemas</t>
  </si>
  <si>
    <t>Verdeling tonnages over AEC's</t>
  </si>
  <si>
    <t>Transportafstand vanaf Neonstraat 20, Ede (HRA van Barneveld)</t>
  </si>
  <si>
    <t>Transportafstand vanaf Radonsstraat 24, Ede (HRA van Ede, Scherpenzeel, Wageningen)</t>
  </si>
  <si>
    <t>Transportafstand vanaf Blekkerserf 8, Nijkerk (HRA van Nijkerk)</t>
  </si>
  <si>
    <t>Luier recycling</t>
  </si>
  <si>
    <t>Transporttarief per ton, exclusief BTW, inclusief overige kosten (Barneveld)</t>
  </si>
  <si>
    <t>Transporttarief per ton, exclusief BTW, inclusief overige kosten (Ede, Scherpenzeel, Wageningen)</t>
  </si>
  <si>
    <t>Transporttarief per ton, exclusief BTW, inclusief overige kosten (Nijkerk)</t>
  </si>
  <si>
    <t>Transportafstand</t>
  </si>
  <si>
    <t>Aantal ton</t>
  </si>
  <si>
    <t>Percentage</t>
  </si>
  <si>
    <t>Installatie 1</t>
  </si>
  <si>
    <t>Installatie 2</t>
  </si>
  <si>
    <t>Kerncompetentie: verwerking</t>
  </si>
  <si>
    <t>Transportafstand vanaf Neonstraat 20, Ede (GHA van Barneveld)</t>
  </si>
  <si>
    <t>Transportafstand vanaf Neonstraat 4, Ede (GHA van Ede en Wageningen)</t>
  </si>
  <si>
    <t>Transportafstand vanaf Blekkerserf 4, Nijkerk (GHA van Nijkerk)</t>
  </si>
  <si>
    <t>percentage tonnen voor sortering</t>
  </si>
  <si>
    <t xml:space="preserve">   percentages sortering en verkleining tellen samen op tot 100%</t>
  </si>
  <si>
    <t>percentage tonnen voor verkleining</t>
  </si>
  <si>
    <t>Transporttarief per ton, exclusief BTW, inclusief overige kosten (Ede, Scherpenzeel Wageningen)</t>
  </si>
  <si>
    <t>Opslag sortering GHA per ton</t>
  </si>
  <si>
    <t>opslag verkleining zonder sortering per ton</t>
  </si>
  <si>
    <t>Overslag, transport en verwerkingskosten per jaar</t>
  </si>
  <si>
    <t>CO-kosten over 4 jaar</t>
  </si>
  <si>
    <t>Metaal afscheiding uit bodemas</t>
  </si>
  <si>
    <t>Metaal nascheiding en/of afscheiding uit bodemas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</si>
</sst>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&quot; jaar&quot;"/>
    <numFmt numFmtId="165" formatCode="#,##0\ &quot;kg CO2 per ton restafval&quot;"/>
    <numFmt numFmtId="166" formatCode="_ &quot;€&quot;\ * #,##0_ ;_ &quot;€&quot;\ * \-#,##0_ ;_ &quot;€&quot;\ * &quot;-&quot;??_ ;_ @_ "/>
    <numFmt numFmtId="167" formatCode="General\ &quot;km&quot;"/>
    <numFmt numFmtId="168" formatCode="_ * #,##0_ ;_ * \-#,##0_ ;_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theme="1" tint="0.499984740745262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7">
    <xf numFmtId="0" fontId="0" fillId="0" borderId="0" xfId="0"/>
    <xf numFmtId="164" fontId="4" fillId="2" borderId="0" xfId="0" applyNumberFormat="1" applyFont="1" applyFill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vertical="center" wrapText="1"/>
      <protection locked="0"/>
    </xf>
    <xf numFmtId="164" fontId="6" fillId="2" borderId="0" xfId="0" applyNumberFormat="1" applyFont="1" applyFill="1" applyAlignment="1" applyProtection="1">
      <alignment horizontal="center" vertical="center"/>
      <protection hidden="1"/>
    </xf>
    <xf numFmtId="164" fontId="6" fillId="2" borderId="0" xfId="0" applyNumberFormat="1" applyFont="1" applyFill="1" applyAlignment="1" applyProtection="1">
      <alignment horizontal="center" vertical="center" wrapText="1"/>
      <protection hidden="1"/>
    </xf>
    <xf numFmtId="164" fontId="5" fillId="2" borderId="0" xfId="0" applyNumberFormat="1" applyFont="1" applyFill="1" applyAlignment="1" applyProtection="1">
      <alignment horizontal="left" vertical="center" wrapText="1"/>
      <protection hidden="1"/>
    </xf>
    <xf numFmtId="2" fontId="4" fillId="4" borderId="2" xfId="0" applyNumberFormat="1" applyFont="1" applyFill="1" applyBorder="1" applyAlignment="1" applyProtection="1">
      <alignment vertical="center" wrapText="1"/>
      <protection locked="0"/>
    </xf>
    <xf numFmtId="164" fontId="6" fillId="2" borderId="2" xfId="0" applyNumberFormat="1" applyFont="1" applyFill="1" applyBorder="1" applyAlignment="1" applyProtection="1">
      <alignment horizontal="right" vertical="center" wrapText="1"/>
      <protection hidden="1"/>
    </xf>
    <xf numFmtId="44" fontId="4" fillId="4" borderId="2" xfId="1" applyFont="1" applyFill="1" applyBorder="1" applyAlignment="1" applyProtection="1">
      <alignment vertical="center" wrapText="1"/>
      <protection locked="0"/>
    </xf>
    <xf numFmtId="3" fontId="4" fillId="2" borderId="0" xfId="0" applyNumberFormat="1" applyFont="1" applyFill="1" applyAlignment="1" applyProtection="1">
      <alignment horizontal="right" vertical="center" wrapText="1"/>
      <protection hidden="1"/>
    </xf>
    <xf numFmtId="44" fontId="6" fillId="2" borderId="0" xfId="1" applyFont="1" applyFill="1" applyAlignment="1" applyProtection="1">
      <alignment horizontal="right" vertical="center" wrapText="1"/>
      <protection hidden="1"/>
    </xf>
    <xf numFmtId="44" fontId="6" fillId="2" borderId="0" xfId="1" applyFont="1" applyFill="1" applyAlignment="1" applyProtection="1">
      <alignment horizontal="center" vertical="center" wrapText="1"/>
      <protection hidden="1"/>
    </xf>
    <xf numFmtId="3" fontId="6" fillId="2" borderId="0" xfId="1" applyNumberFormat="1" applyFont="1" applyFill="1" applyAlignment="1" applyProtection="1">
      <alignment horizontal="right" vertical="center" wrapText="1"/>
      <protection hidden="1"/>
    </xf>
    <xf numFmtId="44" fontId="10" fillId="2" borderId="0" xfId="1" applyFont="1" applyFill="1" applyAlignment="1" applyProtection="1">
      <alignment horizontal="right" vertical="center" wrapText="1"/>
      <protection hidden="1"/>
    </xf>
    <xf numFmtId="44" fontId="6" fillId="2" borderId="0" xfId="1" applyFont="1" applyFill="1" applyBorder="1" applyAlignment="1" applyProtection="1">
      <alignment horizontal="right" vertical="center" wrapText="1"/>
      <protection hidden="1"/>
    </xf>
    <xf numFmtId="1" fontId="4" fillId="2" borderId="0" xfId="0" applyNumberFormat="1" applyFont="1" applyFill="1" applyAlignment="1" applyProtection="1">
      <alignment horizontal="center" vertical="center" wrapText="1"/>
      <protection hidden="1"/>
    </xf>
    <xf numFmtId="164" fontId="8" fillId="3" borderId="0" xfId="0" applyNumberFormat="1" applyFont="1" applyFill="1" applyAlignment="1" applyProtection="1">
      <alignment horizontal="left" vertical="center" wrapText="1"/>
      <protection hidden="1"/>
    </xf>
    <xf numFmtId="44" fontId="9" fillId="2" borderId="0" xfId="1" applyFont="1" applyFill="1" applyAlignment="1" applyProtection="1">
      <alignment horizontal="center" vertical="center" wrapText="1"/>
      <protection hidden="1"/>
    </xf>
    <xf numFmtId="0" fontId="2" fillId="4" borderId="0" xfId="0" applyFont="1" applyFill="1" applyProtection="1">
      <protection locked="0"/>
    </xf>
    <xf numFmtId="9" fontId="4" fillId="4" borderId="2" xfId="2" applyFont="1" applyFill="1" applyBorder="1" applyAlignment="1" applyProtection="1">
      <alignment vertical="center" wrapText="1"/>
      <protection locked="0"/>
    </xf>
    <xf numFmtId="3" fontId="12" fillId="2" borderId="0" xfId="0" applyNumberFormat="1" applyFont="1" applyFill="1" applyAlignment="1" applyProtection="1">
      <alignment horizontal="right" vertical="center" wrapText="1"/>
      <protection hidden="1"/>
    </xf>
    <xf numFmtId="1" fontId="4" fillId="4" borderId="2" xfId="0" applyNumberFormat="1" applyFont="1" applyFill="1" applyBorder="1" applyAlignment="1" applyProtection="1">
      <alignment vertical="center" wrapText="1"/>
      <protection locked="0"/>
    </xf>
    <xf numFmtId="166" fontId="10" fillId="2" borderId="0" xfId="1" applyNumberFormat="1" applyFont="1" applyFill="1" applyAlignment="1" applyProtection="1">
      <alignment horizontal="right" vertical="center" wrapText="1"/>
      <protection hidden="1"/>
    </xf>
    <xf numFmtId="166" fontId="6" fillId="2" borderId="0" xfId="1" applyNumberFormat="1" applyFont="1" applyFill="1" applyAlignment="1" applyProtection="1">
      <alignment horizontal="right" vertical="center" wrapText="1"/>
      <protection hidden="1"/>
    </xf>
    <xf numFmtId="166" fontId="8" fillId="3" borderId="0" xfId="1" applyNumberFormat="1" applyFont="1" applyFill="1" applyAlignment="1" applyProtection="1">
      <alignment horizontal="center" vertical="center" wrapText="1"/>
      <protection hidden="1"/>
    </xf>
    <xf numFmtId="44" fontId="13" fillId="2" borderId="0" xfId="1" applyFont="1" applyFill="1" applyAlignment="1" applyProtection="1">
      <alignment horizontal="center" vertical="center" wrapText="1"/>
      <protection hidden="1"/>
    </xf>
    <xf numFmtId="9" fontId="4" fillId="2" borderId="0" xfId="2" applyFont="1" applyFill="1" applyBorder="1" applyAlignment="1" applyProtection="1">
      <alignment vertical="center" wrapText="1"/>
    </xf>
    <xf numFmtId="44" fontId="8" fillId="2" borderId="0" xfId="1" applyFont="1" applyFill="1" applyAlignment="1" applyProtection="1">
      <alignment horizontal="center" vertical="center" wrapText="1"/>
      <protection hidden="1"/>
    </xf>
    <xf numFmtId="44" fontId="14" fillId="2" borderId="0" xfId="1" applyFont="1" applyFill="1" applyAlignment="1" applyProtection="1">
      <alignment horizontal="center" vertical="center" wrapText="1"/>
      <protection hidden="1"/>
    </xf>
    <xf numFmtId="44" fontId="15" fillId="2" borderId="0" xfId="1" applyFont="1" applyFill="1" applyAlignment="1" applyProtection="1">
      <alignment horizontal="center" vertical="center" wrapText="1"/>
      <protection hidden="1"/>
    </xf>
    <xf numFmtId="44" fontId="4" fillId="5" borderId="2" xfId="1" applyFont="1" applyFill="1" applyBorder="1" applyAlignment="1" applyProtection="1">
      <alignment vertical="center" wrapText="1"/>
      <protection locked="0"/>
    </xf>
    <xf numFmtId="44" fontId="4" fillId="5" borderId="1" xfId="1" applyFont="1" applyFill="1" applyBorder="1" applyAlignment="1" applyProtection="1">
      <alignment vertical="center" wrapText="1"/>
      <protection locked="0"/>
    </xf>
    <xf numFmtId="164" fontId="4" fillId="3" borderId="0" xfId="0" applyNumberFormat="1" applyFont="1" applyFill="1" applyAlignment="1" applyProtection="1">
      <alignment horizontal="center" vertical="center" wrapText="1"/>
      <protection hidden="1"/>
    </xf>
    <xf numFmtId="164" fontId="6" fillId="3" borderId="0" xfId="0" applyNumberFormat="1" applyFont="1" applyFill="1" applyAlignment="1" applyProtection="1">
      <alignment horizontal="center" vertical="center" wrapText="1"/>
      <protection hidden="1"/>
    </xf>
    <xf numFmtId="44" fontId="9" fillId="3" borderId="0" xfId="1" applyFont="1" applyFill="1" applyAlignment="1" applyProtection="1">
      <alignment horizontal="center" vertical="center" wrapText="1"/>
      <protection hidden="1"/>
    </xf>
    <xf numFmtId="164" fontId="5" fillId="3" borderId="0" xfId="0" applyNumberFormat="1" applyFont="1" applyFill="1" applyAlignment="1" applyProtection="1">
      <alignment horizontal="left" vertical="center" wrapText="1"/>
      <protection hidden="1"/>
    </xf>
    <xf numFmtId="44" fontId="15" fillId="3" borderId="0" xfId="1" applyFont="1" applyFill="1" applyAlignment="1" applyProtection="1">
      <alignment horizontal="center" vertical="center" wrapText="1"/>
      <protection hidden="1"/>
    </xf>
    <xf numFmtId="44" fontId="14" fillId="3" borderId="0" xfId="1" applyFont="1" applyFill="1" applyAlignment="1" applyProtection="1">
      <alignment horizontal="center" vertical="center" wrapText="1"/>
      <protection hidden="1"/>
    </xf>
    <xf numFmtId="167" fontId="4" fillId="4" borderId="2" xfId="2" applyNumberFormat="1" applyFont="1" applyFill="1" applyBorder="1" applyAlignment="1" applyProtection="1">
      <alignment vertical="center" wrapText="1"/>
      <protection locked="0"/>
    </xf>
    <xf numFmtId="44" fontId="4" fillId="6" borderId="2" xfId="1" applyFont="1" applyFill="1" applyBorder="1" applyAlignment="1" applyProtection="1">
      <alignment vertical="center" wrapText="1"/>
    </xf>
    <xf numFmtId="3" fontId="4" fillId="6" borderId="2" xfId="0" applyNumberFormat="1" applyFont="1" applyFill="1" applyBorder="1" applyAlignment="1" applyProtection="1">
      <alignment horizontal="right" vertical="center" wrapText="1"/>
      <protection hidden="1"/>
    </xf>
    <xf numFmtId="9" fontId="4" fillId="6" borderId="0" xfId="2" applyFont="1" applyFill="1" applyBorder="1" applyAlignment="1" applyProtection="1">
      <alignment vertical="center" wrapText="1"/>
    </xf>
    <xf numFmtId="44" fontId="13" fillId="2" borderId="0" xfId="1" applyFont="1" applyFill="1" applyAlignment="1" applyProtection="1">
      <alignment horizontal="left" vertical="center" wrapText="1"/>
      <protection hidden="1"/>
    </xf>
    <xf numFmtId="44" fontId="6" fillId="2" borderId="0" xfId="1" applyFont="1" applyFill="1" applyAlignment="1" applyProtection="1">
      <alignment horizontal="left" vertical="center" wrapText="1"/>
      <protection hidden="1"/>
    </xf>
    <xf numFmtId="44" fontId="10" fillId="2" borderId="0" xfId="1" applyFont="1" applyFill="1" applyAlignment="1" applyProtection="1">
      <alignment horizontal="left" vertical="center" wrapText="1"/>
      <protection hidden="1"/>
    </xf>
    <xf numFmtId="44" fontId="9" fillId="0" borderId="0" xfId="1" applyFont="1" applyFill="1" applyAlignment="1" applyProtection="1">
      <alignment horizontal="center" vertical="center" wrapText="1"/>
      <protection hidden="1"/>
    </xf>
    <xf numFmtId="44" fontId="4" fillId="6" borderId="0" xfId="1" applyFont="1" applyFill="1" applyBorder="1" applyAlignment="1" applyProtection="1">
      <alignment vertical="center" wrapText="1"/>
    </xf>
    <xf numFmtId="164" fontId="5" fillId="2" borderId="0" xfId="0" applyNumberFormat="1" applyFont="1" applyFill="1" applyAlignment="1" applyProtection="1">
      <alignment horizontal="right" vertical="center" wrapText="1"/>
      <protection hidden="1"/>
    </xf>
    <xf numFmtId="168" fontId="4" fillId="6" borderId="2" xfId="3" applyNumberFormat="1" applyFont="1" applyFill="1" applyBorder="1" applyAlignment="1" applyProtection="1">
      <alignment vertical="center" wrapText="1"/>
    </xf>
    <xf numFmtId="9" fontId="6" fillId="2" borderId="2" xfId="2" applyFont="1" applyFill="1" applyBorder="1" applyAlignment="1" applyProtection="1">
      <alignment vertical="center" wrapText="1"/>
    </xf>
    <xf numFmtId="44" fontId="4" fillId="6" borderId="1" xfId="1" applyFont="1" applyFill="1" applyBorder="1" applyAlignment="1" applyProtection="1">
      <alignment vertical="center" wrapText="1"/>
    </xf>
    <xf numFmtId="164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3" borderId="1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9" fontId="4" fillId="4" borderId="2" xfId="2" applyFont="1" applyFill="1" applyBorder="1" applyAlignment="1" applyProtection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/>
    <xf numFmtId="9" fontId="4" fillId="6" borderId="2" xfId="2" applyFont="1" applyFill="1" applyBorder="1" applyAlignment="1" applyProtection="1">
      <alignment vertical="center" wrapText="1"/>
    </xf>
    <xf numFmtId="0" fontId="7" fillId="2" borderId="0" xfId="0" applyFont="1" applyFill="1"/>
    <xf numFmtId="0" fontId="7" fillId="0" borderId="0" xfId="0" applyFont="1"/>
    <xf numFmtId="0" fontId="7" fillId="3" borderId="0" xfId="0" applyFont="1" applyFill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5" fontId="11" fillId="0" borderId="2" xfId="0" applyNumberFormat="1" applyFont="1" applyBorder="1" applyAlignment="1">
      <alignment horizontal="right" vertical="center" wrapText="1"/>
    </xf>
    <xf numFmtId="0" fontId="11" fillId="2" borderId="0" xfId="0" applyFont="1" applyFill="1"/>
    <xf numFmtId="0" fontId="11" fillId="3" borderId="0" xfId="0" applyFont="1" applyFill="1"/>
    <xf numFmtId="0" fontId="11" fillId="0" borderId="0" xfId="0" applyFont="1"/>
    <xf numFmtId="0" fontId="5" fillId="2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left"/>
    </xf>
    <xf numFmtId="3" fontId="2" fillId="0" borderId="0" xfId="0" applyNumberFormat="1" applyFont="1"/>
    <xf numFmtId="0" fontId="1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164" fontId="5" fillId="2" borderId="0" xfId="0" applyNumberFormat="1" applyFont="1" applyFill="1" applyAlignment="1" applyProtection="1">
      <alignment horizontal="left" vertical="center" wrapText="1"/>
      <protection hidden="1"/>
    </xf>
    <xf numFmtId="0" fontId="2" fillId="4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6">
    <dxf>
      <fill>
        <patternFill>
          <bgColor theme="1"/>
        </patternFill>
      </fill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7</xdr:col>
      <xdr:colOff>195943</xdr:colOff>
      <xdr:row>3</xdr:row>
      <xdr:rowOff>102871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A8D322A5-A567-4D79-A96C-3BFE9704C24F}"/>
            </a:ext>
          </a:extLst>
        </xdr:cNvPr>
        <xdr:cNvSpPr>
          <a:spLocks noChangeAspect="1" noChangeArrowheads="1"/>
        </xdr:cNvSpPr>
      </xdr:nvSpPr>
      <xdr:spPr bwMode="auto">
        <a:xfrm>
          <a:off x="9829800" y="285750"/>
          <a:ext cx="304800" cy="287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9</xdr:row>
      <xdr:rowOff>0</xdr:rowOff>
    </xdr:from>
    <xdr:ext cx="304800" cy="306070"/>
    <xdr:sp macro="" textlink="">
      <xdr:nvSpPr>
        <xdr:cNvPr id="3" name="AutoShape 3" descr="Afbeeldingsresultaat voor den haag logo">
          <a:extLst>
            <a:ext uri="{FF2B5EF4-FFF2-40B4-BE49-F238E27FC236}">
              <a16:creationId xmlns:a16="http://schemas.microsoft.com/office/drawing/2014/main" id="{340E2EFA-65F9-499D-A091-9AE65BB92F44}"/>
            </a:ext>
          </a:extLst>
        </xdr:cNvPr>
        <xdr:cNvSpPr>
          <a:spLocks noChangeAspect="1" noChangeArrowheads="1"/>
        </xdr:cNvSpPr>
      </xdr:nvSpPr>
      <xdr:spPr bwMode="auto">
        <a:xfrm>
          <a:off x="9829800" y="14478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6070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E6F9FB7C-B434-4D06-B9A4-A96F05B4E957}"/>
            </a:ext>
          </a:extLst>
        </xdr:cNvPr>
        <xdr:cNvSpPr>
          <a:spLocks noChangeAspect="1" noChangeArrowheads="1"/>
        </xdr:cNvSpPr>
      </xdr:nvSpPr>
      <xdr:spPr bwMode="auto">
        <a:xfrm>
          <a:off x="9829800" y="233362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6070"/>
    <xdr:sp macro="" textlink="">
      <xdr:nvSpPr>
        <xdr:cNvPr id="5" name="AutoShape 3" descr="Afbeeldingsresultaat voor den haag logo">
          <a:extLst>
            <a:ext uri="{FF2B5EF4-FFF2-40B4-BE49-F238E27FC236}">
              <a16:creationId xmlns:a16="http://schemas.microsoft.com/office/drawing/2014/main" id="{1511C78A-DD29-4957-B251-5C530232E7C4}"/>
            </a:ext>
          </a:extLst>
        </xdr:cNvPr>
        <xdr:cNvSpPr>
          <a:spLocks noChangeAspect="1" noChangeArrowheads="1"/>
        </xdr:cNvSpPr>
      </xdr:nvSpPr>
      <xdr:spPr bwMode="auto">
        <a:xfrm>
          <a:off x="9829800" y="233362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13</xdr:col>
      <xdr:colOff>0</xdr:colOff>
      <xdr:row>5</xdr:row>
      <xdr:rowOff>0</xdr:rowOff>
    </xdr:from>
    <xdr:to>
      <xdr:col>17</xdr:col>
      <xdr:colOff>304800</xdr:colOff>
      <xdr:row>6</xdr:row>
      <xdr:rowOff>121920</xdr:rowOff>
    </xdr:to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1FBA3E59-B464-41CA-B663-7F0641F224BD}"/>
            </a:ext>
          </a:extLst>
        </xdr:cNvPr>
        <xdr:cNvSpPr>
          <a:spLocks noChangeAspect="1" noChangeArrowheads="1"/>
        </xdr:cNvSpPr>
      </xdr:nvSpPr>
      <xdr:spPr bwMode="auto">
        <a:xfrm>
          <a:off x="17059275" y="71437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13</xdr:col>
      <xdr:colOff>0</xdr:colOff>
      <xdr:row>9</xdr:row>
      <xdr:rowOff>0</xdr:rowOff>
    </xdr:from>
    <xdr:ext cx="304800" cy="306070"/>
    <xdr:sp macro="" textlink="">
      <xdr:nvSpPr>
        <xdr:cNvPr id="7" name="AutoShape 3" descr="Afbeeldingsresultaat voor den haag logo">
          <a:extLst>
            <a:ext uri="{FF2B5EF4-FFF2-40B4-BE49-F238E27FC236}">
              <a16:creationId xmlns:a16="http://schemas.microsoft.com/office/drawing/2014/main" id="{A296CBF3-09A6-469A-B0E8-559E37712F37}"/>
            </a:ext>
          </a:extLst>
        </xdr:cNvPr>
        <xdr:cNvSpPr>
          <a:spLocks noChangeAspect="1" noChangeArrowheads="1"/>
        </xdr:cNvSpPr>
      </xdr:nvSpPr>
      <xdr:spPr bwMode="auto">
        <a:xfrm>
          <a:off x="17059275" y="12954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3</xdr:row>
      <xdr:rowOff>67946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8687D7E2-5F1B-4B95-B52B-35F63DB32114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304800"/>
          <a:ext cx="304800" cy="220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</xdr:row>
      <xdr:rowOff>0</xdr:rowOff>
    </xdr:from>
    <xdr:ext cx="304800" cy="306070"/>
    <xdr:sp macro="" textlink="">
      <xdr:nvSpPr>
        <xdr:cNvPr id="3" name="AutoShape 3" descr="Afbeeldingsresultaat voor den haag logo">
          <a:extLst>
            <a:ext uri="{FF2B5EF4-FFF2-40B4-BE49-F238E27FC236}">
              <a16:creationId xmlns:a16="http://schemas.microsoft.com/office/drawing/2014/main" id="{0FCA6AB4-E691-497F-84CB-406174D239A2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1371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6070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6FBDDFA6-1D8F-4836-B32F-3F2C878A5A9E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2133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6070"/>
    <xdr:sp macro="" textlink="">
      <xdr:nvSpPr>
        <xdr:cNvPr id="5" name="AutoShape 3" descr="Afbeeldingsresultaat voor den haag logo">
          <a:extLst>
            <a:ext uri="{FF2B5EF4-FFF2-40B4-BE49-F238E27FC236}">
              <a16:creationId xmlns:a16="http://schemas.microsoft.com/office/drawing/2014/main" id="{346236DB-CDE7-44CE-99A4-100FFAB3C077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2133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0</xdr:colOff>
      <xdr:row>5</xdr:row>
      <xdr:rowOff>0</xdr:rowOff>
    </xdr:from>
    <xdr:to>
      <xdr:col>12</xdr:col>
      <xdr:colOff>304800</xdr:colOff>
      <xdr:row>6</xdr:row>
      <xdr:rowOff>86995</xdr:rowOff>
    </xdr:to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F155F097-C643-4469-9B8E-C898BCA8B12C}"/>
            </a:ext>
          </a:extLst>
        </xdr:cNvPr>
        <xdr:cNvSpPr>
          <a:spLocks noChangeAspect="1" noChangeArrowheads="1"/>
        </xdr:cNvSpPr>
      </xdr:nvSpPr>
      <xdr:spPr bwMode="auto">
        <a:xfrm>
          <a:off x="14982825" y="762000"/>
          <a:ext cx="304800" cy="239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9</xdr:row>
      <xdr:rowOff>0</xdr:rowOff>
    </xdr:from>
    <xdr:ext cx="304800" cy="306070"/>
    <xdr:sp macro="" textlink="">
      <xdr:nvSpPr>
        <xdr:cNvPr id="7" name="AutoShape 3" descr="Afbeeldingsresultaat voor den haag logo">
          <a:extLst>
            <a:ext uri="{FF2B5EF4-FFF2-40B4-BE49-F238E27FC236}">
              <a16:creationId xmlns:a16="http://schemas.microsoft.com/office/drawing/2014/main" id="{F8747739-081B-4847-9124-8B1CF95593E9}"/>
            </a:ext>
          </a:extLst>
        </xdr:cNvPr>
        <xdr:cNvSpPr>
          <a:spLocks noChangeAspect="1" noChangeArrowheads="1"/>
        </xdr:cNvSpPr>
      </xdr:nvSpPr>
      <xdr:spPr bwMode="auto">
        <a:xfrm>
          <a:off x="14982825" y="1371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DF48-1DA7-4F28-8FC2-67C7E498B8ED}">
  <dimension ref="A1:Q97"/>
  <sheetViews>
    <sheetView tabSelected="1" zoomScaleNormal="100" workbookViewId="0">
      <selection activeCell="D25" sqref="D25"/>
    </sheetView>
  </sheetViews>
  <sheetFormatPr defaultColWidth="8.81640625" defaultRowHeight="11.5" x14ac:dyDescent="0.25"/>
  <cols>
    <col min="1" max="1" width="2.1796875" style="52" customWidth="1"/>
    <col min="2" max="2" width="79.1796875" style="54" customWidth="1"/>
    <col min="3" max="3" width="2.1796875" style="53" customWidth="1"/>
    <col min="4" max="4" width="25" style="54" bestFit="1" customWidth="1"/>
    <col min="5" max="5" width="24" style="54" bestFit="1" customWidth="1"/>
    <col min="6" max="6" width="24" style="54" customWidth="1"/>
    <col min="7" max="7" width="1.7265625" style="53" customWidth="1"/>
    <col min="8" max="8" width="25" style="54" bestFit="1" customWidth="1"/>
    <col min="9" max="10" width="24" style="54" bestFit="1" customWidth="1"/>
    <col min="11" max="11" width="1.26953125" style="53" customWidth="1"/>
    <col min="12" max="12" width="13.26953125" style="54" customWidth="1"/>
    <col min="13" max="13" width="13.26953125" style="54" hidden="1" customWidth="1"/>
    <col min="14" max="17" width="8.81640625" style="54" hidden="1" customWidth="1"/>
    <col min="18" max="18" width="8.81640625" style="54" customWidth="1"/>
    <col min="19" max="16384" width="8.81640625" style="54"/>
  </cols>
  <sheetData>
    <row r="1" spans="2:13" x14ac:dyDescent="0.25">
      <c r="B1" s="52"/>
      <c r="D1" s="52"/>
      <c r="E1" s="52"/>
      <c r="F1" s="52"/>
      <c r="H1" s="52"/>
      <c r="I1" s="52"/>
      <c r="J1" s="52"/>
    </row>
    <row r="2" spans="2:13" x14ac:dyDescent="0.25">
      <c r="B2" s="55" t="s">
        <v>43</v>
      </c>
      <c r="C2" s="56"/>
      <c r="D2" s="55" t="s">
        <v>69</v>
      </c>
      <c r="E2" s="55"/>
      <c r="F2" s="52"/>
      <c r="H2" s="55" t="s">
        <v>70</v>
      </c>
      <c r="I2" s="55"/>
      <c r="J2" s="52"/>
    </row>
    <row r="3" spans="2:13" x14ac:dyDescent="0.25">
      <c r="B3" s="55"/>
      <c r="C3" s="56"/>
      <c r="D3" s="55"/>
      <c r="E3" s="55"/>
      <c r="F3" s="52"/>
      <c r="H3" s="55"/>
      <c r="I3" s="55"/>
      <c r="J3" s="52"/>
    </row>
    <row r="4" spans="2:13" x14ac:dyDescent="0.25">
      <c r="B4" s="57" t="s">
        <v>0</v>
      </c>
      <c r="C4" s="57"/>
      <c r="D4" s="57"/>
      <c r="E4" s="57"/>
      <c r="F4" s="57"/>
      <c r="G4" s="58"/>
      <c r="H4" s="57"/>
      <c r="I4" s="57"/>
      <c r="J4" s="57"/>
      <c r="K4" s="58"/>
      <c r="L4" s="59"/>
      <c r="M4" s="59"/>
    </row>
    <row r="5" spans="2:13" x14ac:dyDescent="0.25">
      <c r="B5" s="60"/>
      <c r="C5" s="58"/>
      <c r="D5" s="60"/>
      <c r="E5" s="60"/>
      <c r="F5" s="60"/>
      <c r="G5" s="58"/>
      <c r="H5" s="60"/>
      <c r="I5" s="60"/>
      <c r="J5" s="60"/>
      <c r="K5" s="58"/>
      <c r="L5" s="59"/>
      <c r="M5" s="59"/>
    </row>
    <row r="6" spans="2:13" x14ac:dyDescent="0.25">
      <c r="B6" s="61"/>
      <c r="C6" s="62"/>
      <c r="D6" s="63" t="s">
        <v>1</v>
      </c>
      <c r="E6" s="63" t="s">
        <v>2</v>
      </c>
      <c r="F6" s="1"/>
      <c r="H6" s="63" t="s">
        <v>1</v>
      </c>
      <c r="I6" s="63" t="s">
        <v>2</v>
      </c>
      <c r="J6" s="1"/>
    </row>
    <row r="7" spans="2:13" x14ac:dyDescent="0.25">
      <c r="B7" s="64" t="s">
        <v>3</v>
      </c>
      <c r="C7" s="65"/>
      <c r="D7" s="2" t="s">
        <v>4</v>
      </c>
      <c r="E7" s="2" t="s">
        <v>5</v>
      </c>
      <c r="F7" s="1"/>
      <c r="H7" s="2" t="s">
        <v>4</v>
      </c>
      <c r="I7" s="2" t="s">
        <v>5</v>
      </c>
      <c r="J7" s="1"/>
    </row>
    <row r="8" spans="2:13" x14ac:dyDescent="0.25">
      <c r="B8" s="52"/>
      <c r="D8" s="52"/>
      <c r="E8" s="52"/>
      <c r="F8" s="1"/>
      <c r="H8" s="52"/>
      <c r="I8" s="52"/>
      <c r="J8" s="1"/>
    </row>
    <row r="9" spans="2:13" ht="12" x14ac:dyDescent="0.25">
      <c r="B9" s="64" t="s">
        <v>6</v>
      </c>
      <c r="C9" s="65"/>
      <c r="D9" s="2" t="s">
        <v>4</v>
      </c>
      <c r="E9" s="2" t="s">
        <v>5</v>
      </c>
      <c r="F9" s="3" t="s">
        <v>7</v>
      </c>
      <c r="H9" s="2" t="s">
        <v>4</v>
      </c>
      <c r="I9" s="2" t="s">
        <v>5</v>
      </c>
      <c r="J9" s="3" t="s">
        <v>7</v>
      </c>
    </row>
    <row r="10" spans="2:13" x14ac:dyDescent="0.25">
      <c r="B10" s="1"/>
      <c r="C10" s="32"/>
      <c r="D10" s="1"/>
      <c r="E10" s="66"/>
      <c r="F10" s="1"/>
      <c r="H10" s="1"/>
      <c r="I10" s="66"/>
      <c r="J10" s="1"/>
    </row>
    <row r="11" spans="2:13" x14ac:dyDescent="0.25">
      <c r="B11" s="57" t="s">
        <v>8</v>
      </c>
      <c r="C11" s="57"/>
      <c r="D11" s="57"/>
      <c r="E11" s="57"/>
      <c r="F11" s="57"/>
      <c r="G11" s="58"/>
      <c r="H11" s="57"/>
      <c r="I11" s="57"/>
      <c r="J11" s="57"/>
      <c r="K11" s="58"/>
      <c r="L11" s="59"/>
      <c r="M11" s="59"/>
    </row>
    <row r="12" spans="2:13" x14ac:dyDescent="0.25">
      <c r="B12" s="1"/>
      <c r="C12" s="32"/>
      <c r="D12" s="1"/>
      <c r="E12" s="66"/>
      <c r="F12" s="1"/>
      <c r="H12" s="1"/>
      <c r="I12" s="66"/>
      <c r="J12" s="1"/>
    </row>
    <row r="13" spans="2:13" ht="12" x14ac:dyDescent="0.25">
      <c r="B13" s="67" t="s">
        <v>9</v>
      </c>
      <c r="C13" s="32"/>
      <c r="D13" s="68"/>
      <c r="E13" s="66"/>
      <c r="F13" s="4"/>
      <c r="I13" s="66"/>
      <c r="J13" s="4"/>
    </row>
    <row r="14" spans="2:13" ht="12" x14ac:dyDescent="0.25">
      <c r="B14" s="64" t="s">
        <v>10</v>
      </c>
      <c r="C14" s="65"/>
      <c r="D14" s="91" t="s">
        <v>4</v>
      </c>
      <c r="E14" s="91"/>
      <c r="F14" s="3" t="s">
        <v>7</v>
      </c>
      <c r="H14" s="91" t="s">
        <v>4</v>
      </c>
      <c r="I14" s="91"/>
      <c r="J14" s="3" t="s">
        <v>7</v>
      </c>
    </row>
    <row r="15" spans="2:13" ht="12" x14ac:dyDescent="0.25">
      <c r="B15" s="1"/>
      <c r="C15" s="32"/>
      <c r="D15" s="1"/>
      <c r="E15" s="1"/>
      <c r="F15" s="4"/>
      <c r="H15" s="1"/>
      <c r="I15" s="1"/>
      <c r="J15" s="4"/>
    </row>
    <row r="16" spans="2:13" x14ac:dyDescent="0.25">
      <c r="B16" s="57" t="s">
        <v>11</v>
      </c>
      <c r="C16" s="57"/>
      <c r="D16" s="57"/>
      <c r="E16" s="57"/>
      <c r="F16" s="57"/>
      <c r="G16" s="58"/>
      <c r="H16" s="57"/>
      <c r="I16" s="57"/>
      <c r="J16" s="57"/>
      <c r="K16" s="58"/>
      <c r="L16" s="59"/>
      <c r="M16" s="59"/>
    </row>
    <row r="17" spans="2:17" x14ac:dyDescent="0.25">
      <c r="B17" s="52"/>
      <c r="D17" s="52"/>
      <c r="E17" s="52"/>
      <c r="F17" s="52"/>
      <c r="H17" s="52"/>
      <c r="I17" s="52"/>
      <c r="J17" s="52"/>
    </row>
    <row r="18" spans="2:17" ht="12" x14ac:dyDescent="0.25">
      <c r="B18" s="52"/>
      <c r="D18" s="92" t="s">
        <v>12</v>
      </c>
      <c r="E18" s="92"/>
      <c r="F18" s="4"/>
      <c r="H18" s="92" t="s">
        <v>12</v>
      </c>
      <c r="I18" s="92"/>
      <c r="J18" s="4"/>
    </row>
    <row r="19" spans="2:17" x14ac:dyDescent="0.25">
      <c r="B19" s="64" t="s">
        <v>1</v>
      </c>
      <c r="C19" s="65"/>
      <c r="D19" s="2" t="s">
        <v>4</v>
      </c>
      <c r="E19" s="52"/>
      <c r="F19" s="52"/>
      <c r="H19" s="2" t="s">
        <v>4</v>
      </c>
      <c r="I19" s="52"/>
      <c r="J19" s="52"/>
    </row>
    <row r="20" spans="2:17" x14ac:dyDescent="0.25">
      <c r="B20" s="64" t="s">
        <v>13</v>
      </c>
      <c r="C20" s="65"/>
      <c r="D20" s="2" t="s">
        <v>14</v>
      </c>
      <c r="E20" s="52"/>
      <c r="F20" s="52"/>
      <c r="H20" s="2" t="s">
        <v>14</v>
      </c>
      <c r="I20" s="52"/>
      <c r="J20" s="52"/>
    </row>
    <row r="21" spans="2:17" x14ac:dyDescent="0.25">
      <c r="B21" s="64" t="s">
        <v>58</v>
      </c>
      <c r="C21" s="65"/>
      <c r="D21" s="48">
        <f>26662-H21</f>
        <v>26662</v>
      </c>
      <c r="E21" s="52"/>
      <c r="F21" s="52"/>
      <c r="H21" s="2">
        <v>0</v>
      </c>
      <c r="I21" s="52"/>
      <c r="J21" s="52"/>
    </row>
    <row r="22" spans="2:17" x14ac:dyDescent="0.25">
      <c r="B22" s="64" t="s">
        <v>15</v>
      </c>
      <c r="C22" s="65"/>
      <c r="D22" s="6"/>
      <c r="E22" s="52"/>
      <c r="F22" s="52"/>
      <c r="H22" s="6"/>
      <c r="I22" s="52"/>
      <c r="J22" s="52"/>
    </row>
    <row r="23" spans="2:17" x14ac:dyDescent="0.25">
      <c r="B23" s="64" t="s">
        <v>35</v>
      </c>
      <c r="C23" s="65"/>
      <c r="D23" s="21" t="s">
        <v>36</v>
      </c>
      <c r="E23" s="52"/>
      <c r="F23" s="52"/>
      <c r="H23" s="21" t="s">
        <v>36</v>
      </c>
      <c r="I23" s="52"/>
      <c r="J23" s="52"/>
      <c r="M23" s="54" t="s">
        <v>36</v>
      </c>
      <c r="N23" s="54">
        <v>2025</v>
      </c>
      <c r="O23" s="54">
        <v>2026</v>
      </c>
      <c r="P23" s="54">
        <v>2027</v>
      </c>
      <c r="Q23" s="54">
        <v>2028</v>
      </c>
    </row>
    <row r="24" spans="2:17" x14ac:dyDescent="0.25">
      <c r="B24" s="64" t="s">
        <v>37</v>
      </c>
      <c r="C24" s="65"/>
      <c r="D24" s="19">
        <v>0</v>
      </c>
      <c r="E24" s="52"/>
      <c r="F24" s="52"/>
      <c r="H24" s="19"/>
      <c r="I24" s="52"/>
      <c r="J24" s="52"/>
      <c r="M24" s="54" t="s">
        <v>39</v>
      </c>
      <c r="N24" s="54" t="s">
        <v>40</v>
      </c>
    </row>
    <row r="25" spans="2:17" x14ac:dyDescent="0.25">
      <c r="B25" s="70" t="s">
        <v>53</v>
      </c>
      <c r="C25" s="71"/>
      <c r="D25" s="6" t="s">
        <v>40</v>
      </c>
      <c r="E25" s="19">
        <v>0</v>
      </c>
      <c r="F25" s="52"/>
      <c r="H25" s="6" t="s">
        <v>40</v>
      </c>
      <c r="I25" s="69">
        <v>0</v>
      </c>
      <c r="J25" s="52"/>
    </row>
    <row r="26" spans="2:17" x14ac:dyDescent="0.25">
      <c r="B26" s="64" t="s">
        <v>54</v>
      </c>
      <c r="C26" s="65"/>
      <c r="D26" s="6" t="s">
        <v>40</v>
      </c>
      <c r="E26" s="19">
        <v>0</v>
      </c>
      <c r="F26" s="52"/>
      <c r="H26" s="6" t="s">
        <v>40</v>
      </c>
      <c r="I26" s="69">
        <v>0</v>
      </c>
      <c r="J26" s="52"/>
      <c r="M26" s="54" t="s">
        <v>40</v>
      </c>
      <c r="N26" s="54" t="s">
        <v>83</v>
      </c>
      <c r="O26" s="54" t="s">
        <v>54</v>
      </c>
      <c r="P26" s="54" t="s">
        <v>57</v>
      </c>
    </row>
    <row r="27" spans="2:17" x14ac:dyDescent="0.25">
      <c r="B27" s="64" t="s">
        <v>55</v>
      </c>
      <c r="C27" s="65"/>
      <c r="D27" s="6" t="s">
        <v>40</v>
      </c>
      <c r="E27" s="19">
        <v>0</v>
      </c>
      <c r="F27" s="52"/>
      <c r="H27" s="6" t="s">
        <v>40</v>
      </c>
      <c r="I27" s="69">
        <v>0</v>
      </c>
      <c r="J27" s="52"/>
      <c r="M27" s="54">
        <v>0</v>
      </c>
      <c r="N27" s="54">
        <v>-70</v>
      </c>
      <c r="O27" s="54">
        <v>-95</v>
      </c>
      <c r="P27" s="54">
        <v>-100</v>
      </c>
    </row>
    <row r="28" spans="2:17" x14ac:dyDescent="0.25">
      <c r="B28" s="64" t="s">
        <v>56</v>
      </c>
      <c r="C28" s="65"/>
      <c r="D28" s="6" t="s">
        <v>40</v>
      </c>
      <c r="E28" s="19">
        <v>0</v>
      </c>
      <c r="F28" s="52"/>
      <c r="H28" s="6" t="s">
        <v>40</v>
      </c>
      <c r="I28" s="69">
        <v>0</v>
      </c>
      <c r="J28" s="52"/>
    </row>
    <row r="29" spans="2:17" x14ac:dyDescent="0.25">
      <c r="B29" s="64" t="s">
        <v>62</v>
      </c>
      <c r="C29" s="72"/>
      <c r="D29" s="6" t="s">
        <v>40</v>
      </c>
      <c r="E29" s="19">
        <v>0</v>
      </c>
      <c r="F29" s="52"/>
      <c r="H29" s="6" t="s">
        <v>40</v>
      </c>
      <c r="I29" s="69">
        <v>0</v>
      </c>
      <c r="J29" s="52"/>
    </row>
    <row r="30" spans="2:17" ht="12" x14ac:dyDescent="0.3">
      <c r="B30" s="66"/>
      <c r="C30" s="72"/>
      <c r="D30" s="49" t="s">
        <v>66</v>
      </c>
      <c r="E30" s="49" t="s">
        <v>67</v>
      </c>
      <c r="F30" s="73" t="s">
        <v>68</v>
      </c>
      <c r="H30" s="49" t="s">
        <v>66</v>
      </c>
      <c r="I30" s="49" t="s">
        <v>67</v>
      </c>
      <c r="J30" s="73" t="s">
        <v>68</v>
      </c>
    </row>
    <row r="31" spans="2:17" x14ac:dyDescent="0.25">
      <c r="B31" s="64" t="s">
        <v>59</v>
      </c>
      <c r="C31" s="72"/>
      <c r="D31" s="38">
        <v>100</v>
      </c>
      <c r="E31" s="40">
        <f>7172*F31</f>
        <v>7172</v>
      </c>
      <c r="F31" s="74">
        <f>1-J31</f>
        <v>1</v>
      </c>
      <c r="H31" s="38">
        <v>100</v>
      </c>
      <c r="I31" s="40">
        <f>7172*J31</f>
        <v>0</v>
      </c>
      <c r="J31" s="19">
        <v>0</v>
      </c>
    </row>
    <row r="32" spans="2:17" x14ac:dyDescent="0.25">
      <c r="B32" s="64" t="s">
        <v>60</v>
      </c>
      <c r="C32" s="72"/>
      <c r="D32" s="38">
        <v>100</v>
      </c>
      <c r="E32" s="40">
        <f>15510*F32</f>
        <v>15510</v>
      </c>
      <c r="F32" s="74">
        <f t="shared" ref="F32:F33" si="0">1-J32</f>
        <v>1</v>
      </c>
      <c r="H32" s="38">
        <v>100</v>
      </c>
      <c r="I32" s="40">
        <f>15510*J32</f>
        <v>0</v>
      </c>
      <c r="J32" s="19">
        <v>0</v>
      </c>
    </row>
    <row r="33" spans="1:11" x14ac:dyDescent="0.25">
      <c r="B33" s="64" t="s">
        <v>61</v>
      </c>
      <c r="C33" s="72"/>
      <c r="D33" s="38">
        <v>100</v>
      </c>
      <c r="E33" s="40">
        <f>3980*F33</f>
        <v>3980</v>
      </c>
      <c r="F33" s="74">
        <f t="shared" si="0"/>
        <v>1</v>
      </c>
      <c r="H33" s="38">
        <v>100</v>
      </c>
      <c r="I33" s="40">
        <f>3980*J33</f>
        <v>0</v>
      </c>
      <c r="J33" s="19">
        <v>0</v>
      </c>
    </row>
    <row r="34" spans="1:11" s="76" customFormat="1" ht="12" x14ac:dyDescent="0.25">
      <c r="A34" s="75"/>
      <c r="B34" s="29"/>
      <c r="C34" s="36"/>
      <c r="E34" s="17"/>
      <c r="F34" s="17"/>
      <c r="G34" s="77"/>
      <c r="I34" s="17"/>
      <c r="J34" s="17"/>
      <c r="K34" s="77"/>
    </row>
    <row r="35" spans="1:11" s="76" customFormat="1" x14ac:dyDescent="0.25">
      <c r="A35" s="75"/>
      <c r="B35" s="78" t="s">
        <v>33</v>
      </c>
      <c r="C35" s="78"/>
      <c r="D35" s="79"/>
      <c r="E35" s="79"/>
      <c r="F35" s="79"/>
      <c r="G35" s="77"/>
      <c r="H35" s="79"/>
      <c r="I35" s="79"/>
      <c r="J35" s="79"/>
      <c r="K35" s="77"/>
    </row>
    <row r="36" spans="1:11" s="76" customFormat="1" ht="12" x14ac:dyDescent="0.25">
      <c r="A36" s="75"/>
      <c r="B36" s="28" t="s">
        <v>44</v>
      </c>
      <c r="C36" s="37"/>
      <c r="D36" s="25">
        <v>350</v>
      </c>
      <c r="E36" s="17"/>
      <c r="F36" s="17"/>
      <c r="G36" s="77"/>
      <c r="H36" s="25">
        <f>D36</f>
        <v>350</v>
      </c>
      <c r="I36" s="17"/>
      <c r="J36" s="17"/>
      <c r="K36" s="77"/>
    </row>
    <row r="37" spans="1:11" s="76" customFormat="1" ht="12" x14ac:dyDescent="0.25">
      <c r="A37" s="75"/>
      <c r="B37" s="17"/>
      <c r="C37" s="34"/>
      <c r="D37" s="17"/>
      <c r="E37" s="7" t="s">
        <v>16</v>
      </c>
      <c r="F37" s="7" t="s">
        <v>41</v>
      </c>
      <c r="G37" s="77"/>
      <c r="H37" s="17"/>
      <c r="I37" s="7" t="s">
        <v>16</v>
      </c>
      <c r="J37" s="7" t="s">
        <v>41</v>
      </c>
      <c r="K37" s="77"/>
    </row>
    <row r="38" spans="1:11" ht="12" x14ac:dyDescent="0.25">
      <c r="B38" s="61" t="s">
        <v>19</v>
      </c>
      <c r="C38" s="62"/>
      <c r="D38" s="80">
        <f>-(D22*450-340)</f>
        <v>340</v>
      </c>
      <c r="E38" s="9">
        <f>D21</f>
        <v>26662</v>
      </c>
      <c r="F38" s="23">
        <f>(D38/1000)*E38*$D$36</f>
        <v>3172778</v>
      </c>
      <c r="H38" s="80">
        <f>-(H22*450-340)</f>
        <v>340</v>
      </c>
      <c r="I38" s="9">
        <f>H21</f>
        <v>0</v>
      </c>
      <c r="J38" s="23">
        <f>(H38/1000)*I38*$H$36</f>
        <v>0</v>
      </c>
    </row>
    <row r="39" spans="1:11" s="76" customFormat="1" ht="12" x14ac:dyDescent="0.25">
      <c r="A39" s="75"/>
      <c r="B39" s="61" t="s">
        <v>30</v>
      </c>
      <c r="C39" s="62"/>
      <c r="D39" s="80">
        <f>IF(D23=$M$23,0,-(340-136))</f>
        <v>0</v>
      </c>
      <c r="E39" s="9">
        <f>IF(D23=$M$23,0,D21*D24*(2029-D23)/4)</f>
        <v>0</v>
      </c>
      <c r="F39" s="23">
        <f>(D39/1000)*E39*$D$36</f>
        <v>0</v>
      </c>
      <c r="G39" s="77"/>
      <c r="H39" s="80">
        <f>IF(H23=$M$23,0,-(340-136))</f>
        <v>0</v>
      </c>
      <c r="I39" s="9">
        <f>IF(H23=$M$23,0,H21*H24*(2029-H23)/4)</f>
        <v>0</v>
      </c>
      <c r="J39" s="23">
        <f>(H39/1000)*I39*$H$36</f>
        <v>0</v>
      </c>
      <c r="K39" s="77"/>
    </row>
    <row r="40" spans="1:11" s="83" customFormat="1" ht="12" x14ac:dyDescent="0.25">
      <c r="A40" s="81"/>
      <c r="B40" s="70" t="s">
        <v>53</v>
      </c>
      <c r="C40" s="71"/>
      <c r="D40" s="80">
        <f>IF(D25="ja",-70,0)</f>
        <v>0</v>
      </c>
      <c r="E40" s="20">
        <f>IF(D25="Nee",0,$E$38*E25)</f>
        <v>0</v>
      </c>
      <c r="F40" s="23">
        <f t="shared" ref="F40:F44" si="1">(D40/1000)*E40*$D$36</f>
        <v>0</v>
      </c>
      <c r="G40" s="82"/>
      <c r="H40" s="80">
        <f>IF(H26="ja",-70,0)</f>
        <v>0</v>
      </c>
      <c r="I40" s="20">
        <f>IF(H25="Nee",0,$H$21*I25)</f>
        <v>0</v>
      </c>
      <c r="J40" s="23">
        <f t="shared" ref="J40:J44" si="2">(H40/1000)*I40*$H$36</f>
        <v>0</v>
      </c>
      <c r="K40" s="82"/>
    </row>
    <row r="41" spans="1:11" s="83" customFormat="1" ht="12" x14ac:dyDescent="0.25">
      <c r="A41" s="81"/>
      <c r="B41" s="64" t="s">
        <v>84</v>
      </c>
      <c r="C41" s="65"/>
      <c r="D41" s="80">
        <f>IF(D26=$M$26,$M$27,
IF(D26=$N$26,$N$27,
IF(D26=$O$26,$O$27,
IF(D26=$P$26,$P$27,"FOUT"))))</f>
        <v>0</v>
      </c>
      <c r="E41" s="20">
        <f>IF(D26="Nee",0,$E$38*E26)</f>
        <v>0</v>
      </c>
      <c r="F41" s="23">
        <f t="shared" si="1"/>
        <v>0</v>
      </c>
      <c r="G41" s="82"/>
      <c r="H41" s="80">
        <f>IF(H26=$M$26,$M$27,
IF(H26=$N$26,$N$27,
IF(H26=$O$26,$O$27,
IF(H26=$P$26,$P$27,"FOUT"))))</f>
        <v>0</v>
      </c>
      <c r="I41" s="20">
        <f>IF(H26="Nee",0,$H$21*I26)</f>
        <v>0</v>
      </c>
      <c r="J41" s="23">
        <f t="shared" si="2"/>
        <v>0</v>
      </c>
      <c r="K41" s="82"/>
    </row>
    <row r="42" spans="1:11" s="83" customFormat="1" ht="12" x14ac:dyDescent="0.25">
      <c r="A42" s="81"/>
      <c r="B42" s="64" t="s">
        <v>55</v>
      </c>
      <c r="C42" s="65"/>
      <c r="D42" s="80">
        <f>IF(D27="ja",-25,0)</f>
        <v>0</v>
      </c>
      <c r="E42" s="20">
        <f>IF(D27="Nee",0,$E$38*E27)</f>
        <v>0</v>
      </c>
      <c r="F42" s="23">
        <f t="shared" si="1"/>
        <v>0</v>
      </c>
      <c r="G42" s="82"/>
      <c r="H42" s="80">
        <f>IF(H27="ja",-25,0)</f>
        <v>0</v>
      </c>
      <c r="I42" s="20">
        <f>IF(H27="Nee",0,$H$21*I27)</f>
        <v>0</v>
      </c>
      <c r="J42" s="23">
        <f t="shared" si="2"/>
        <v>0</v>
      </c>
      <c r="K42" s="82"/>
    </row>
    <row r="43" spans="1:11" s="83" customFormat="1" ht="12" x14ac:dyDescent="0.25">
      <c r="A43" s="81"/>
      <c r="B43" s="61" t="s">
        <v>52</v>
      </c>
      <c r="C43" s="62"/>
      <c r="D43" s="80">
        <f>IF(D28="ja",-100,0)</f>
        <v>0</v>
      </c>
      <c r="E43" s="20">
        <f>IF(D28="Nee",0,$E$38*E28)</f>
        <v>0</v>
      </c>
      <c r="F43" s="23">
        <f t="shared" si="1"/>
        <v>0</v>
      </c>
      <c r="G43" s="82"/>
      <c r="H43" s="80">
        <f>IF(H28="ja",-100,0)</f>
        <v>0</v>
      </c>
      <c r="I43" s="20">
        <f>IF(H28="Nee",0,$H$21*I28)</f>
        <v>0</v>
      </c>
      <c r="J43" s="23">
        <f t="shared" si="2"/>
        <v>0</v>
      </c>
      <c r="K43" s="82"/>
    </row>
    <row r="44" spans="1:11" s="83" customFormat="1" ht="12" x14ac:dyDescent="0.25">
      <c r="A44" s="81"/>
      <c r="B44" s="70" t="s">
        <v>62</v>
      </c>
      <c r="C44" s="72"/>
      <c r="D44" s="80">
        <f>IF(D29="ja",-30,0)</f>
        <v>0</v>
      </c>
      <c r="E44" s="20">
        <f>IF(D29="Nee",0,$E$38*E29)</f>
        <v>0</v>
      </c>
      <c r="F44" s="23">
        <f t="shared" si="1"/>
        <v>0</v>
      </c>
      <c r="G44" s="82"/>
      <c r="H44" s="80">
        <f>IF(H29="ja",-30,0)</f>
        <v>0</v>
      </c>
      <c r="I44" s="20">
        <f>IF(H29="Nee",0,$I$38*I29)</f>
        <v>0</v>
      </c>
      <c r="J44" s="23">
        <f t="shared" si="2"/>
        <v>0</v>
      </c>
      <c r="K44" s="82"/>
    </row>
    <row r="45" spans="1:11" s="76" customFormat="1" ht="12" x14ac:dyDescent="0.25">
      <c r="A45" s="75"/>
      <c r="B45" s="84" t="s">
        <v>42</v>
      </c>
      <c r="C45" s="85"/>
      <c r="D45" s="11"/>
      <c r="E45" s="12"/>
      <c r="F45" s="22">
        <f>SUM(F38:F44)</f>
        <v>3172778</v>
      </c>
      <c r="G45" s="34"/>
      <c r="H45" s="11"/>
      <c r="I45" s="12"/>
      <c r="J45" s="22">
        <f>SUM(J38:J44)</f>
        <v>0</v>
      </c>
      <c r="K45" s="77"/>
    </row>
    <row r="46" spans="1:11" s="76" customFormat="1" x14ac:dyDescent="0.25">
      <c r="A46" s="75"/>
      <c r="B46" s="61"/>
      <c r="C46" s="72"/>
      <c r="D46" s="17"/>
      <c r="E46" s="17"/>
      <c r="F46" s="17"/>
      <c r="G46" s="77"/>
      <c r="H46" s="17"/>
      <c r="I46" s="17"/>
      <c r="J46" s="17"/>
      <c r="K46" s="77"/>
    </row>
    <row r="47" spans="1:11" s="76" customFormat="1" x14ac:dyDescent="0.25">
      <c r="A47" s="75"/>
      <c r="B47" s="61"/>
      <c r="C47" s="72"/>
      <c r="D47" s="17"/>
      <c r="E47" s="17"/>
      <c r="F47" s="17"/>
      <c r="G47" s="77"/>
      <c r="H47" s="17"/>
      <c r="I47" s="17"/>
      <c r="J47" s="17"/>
      <c r="K47" s="77"/>
    </row>
    <row r="48" spans="1:11" s="76" customFormat="1" x14ac:dyDescent="0.25">
      <c r="A48" s="75"/>
      <c r="B48" s="16" t="s">
        <v>22</v>
      </c>
      <c r="C48" s="16"/>
      <c r="D48" s="24">
        <f>F45*4</f>
        <v>12691112</v>
      </c>
      <c r="E48" s="17"/>
      <c r="F48" s="17"/>
      <c r="G48" s="77"/>
      <c r="H48" s="24">
        <f>J45*4</f>
        <v>0</v>
      </c>
      <c r="I48" s="17"/>
      <c r="J48" s="17"/>
      <c r="K48" s="77"/>
    </row>
    <row r="49" spans="1:11" ht="12" x14ac:dyDescent="0.25">
      <c r="B49" s="1"/>
      <c r="C49" s="32"/>
      <c r="D49" s="1"/>
      <c r="E49" s="1"/>
      <c r="F49" s="4"/>
      <c r="H49" s="1"/>
      <c r="I49" s="1"/>
      <c r="J49" s="4"/>
    </row>
    <row r="50" spans="1:11" s="76" customFormat="1" x14ac:dyDescent="0.25">
      <c r="A50" s="75"/>
      <c r="B50" s="78" t="s">
        <v>34</v>
      </c>
      <c r="C50" s="78"/>
      <c r="D50" s="79"/>
      <c r="E50" s="79"/>
      <c r="F50" s="79"/>
      <c r="G50" s="77"/>
      <c r="H50" s="79"/>
      <c r="I50" s="79"/>
      <c r="J50" s="79"/>
      <c r="K50" s="77"/>
    </row>
    <row r="51" spans="1:11" ht="12" x14ac:dyDescent="0.25">
      <c r="B51" s="1"/>
      <c r="C51" s="32"/>
      <c r="D51" s="1"/>
      <c r="E51" s="7" t="s">
        <v>16</v>
      </c>
      <c r="F51" s="7" t="s">
        <v>17</v>
      </c>
      <c r="H51" s="1"/>
      <c r="I51" s="7" t="s">
        <v>16</v>
      </c>
      <c r="J51" s="7" t="s">
        <v>17</v>
      </c>
    </row>
    <row r="52" spans="1:11" ht="12" x14ac:dyDescent="0.25">
      <c r="B52" s="64" t="s">
        <v>63</v>
      </c>
      <c r="C52" s="65"/>
      <c r="D52" s="39">
        <f>0.2*D31</f>
        <v>20</v>
      </c>
      <c r="E52" s="9">
        <f>E31</f>
        <v>7172</v>
      </c>
      <c r="F52" s="10">
        <f>D52*E52</f>
        <v>143440</v>
      </c>
      <c r="H52" s="39">
        <f>0.2*H31</f>
        <v>20</v>
      </c>
      <c r="I52" s="9">
        <f>I31</f>
        <v>0</v>
      </c>
      <c r="J52" s="10">
        <f>H52*I52</f>
        <v>0</v>
      </c>
    </row>
    <row r="53" spans="1:11" ht="12" x14ac:dyDescent="0.25">
      <c r="B53" s="64" t="s">
        <v>64</v>
      </c>
      <c r="C53" s="65"/>
      <c r="D53" s="39">
        <f>0.2*D32</f>
        <v>20</v>
      </c>
      <c r="E53" s="9">
        <f>E32</f>
        <v>15510</v>
      </c>
      <c r="F53" s="10">
        <f t="shared" ref="F53:F54" si="3">D53*E53</f>
        <v>310200</v>
      </c>
      <c r="H53" s="39">
        <f>0.2*H32</f>
        <v>20</v>
      </c>
      <c r="I53" s="9">
        <f>I32</f>
        <v>0</v>
      </c>
      <c r="J53" s="10">
        <f t="shared" ref="J53:J54" si="4">H53*I53</f>
        <v>0</v>
      </c>
    </row>
    <row r="54" spans="1:11" ht="12" x14ac:dyDescent="0.25">
      <c r="B54" s="64" t="s">
        <v>65</v>
      </c>
      <c r="C54" s="65"/>
      <c r="D54" s="39">
        <f>0.2*D33</f>
        <v>20</v>
      </c>
      <c r="E54" s="9">
        <f>E33</f>
        <v>3980</v>
      </c>
      <c r="F54" s="10">
        <f t="shared" si="3"/>
        <v>79600</v>
      </c>
      <c r="H54" s="39">
        <f>0.2*H33</f>
        <v>20</v>
      </c>
      <c r="I54" s="9">
        <f>I33</f>
        <v>0</v>
      </c>
      <c r="J54" s="10">
        <f t="shared" si="4"/>
        <v>0</v>
      </c>
    </row>
    <row r="55" spans="1:11" ht="12" x14ac:dyDescent="0.25">
      <c r="B55" s="64" t="s">
        <v>18</v>
      </c>
      <c r="C55" s="65"/>
      <c r="D55" s="8"/>
      <c r="E55" s="9">
        <f>$D$21</f>
        <v>26662</v>
      </c>
      <c r="F55" s="10">
        <f>D55*E55</f>
        <v>0</v>
      </c>
      <c r="H55" s="39">
        <f>D55</f>
        <v>0</v>
      </c>
      <c r="I55" s="9">
        <f>$H$21</f>
        <v>0</v>
      </c>
      <c r="J55" s="10">
        <f>H55*I55</f>
        <v>0</v>
      </c>
    </row>
    <row r="56" spans="1:11" ht="12" x14ac:dyDescent="0.25">
      <c r="B56" s="84" t="s">
        <v>51</v>
      </c>
      <c r="C56" s="85"/>
      <c r="D56" s="11"/>
      <c r="E56" s="12"/>
      <c r="F56" s="13">
        <f>SUM(F52:F55)*4</f>
        <v>2132960</v>
      </c>
      <c r="H56" s="11"/>
      <c r="I56" s="12"/>
      <c r="J56" s="13">
        <f>SUM(J52:J55)*4</f>
        <v>0</v>
      </c>
    </row>
    <row r="57" spans="1:11" ht="12" x14ac:dyDescent="0.25">
      <c r="B57" s="4"/>
      <c r="C57" s="33"/>
      <c r="D57" s="14"/>
      <c r="E57" s="9"/>
      <c r="F57" s="10"/>
      <c r="H57" s="14"/>
      <c r="I57" s="9"/>
      <c r="J57" s="10"/>
    </row>
    <row r="58" spans="1:11" ht="12" x14ac:dyDescent="0.25">
      <c r="B58" s="64" t="s">
        <v>28</v>
      </c>
      <c r="C58" s="65"/>
      <c r="D58" s="30">
        <v>0</v>
      </c>
      <c r="E58" s="9">
        <f>$D$21</f>
        <v>26662</v>
      </c>
      <c r="F58" s="10">
        <f>D58*E58</f>
        <v>0</v>
      </c>
      <c r="H58" s="30">
        <v>0</v>
      </c>
      <c r="I58" s="9">
        <f>$H$21</f>
        <v>0</v>
      </c>
      <c r="J58" s="10">
        <f>H58*I58</f>
        <v>0</v>
      </c>
    </row>
    <row r="59" spans="1:11" ht="12" x14ac:dyDescent="0.25">
      <c r="B59" s="61" t="s">
        <v>20</v>
      </c>
      <c r="C59" s="62"/>
      <c r="D59" s="31">
        <v>1.37</v>
      </c>
      <c r="E59" s="9">
        <f t="shared" ref="E59:E61" si="5">$D$21</f>
        <v>26662</v>
      </c>
      <c r="F59" s="10">
        <f>D59*E59</f>
        <v>36526.94</v>
      </c>
      <c r="H59" s="31">
        <v>1.37</v>
      </c>
      <c r="I59" s="9">
        <f t="shared" ref="I59:I61" si="6">$H$21</f>
        <v>0</v>
      </c>
      <c r="J59" s="10">
        <f>H59*I59</f>
        <v>0</v>
      </c>
    </row>
    <row r="60" spans="1:11" ht="12" x14ac:dyDescent="0.25">
      <c r="B60" s="61" t="s">
        <v>21</v>
      </c>
      <c r="C60" s="62"/>
      <c r="D60" s="31">
        <v>3.94</v>
      </c>
      <c r="E60" s="9">
        <f t="shared" si="5"/>
        <v>26662</v>
      </c>
      <c r="F60" s="10">
        <f>D60*E60</f>
        <v>105048.28</v>
      </c>
      <c r="H60" s="31">
        <v>3.94</v>
      </c>
      <c r="I60" s="9">
        <f t="shared" si="6"/>
        <v>0</v>
      </c>
      <c r="J60" s="10">
        <f>H60*I60</f>
        <v>0</v>
      </c>
    </row>
    <row r="61" spans="1:11" ht="12" x14ac:dyDescent="0.25">
      <c r="B61" s="61" t="s">
        <v>29</v>
      </c>
      <c r="C61" s="62"/>
      <c r="D61" s="31">
        <v>7.07</v>
      </c>
      <c r="E61" s="9">
        <f t="shared" si="5"/>
        <v>26662</v>
      </c>
      <c r="F61" s="10">
        <f>D61*E61</f>
        <v>188500.34</v>
      </c>
      <c r="H61" s="31">
        <v>7.07</v>
      </c>
      <c r="I61" s="9">
        <f t="shared" si="6"/>
        <v>0</v>
      </c>
      <c r="J61" s="10">
        <f>H61*I61</f>
        <v>0</v>
      </c>
    </row>
    <row r="62" spans="1:11" x14ac:dyDescent="0.25">
      <c r="B62" s="84" t="s">
        <v>50</v>
      </c>
      <c r="C62" s="85"/>
      <c r="D62" s="9"/>
      <c r="E62" s="15"/>
      <c r="F62" s="13">
        <f>SUM(F58:F61)</f>
        <v>330075.56</v>
      </c>
      <c r="H62" s="9"/>
      <c r="I62" s="15"/>
      <c r="J62" s="13">
        <f>SUM(J58:J61)</f>
        <v>0</v>
      </c>
    </row>
    <row r="63" spans="1:11" ht="12" x14ac:dyDescent="0.25">
      <c r="B63" s="52"/>
      <c r="D63" s="52"/>
      <c r="E63" s="4"/>
      <c r="F63" s="52"/>
      <c r="H63" s="52"/>
      <c r="I63" s="4"/>
      <c r="J63" s="52"/>
    </row>
    <row r="64" spans="1:11" s="76" customFormat="1" x14ac:dyDescent="0.25">
      <c r="A64" s="75"/>
      <c r="B64" s="16" t="s">
        <v>22</v>
      </c>
      <c r="C64" s="16"/>
      <c r="D64" s="24">
        <f>F56+F62</f>
        <v>2463035.56</v>
      </c>
      <c r="E64" s="17"/>
      <c r="F64" s="17"/>
      <c r="G64" s="77"/>
      <c r="H64" s="24">
        <f>J56+J62</f>
        <v>0</v>
      </c>
      <c r="I64" s="17"/>
      <c r="J64" s="17"/>
      <c r="K64" s="77"/>
    </row>
    <row r="65" spans="1:11" s="76" customFormat="1" x14ac:dyDescent="0.25">
      <c r="A65" s="75"/>
      <c r="B65" s="17"/>
      <c r="C65" s="34"/>
      <c r="D65" s="17"/>
      <c r="E65" s="17"/>
      <c r="F65" s="17"/>
      <c r="G65" s="77"/>
      <c r="H65" s="17"/>
      <c r="I65" s="17"/>
      <c r="J65" s="17"/>
      <c r="K65" s="77"/>
    </row>
    <row r="66" spans="1:11" s="76" customFormat="1" x14ac:dyDescent="0.25">
      <c r="A66" s="75"/>
      <c r="B66" s="78" t="s">
        <v>31</v>
      </c>
      <c r="C66" s="78"/>
      <c r="D66" s="79"/>
      <c r="E66" s="79"/>
      <c r="F66" s="79"/>
      <c r="G66" s="77"/>
      <c r="H66" s="79"/>
      <c r="I66" s="79"/>
      <c r="J66" s="79"/>
      <c r="K66" s="77"/>
    </row>
    <row r="67" spans="1:11" s="76" customFormat="1" x14ac:dyDescent="0.25">
      <c r="A67" s="75"/>
      <c r="B67" s="17"/>
      <c r="C67" s="34"/>
      <c r="D67" s="17"/>
      <c r="E67" s="17"/>
      <c r="F67" s="17"/>
      <c r="G67" s="77"/>
      <c r="H67" s="17"/>
      <c r="I67" s="17"/>
      <c r="J67" s="17"/>
      <c r="K67" s="77"/>
    </row>
    <row r="68" spans="1:11" s="76" customFormat="1" x14ac:dyDescent="0.25">
      <c r="A68" s="75"/>
      <c r="B68" s="61" t="s">
        <v>45</v>
      </c>
      <c r="C68" s="72"/>
      <c r="D68" s="27">
        <f>(D48+H48)/(D21+H21)/4</f>
        <v>119</v>
      </c>
      <c r="E68" s="17"/>
      <c r="F68" s="17"/>
      <c r="G68" s="77"/>
      <c r="H68" s="27"/>
      <c r="I68" s="17"/>
      <c r="J68" s="17"/>
      <c r="K68" s="77"/>
    </row>
    <row r="69" spans="1:11" s="76" customFormat="1" x14ac:dyDescent="0.25">
      <c r="A69" s="75"/>
      <c r="B69" s="61" t="s">
        <v>46</v>
      </c>
      <c r="C69" s="72"/>
      <c r="D69" s="27">
        <f>(D64+H64)/(D21+H21)/4</f>
        <v>23.094999999999999</v>
      </c>
      <c r="E69" s="17"/>
      <c r="F69" s="17"/>
      <c r="G69" s="77"/>
      <c r="H69" s="27"/>
      <c r="I69" s="17"/>
      <c r="J69" s="17"/>
      <c r="K69" s="77"/>
    </row>
    <row r="70" spans="1:11" s="76" customFormat="1" x14ac:dyDescent="0.25">
      <c r="A70" s="75"/>
      <c r="B70" s="61" t="s">
        <v>47</v>
      </c>
      <c r="C70" s="72"/>
      <c r="D70" s="27">
        <f>D68+D69</f>
        <v>142.095</v>
      </c>
      <c r="E70" s="17"/>
      <c r="F70" s="17"/>
      <c r="G70" s="77"/>
      <c r="H70" s="27"/>
      <c r="I70" s="17"/>
      <c r="J70" s="17"/>
      <c r="K70" s="77"/>
    </row>
    <row r="71" spans="1:11" s="76" customFormat="1" x14ac:dyDescent="0.25">
      <c r="A71" s="75"/>
      <c r="B71" s="17"/>
      <c r="C71" s="34"/>
      <c r="D71" s="17"/>
      <c r="E71" s="17"/>
      <c r="F71" s="17"/>
      <c r="G71" s="77"/>
      <c r="H71" s="17"/>
      <c r="I71" s="17"/>
      <c r="J71" s="17"/>
      <c r="K71" s="77"/>
    </row>
    <row r="72" spans="1:11" ht="12" x14ac:dyDescent="0.25">
      <c r="B72" s="5"/>
      <c r="C72" s="35"/>
      <c r="D72" s="1"/>
      <c r="E72" s="1"/>
      <c r="F72" s="4"/>
      <c r="H72" s="1"/>
      <c r="I72" s="1"/>
      <c r="J72" s="4"/>
    </row>
    <row r="73" spans="1:11" ht="12" x14ac:dyDescent="0.25">
      <c r="B73" s="5"/>
      <c r="C73" s="35"/>
      <c r="D73" s="1"/>
      <c r="E73" s="1"/>
      <c r="F73" s="4"/>
      <c r="H73" s="1"/>
      <c r="I73" s="1"/>
      <c r="J73" s="4"/>
    </row>
    <row r="74" spans="1:11" ht="12" x14ac:dyDescent="0.25">
      <c r="B74" s="5"/>
      <c r="C74" s="35"/>
      <c r="D74" s="1"/>
      <c r="E74" s="1"/>
      <c r="F74" s="4"/>
      <c r="H74" s="1"/>
      <c r="I74" s="1"/>
      <c r="J74" s="4"/>
    </row>
    <row r="75" spans="1:11" ht="12" x14ac:dyDescent="0.25">
      <c r="B75" s="5"/>
      <c r="C75" s="35"/>
      <c r="D75" s="1"/>
      <c r="E75" s="1"/>
      <c r="F75" s="4"/>
      <c r="H75" s="1"/>
      <c r="I75" s="1"/>
      <c r="J75" s="4"/>
    </row>
    <row r="76" spans="1:11" ht="12" x14ac:dyDescent="0.25">
      <c r="B76" s="5"/>
      <c r="C76" s="35"/>
      <c r="D76" s="1"/>
      <c r="E76" s="1"/>
      <c r="F76" s="4"/>
      <c r="H76" s="1"/>
      <c r="I76" s="1"/>
      <c r="J76" s="4"/>
    </row>
    <row r="77" spans="1:11" ht="12" x14ac:dyDescent="0.25">
      <c r="B77" s="5"/>
      <c r="C77" s="35"/>
      <c r="D77" s="1"/>
      <c r="E77" s="1"/>
      <c r="F77" s="4"/>
      <c r="H77" s="1"/>
      <c r="I77" s="1"/>
      <c r="J77" s="4"/>
    </row>
    <row r="78" spans="1:11" ht="12" x14ac:dyDescent="0.25">
      <c r="B78" s="5"/>
      <c r="C78" s="35"/>
      <c r="D78" s="1"/>
      <c r="E78" s="1"/>
      <c r="F78" s="4"/>
      <c r="H78" s="1"/>
      <c r="I78" s="1"/>
      <c r="J78" s="4"/>
    </row>
    <row r="79" spans="1:11" ht="12" x14ac:dyDescent="0.25">
      <c r="B79" s="5"/>
      <c r="C79" s="35"/>
      <c r="D79" s="52" t="s">
        <v>1</v>
      </c>
      <c r="E79" s="18" t="s">
        <v>23</v>
      </c>
      <c r="F79" s="52"/>
      <c r="H79" s="1"/>
      <c r="I79" s="1"/>
      <c r="J79" s="4"/>
    </row>
    <row r="80" spans="1:11" ht="12" x14ac:dyDescent="0.25">
      <c r="B80" s="5"/>
      <c r="C80" s="35"/>
      <c r="D80" s="52" t="s">
        <v>24</v>
      </c>
      <c r="E80" s="18" t="s">
        <v>23</v>
      </c>
      <c r="F80" s="52"/>
      <c r="H80" s="1"/>
      <c r="I80" s="1"/>
      <c r="J80" s="4"/>
    </row>
    <row r="81" spans="2:10" ht="12" x14ac:dyDescent="0.25">
      <c r="B81" s="5"/>
      <c r="C81" s="35"/>
      <c r="D81" s="52" t="s">
        <v>25</v>
      </c>
      <c r="E81" s="18" t="s">
        <v>23</v>
      </c>
      <c r="F81" s="52"/>
      <c r="H81" s="1"/>
      <c r="I81" s="1"/>
      <c r="J81" s="4"/>
    </row>
    <row r="82" spans="2:10" ht="12" x14ac:dyDescent="0.25">
      <c r="B82" s="5"/>
      <c r="C82" s="35"/>
      <c r="D82" s="52" t="s">
        <v>26</v>
      </c>
      <c r="E82" s="18" t="s">
        <v>23</v>
      </c>
      <c r="F82" s="52"/>
      <c r="H82" s="1"/>
      <c r="I82" s="1"/>
      <c r="J82" s="4"/>
    </row>
    <row r="83" spans="2:10" ht="14.5" customHeight="1" x14ac:dyDescent="0.25">
      <c r="B83" s="5"/>
      <c r="C83" s="35"/>
      <c r="D83" s="94" t="s">
        <v>27</v>
      </c>
      <c r="E83" s="93" t="s">
        <v>23</v>
      </c>
      <c r="F83" s="52"/>
      <c r="H83" s="1"/>
      <c r="I83" s="1"/>
      <c r="J83" s="4"/>
    </row>
    <row r="84" spans="2:10" ht="12" x14ac:dyDescent="0.25">
      <c r="B84" s="5"/>
      <c r="C84" s="35"/>
      <c r="D84" s="94"/>
      <c r="E84" s="93"/>
      <c r="F84" s="52"/>
      <c r="H84" s="1"/>
      <c r="I84" s="1"/>
      <c r="J84" s="4"/>
    </row>
    <row r="85" spans="2:10" ht="12" x14ac:dyDescent="0.25">
      <c r="B85" s="5"/>
      <c r="C85" s="35"/>
      <c r="D85" s="5"/>
      <c r="E85" s="5"/>
      <c r="F85" s="5"/>
      <c r="H85" s="1"/>
      <c r="I85" s="1"/>
      <c r="J85" s="4"/>
    </row>
    <row r="91" spans="2:10" x14ac:dyDescent="0.25">
      <c r="D91" s="87"/>
      <c r="H91" s="87"/>
    </row>
    <row r="92" spans="2:10" x14ac:dyDescent="0.25">
      <c r="D92" s="87"/>
      <c r="H92" s="87"/>
    </row>
    <row r="93" spans="2:10" x14ac:dyDescent="0.25">
      <c r="D93" s="87"/>
      <c r="H93" s="87"/>
    </row>
    <row r="94" spans="2:10" x14ac:dyDescent="0.25">
      <c r="D94" s="87"/>
      <c r="H94" s="87"/>
    </row>
    <row r="95" spans="2:10" x14ac:dyDescent="0.25">
      <c r="D95" s="87"/>
      <c r="H95" s="87"/>
    </row>
    <row r="96" spans="2:10" x14ac:dyDescent="0.25">
      <c r="D96" s="87"/>
      <c r="H96" s="87"/>
    </row>
    <row r="97" spans="4:8" x14ac:dyDescent="0.25">
      <c r="D97" s="87"/>
      <c r="H97" s="87"/>
    </row>
  </sheetData>
  <sheetProtection algorithmName="SHA-512" hashValue="l3ex2sLKXH5mMUu4RQ6ztxuZMzgfmg4fJXy06KYqyqOYkd4MwIHwTzfekSlt+w0/oWs0jCLRKBRE9aX3n+1KRg==" saltValue="gF8Qzd2O5kWKHp1OMuMfyg==" spinCount="100000" sheet="1" objects="1" scenarios="1"/>
  <protectedRanges>
    <protectedRange sqref="E79:E84" name="Bereik16"/>
    <protectedRange sqref="H58:H61" name="Bereik15"/>
    <protectedRange sqref="D58:D61" name="Bereik14"/>
    <protectedRange sqref="D55" name="Bereik13"/>
    <protectedRange sqref="J31:J33" name="Bereik12"/>
    <protectedRange sqref="H31:H33" name="Bereik11"/>
    <protectedRange sqref="H19:I29" name="Bereik10"/>
    <protectedRange sqref="D31:D33" name="Bereik9"/>
    <protectedRange sqref="D22:E29" name="Bereik8"/>
    <protectedRange sqref="D19:D20" name="Bereik7"/>
    <protectedRange sqref="H14" name="Bereik6"/>
    <protectedRange sqref="D14" name="Bereik5"/>
    <protectedRange sqref="H9:I9" name="Bereik4"/>
    <protectedRange sqref="H7:I7" name="Bereik3"/>
    <protectedRange sqref="D9:E9" name="Bereik2"/>
    <protectedRange sqref="D7:E7" name="Bereik1"/>
  </protectedRanges>
  <mergeCells count="6">
    <mergeCell ref="H14:I14"/>
    <mergeCell ref="H18:I18"/>
    <mergeCell ref="E83:E84"/>
    <mergeCell ref="D83:D84"/>
    <mergeCell ref="D14:E14"/>
    <mergeCell ref="D18:E18"/>
  </mergeCells>
  <conditionalFormatting sqref="D24">
    <cfRule type="expression" dxfId="5" priority="7">
      <formula>D23="N.v.t."</formula>
    </cfRule>
  </conditionalFormatting>
  <conditionalFormatting sqref="E25:E30 I25:I30 D30">
    <cfRule type="expression" dxfId="4" priority="3">
      <formula>C25="Nee"</formula>
    </cfRule>
  </conditionalFormatting>
  <conditionalFormatting sqref="H24">
    <cfRule type="expression" dxfId="3" priority="6">
      <formula>H23="N.v.t."</formula>
    </cfRule>
  </conditionalFormatting>
  <conditionalFormatting sqref="H30">
    <cfRule type="expression" dxfId="2" priority="1">
      <formula>G30="Nee"</formula>
    </cfRule>
  </conditionalFormatting>
  <dataValidations count="3">
    <dataValidation type="list" allowBlank="1" showInputMessage="1" showErrorMessage="1" sqref="D23 H23" xr:uid="{6BCA1EC9-5184-4A95-B630-5BFC374BBCFE}">
      <formula1>$M$23:$Q$23</formula1>
    </dataValidation>
    <dataValidation type="list" allowBlank="1" showInputMessage="1" showErrorMessage="1" sqref="D25 H25 H27:H29 D27:D29" xr:uid="{AC4103D8-6C27-4812-8042-5B4721A71F58}">
      <formula1>$M$24:$N$24</formula1>
    </dataValidation>
    <dataValidation type="list" allowBlank="1" showInputMessage="1" showErrorMessage="1" sqref="D26 H26" xr:uid="{0A3D7FCF-72CF-4AEE-B2A8-DBD01EA43DE6}">
      <formula1>$M$26:$P$26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CA2F-DE87-4C88-89FD-B845B5EE4036}">
  <dimension ref="A1:L91"/>
  <sheetViews>
    <sheetView topLeftCell="A13" zoomScaleNormal="100" workbookViewId="0">
      <selection activeCell="M12" sqref="M12"/>
    </sheetView>
  </sheetViews>
  <sheetFormatPr defaultColWidth="8.81640625" defaultRowHeight="11.5" x14ac:dyDescent="0.25"/>
  <cols>
    <col min="1" max="1" width="2.1796875" style="52" customWidth="1"/>
    <col min="2" max="2" width="79.1796875" style="54" customWidth="1"/>
    <col min="3" max="3" width="25" style="54" bestFit="1" customWidth="1"/>
    <col min="4" max="5" width="24" style="54" bestFit="1" customWidth="1"/>
    <col min="6" max="6" width="25.81640625" style="54" customWidth="1"/>
    <col min="7" max="7" width="21.26953125" style="54" customWidth="1"/>
    <col min="8" max="8" width="13.26953125" style="54" hidden="1" customWidth="1"/>
    <col min="9" max="12" width="8.81640625" style="54" hidden="1" customWidth="1"/>
    <col min="13" max="13" width="8.81640625" style="54" customWidth="1"/>
    <col min="14" max="16384" width="8.81640625" style="54"/>
  </cols>
  <sheetData>
    <row r="1" spans="2:8" x14ac:dyDescent="0.25">
      <c r="B1" s="52"/>
      <c r="C1" s="52"/>
      <c r="D1" s="52"/>
      <c r="E1" s="52"/>
    </row>
    <row r="2" spans="2:8" x14ac:dyDescent="0.25">
      <c r="B2" s="55" t="s">
        <v>48</v>
      </c>
      <c r="C2" s="55"/>
      <c r="D2" s="55"/>
      <c r="E2" s="52"/>
    </row>
    <row r="3" spans="2:8" x14ac:dyDescent="0.25">
      <c r="B3" s="55"/>
      <c r="C3" s="55"/>
      <c r="D3" s="55"/>
      <c r="E3" s="52"/>
    </row>
    <row r="4" spans="2:8" x14ac:dyDescent="0.25">
      <c r="B4" s="57" t="s">
        <v>0</v>
      </c>
      <c r="C4" s="57"/>
      <c r="D4" s="57"/>
      <c r="E4" s="57"/>
      <c r="F4" s="59"/>
      <c r="G4" s="59"/>
      <c r="H4" s="59"/>
    </row>
    <row r="5" spans="2:8" x14ac:dyDescent="0.25">
      <c r="B5" s="60"/>
      <c r="C5" s="60"/>
      <c r="D5" s="60"/>
      <c r="E5" s="60"/>
      <c r="F5" s="59"/>
      <c r="G5" s="59"/>
      <c r="H5" s="59"/>
    </row>
    <row r="6" spans="2:8" x14ac:dyDescent="0.25">
      <c r="B6" s="61"/>
      <c r="C6" s="63" t="s">
        <v>1</v>
      </c>
      <c r="D6" s="63" t="s">
        <v>2</v>
      </c>
      <c r="E6" s="1"/>
    </row>
    <row r="7" spans="2:8" x14ac:dyDescent="0.25">
      <c r="B7" s="64" t="s">
        <v>3</v>
      </c>
      <c r="C7" s="2" t="s">
        <v>4</v>
      </c>
      <c r="D7" s="2" t="s">
        <v>5</v>
      </c>
      <c r="E7" s="1"/>
    </row>
    <row r="8" spans="2:8" x14ac:dyDescent="0.25">
      <c r="B8" s="52"/>
      <c r="C8" s="52"/>
      <c r="D8" s="52"/>
      <c r="E8" s="1"/>
    </row>
    <row r="9" spans="2:8" ht="12" x14ac:dyDescent="0.25">
      <c r="B9" s="64" t="s">
        <v>6</v>
      </c>
      <c r="C9" s="2" t="s">
        <v>4</v>
      </c>
      <c r="D9" s="2" t="s">
        <v>5</v>
      </c>
      <c r="E9" s="3" t="s">
        <v>7</v>
      </c>
    </row>
    <row r="10" spans="2:8" x14ac:dyDescent="0.25">
      <c r="B10" s="1"/>
      <c r="C10" s="1"/>
      <c r="D10" s="66"/>
      <c r="E10" s="1"/>
    </row>
    <row r="11" spans="2:8" x14ac:dyDescent="0.25">
      <c r="B11" s="57" t="s">
        <v>8</v>
      </c>
      <c r="C11" s="57"/>
      <c r="D11" s="57"/>
      <c r="E11" s="57"/>
      <c r="F11" s="59"/>
      <c r="G11" s="59"/>
      <c r="H11" s="59"/>
    </row>
    <row r="12" spans="2:8" x14ac:dyDescent="0.25">
      <c r="B12" s="1"/>
      <c r="C12" s="1"/>
      <c r="D12" s="66"/>
      <c r="E12" s="1"/>
    </row>
    <row r="13" spans="2:8" ht="12" x14ac:dyDescent="0.25">
      <c r="B13" s="95" t="s">
        <v>9</v>
      </c>
      <c r="C13" s="96"/>
      <c r="D13" s="66"/>
      <c r="E13" s="4"/>
    </row>
    <row r="14" spans="2:8" ht="12" x14ac:dyDescent="0.25">
      <c r="B14" s="64" t="s">
        <v>71</v>
      </c>
      <c r="C14" s="91" t="s">
        <v>4</v>
      </c>
      <c r="D14" s="91"/>
      <c r="E14" s="3" t="s">
        <v>7</v>
      </c>
    </row>
    <row r="15" spans="2:8" ht="12" x14ac:dyDescent="0.25">
      <c r="B15" s="1"/>
      <c r="C15" s="1"/>
      <c r="D15" s="1"/>
      <c r="E15" s="4"/>
    </row>
    <row r="16" spans="2:8" x14ac:dyDescent="0.25">
      <c r="B16" s="57" t="s">
        <v>11</v>
      </c>
      <c r="C16" s="57"/>
      <c r="D16" s="57"/>
      <c r="E16" s="57"/>
      <c r="F16" s="59"/>
      <c r="G16" s="59"/>
      <c r="H16" s="59"/>
    </row>
    <row r="17" spans="1:12" x14ac:dyDescent="0.25">
      <c r="B17" s="52"/>
      <c r="C17" s="52"/>
      <c r="D17" s="52"/>
      <c r="E17" s="52"/>
    </row>
    <row r="18" spans="1:12" ht="12" x14ac:dyDescent="0.25">
      <c r="B18" s="52"/>
      <c r="C18" s="92" t="s">
        <v>12</v>
      </c>
      <c r="D18" s="92"/>
      <c r="E18" s="4"/>
    </row>
    <row r="19" spans="1:12" x14ac:dyDescent="0.25">
      <c r="B19" s="64" t="s">
        <v>1</v>
      </c>
      <c r="C19" s="2" t="s">
        <v>4</v>
      </c>
      <c r="D19" s="52"/>
      <c r="E19" s="52"/>
    </row>
    <row r="20" spans="1:12" x14ac:dyDescent="0.25">
      <c r="B20" s="64" t="s">
        <v>13</v>
      </c>
      <c r="C20" s="2" t="s">
        <v>14</v>
      </c>
      <c r="D20" s="52"/>
      <c r="E20" s="52"/>
    </row>
    <row r="21" spans="1:12" x14ac:dyDescent="0.25">
      <c r="B21" s="64" t="s">
        <v>15</v>
      </c>
      <c r="C21" s="6"/>
      <c r="D21" s="52"/>
      <c r="E21" s="52"/>
    </row>
    <row r="22" spans="1:12" x14ac:dyDescent="0.25">
      <c r="B22" s="64" t="s">
        <v>35</v>
      </c>
      <c r="C22" s="21" t="s">
        <v>36</v>
      </c>
      <c r="D22" s="52"/>
      <c r="E22" s="52"/>
      <c r="H22" s="54" t="s">
        <v>36</v>
      </c>
      <c r="I22" s="54">
        <v>2025</v>
      </c>
      <c r="J22" s="54">
        <v>2026</v>
      </c>
      <c r="K22" s="54">
        <v>2027</v>
      </c>
      <c r="L22" s="54">
        <v>2028</v>
      </c>
    </row>
    <row r="23" spans="1:12" x14ac:dyDescent="0.25">
      <c r="B23" s="64" t="s">
        <v>37</v>
      </c>
      <c r="C23" s="19">
        <v>1</v>
      </c>
      <c r="D23" s="52"/>
      <c r="E23" s="52"/>
    </row>
    <row r="24" spans="1:12" x14ac:dyDescent="0.25">
      <c r="B24" s="64" t="s">
        <v>38</v>
      </c>
      <c r="C24" s="6" t="s">
        <v>40</v>
      </c>
      <c r="D24" s="52"/>
      <c r="E24" s="52"/>
      <c r="H24" s="54" t="s">
        <v>39</v>
      </c>
      <c r="I24" s="54" t="s">
        <v>40</v>
      </c>
    </row>
    <row r="25" spans="1:12" x14ac:dyDescent="0.25">
      <c r="B25" s="64" t="s">
        <v>72</v>
      </c>
      <c r="C25" s="38">
        <v>100</v>
      </c>
      <c r="D25" s="52"/>
      <c r="E25" s="52"/>
    </row>
    <row r="26" spans="1:12" x14ac:dyDescent="0.25">
      <c r="B26" s="64" t="s">
        <v>73</v>
      </c>
      <c r="C26" s="38">
        <v>100</v>
      </c>
      <c r="D26" s="52"/>
      <c r="E26" s="52"/>
    </row>
    <row r="27" spans="1:12" x14ac:dyDescent="0.25">
      <c r="B27" s="64" t="s">
        <v>74</v>
      </c>
      <c r="C27" s="38">
        <v>100</v>
      </c>
      <c r="D27" s="52"/>
      <c r="E27" s="52"/>
    </row>
    <row r="28" spans="1:12" ht="12" customHeight="1" x14ac:dyDescent="0.25">
      <c r="B28" s="64" t="s">
        <v>75</v>
      </c>
      <c r="C28" s="41">
        <v>0.1522</v>
      </c>
      <c r="D28" s="88" t="s">
        <v>76</v>
      </c>
      <c r="E28" s="89"/>
    </row>
    <row r="29" spans="1:12" ht="12" customHeight="1" x14ac:dyDescent="0.25">
      <c r="B29" s="64" t="s">
        <v>77</v>
      </c>
      <c r="C29" s="41">
        <f>1-C28</f>
        <v>0.8478</v>
      </c>
      <c r="D29" s="88"/>
      <c r="E29" s="89"/>
    </row>
    <row r="30" spans="1:12" x14ac:dyDescent="0.25">
      <c r="B30" s="66"/>
      <c r="C30" s="26"/>
      <c r="D30" s="52"/>
      <c r="E30" s="52"/>
    </row>
    <row r="31" spans="1:12" s="76" customFormat="1" x14ac:dyDescent="0.25">
      <c r="A31" s="75"/>
      <c r="B31" s="78" t="s">
        <v>33</v>
      </c>
      <c r="C31" s="79"/>
      <c r="D31" s="79"/>
      <c r="E31" s="79"/>
    </row>
    <row r="32" spans="1:12" s="76" customFormat="1" x14ac:dyDescent="0.25">
      <c r="A32" s="75"/>
      <c r="B32" s="42" t="s">
        <v>44</v>
      </c>
      <c r="C32" s="25">
        <v>350</v>
      </c>
      <c r="D32" s="17"/>
      <c r="E32" s="17"/>
    </row>
    <row r="33" spans="1:6" s="76" customFormat="1" ht="12" x14ac:dyDescent="0.25">
      <c r="A33" s="75"/>
      <c r="B33" s="7"/>
      <c r="C33" s="7" t="s">
        <v>49</v>
      </c>
      <c r="D33" s="7" t="s">
        <v>16</v>
      </c>
      <c r="E33" s="7" t="s">
        <v>41</v>
      </c>
    </row>
    <row r="34" spans="1:6" ht="12" x14ac:dyDescent="0.25">
      <c r="B34" s="61" t="s">
        <v>19</v>
      </c>
      <c r="C34" s="90">
        <f>-(C21*450-340)</f>
        <v>340</v>
      </c>
      <c r="D34" s="9">
        <v>5835</v>
      </c>
      <c r="E34" s="43">
        <f>(C34/1000)*D34*$C$32</f>
        <v>694365</v>
      </c>
    </row>
    <row r="35" spans="1:6" s="76" customFormat="1" ht="12" x14ac:dyDescent="0.25">
      <c r="A35" s="75"/>
      <c r="B35" s="61" t="s">
        <v>30</v>
      </c>
      <c r="C35" s="90">
        <f>-(340-136)</f>
        <v>-204</v>
      </c>
      <c r="D35" s="9">
        <f>IF(C22=H22,0,D34*C23*(2029-C22)/4)</f>
        <v>0</v>
      </c>
      <c r="E35" s="43">
        <f>(C35/1000)*D35*$C$32</f>
        <v>0</v>
      </c>
    </row>
    <row r="36" spans="1:6" ht="12" x14ac:dyDescent="0.25">
      <c r="B36" s="64" t="s">
        <v>32</v>
      </c>
      <c r="C36" s="90">
        <v>-70</v>
      </c>
      <c r="D36" s="9">
        <f>IF(C24="Nee",0,D34)</f>
        <v>0</v>
      </c>
      <c r="E36" s="43">
        <f>IF(C24="Nee",0,(C36/1000)*D36*$C$32)</f>
        <v>0</v>
      </c>
    </row>
    <row r="37" spans="1:6" s="76" customFormat="1" ht="12" x14ac:dyDescent="0.25">
      <c r="A37" s="75"/>
      <c r="B37" s="84" t="s">
        <v>42</v>
      </c>
      <c r="C37" s="11"/>
      <c r="D37" s="12"/>
      <c r="E37" s="44">
        <f>(E34+E36)+E35*IF(C22=H22,0,2029-C22)/4</f>
        <v>694365</v>
      </c>
      <c r="F37" s="45"/>
    </row>
    <row r="38" spans="1:6" s="76" customFormat="1" x14ac:dyDescent="0.25">
      <c r="A38" s="75"/>
      <c r="B38" s="17"/>
      <c r="C38" s="17"/>
      <c r="D38" s="17"/>
      <c r="E38" s="17"/>
    </row>
    <row r="39" spans="1:6" s="76" customFormat="1" x14ac:dyDescent="0.25">
      <c r="A39" s="75"/>
      <c r="B39" s="17"/>
      <c r="C39" s="17"/>
      <c r="D39" s="17"/>
      <c r="E39" s="17"/>
    </row>
    <row r="40" spans="1:6" s="76" customFormat="1" x14ac:dyDescent="0.25">
      <c r="A40" s="75"/>
      <c r="B40" s="16" t="s">
        <v>22</v>
      </c>
      <c r="C40" s="24">
        <f>E37*4</f>
        <v>2777460</v>
      </c>
      <c r="D40" s="17"/>
      <c r="E40" s="17"/>
    </row>
    <row r="41" spans="1:6" ht="12" x14ac:dyDescent="0.25">
      <c r="B41" s="1"/>
      <c r="C41" s="1"/>
      <c r="D41" s="1"/>
      <c r="E41" s="4"/>
    </row>
    <row r="42" spans="1:6" s="76" customFormat="1" x14ac:dyDescent="0.25">
      <c r="A42" s="75"/>
      <c r="B42" s="78" t="s">
        <v>34</v>
      </c>
      <c r="C42" s="79"/>
      <c r="D42" s="79"/>
      <c r="E42" s="79"/>
    </row>
    <row r="43" spans="1:6" ht="12" x14ac:dyDescent="0.25">
      <c r="B43" s="1"/>
      <c r="C43" s="51"/>
      <c r="D43" s="7" t="s">
        <v>16</v>
      </c>
      <c r="E43" s="7" t="s">
        <v>17</v>
      </c>
    </row>
    <row r="44" spans="1:6" ht="12" x14ac:dyDescent="0.25">
      <c r="B44" s="64" t="s">
        <v>63</v>
      </c>
      <c r="C44" s="50">
        <f>0.2*C25</f>
        <v>20</v>
      </c>
      <c r="D44" s="9">
        <v>936</v>
      </c>
      <c r="E44" s="43">
        <f>C44*D44</f>
        <v>18720</v>
      </c>
    </row>
    <row r="45" spans="1:6" ht="12" x14ac:dyDescent="0.25">
      <c r="B45" s="64" t="s">
        <v>78</v>
      </c>
      <c r="C45" s="50">
        <f t="shared" ref="C45:C46" si="0">0.2*C26</f>
        <v>20</v>
      </c>
      <c r="D45" s="9">
        <v>3654</v>
      </c>
      <c r="E45" s="43">
        <f t="shared" ref="E45:E46" si="1">C45*D45</f>
        <v>73080</v>
      </c>
    </row>
    <row r="46" spans="1:6" ht="12" x14ac:dyDescent="0.25">
      <c r="B46" s="61" t="s">
        <v>65</v>
      </c>
      <c r="C46" s="46">
        <f t="shared" si="0"/>
        <v>20</v>
      </c>
      <c r="D46" s="9">
        <v>1245</v>
      </c>
      <c r="E46" s="43">
        <f t="shared" si="1"/>
        <v>24900</v>
      </c>
    </row>
    <row r="47" spans="1:6" ht="12" x14ac:dyDescent="0.25">
      <c r="B47" s="64" t="s">
        <v>18</v>
      </c>
      <c r="C47" s="8">
        <v>55</v>
      </c>
      <c r="D47" s="9">
        <f>D34</f>
        <v>5835</v>
      </c>
      <c r="E47" s="43">
        <f>C47*D47</f>
        <v>320925</v>
      </c>
    </row>
    <row r="48" spans="1:6" ht="12" x14ac:dyDescent="0.25">
      <c r="B48" s="64" t="s">
        <v>79</v>
      </c>
      <c r="C48" s="8">
        <v>1</v>
      </c>
      <c r="D48" s="9">
        <f>C28*D34</f>
        <v>888.08699999999999</v>
      </c>
      <c r="E48" s="43">
        <f t="shared" ref="E48:E49" si="2">C48*D48</f>
        <v>888.08699999999999</v>
      </c>
    </row>
    <row r="49" spans="1:5" ht="12" x14ac:dyDescent="0.25">
      <c r="B49" s="64" t="s">
        <v>80</v>
      </c>
      <c r="C49" s="8">
        <v>2</v>
      </c>
      <c r="D49" s="9">
        <f>C29*D34</f>
        <v>4946.9129999999996</v>
      </c>
      <c r="E49" s="43">
        <f t="shared" si="2"/>
        <v>9893.8259999999991</v>
      </c>
    </row>
    <row r="50" spans="1:5" ht="12" x14ac:dyDescent="0.25">
      <c r="B50" s="84" t="s">
        <v>81</v>
      </c>
      <c r="C50" s="11"/>
      <c r="D50" s="12"/>
      <c r="E50" s="44">
        <f>SUM(E44:E49)</f>
        <v>448406.913</v>
      </c>
    </row>
    <row r="51" spans="1:5" ht="12" x14ac:dyDescent="0.25">
      <c r="B51" s="4"/>
      <c r="C51" s="14"/>
      <c r="D51" s="9"/>
      <c r="E51" s="43"/>
    </row>
    <row r="52" spans="1:5" ht="12" x14ac:dyDescent="0.25">
      <c r="B52" s="64" t="s">
        <v>28</v>
      </c>
      <c r="C52" s="30">
        <v>0</v>
      </c>
      <c r="D52" s="9">
        <f>$D$34</f>
        <v>5835</v>
      </c>
      <c r="E52" s="43">
        <f>C52*D52</f>
        <v>0</v>
      </c>
    </row>
    <row r="53" spans="1:5" ht="12" x14ac:dyDescent="0.25">
      <c r="B53" s="61" t="s">
        <v>20</v>
      </c>
      <c r="C53" s="31">
        <v>1.77</v>
      </c>
      <c r="D53" s="9">
        <f t="shared" ref="D53:D55" si="3">$D$34</f>
        <v>5835</v>
      </c>
      <c r="E53" s="43">
        <f>C53*D53</f>
        <v>10327.950000000001</v>
      </c>
    </row>
    <row r="54" spans="1:5" ht="12" x14ac:dyDescent="0.25">
      <c r="B54" s="61" t="s">
        <v>21</v>
      </c>
      <c r="C54" s="31">
        <v>5.0999999999999996</v>
      </c>
      <c r="D54" s="9">
        <f t="shared" si="3"/>
        <v>5835</v>
      </c>
      <c r="E54" s="43">
        <f>C54*D54</f>
        <v>29758.499999999996</v>
      </c>
    </row>
    <row r="55" spans="1:5" ht="12" x14ac:dyDescent="0.25">
      <c r="B55" s="61" t="s">
        <v>29</v>
      </c>
      <c r="C55" s="31">
        <v>9.14</v>
      </c>
      <c r="D55" s="9">
        <f t="shared" si="3"/>
        <v>5835</v>
      </c>
      <c r="E55" s="43">
        <f>C55*D55</f>
        <v>53331.9</v>
      </c>
    </row>
    <row r="56" spans="1:5" x14ac:dyDescent="0.25">
      <c r="B56" s="84" t="s">
        <v>82</v>
      </c>
      <c r="C56" s="9"/>
      <c r="D56" s="15"/>
      <c r="E56" s="44">
        <f>SUM(E52:E55)</f>
        <v>93418.35</v>
      </c>
    </row>
    <row r="57" spans="1:5" ht="12" x14ac:dyDescent="0.25">
      <c r="B57" s="52"/>
      <c r="C57" s="52"/>
      <c r="D57" s="4"/>
      <c r="E57" s="52"/>
    </row>
    <row r="58" spans="1:5" s="76" customFormat="1" x14ac:dyDescent="0.25">
      <c r="A58" s="75"/>
      <c r="B58" s="16" t="s">
        <v>22</v>
      </c>
      <c r="C58" s="24">
        <f>E50*4+E56</f>
        <v>1887046.0020000001</v>
      </c>
      <c r="D58" s="17"/>
      <c r="E58" s="17"/>
    </row>
    <row r="59" spans="1:5" s="76" customFormat="1" x14ac:dyDescent="0.25">
      <c r="A59" s="75"/>
      <c r="B59" s="17"/>
      <c r="C59" s="17"/>
      <c r="D59" s="17"/>
      <c r="E59" s="17"/>
    </row>
    <row r="60" spans="1:5" s="76" customFormat="1" x14ac:dyDescent="0.25">
      <c r="A60" s="75"/>
      <c r="B60" s="78" t="s">
        <v>31</v>
      </c>
      <c r="C60" s="79"/>
      <c r="D60" s="79"/>
      <c r="E60" s="79"/>
    </row>
    <row r="61" spans="1:5" s="76" customFormat="1" x14ac:dyDescent="0.25">
      <c r="A61" s="75"/>
      <c r="B61" s="17"/>
      <c r="C61" s="17"/>
      <c r="D61" s="17"/>
      <c r="E61" s="17"/>
    </row>
    <row r="62" spans="1:5" s="76" customFormat="1" x14ac:dyDescent="0.25">
      <c r="A62" s="75"/>
      <c r="B62" s="61" t="s">
        <v>45</v>
      </c>
      <c r="C62" s="27">
        <f>C40/D44/4</f>
        <v>741.84294871794873</v>
      </c>
      <c r="D62" s="17"/>
      <c r="E62" s="17"/>
    </row>
    <row r="63" spans="1:5" s="76" customFormat="1" x14ac:dyDescent="0.25">
      <c r="A63" s="75"/>
      <c r="B63" s="61" t="s">
        <v>46</v>
      </c>
      <c r="C63" s="27">
        <f>C58/D47/4</f>
        <v>80.850300000000004</v>
      </c>
      <c r="D63" s="17"/>
      <c r="E63" s="17"/>
    </row>
    <row r="64" spans="1:5" s="76" customFormat="1" x14ac:dyDescent="0.25">
      <c r="A64" s="75"/>
      <c r="B64" s="61" t="s">
        <v>47</v>
      </c>
      <c r="C64" s="27">
        <f>C62+C63</f>
        <v>822.69324871794879</v>
      </c>
      <c r="D64" s="17"/>
      <c r="E64" s="17"/>
    </row>
    <row r="65" spans="1:5" s="76" customFormat="1" x14ac:dyDescent="0.25">
      <c r="A65" s="75"/>
      <c r="B65" s="17"/>
      <c r="C65" s="17"/>
      <c r="D65" s="17"/>
      <c r="E65" s="17"/>
    </row>
    <row r="66" spans="1:5" ht="12" x14ac:dyDescent="0.25">
      <c r="B66" s="5"/>
      <c r="C66" s="1"/>
      <c r="D66" s="1"/>
      <c r="E66" s="4"/>
    </row>
    <row r="67" spans="1:5" ht="12" x14ac:dyDescent="0.25">
      <c r="B67" s="5"/>
      <c r="C67" s="1"/>
      <c r="D67" s="1"/>
      <c r="E67" s="4"/>
    </row>
    <row r="68" spans="1:5" ht="12" x14ac:dyDescent="0.25">
      <c r="B68" s="5"/>
      <c r="C68" s="1"/>
      <c r="D68" s="1"/>
      <c r="E68" s="4"/>
    </row>
    <row r="69" spans="1:5" ht="12" x14ac:dyDescent="0.25">
      <c r="B69" s="5"/>
      <c r="C69" s="1"/>
      <c r="D69" s="1"/>
      <c r="E69" s="4"/>
    </row>
    <row r="70" spans="1:5" ht="12" x14ac:dyDescent="0.25">
      <c r="B70" s="5"/>
      <c r="C70" s="1"/>
      <c r="D70" s="1"/>
      <c r="E70" s="4"/>
    </row>
    <row r="71" spans="1:5" ht="12" x14ac:dyDescent="0.25">
      <c r="B71" s="5"/>
      <c r="C71" s="1"/>
      <c r="D71" s="1"/>
      <c r="E71" s="4"/>
    </row>
    <row r="72" spans="1:5" ht="12" x14ac:dyDescent="0.25">
      <c r="B72" s="47"/>
      <c r="C72" s="1"/>
      <c r="D72" s="1"/>
      <c r="E72" s="4"/>
    </row>
    <row r="73" spans="1:5" x14ac:dyDescent="0.25">
      <c r="B73" s="47"/>
      <c r="C73" s="86" t="s">
        <v>1</v>
      </c>
      <c r="D73" s="18" t="s">
        <v>23</v>
      </c>
      <c r="E73" s="52"/>
    </row>
    <row r="74" spans="1:5" x14ac:dyDescent="0.25">
      <c r="B74" s="47"/>
      <c r="C74" s="86" t="s">
        <v>24</v>
      </c>
      <c r="D74" s="18" t="s">
        <v>23</v>
      </c>
      <c r="E74" s="52"/>
    </row>
    <row r="75" spans="1:5" x14ac:dyDescent="0.25">
      <c r="B75" s="47"/>
      <c r="C75" s="86" t="s">
        <v>25</v>
      </c>
      <c r="D75" s="18" t="s">
        <v>23</v>
      </c>
      <c r="E75" s="52"/>
    </row>
    <row r="76" spans="1:5" x14ac:dyDescent="0.25">
      <c r="B76" s="47"/>
      <c r="C76" s="86" t="s">
        <v>26</v>
      </c>
      <c r="D76" s="18" t="s">
        <v>23</v>
      </c>
      <c r="E76" s="52"/>
    </row>
    <row r="77" spans="1:5" ht="14.5" customHeight="1" x14ac:dyDescent="0.25">
      <c r="B77" s="47"/>
      <c r="D77" s="93" t="s">
        <v>23</v>
      </c>
      <c r="E77" s="52"/>
    </row>
    <row r="78" spans="1:5" x14ac:dyDescent="0.25">
      <c r="B78" s="52"/>
      <c r="C78" s="86" t="s">
        <v>27</v>
      </c>
      <c r="D78" s="93"/>
      <c r="E78" s="52"/>
    </row>
    <row r="79" spans="1:5" x14ac:dyDescent="0.25">
      <c r="B79" s="52"/>
      <c r="C79" s="52"/>
      <c r="D79" s="52"/>
      <c r="E79" s="52"/>
    </row>
    <row r="85" spans="3:3" x14ac:dyDescent="0.25">
      <c r="C85" s="87"/>
    </row>
    <row r="86" spans="3:3" x14ac:dyDescent="0.25">
      <c r="C86" s="87"/>
    </row>
    <row r="87" spans="3:3" x14ac:dyDescent="0.25">
      <c r="C87" s="87"/>
    </row>
    <row r="88" spans="3:3" x14ac:dyDescent="0.25">
      <c r="C88" s="87"/>
    </row>
    <row r="89" spans="3:3" x14ac:dyDescent="0.25">
      <c r="C89" s="87"/>
    </row>
    <row r="90" spans="3:3" x14ac:dyDescent="0.25">
      <c r="C90" s="87"/>
    </row>
    <row r="91" spans="3:3" x14ac:dyDescent="0.25">
      <c r="C91" s="87"/>
    </row>
  </sheetData>
  <sheetProtection algorithmName="SHA-512" hashValue="uDptYqXo03wbhYnoA/6vPeQor6bwq8Gp+Or7LrIZlyhBKOHGPZMdsT632YffGkZw2tcLwDNI/Ehq85uxkYilxw==" saltValue="Yb6i6o07vgjxv+NqmL5WiA==" spinCount="100000" sheet="1" objects="1" scenarios="1"/>
  <protectedRanges>
    <protectedRange sqref="D73:D78" name="Bereik4"/>
    <protectedRange sqref="C47:C55" name="Bereik3"/>
    <protectedRange sqref="C19:C27" name="Bereik2"/>
    <protectedRange sqref="C14" name="Bereik1"/>
  </protectedRanges>
  <mergeCells count="4">
    <mergeCell ref="B13:C13"/>
    <mergeCell ref="C14:D14"/>
    <mergeCell ref="C18:D18"/>
    <mergeCell ref="D77:D78"/>
  </mergeCells>
  <conditionalFormatting sqref="B20:C20">
    <cfRule type="expression" dxfId="1" priority="2">
      <formula>$C$14="Nee"</formula>
    </cfRule>
  </conditionalFormatting>
  <conditionalFormatting sqref="C23">
    <cfRule type="expression" dxfId="0" priority="1">
      <formula>$C$22="N.v.t."</formula>
    </cfRule>
  </conditionalFormatting>
  <dataValidations count="2">
    <dataValidation type="list" allowBlank="1" showInputMessage="1" showErrorMessage="1" sqref="C22" xr:uid="{B34652F8-21E5-483C-BB40-093F205EA005}">
      <formula1>$H$22:$L$22</formula1>
    </dataValidation>
    <dataValidation type="list" allowBlank="1" showInputMessage="1" showErrorMessage="1" sqref="C24" xr:uid="{E493C5C6-4BA9-4B01-AFBB-2D6002AFC1C3}">
      <formula1>$H$24:$I$24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6b20c8-2a7c-4c18-977c-a22f67789b66" xsi:nil="true"/>
    <Irrus_EntityType xmlns="d7c3a032-7e0a-46a8-abcd-c35109451c61">project</Irrus_EntityType>
    <Project_ID xmlns="d7c3a032-7e0a-46a8-abcd-c35109451c61">project:7e85b432249c554f9867312a6e7c6750</Project_ID>
    <Project_Naam xmlns="d7c3a032-7e0a-46a8-abcd-c35109451c61">Verkenning restafval aanbesteding</Project_Naam>
    <Project_Contactpersoon xmlns="d7c3a032-7e0a-46a8-abcd-c35109451c61">Frank Donkers</Project_Contactpersoon>
    <Relatie_Nummer xmlns="d7c3a032-7e0a-46a8-abcd-c35109451c61">12692</Relatie_Nummer>
    <lcf76f155ced4ddcb4097134ff3c332f xmlns="d7c3a032-7e0a-46a8-abcd-c35109451c61">
      <Terms xmlns="http://schemas.microsoft.com/office/infopath/2007/PartnerControls"/>
    </lcf76f155ced4ddcb4097134ff3c332f>
    <Project_Status xmlns="d7c3a032-7e0a-46a8-abcd-c35109451c61">Active</Project_Status>
    <Project_Nummer xmlns="d7c3a032-7e0a-46a8-abcd-c35109451c61">23324</Project_Nummer>
    <Irrus_EntityId xmlns="d7c3a032-7e0a-46a8-abcd-c35109451c61">project:7e85b432249c554f9867312a6e7c6750</Irrus_EntityId>
    <Bezoek_Land xmlns="d7c3a032-7e0a-46a8-abcd-c35109451c61">The Netherlands</Bezoek_Land>
    <Relatie_ID xmlns="d7c3a032-7e0a-46a8-abcd-c35109451c61">organization:295a31dd614d31d35364a764ef2cfac5</Relatie_ID>
    <Relatie_Beheerder xmlns="d7c3a032-7e0a-46a8-abcd-c35109451c61">Karlijn Bakker</Relatie_Beheerder>
    <Branche xmlns="d7c3a032-7e0a-46a8-abcd-c35109451c61" xsi:nil="true"/>
    <Relatie_Naam xmlns="d7c3a032-7e0a-46a8-abcd-c35109451c61">Gemeente Arnhem</Relatie_Naam>
    <Bezoek_Plaats xmlns="d7c3a032-7e0a-46a8-abcd-c35109451c61">ARNHEM</Bezoek_Plaats>
    <Relatie_Soort xmlns="d7c3a032-7e0a-46a8-abcd-c35109451c61">Strategische klant</Relatie_Soort>
    <Project_Leider xmlns="d7c3a032-7e0a-46a8-abcd-c35109451c61">Niels Ahsmann</Project_Leid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59CC0E8A96664B8813126E2992ED12" ma:contentTypeVersion="27" ma:contentTypeDescription="Een nieuw document maken." ma:contentTypeScope="" ma:versionID="66a1169583d30301053de26b5c371969">
  <xsd:schema xmlns:xsd="http://www.w3.org/2001/XMLSchema" xmlns:xs="http://www.w3.org/2001/XMLSchema" xmlns:p="http://schemas.microsoft.com/office/2006/metadata/properties" xmlns:ns2="d7c3a032-7e0a-46a8-abcd-c35109451c61" xmlns:ns3="1a6b20c8-2a7c-4c18-977c-a22f67789b66" targetNamespace="http://schemas.microsoft.com/office/2006/metadata/properties" ma:root="true" ma:fieldsID="bb39a410b688888d1cd62cd07657052e" ns2:_="" ns3:_="">
    <xsd:import namespace="d7c3a032-7e0a-46a8-abcd-c35109451c61"/>
    <xsd:import namespace="1a6b20c8-2a7c-4c18-977c-a22f67789b66"/>
    <xsd:element name="properties">
      <xsd:complexType>
        <xsd:sequence>
          <xsd:element name="documentManagement">
            <xsd:complexType>
              <xsd:all>
                <xsd:element ref="ns2:Relatie_Naam" minOccurs="0"/>
                <xsd:element ref="ns2:Relatie_ID" minOccurs="0"/>
                <xsd:element ref="ns2:Branche" minOccurs="0"/>
                <xsd:element ref="ns2:Relatie_Beheerder" minOccurs="0"/>
                <xsd:element ref="ns2:Bezoek_Land" minOccurs="0"/>
                <xsd:element ref="ns2:Bezoek_Plaats" minOccurs="0"/>
                <xsd:element ref="ns2:Relatie_Soort" minOccurs="0"/>
                <xsd:element ref="ns2:Relatie_Nummer" minOccurs="0"/>
                <xsd:element ref="ns2:Project_ID" minOccurs="0"/>
                <xsd:element ref="ns2:Project_Naam" minOccurs="0"/>
                <xsd:element ref="ns2:Project_Nummer" minOccurs="0"/>
                <xsd:element ref="ns2:Project_Leider" minOccurs="0"/>
                <xsd:element ref="ns2:Project_Status" minOccurs="0"/>
                <xsd:element ref="ns2:Project_Contactpersoon" minOccurs="0"/>
                <xsd:element ref="ns2:Irrus_EntityId" minOccurs="0"/>
                <xsd:element ref="ns2:Irrus_Entity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a032-7e0a-46a8-abcd-c35109451c61" elementFormDefault="qualified">
    <xsd:import namespace="http://schemas.microsoft.com/office/2006/documentManagement/types"/>
    <xsd:import namespace="http://schemas.microsoft.com/office/infopath/2007/PartnerControls"/>
    <xsd:element name="Relatie_Naam" ma:index="8" nillable="true" ma:displayName="Relatie_Naam" ma:internalName="Relatie_Naam">
      <xsd:simpleType>
        <xsd:restriction base="dms:Text"/>
      </xsd:simpleType>
    </xsd:element>
    <xsd:element name="Relatie_ID" ma:index="9" nillable="true" ma:displayName="Relatie_ID" ma:internalName="Relatie_ID">
      <xsd:simpleType>
        <xsd:restriction base="dms:Text"/>
      </xsd:simpleType>
    </xsd:element>
    <xsd:element name="Branche" ma:index="10" nillable="true" ma:displayName="Branche" ma:internalName="Branche">
      <xsd:simpleType>
        <xsd:restriction base="dms:Text"/>
      </xsd:simpleType>
    </xsd:element>
    <xsd:element name="Relatie_Beheerder" ma:index="11" nillable="true" ma:displayName="Relatie_Beheerder" ma:internalName="Relatie_Beheerder">
      <xsd:simpleType>
        <xsd:restriction base="dms:Text"/>
      </xsd:simpleType>
    </xsd:element>
    <xsd:element name="Bezoek_Land" ma:index="12" nillable="true" ma:displayName="Bezoek_Land" ma:internalName="Bezoek_Land">
      <xsd:simpleType>
        <xsd:restriction base="dms:Text"/>
      </xsd:simpleType>
    </xsd:element>
    <xsd:element name="Bezoek_Plaats" ma:index="13" nillable="true" ma:displayName="Bezoek_Plaats" ma:internalName="Bezoek_Plaats">
      <xsd:simpleType>
        <xsd:restriction base="dms:Text"/>
      </xsd:simpleType>
    </xsd:element>
    <xsd:element name="Relatie_Soort" ma:index="14" nillable="true" ma:displayName="Relatie_Soort" ma:internalName="Relatie_Soort">
      <xsd:simpleType>
        <xsd:restriction base="dms:Text"/>
      </xsd:simpleType>
    </xsd:element>
    <xsd:element name="Relatie_Nummer" ma:index="15" nillable="true" ma:displayName="Relatie_Nummer" ma:internalName="Relatie_Nummer">
      <xsd:simpleType>
        <xsd:restriction base="dms:Text"/>
      </xsd:simpleType>
    </xsd:element>
    <xsd:element name="Project_ID" ma:index="16" nillable="true" ma:displayName="Project_ID" ma:internalName="Project_ID">
      <xsd:simpleType>
        <xsd:restriction base="dms:Text"/>
      </xsd:simpleType>
    </xsd:element>
    <xsd:element name="Project_Naam" ma:index="17" nillable="true" ma:displayName="Project_Naam" ma:internalName="Project_Naam">
      <xsd:simpleType>
        <xsd:restriction base="dms:Text"/>
      </xsd:simpleType>
    </xsd:element>
    <xsd:element name="Project_Nummer" ma:index="18" nillable="true" ma:displayName="Project_Nummer" ma:internalName="Project_Nummer">
      <xsd:simpleType>
        <xsd:restriction base="dms:Text"/>
      </xsd:simpleType>
    </xsd:element>
    <xsd:element name="Project_Leider" ma:index="19" nillable="true" ma:displayName="Project_Leider" ma:internalName="Project_Leider">
      <xsd:simpleType>
        <xsd:restriction base="dms:Text"/>
      </xsd:simpleType>
    </xsd:element>
    <xsd:element name="Project_Status" ma:index="20" nillable="true" ma:displayName="Project_Status" ma:internalName="Project_Status">
      <xsd:simpleType>
        <xsd:restriction base="dms:Text"/>
      </xsd:simpleType>
    </xsd:element>
    <xsd:element name="Project_Contactpersoon" ma:index="21" nillable="true" ma:displayName="Project_Contactpersoon" ma:internalName="Project_Contactpersoon">
      <xsd:simpleType>
        <xsd:restriction base="dms:Text"/>
      </xsd:simpleType>
    </xsd:element>
    <xsd:element name="Irrus_EntityId" ma:index="22" nillable="true" ma:displayName="Irrus_EntityId" ma:internalName="Irrus_EntityId">
      <xsd:simpleType>
        <xsd:restriction base="dms:Text"/>
      </xsd:simpleType>
    </xsd:element>
    <xsd:element name="Irrus_EntityType" ma:index="23" nillable="true" ma:displayName="Irrus_EntityType" ma:internalName="Irrus_EntityType">
      <xsd:simpleType>
        <xsd:restriction base="dms:Text"/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08c73750-79e1-431d-9d36-4647de229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b20c8-2a7c-4c18-977c-a22f67789b66" elementFormDefault="qualified">
    <xsd:import namespace="http://schemas.microsoft.com/office/2006/documentManagement/types"/>
    <xsd:import namespace="http://schemas.microsoft.com/office/infopath/2007/PartnerControls"/>
    <xsd:element name="TaxCatchAll" ma:index="30" nillable="true" ma:displayName="Taxonomy Catch All Column" ma:hidden="true" ma:list="{905a8de1-08c5-4132-9491-23062ed49c82}" ma:internalName="TaxCatchAll" ma:showField="CatchAllData" ma:web="1a6b20c8-2a7c-4c18-977c-a22f67789b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307EC3-FDA5-4FE4-B1D7-B954B1D59FA4}">
  <ds:schemaRefs>
    <ds:schemaRef ds:uri="http://schemas.microsoft.com/office/2006/metadata/properties"/>
    <ds:schemaRef ds:uri="http://schemas.microsoft.com/office/infopath/2007/PartnerControls"/>
    <ds:schemaRef ds:uri="cd9feb7e-7f50-4edf-a2fc-fda3a37de6d4"/>
    <ds:schemaRef ds:uri="1a6b20c8-2a7c-4c18-977c-a22f67789b66"/>
    <ds:schemaRef ds:uri="d7c3a032-7e0a-46a8-abcd-c35109451c61"/>
  </ds:schemaRefs>
</ds:datastoreItem>
</file>

<file path=customXml/itemProps2.xml><?xml version="1.0" encoding="utf-8"?>
<ds:datastoreItem xmlns:ds="http://schemas.openxmlformats.org/officeDocument/2006/customXml" ds:itemID="{F10BCAFC-A96B-41EC-9CC2-26B34A314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F9A7AC-990E-4D9C-8A32-1FA328B2C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a032-7e0a-46a8-abcd-c35109451c61"/>
    <ds:schemaRef ds:uri="1a6b20c8-2a7c-4c18-977c-a22f67789b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fijn huishoudelijk restafval</vt:lpstr>
      <vt:lpstr>grof huishoudelijk restafval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Kamoen | KplusV</dc:creator>
  <cp:lastModifiedBy>Coen Gribbroek | KplusV</cp:lastModifiedBy>
  <dcterms:created xsi:type="dcterms:W3CDTF">2024-04-15T12:50:29Z</dcterms:created>
  <dcterms:modified xsi:type="dcterms:W3CDTF">2024-10-02T09:44:26Z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0x0101000859CC0E8A96664B8813126E2992ED12</vt:lpwstr>
  </property>
  <property fmtid="{D5CDD505-2E9C-101B-9397-08002B2CF9AE}" pid="3" name="MediaServiceImageTags">
    <vt:lpwstr/>
  </property>
</Properties>
</file>