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-my.sharepoint.com/personal/huib_den_braven_ecclesia_nl/Documents/Public renewal files/Etten-Leur/aanbesteding per 31-05-2025/"/>
    </mc:Choice>
  </mc:AlternateContent>
  <xr:revisionPtr revIDLastSave="22" documentId="8_{9C3362BF-BBEB-4D68-812C-6862C705C79E}" xr6:coauthVersionLast="47" xr6:coauthVersionMax="47" xr10:uidLastSave="{FA135ACD-A648-480F-B0F6-DE660394A021}"/>
  <bookViews>
    <workbookView xWindow="-28920" yWindow="-120" windowWidth="29040" windowHeight="15840" firstSheet="1" activeTab="1" xr2:uid="{00000000-000D-0000-FFFF-FFFF00000000}"/>
  </bookViews>
  <sheets>
    <sheet name="Polis" sheetId="8" r:id="rId1"/>
    <sheet name="Aanhangsel" sheetId="10" r:id="rId2"/>
  </sheets>
  <definedNames>
    <definedName name="_xlnm._FilterDatabase" localSheetId="1" hidden="1">Aanhangsel!$A$2:$AH$74</definedName>
    <definedName name="_xlnm._FilterDatabase" localSheetId="0" hidden="1">Polis!$A$2:$X$75</definedName>
    <definedName name="_xlnm.Print_Titles" localSheetId="1">Aanhangsel!$2:$5</definedName>
    <definedName name="_xlnm.Print_Titles" localSheetId="0">Polis!$2:$5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8" i="10" l="1"/>
  <c r="J98" i="10"/>
  <c r="AC97" i="10"/>
  <c r="AC98" i="10"/>
  <c r="L98" i="10"/>
  <c r="M98" i="10"/>
  <c r="N98" i="10"/>
  <c r="P98" i="10"/>
  <c r="R98" i="10"/>
  <c r="S98" i="10"/>
  <c r="T98" i="10"/>
  <c r="U98" i="10"/>
  <c r="V98" i="10"/>
  <c r="W98" i="10"/>
  <c r="X98" i="10"/>
  <c r="Y98" i="10"/>
  <c r="Z98" i="10"/>
  <c r="AA98" i="10"/>
  <c r="AB98" i="10"/>
  <c r="AC96" i="10"/>
  <c r="AC95" i="10"/>
  <c r="AC94" i="10"/>
  <c r="AC93" i="10"/>
  <c r="AM86" i="10"/>
  <c r="AC92" i="10" s="1"/>
  <c r="AK86" i="10"/>
  <c r="AC91" i="10" s="1"/>
  <c r="AE8" i="10"/>
  <c r="AE9" i="10"/>
  <c r="AE10" i="10"/>
  <c r="AE11" i="10"/>
  <c r="AE12" i="10"/>
  <c r="AE13" i="10"/>
  <c r="AE15" i="10"/>
  <c r="AE17" i="10"/>
  <c r="AE19" i="10"/>
  <c r="AE21" i="10"/>
  <c r="AE22" i="10"/>
  <c r="AE23" i="10"/>
  <c r="AE25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41" i="10"/>
  <c r="AE42" i="10"/>
  <c r="AE43" i="10"/>
  <c r="AE45" i="10"/>
  <c r="AE47" i="10"/>
  <c r="AE48" i="10"/>
  <c r="AE53" i="10"/>
  <c r="AE57" i="10"/>
  <c r="AE61" i="10"/>
  <c r="AE63" i="10"/>
  <c r="AE66" i="10"/>
  <c r="AE67" i="10"/>
  <c r="AE68" i="10"/>
  <c r="AE72" i="10"/>
  <c r="AE75" i="10"/>
  <c r="AE77" i="10"/>
  <c r="AE78" i="10"/>
  <c r="AE84" i="10"/>
  <c r="AE7" i="10"/>
  <c r="AE6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6" i="10"/>
  <c r="AC77" i="10"/>
  <c r="AC78" i="10"/>
  <c r="AC84" i="10"/>
  <c r="AI84" i="10" s="1"/>
  <c r="AI86" i="10" s="1"/>
  <c r="AC90" i="10" s="1"/>
  <c r="AC7" i="10"/>
  <c r="AC6" i="10"/>
  <c r="W75" i="10"/>
  <c r="AG86" i="10"/>
  <c r="V86" i="10"/>
  <c r="S78" i="10"/>
  <c r="N77" i="10"/>
  <c r="O77" i="10" s="1"/>
  <c r="P77" i="10" s="1"/>
  <c r="Q77" i="10" s="1"/>
  <c r="S77" i="10" s="1"/>
  <c r="Z76" i="10"/>
  <c r="AE76" i="10" s="1"/>
  <c r="X76" i="10"/>
  <c r="U75" i="10"/>
  <c r="Z74" i="10"/>
  <c r="AE74" i="10" s="1"/>
  <c r="X74" i="10"/>
  <c r="U74" i="10"/>
  <c r="Z73" i="10"/>
  <c r="AE73" i="10" s="1"/>
  <c r="X73" i="10"/>
  <c r="U73" i="10"/>
  <c r="U72" i="10"/>
  <c r="Z71" i="10"/>
  <c r="AE71" i="10" s="1"/>
  <c r="X71" i="10"/>
  <c r="S71" i="10"/>
  <c r="T71" i="10" s="1"/>
  <c r="U71" i="10" s="1"/>
  <c r="Z70" i="10"/>
  <c r="AE70" i="10" s="1"/>
  <c r="X70" i="10"/>
  <c r="U70" i="10"/>
  <c r="Z69" i="10"/>
  <c r="AE69" i="10" s="1"/>
  <c r="X69" i="10"/>
  <c r="U69" i="10"/>
  <c r="U68" i="10"/>
  <c r="Q68" i="10"/>
  <c r="S68" i="10" s="1"/>
  <c r="O67" i="10"/>
  <c r="P67" i="10" s="1"/>
  <c r="Q67" i="10" s="1"/>
  <c r="S67" i="10" s="1"/>
  <c r="T67" i="10" s="1"/>
  <c r="U67" i="10" s="1"/>
  <c r="M67" i="10"/>
  <c r="U66" i="10"/>
  <c r="M66" i="10"/>
  <c r="N66" i="10" s="1"/>
  <c r="O66" i="10" s="1"/>
  <c r="P66" i="10" s="1"/>
  <c r="Q66" i="10" s="1"/>
  <c r="S66" i="10" s="1"/>
  <c r="Z65" i="10"/>
  <c r="AE65" i="10" s="1"/>
  <c r="X65" i="10"/>
  <c r="S65" i="10"/>
  <c r="T65" i="10" s="1"/>
  <c r="U65" i="10" s="1"/>
  <c r="O65" i="10"/>
  <c r="P65" i="10" s="1"/>
  <c r="M65" i="10"/>
  <c r="Z64" i="10"/>
  <c r="AE64" i="10" s="1"/>
  <c r="X64" i="10"/>
  <c r="U64" i="10"/>
  <c r="U63" i="10"/>
  <c r="M63" i="10"/>
  <c r="N63" i="10" s="1"/>
  <c r="O63" i="10" s="1"/>
  <c r="P63" i="10" s="1"/>
  <c r="Q63" i="10" s="1"/>
  <c r="S63" i="10" s="1"/>
  <c r="Z62" i="10"/>
  <c r="AE62" i="10" s="1"/>
  <c r="X62" i="10"/>
  <c r="O62" i="10"/>
  <c r="P62" i="10" s="1"/>
  <c r="Q62" i="10" s="1"/>
  <c r="S62" i="10" s="1"/>
  <c r="T62" i="10" s="1"/>
  <c r="U62" i="10" s="1"/>
  <c r="M62" i="10"/>
  <c r="U61" i="10"/>
  <c r="M61" i="10"/>
  <c r="N61" i="10" s="1"/>
  <c r="O61" i="10" s="1"/>
  <c r="P61" i="10" s="1"/>
  <c r="Q61" i="10" s="1"/>
  <c r="S61" i="10" s="1"/>
  <c r="Z60" i="10"/>
  <c r="AE60" i="10" s="1"/>
  <c r="X60" i="10"/>
  <c r="U60" i="10"/>
  <c r="M60" i="10"/>
  <c r="N60" i="10" s="1"/>
  <c r="O60" i="10" s="1"/>
  <c r="P60" i="10" s="1"/>
  <c r="Q60" i="10" s="1"/>
  <c r="Z59" i="10"/>
  <c r="AE59" i="10" s="1"/>
  <c r="X59" i="10"/>
  <c r="U59" i="10"/>
  <c r="M59" i="10"/>
  <c r="N59" i="10" s="1"/>
  <c r="O59" i="10" s="1"/>
  <c r="P59" i="10" s="1"/>
  <c r="Q59" i="10" s="1"/>
  <c r="Z58" i="10"/>
  <c r="AE58" i="10" s="1"/>
  <c r="X58" i="10"/>
  <c r="U58" i="10"/>
  <c r="M58" i="10"/>
  <c r="N58" i="10" s="1"/>
  <c r="O58" i="10" s="1"/>
  <c r="P58" i="10" s="1"/>
  <c r="Q58" i="10" s="1"/>
  <c r="U57" i="10"/>
  <c r="M57" i="10"/>
  <c r="N57" i="10" s="1"/>
  <c r="O57" i="10" s="1"/>
  <c r="P57" i="10" s="1"/>
  <c r="Q57" i="10" s="1"/>
  <c r="S57" i="10" s="1"/>
  <c r="Z54" i="10"/>
  <c r="AE54" i="10" s="1"/>
  <c r="X54" i="10"/>
  <c r="O54" i="10"/>
  <c r="P54" i="10" s="1"/>
  <c r="Q54" i="10" s="1"/>
  <c r="S54" i="10" s="1"/>
  <c r="T54" i="10" s="1"/>
  <c r="U54" i="10" s="1"/>
  <c r="M54" i="10"/>
  <c r="U53" i="10"/>
  <c r="M53" i="10"/>
  <c r="N53" i="10" s="1"/>
  <c r="O53" i="10" s="1"/>
  <c r="P53" i="10" s="1"/>
  <c r="Q53" i="10" s="1"/>
  <c r="S53" i="10" s="1"/>
  <c r="Z52" i="10"/>
  <c r="AE52" i="10" s="1"/>
  <c r="X52" i="10"/>
  <c r="U52" i="10"/>
  <c r="P52" i="10"/>
  <c r="Q52" i="10" s="1"/>
  <c r="Z51" i="10"/>
  <c r="AE51" i="10" s="1"/>
  <c r="X51" i="10"/>
  <c r="U51" i="10"/>
  <c r="P51" i="10"/>
  <c r="Q51" i="10" s="1"/>
  <c r="Z50" i="10"/>
  <c r="AE50" i="10" s="1"/>
  <c r="X50" i="10"/>
  <c r="U50" i="10"/>
  <c r="P50" i="10"/>
  <c r="Q50" i="10" s="1"/>
  <c r="Z49" i="10"/>
  <c r="AE49" i="10" s="1"/>
  <c r="X49" i="10"/>
  <c r="U49" i="10"/>
  <c r="P49" i="10"/>
  <c r="Q49" i="10" s="1"/>
  <c r="U48" i="10"/>
  <c r="P48" i="10"/>
  <c r="Q48" i="10" s="1"/>
  <c r="S48" i="10" s="1"/>
  <c r="U47" i="10"/>
  <c r="N47" i="10"/>
  <c r="O47" i="10" s="1"/>
  <c r="P47" i="10" s="1"/>
  <c r="Q47" i="10" s="1"/>
  <c r="S47" i="10" s="1"/>
  <c r="Z46" i="10"/>
  <c r="AE46" i="10" s="1"/>
  <c r="X46" i="10"/>
  <c r="U46" i="10"/>
  <c r="N46" i="10"/>
  <c r="O46" i="10" s="1"/>
  <c r="P46" i="10" s="1"/>
  <c r="Q46" i="10" s="1"/>
  <c r="S46" i="10" s="1"/>
  <c r="U45" i="10"/>
  <c r="N45" i="10"/>
  <c r="O45" i="10" s="1"/>
  <c r="P45" i="10" s="1"/>
  <c r="Q45" i="10" s="1"/>
  <c r="S45" i="10" s="1"/>
  <c r="Z44" i="10"/>
  <c r="AE44" i="10" s="1"/>
  <c r="X44" i="10"/>
  <c r="U44" i="10"/>
  <c r="N44" i="10"/>
  <c r="O44" i="10" s="1"/>
  <c r="P44" i="10" s="1"/>
  <c r="Q44" i="10" s="1"/>
  <c r="S44" i="10" s="1"/>
  <c r="U43" i="10"/>
  <c r="N43" i="10"/>
  <c r="O43" i="10" s="1"/>
  <c r="P43" i="10" s="1"/>
  <c r="Q43" i="10" s="1"/>
  <c r="S43" i="10" s="1"/>
  <c r="N42" i="10"/>
  <c r="O42" i="10" s="1"/>
  <c r="P42" i="10" s="1"/>
  <c r="Q42" i="10" s="1"/>
  <c r="S42" i="10" s="1"/>
  <c r="T42" i="10" s="1"/>
  <c r="U42" i="10" s="1"/>
  <c r="U41" i="10"/>
  <c r="N41" i="10"/>
  <c r="O41" i="10" s="1"/>
  <c r="P41" i="10" s="1"/>
  <c r="Q41" i="10" s="1"/>
  <c r="S41" i="10" s="1"/>
  <c r="U40" i="10"/>
  <c r="N40" i="10"/>
  <c r="O40" i="10" s="1"/>
  <c r="P40" i="10" s="1"/>
  <c r="Q40" i="10" s="1"/>
  <c r="S40" i="10" s="1"/>
  <c r="U39" i="10"/>
  <c r="N39" i="10"/>
  <c r="O39" i="10" s="1"/>
  <c r="P39" i="10" s="1"/>
  <c r="Q39" i="10" s="1"/>
  <c r="S39" i="10" s="1"/>
  <c r="U38" i="10"/>
  <c r="N38" i="10"/>
  <c r="O38" i="10" s="1"/>
  <c r="P38" i="10" s="1"/>
  <c r="Q38" i="10" s="1"/>
  <c r="S38" i="10" s="1"/>
  <c r="U37" i="10"/>
  <c r="N37" i="10"/>
  <c r="O37" i="10" s="1"/>
  <c r="P37" i="10" s="1"/>
  <c r="Q37" i="10" s="1"/>
  <c r="U36" i="10"/>
  <c r="N36" i="10"/>
  <c r="O36" i="10" s="1"/>
  <c r="P36" i="10" s="1"/>
  <c r="Q36" i="10" s="1"/>
  <c r="S36" i="10" s="1"/>
  <c r="U35" i="10"/>
  <c r="N35" i="10"/>
  <c r="O35" i="10" s="1"/>
  <c r="P35" i="10" s="1"/>
  <c r="Q35" i="10" s="1"/>
  <c r="S35" i="10" s="1"/>
  <c r="U34" i="10"/>
  <c r="N34" i="10"/>
  <c r="O34" i="10" s="1"/>
  <c r="P34" i="10" s="1"/>
  <c r="Q34" i="10" s="1"/>
  <c r="S34" i="10" s="1"/>
  <c r="U33" i="10"/>
  <c r="N33" i="10"/>
  <c r="O33" i="10" s="1"/>
  <c r="P33" i="10" s="1"/>
  <c r="Q33" i="10" s="1"/>
  <c r="S33" i="10" s="1"/>
  <c r="X32" i="10"/>
  <c r="O32" i="10"/>
  <c r="P32" i="10" s="1"/>
  <c r="Q32" i="10" s="1"/>
  <c r="S32" i="10" s="1"/>
  <c r="T32" i="10" s="1"/>
  <c r="U32" i="10" s="1"/>
  <c r="U31" i="10"/>
  <c r="N31" i="10"/>
  <c r="O31" i="10" s="1"/>
  <c r="P31" i="10" s="1"/>
  <c r="Q31" i="10" s="1"/>
  <c r="S31" i="10" s="1"/>
  <c r="U30" i="10"/>
  <c r="N30" i="10"/>
  <c r="O30" i="10" s="1"/>
  <c r="P30" i="10" s="1"/>
  <c r="Q30" i="10" s="1"/>
  <c r="S30" i="10" s="1"/>
  <c r="U29" i="10"/>
  <c r="N29" i="10"/>
  <c r="O29" i="10" s="1"/>
  <c r="P29" i="10" s="1"/>
  <c r="Q29" i="10" s="1"/>
  <c r="S29" i="10" s="1"/>
  <c r="X28" i="10"/>
  <c r="O28" i="10"/>
  <c r="P28" i="10" s="1"/>
  <c r="Q28" i="10" s="1"/>
  <c r="S28" i="10" s="1"/>
  <c r="T28" i="10" s="1"/>
  <c r="U28" i="10" s="1"/>
  <c r="U27" i="10"/>
  <c r="N27" i="10"/>
  <c r="O27" i="10" s="1"/>
  <c r="P27" i="10" s="1"/>
  <c r="Q27" i="10" s="1"/>
  <c r="S27" i="10" s="1"/>
  <c r="Z26" i="10"/>
  <c r="AE26" i="10" s="1"/>
  <c r="X26" i="10"/>
  <c r="U26" i="10"/>
  <c r="O26" i="10"/>
  <c r="P26" i="10" s="1"/>
  <c r="Q26" i="10" s="1"/>
  <c r="S26" i="10" s="1"/>
  <c r="U25" i="10"/>
  <c r="N25" i="10"/>
  <c r="O25" i="10" s="1"/>
  <c r="P25" i="10" s="1"/>
  <c r="Q25" i="10" s="1"/>
  <c r="S25" i="10" s="1"/>
  <c r="Z24" i="10"/>
  <c r="AE24" i="10" s="1"/>
  <c r="X24" i="10"/>
  <c r="U24" i="10"/>
  <c r="O24" i="10"/>
  <c r="P24" i="10" s="1"/>
  <c r="Q24" i="10" s="1"/>
  <c r="S24" i="10" s="1"/>
  <c r="U23" i="10"/>
  <c r="N23" i="10"/>
  <c r="O23" i="10" s="1"/>
  <c r="P23" i="10" s="1"/>
  <c r="Q23" i="10" s="1"/>
  <c r="S23" i="10" s="1"/>
  <c r="AA22" i="10"/>
  <c r="AA86" i="10" s="1"/>
  <c r="U22" i="10"/>
  <c r="N22" i="10"/>
  <c r="O22" i="10" s="1"/>
  <c r="P22" i="10" s="1"/>
  <c r="Q22" i="10" s="1"/>
  <c r="S22" i="10" s="1"/>
  <c r="U21" i="10"/>
  <c r="N21" i="10"/>
  <c r="O21" i="10" s="1"/>
  <c r="P21" i="10" s="1"/>
  <c r="Q21" i="10" s="1"/>
  <c r="S21" i="10" s="1"/>
  <c r="Z20" i="10"/>
  <c r="AE20" i="10" s="1"/>
  <c r="X20" i="10"/>
  <c r="U20" i="10"/>
  <c r="O20" i="10"/>
  <c r="P20" i="10" s="1"/>
  <c r="Q20" i="10" s="1"/>
  <c r="S20" i="10" s="1"/>
  <c r="U19" i="10"/>
  <c r="N19" i="10"/>
  <c r="O19" i="10" s="1"/>
  <c r="P19" i="10" s="1"/>
  <c r="Q19" i="10" s="1"/>
  <c r="S19" i="10" s="1"/>
  <c r="Z18" i="10"/>
  <c r="AE18" i="10" s="1"/>
  <c r="X18" i="10"/>
  <c r="U18" i="10"/>
  <c r="O18" i="10"/>
  <c r="P18" i="10" s="1"/>
  <c r="Q18" i="10" s="1"/>
  <c r="S18" i="10" s="1"/>
  <c r="U17" i="10"/>
  <c r="N17" i="10"/>
  <c r="O17" i="10" s="1"/>
  <c r="P17" i="10" s="1"/>
  <c r="Q17" i="10" s="1"/>
  <c r="S17" i="10" s="1"/>
  <c r="Z16" i="10"/>
  <c r="AE16" i="10" s="1"/>
  <c r="X16" i="10"/>
  <c r="U16" i="10"/>
  <c r="O16" i="10"/>
  <c r="P16" i="10" s="1"/>
  <c r="Q16" i="10" s="1"/>
  <c r="S16" i="10" s="1"/>
  <c r="U15" i="10"/>
  <c r="N15" i="10"/>
  <c r="O15" i="10" s="1"/>
  <c r="P15" i="10" s="1"/>
  <c r="Q15" i="10" s="1"/>
  <c r="S15" i="10" s="1"/>
  <c r="Z14" i="10"/>
  <c r="AE14" i="10" s="1"/>
  <c r="X14" i="10"/>
  <c r="U14" i="10"/>
  <c r="O14" i="10"/>
  <c r="P14" i="10" s="1"/>
  <c r="Q14" i="10" s="1"/>
  <c r="S14" i="10" s="1"/>
  <c r="U13" i="10"/>
  <c r="N13" i="10"/>
  <c r="O13" i="10" s="1"/>
  <c r="P13" i="10" s="1"/>
  <c r="Q13" i="10" s="1"/>
  <c r="S13" i="10" s="1"/>
  <c r="O12" i="10"/>
  <c r="P12" i="10" s="1"/>
  <c r="Q12" i="10" s="1"/>
  <c r="S12" i="10" s="1"/>
  <c r="T12" i="10" s="1"/>
  <c r="U12" i="10" s="1"/>
  <c r="U11" i="10"/>
  <c r="N11" i="10"/>
  <c r="O11" i="10" s="1"/>
  <c r="P11" i="10" s="1"/>
  <c r="Q11" i="10" s="1"/>
  <c r="S11" i="10" s="1"/>
  <c r="U10" i="10"/>
  <c r="N10" i="10"/>
  <c r="O10" i="10" s="1"/>
  <c r="P10" i="10" s="1"/>
  <c r="Q10" i="10" s="1"/>
  <c r="S10" i="10" s="1"/>
  <c r="O9" i="10"/>
  <c r="P9" i="10" s="1"/>
  <c r="Q9" i="10" s="1"/>
  <c r="S9" i="10" s="1"/>
  <c r="T9" i="10" s="1"/>
  <c r="U9" i="10" s="1"/>
  <c r="U8" i="10"/>
  <c r="N8" i="10"/>
  <c r="O8" i="10" s="1"/>
  <c r="P8" i="10" s="1"/>
  <c r="Q8" i="10" s="1"/>
  <c r="S8" i="10" s="1"/>
  <c r="O7" i="10"/>
  <c r="P7" i="10" s="1"/>
  <c r="Q7" i="10" s="1"/>
  <c r="S7" i="10" s="1"/>
  <c r="T7" i="10" s="1"/>
  <c r="U6" i="10"/>
  <c r="N6" i="10"/>
  <c r="O6" i="10" s="1"/>
  <c r="P6" i="10" s="1"/>
  <c r="W82" i="8"/>
  <c r="F86" i="8" s="1"/>
  <c r="S82" i="8"/>
  <c r="U77" i="8"/>
  <c r="U75" i="8"/>
  <c r="U74" i="8"/>
  <c r="U71" i="8"/>
  <c r="U70" i="8"/>
  <c r="U69" i="8"/>
  <c r="U65" i="8"/>
  <c r="U64" i="8"/>
  <c r="U62" i="8"/>
  <c r="U60" i="8"/>
  <c r="U59" i="8"/>
  <c r="U58" i="8"/>
  <c r="U56" i="8"/>
  <c r="U54" i="8"/>
  <c r="U53" i="8"/>
  <c r="U52" i="8"/>
  <c r="U51" i="8"/>
  <c r="U48" i="8"/>
  <c r="U46" i="8"/>
  <c r="U28" i="8"/>
  <c r="U26" i="8"/>
  <c r="U20" i="8"/>
  <c r="U18" i="8"/>
  <c r="U16" i="8"/>
  <c r="U14" i="8"/>
  <c r="J92" i="10" l="1"/>
  <c r="J91" i="10"/>
  <c r="J90" i="10"/>
  <c r="K92" i="10"/>
  <c r="W86" i="10"/>
  <c r="AC75" i="10"/>
  <c r="AC86" i="10" s="1"/>
  <c r="K90" i="10" s="1"/>
  <c r="AE86" i="10"/>
  <c r="K91" i="10" s="1"/>
  <c r="X86" i="10"/>
  <c r="M86" i="10"/>
  <c r="P86" i="10"/>
  <c r="Q6" i="10"/>
  <c r="T86" i="10"/>
  <c r="U7" i="10"/>
  <c r="U86" i="10" s="1"/>
  <c r="N86" i="10"/>
  <c r="Z86" i="10"/>
  <c r="O86" i="10"/>
  <c r="U82" i="8"/>
  <c r="F85" i="8"/>
  <c r="F84" i="8"/>
  <c r="V22" i="8"/>
  <c r="V82" i="8" s="1"/>
  <c r="Q6" i="8"/>
  <c r="O94" i="10" l="1"/>
  <c r="O98" i="10" s="1"/>
  <c r="Q86" i="10"/>
  <c r="Q94" i="10" s="1"/>
  <c r="S6" i="10"/>
  <c r="S86" i="10" s="1"/>
  <c r="F91" i="8"/>
  <c r="O79" i="8"/>
  <c r="Q96" i="10" l="1"/>
  <c r="Q98" i="10" s="1"/>
  <c r="T14" i="8"/>
  <c r="T20" i="8"/>
  <c r="T24" i="8"/>
  <c r="T30" i="8"/>
  <c r="T48" i="8"/>
  <c r="T77" i="8"/>
  <c r="Q76" i="8"/>
  <c r="Q72" i="8"/>
  <c r="Q47" i="8"/>
  <c r="Q43" i="8"/>
  <c r="Q42" i="8"/>
  <c r="Q41" i="8"/>
  <c r="Q36" i="8"/>
  <c r="Q32" i="8"/>
  <c r="Q31" i="8"/>
  <c r="Q29" i="8"/>
  <c r="Q23" i="8"/>
  <c r="Q22" i="8"/>
  <c r="Q19" i="8"/>
  <c r="Q13" i="8"/>
  <c r="Q14" i="8"/>
  <c r="Q20" i="8"/>
  <c r="Q48" i="8"/>
  <c r="Q10" i="8"/>
  <c r="J78" i="8" l="1"/>
  <c r="K78" i="8" s="1"/>
  <c r="L78" i="8" s="1"/>
  <c r="M78" i="8" s="1"/>
  <c r="O78" i="8" s="1"/>
  <c r="Q75" i="8" l="1"/>
  <c r="Q74" i="8"/>
  <c r="Q73" i="8"/>
  <c r="Q70" i="8"/>
  <c r="Q69" i="8"/>
  <c r="Q68" i="8"/>
  <c r="Q66" i="8"/>
  <c r="Q64" i="8"/>
  <c r="Q63" i="8"/>
  <c r="Q61" i="8"/>
  <c r="Q60" i="8"/>
  <c r="Q59" i="8"/>
  <c r="Q58" i="8"/>
  <c r="Q57" i="8"/>
  <c r="Q55" i="8"/>
  <c r="Q54" i="8"/>
  <c r="Q53" i="8"/>
  <c r="Q52" i="8"/>
  <c r="Q51" i="8"/>
  <c r="Q50" i="8"/>
  <c r="Q49" i="8"/>
  <c r="Q46" i="8"/>
  <c r="Q45" i="8"/>
  <c r="Q40" i="8"/>
  <c r="Q39" i="8"/>
  <c r="Q38" i="8"/>
  <c r="Q37" i="8"/>
  <c r="Q35" i="8"/>
  <c r="Q33" i="8"/>
  <c r="Q28" i="8"/>
  <c r="Q27" i="8"/>
  <c r="Q26" i="8"/>
  <c r="Q25" i="8"/>
  <c r="Q21" i="8"/>
  <c r="Q18" i="8"/>
  <c r="Q17" i="8"/>
  <c r="Q16" i="8"/>
  <c r="Q15" i="8"/>
  <c r="Q11" i="8"/>
  <c r="Q8" i="8"/>
  <c r="T62" i="8"/>
  <c r="T56" i="8"/>
  <c r="T74" i="8"/>
  <c r="T75" i="8"/>
  <c r="T54" i="8"/>
  <c r="L54" i="8"/>
  <c r="M54" i="8" s="1"/>
  <c r="T53" i="8"/>
  <c r="L53" i="8"/>
  <c r="M53" i="8" s="1"/>
  <c r="T52" i="8"/>
  <c r="L52" i="8"/>
  <c r="M52" i="8" s="1"/>
  <c r="T51" i="8"/>
  <c r="L51" i="8"/>
  <c r="M51" i="8" s="1"/>
  <c r="T71" i="8"/>
  <c r="O71" i="8"/>
  <c r="P71" i="8" s="1"/>
  <c r="Q71" i="8" s="1"/>
  <c r="T70" i="8"/>
  <c r="T69" i="8"/>
  <c r="J48" i="8"/>
  <c r="K48" i="8" s="1"/>
  <c r="L48" i="8" s="1"/>
  <c r="M48" i="8" s="1"/>
  <c r="O48" i="8" s="1"/>
  <c r="T46" i="8"/>
  <c r="J39" i="8"/>
  <c r="K39" i="8" s="1"/>
  <c r="L39" i="8" s="1"/>
  <c r="M39" i="8" s="1"/>
  <c r="T28" i="8"/>
  <c r="T26" i="8"/>
  <c r="T18" i="8"/>
  <c r="T16" i="8"/>
  <c r="T64" i="8"/>
  <c r="T65" i="8"/>
  <c r="T60" i="8"/>
  <c r="I60" i="8"/>
  <c r="J60" i="8" s="1"/>
  <c r="K60" i="8" s="1"/>
  <c r="L60" i="8" s="1"/>
  <c r="M60" i="8" s="1"/>
  <c r="T59" i="8"/>
  <c r="I59" i="8"/>
  <c r="J59" i="8" s="1"/>
  <c r="K59" i="8" s="1"/>
  <c r="L59" i="8" s="1"/>
  <c r="M59" i="8" s="1"/>
  <c r="T58" i="8"/>
  <c r="I58" i="8"/>
  <c r="J58" i="8" s="1"/>
  <c r="K58" i="8" s="1"/>
  <c r="L58" i="8" s="1"/>
  <c r="M58" i="8" s="1"/>
  <c r="O65" i="8" l="1"/>
  <c r="P65" i="8" s="1"/>
  <c r="Q65" i="8" s="1"/>
  <c r="K65" i="8" l="1"/>
  <c r="L65" i="8" s="1"/>
  <c r="I65" i="8"/>
  <c r="I63" i="8"/>
  <c r="J63" i="8" s="1"/>
  <c r="K63" i="8" s="1"/>
  <c r="L63" i="8" s="1"/>
  <c r="M63" i="8" s="1"/>
  <c r="O63" i="8" s="1"/>
  <c r="M68" i="8" l="1"/>
  <c r="O68" i="8" s="1"/>
  <c r="J6" i="8" l="1"/>
  <c r="K6" i="8" s="1"/>
  <c r="K7" i="8"/>
  <c r="L7" i="8" s="1"/>
  <c r="M7" i="8" s="1"/>
  <c r="O7" i="8" s="1"/>
  <c r="P7" i="8" s="1"/>
  <c r="Q7" i="8" s="1"/>
  <c r="J8" i="8"/>
  <c r="K8" i="8" s="1"/>
  <c r="L8" i="8" s="1"/>
  <c r="M8" i="8" s="1"/>
  <c r="O8" i="8" s="1"/>
  <c r="K9" i="8"/>
  <c r="L9" i="8" s="1"/>
  <c r="M9" i="8" s="1"/>
  <c r="O9" i="8" s="1"/>
  <c r="P9" i="8" s="1"/>
  <c r="Q9" i="8" s="1"/>
  <c r="J10" i="8"/>
  <c r="K10" i="8" s="1"/>
  <c r="L10" i="8" s="1"/>
  <c r="M10" i="8" s="1"/>
  <c r="O10" i="8" s="1"/>
  <c r="J11" i="8"/>
  <c r="K11" i="8" s="1"/>
  <c r="L11" i="8" s="1"/>
  <c r="M11" i="8" s="1"/>
  <c r="O11" i="8" s="1"/>
  <c r="K12" i="8"/>
  <c r="L12" i="8" s="1"/>
  <c r="M12" i="8" s="1"/>
  <c r="O12" i="8" s="1"/>
  <c r="P12" i="8" s="1"/>
  <c r="Q12" i="8" s="1"/>
  <c r="J13" i="8"/>
  <c r="K13" i="8" s="1"/>
  <c r="L13" i="8" s="1"/>
  <c r="M13" i="8" s="1"/>
  <c r="O13" i="8" s="1"/>
  <c r="K14" i="8"/>
  <c r="L14" i="8" s="1"/>
  <c r="M14" i="8" s="1"/>
  <c r="O14" i="8" s="1"/>
  <c r="J15" i="8"/>
  <c r="K15" i="8" s="1"/>
  <c r="L15" i="8" s="1"/>
  <c r="M15" i="8" s="1"/>
  <c r="O15" i="8" s="1"/>
  <c r="K16" i="8"/>
  <c r="L16" i="8" s="1"/>
  <c r="M16" i="8" s="1"/>
  <c r="O16" i="8" s="1"/>
  <c r="J17" i="8"/>
  <c r="K17" i="8" s="1"/>
  <c r="L17" i="8" s="1"/>
  <c r="M17" i="8" s="1"/>
  <c r="O17" i="8" s="1"/>
  <c r="K18" i="8"/>
  <c r="L18" i="8" s="1"/>
  <c r="M18" i="8" s="1"/>
  <c r="O18" i="8" s="1"/>
  <c r="J19" i="8"/>
  <c r="K19" i="8" s="1"/>
  <c r="L19" i="8" s="1"/>
  <c r="M19" i="8" s="1"/>
  <c r="O19" i="8" s="1"/>
  <c r="K20" i="8"/>
  <c r="L20" i="8" s="1"/>
  <c r="M20" i="8" s="1"/>
  <c r="O20" i="8" s="1"/>
  <c r="J21" i="8"/>
  <c r="K21" i="8" s="1"/>
  <c r="L21" i="8" s="1"/>
  <c r="M21" i="8" s="1"/>
  <c r="O21" i="8" s="1"/>
  <c r="J22" i="8"/>
  <c r="K22" i="8" s="1"/>
  <c r="L22" i="8" s="1"/>
  <c r="M22" i="8" s="1"/>
  <c r="O22" i="8" s="1"/>
  <c r="J23" i="8"/>
  <c r="K23" i="8" s="1"/>
  <c r="L23" i="8" s="1"/>
  <c r="M23" i="8" s="1"/>
  <c r="O23" i="8" s="1"/>
  <c r="K24" i="8"/>
  <c r="L24" i="8" s="1"/>
  <c r="M24" i="8" s="1"/>
  <c r="O24" i="8" s="1"/>
  <c r="P24" i="8" s="1"/>
  <c r="Q24" i="8" s="1"/>
  <c r="J25" i="8"/>
  <c r="K25" i="8" s="1"/>
  <c r="L25" i="8" s="1"/>
  <c r="M25" i="8" s="1"/>
  <c r="O25" i="8" s="1"/>
  <c r="K26" i="8"/>
  <c r="L26" i="8" s="1"/>
  <c r="M26" i="8" s="1"/>
  <c r="O26" i="8" s="1"/>
  <c r="J27" i="8"/>
  <c r="K27" i="8" s="1"/>
  <c r="L27" i="8" s="1"/>
  <c r="M27" i="8" s="1"/>
  <c r="O27" i="8" s="1"/>
  <c r="K28" i="8"/>
  <c r="L28" i="8" s="1"/>
  <c r="M28" i="8" s="1"/>
  <c r="O28" i="8" s="1"/>
  <c r="J29" i="8"/>
  <c r="K29" i="8" s="1"/>
  <c r="L29" i="8" s="1"/>
  <c r="M29" i="8" s="1"/>
  <c r="O29" i="8" s="1"/>
  <c r="K30" i="8"/>
  <c r="L30" i="8" s="1"/>
  <c r="M30" i="8" s="1"/>
  <c r="O30" i="8" s="1"/>
  <c r="P30" i="8" s="1"/>
  <c r="Q30" i="8" s="1"/>
  <c r="J31" i="8"/>
  <c r="K31" i="8" s="1"/>
  <c r="L31" i="8" s="1"/>
  <c r="M31" i="8" s="1"/>
  <c r="O31" i="8" s="1"/>
  <c r="J32" i="8"/>
  <c r="K32" i="8" s="1"/>
  <c r="L32" i="8" s="1"/>
  <c r="M32" i="8" s="1"/>
  <c r="O32" i="8" s="1"/>
  <c r="J33" i="8"/>
  <c r="K33" i="8" s="1"/>
  <c r="L33" i="8" s="1"/>
  <c r="M33" i="8" s="1"/>
  <c r="O33" i="8" s="1"/>
  <c r="K34" i="8"/>
  <c r="L34" i="8" s="1"/>
  <c r="M34" i="8" s="1"/>
  <c r="O34" i="8" s="1"/>
  <c r="P34" i="8" s="1"/>
  <c r="Q34" i="8" s="1"/>
  <c r="J35" i="8"/>
  <c r="K35" i="8" s="1"/>
  <c r="L35" i="8" s="1"/>
  <c r="M35" i="8" s="1"/>
  <c r="O35" i="8" s="1"/>
  <c r="J36" i="8"/>
  <c r="K36" i="8" s="1"/>
  <c r="L36" i="8" s="1"/>
  <c r="M36" i="8" s="1"/>
  <c r="O36" i="8" s="1"/>
  <c r="J37" i="8"/>
  <c r="K37" i="8" s="1"/>
  <c r="L37" i="8" s="1"/>
  <c r="M37" i="8" s="1"/>
  <c r="O37" i="8" s="1"/>
  <c r="J38" i="8"/>
  <c r="K38" i="8" s="1"/>
  <c r="L38" i="8" s="1"/>
  <c r="M38" i="8" s="1"/>
  <c r="O38" i="8" s="1"/>
  <c r="J40" i="8"/>
  <c r="K40" i="8" s="1"/>
  <c r="L40" i="8" s="1"/>
  <c r="M40" i="8" s="1"/>
  <c r="O40" i="8" s="1"/>
  <c r="J41" i="8"/>
  <c r="K41" i="8" s="1"/>
  <c r="L41" i="8" s="1"/>
  <c r="M41" i="8" s="1"/>
  <c r="O41" i="8" s="1"/>
  <c r="J42" i="8"/>
  <c r="K42" i="8" s="1"/>
  <c r="L42" i="8" s="1"/>
  <c r="M42" i="8" s="1"/>
  <c r="O42" i="8" s="1"/>
  <c r="J43" i="8"/>
  <c r="K43" i="8" s="1"/>
  <c r="L43" i="8" s="1"/>
  <c r="M43" i="8" s="1"/>
  <c r="O43" i="8" s="1"/>
  <c r="J44" i="8"/>
  <c r="K44" i="8" s="1"/>
  <c r="L44" i="8" s="1"/>
  <c r="M44" i="8" s="1"/>
  <c r="O44" i="8" s="1"/>
  <c r="P44" i="8" s="1"/>
  <c r="Q44" i="8" s="1"/>
  <c r="J45" i="8"/>
  <c r="K45" i="8" s="1"/>
  <c r="L45" i="8" s="1"/>
  <c r="M45" i="8" s="1"/>
  <c r="O45" i="8" s="1"/>
  <c r="J46" i="8"/>
  <c r="K46" i="8" s="1"/>
  <c r="L46" i="8" s="1"/>
  <c r="M46" i="8" s="1"/>
  <c r="O46" i="8" s="1"/>
  <c r="J47" i="8"/>
  <c r="K47" i="8" s="1"/>
  <c r="L47" i="8" s="1"/>
  <c r="M47" i="8" s="1"/>
  <c r="O47" i="8" s="1"/>
  <c r="J49" i="8"/>
  <c r="K49" i="8" s="1"/>
  <c r="L49" i="8" s="1"/>
  <c r="M49" i="8" s="1"/>
  <c r="O49" i="8" s="1"/>
  <c r="I55" i="8"/>
  <c r="J55" i="8" s="1"/>
  <c r="K55" i="8" s="1"/>
  <c r="L55" i="8" s="1"/>
  <c r="M55" i="8" s="1"/>
  <c r="K56" i="8"/>
  <c r="L56" i="8" s="1"/>
  <c r="M56" i="8" s="1"/>
  <c r="O56" i="8" s="1"/>
  <c r="P56" i="8" s="1"/>
  <c r="Q56" i="8" s="1"/>
  <c r="I57" i="8"/>
  <c r="J57" i="8" s="1"/>
  <c r="K57" i="8" s="1"/>
  <c r="L57" i="8" s="1"/>
  <c r="M57" i="8" s="1"/>
  <c r="O57" i="8" s="1"/>
  <c r="I61" i="8"/>
  <c r="J61" i="8" s="1"/>
  <c r="K61" i="8" s="1"/>
  <c r="L61" i="8" s="1"/>
  <c r="M61" i="8" s="1"/>
  <c r="O61" i="8" s="1"/>
  <c r="K62" i="8"/>
  <c r="L62" i="8" s="1"/>
  <c r="M62" i="8" s="1"/>
  <c r="O62" i="8" s="1"/>
  <c r="P62" i="8" s="1"/>
  <c r="Q62" i="8" s="1"/>
  <c r="I66" i="8"/>
  <c r="J66" i="8" s="1"/>
  <c r="K66" i="8" s="1"/>
  <c r="L66" i="8" s="1"/>
  <c r="M66" i="8" s="1"/>
  <c r="O66" i="8" s="1"/>
  <c r="K67" i="8"/>
  <c r="L67" i="8" s="1"/>
  <c r="M67" i="8" s="1"/>
  <c r="O67" i="8" s="1"/>
  <c r="P67" i="8" s="1"/>
  <c r="Q67" i="8" s="1"/>
  <c r="L50" i="8"/>
  <c r="M50" i="8" s="1"/>
  <c r="O50" i="8" s="1"/>
  <c r="T34" i="8"/>
  <c r="I56" i="8"/>
  <c r="I62" i="8"/>
  <c r="I67" i="8"/>
  <c r="R82" i="8" l="1"/>
  <c r="Q82" i="8"/>
  <c r="O55" i="8"/>
  <c r="J82" i="8"/>
  <c r="T82" i="8"/>
  <c r="I82" i="8"/>
  <c r="K82" i="8"/>
  <c r="L6" i="8"/>
  <c r="K88" i="8" l="1"/>
  <c r="L82" i="8"/>
  <c r="M6" i="8"/>
  <c r="M82" i="8" l="1"/>
  <c r="M88" i="8" s="1"/>
  <c r="M90" i="8" s="1"/>
  <c r="O6" i="8"/>
  <c r="O82" i="8" l="1"/>
  <c r="P8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DennisPolak</author>
  </authors>
  <commentList>
    <comment ref="T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  <comment ref="U12" authorId="0" shapeId="0" xr:uid="{4B011DA0-DA93-4A8C-BF2A-AA16CBEC7B9D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DennisPolak</author>
  </authors>
  <commentList>
    <comment ref="X12" authorId="0" shapeId="0" xr:uid="{41495CCA-2BFA-46BC-B7D6-394CF1159783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  <comment ref="Z12" authorId="0" shapeId="0" xr:uid="{D556B507-24AC-4705-9768-C6537DC23C43}">
      <text>
        <r>
          <rPr>
            <b/>
            <sz val="9"/>
            <color indexed="81"/>
            <rFont val="Tahoma"/>
            <family val="2"/>
          </rPr>
          <t>DennisPolak:</t>
        </r>
        <r>
          <rPr>
            <sz val="9"/>
            <color indexed="81"/>
            <rFont val="Tahoma"/>
            <family val="2"/>
          </rPr>
          <t xml:space="preserve">
Inclusief € 240.000 investering computerapparatuur</t>
        </r>
      </text>
    </comment>
  </commentList>
</comments>
</file>

<file path=xl/sharedStrings.xml><?xml version="1.0" encoding="utf-8"?>
<sst xmlns="http://schemas.openxmlformats.org/spreadsheetml/2006/main" count="1923" uniqueCount="272">
  <si>
    <t xml:space="preserve">Specificatie behorende bij de Gemeente Etten-Leur, polisnummer 649793304, </t>
  </si>
  <si>
    <t>Nr.</t>
  </si>
  <si>
    <t>Sub.</t>
  </si>
  <si>
    <t>Belang</t>
  </si>
  <si>
    <t>Adres</t>
  </si>
  <si>
    <t>Postcode</t>
  </si>
  <si>
    <t>Plaats</t>
  </si>
  <si>
    <t>Bestemming</t>
  </si>
  <si>
    <t>Som oud</t>
  </si>
  <si>
    <t>Som nieuw</t>
  </si>
  <si>
    <t>Verzekerde som</t>
  </si>
  <si>
    <t>Inclusief BTW</t>
  </si>
  <si>
    <t>Functienr.</t>
  </si>
  <si>
    <t>opstallen</t>
  </si>
  <si>
    <t>gebouwen</t>
  </si>
  <si>
    <t>inventaris</t>
  </si>
  <si>
    <t>Exploitatiekosten</t>
  </si>
  <si>
    <t>per 31-12-2011</t>
  </si>
  <si>
    <t>per 31-12-2012</t>
  </si>
  <si>
    <t>per 31-12-2013</t>
  </si>
  <si>
    <t>per 31-12-2014</t>
  </si>
  <si>
    <t>per 31-12-2015</t>
  </si>
  <si>
    <t>per 31-12-2016</t>
  </si>
  <si>
    <t>per 31-12-2017</t>
  </si>
  <si>
    <t>per 31-12-2019</t>
  </si>
  <si>
    <t>per 31-12-2021</t>
  </si>
  <si>
    <t>index 117</t>
  </si>
  <si>
    <t>index 118,7</t>
  </si>
  <si>
    <t>index 120,2</t>
  </si>
  <si>
    <t>index 120,7</t>
  </si>
  <si>
    <t>index 122,4</t>
  </si>
  <si>
    <t>index 125,0</t>
  </si>
  <si>
    <t>index 139,1/100</t>
  </si>
  <si>
    <t>index 108</t>
  </si>
  <si>
    <t>1</t>
  </si>
  <si>
    <t>Gebouwen</t>
  </si>
  <si>
    <t>Markt 1</t>
  </si>
  <si>
    <t>4875 CB</t>
  </si>
  <si>
    <t>Etten-Leur</t>
  </si>
  <si>
    <t>Oude raadhuis, gemeentehuis met achterpand</t>
  </si>
  <si>
    <t>*1</t>
  </si>
  <si>
    <t>Ja</t>
  </si>
  <si>
    <t>Taxatierapport 41171/17 19-4-2017 van der Mark</t>
  </si>
  <si>
    <t>Inventaris</t>
  </si>
  <si>
    <t>2</t>
  </si>
  <si>
    <t>Markt 6</t>
  </si>
  <si>
    <t>4875 CE</t>
  </si>
  <si>
    <t>Van Goghkerkraadhuis/raadzaal/carillon</t>
  </si>
  <si>
    <t>3</t>
  </si>
  <si>
    <t>Markt 4</t>
  </si>
  <si>
    <t>Museum Vincent van Gogh</t>
  </si>
  <si>
    <t>Nee</t>
  </si>
  <si>
    <t>6</t>
  </si>
  <si>
    <t xml:space="preserve">Roosendaalseweg 4 </t>
  </si>
  <si>
    <t>4875 AA</t>
  </si>
  <si>
    <t>Stadskantoor met Geldmaat (incl. zonnepanelen ad. € 73.000 per maart 2019)</t>
  </si>
  <si>
    <t>Roosendaalseweg 4 / Bredaseweg 211</t>
  </si>
  <si>
    <t>Stadskantoor</t>
  </si>
  <si>
    <t>45</t>
  </si>
  <si>
    <t>Hermelijnweg 1</t>
  </si>
  <si>
    <t>4877 AE</t>
  </si>
  <si>
    <t>gemeentewerf, zoutloods</t>
  </si>
  <si>
    <t>46</t>
  </si>
  <si>
    <t>Kwadestraat ong.</t>
  </si>
  <si>
    <t>4871 NH</t>
  </si>
  <si>
    <t>gemeente diensten verblijfunits Wijkteam Noord</t>
  </si>
  <si>
    <t>47</t>
  </si>
  <si>
    <t>4873 CB</t>
  </si>
  <si>
    <t>Dubbele porto-cabin Wijkteam Zuid</t>
  </si>
  <si>
    <t>48</t>
  </si>
  <si>
    <t>van Bergenplein 1</t>
  </si>
  <si>
    <t>4871 CD</t>
  </si>
  <si>
    <t>trouwkerk</t>
  </si>
  <si>
    <t>49</t>
  </si>
  <si>
    <t>Wipakker 8</t>
  </si>
  <si>
    <t>4872 XH</t>
  </si>
  <si>
    <t>brandweerkazerne met kantoor</t>
  </si>
  <si>
    <t>52</t>
  </si>
  <si>
    <t>Valpoort 1 / Roosendaalseweg ongen.</t>
  </si>
  <si>
    <t>parkeergarage incl.erfpachtplaatsen</t>
  </si>
  <si>
    <t>53</t>
  </si>
  <si>
    <t>Stationsstraat 28A</t>
  </si>
  <si>
    <t>4872 TD</t>
  </si>
  <si>
    <t>kapel</t>
  </si>
  <si>
    <t>54</t>
  </si>
  <si>
    <t>Olympiade 17</t>
  </si>
  <si>
    <t>4873 DA</t>
  </si>
  <si>
    <t>Gemeenteloods</t>
  </si>
  <si>
    <t>56</t>
  </si>
  <si>
    <t>Trompetlaan 40, 42 en 44/ Hobodreef 10 / Prealle 15</t>
  </si>
  <si>
    <t>4876 XA</t>
  </si>
  <si>
    <t>Multifunctioneel Centrum De Gong en gymzaal</t>
  </si>
  <si>
    <t>61</t>
  </si>
  <si>
    <t>Markt 2</t>
  </si>
  <si>
    <t>Kapel</t>
  </si>
  <si>
    <t>62</t>
  </si>
  <si>
    <t>Bisschopsmolenstraat 235</t>
  </si>
  <si>
    <t>4876 AM</t>
  </si>
  <si>
    <t>molen, bisschopsmolen</t>
  </si>
  <si>
    <t>63</t>
  </si>
  <si>
    <t>Oderkerkpark ongen.</t>
  </si>
  <si>
    <t>4872 AN</t>
  </si>
  <si>
    <t>markthal/waaggebouw</t>
  </si>
  <si>
    <t>64</t>
  </si>
  <si>
    <t>Lange Brugstraat 61</t>
  </si>
  <si>
    <t>4871 CM</t>
  </si>
  <si>
    <t>museum, vergaderruimte vogel en natuurbescherming</t>
  </si>
  <si>
    <t>69</t>
  </si>
  <si>
    <t>Papenstraat 47</t>
  </si>
  <si>
    <t>4875 CJ</t>
  </si>
  <si>
    <t>activiteitencentrum voor baanlozen en wijkvereninging Centrum West</t>
  </si>
  <si>
    <t>70</t>
  </si>
  <si>
    <t>Wipakker 6</t>
  </si>
  <si>
    <t>Dorpshuis, W.A.O vereniging, Heemkundigekring Het Zorgenkind</t>
  </si>
  <si>
    <t>71</t>
  </si>
  <si>
    <t>Vijfhuizenweg 10</t>
  </si>
  <si>
    <t>4871 EE</t>
  </si>
  <si>
    <t>Jeugdgebouw 't Scouthonk</t>
  </si>
  <si>
    <t>72</t>
  </si>
  <si>
    <t>Lambertusstraat 3</t>
  </si>
  <si>
    <t>4872 XA</t>
  </si>
  <si>
    <t>Jeugdgebouw De Beuken (oudbouw)</t>
  </si>
  <si>
    <t>Jeugdgebouw De Beuken (nieuwbouw)</t>
  </si>
  <si>
    <t>73</t>
  </si>
  <si>
    <t>Kokkestraat 8</t>
  </si>
  <si>
    <t>4873 NA</t>
  </si>
  <si>
    <t>Jeugd Scouting Zuid Paulus</t>
  </si>
  <si>
    <t>75</t>
  </si>
  <si>
    <t>Zeedijk 59</t>
  </si>
  <si>
    <t>4871 NM</t>
  </si>
  <si>
    <t>Groencompostering, kantoor, loods en weegbrug</t>
  </si>
  <si>
    <t>76</t>
  </si>
  <si>
    <t>Liesbosweg 25</t>
  </si>
  <si>
    <t>4872 NE</t>
  </si>
  <si>
    <t>Rioolwatergemaal/waterzuivering</t>
  </si>
  <si>
    <t>77</t>
  </si>
  <si>
    <t>Kwadestraat 1</t>
  </si>
  <si>
    <t xml:space="preserve">waterzuivering, ondergrondse bergbezink bassin </t>
  </si>
  <si>
    <t>78</t>
  </si>
  <si>
    <t>Brabantpark ong</t>
  </si>
  <si>
    <t>waterzuivering, bergbezink bassin</t>
  </si>
  <si>
    <t>79</t>
  </si>
  <si>
    <t>Zundertseweg 12</t>
  </si>
  <si>
    <t>4876 NK</t>
  </si>
  <si>
    <t>uitvaartcentrum</t>
  </si>
  <si>
    <t>86</t>
  </si>
  <si>
    <t>Verschuurweg 5</t>
  </si>
  <si>
    <t>4878 AB</t>
  </si>
  <si>
    <t>Milieustraat</t>
  </si>
  <si>
    <t>101</t>
  </si>
  <si>
    <t>Hoevenseweg 34</t>
  </si>
  <si>
    <t>4874 LW</t>
  </si>
  <si>
    <t>woonhuis</t>
  </si>
  <si>
    <t>102</t>
  </si>
  <si>
    <t>Kraanvogel 22</t>
  </si>
  <si>
    <t>4872 SB</t>
  </si>
  <si>
    <t>MFA/Brede School De Vleer</t>
  </si>
  <si>
    <t>School de Hofstee</t>
  </si>
  <si>
    <t>School de Springplank</t>
  </si>
  <si>
    <t>Multifunctionele ruimte De Vleer</t>
  </si>
  <si>
    <t>Gymzaal de Vleer</t>
  </si>
  <si>
    <t>4</t>
  </si>
  <si>
    <t>Slagveld 55</t>
  </si>
  <si>
    <t>4871 ND</t>
  </si>
  <si>
    <t>School Het Voortouw en gymzaal</t>
  </si>
  <si>
    <t>5</t>
  </si>
  <si>
    <t>Gruiterstraat 1</t>
  </si>
  <si>
    <t>4871 KS</t>
  </si>
  <si>
    <t>Brede School de Pijler</t>
  </si>
  <si>
    <t>School de Leest</t>
  </si>
  <si>
    <t>School de Pontus</t>
  </si>
  <si>
    <t>Multifunctionele ruimte</t>
  </si>
  <si>
    <t>8</t>
  </si>
  <si>
    <t>Lambertusstr 5</t>
  </si>
  <si>
    <t>School Vincent van Gogh</t>
  </si>
  <si>
    <t>13</t>
  </si>
  <si>
    <t xml:space="preserve">Beukenln 45 en 43 </t>
  </si>
  <si>
    <t>4871 VG</t>
  </si>
  <si>
    <t>School de Hasselbraam en Gymzaal (43)</t>
  </si>
  <si>
    <t>Beukenln 43</t>
  </si>
  <si>
    <t xml:space="preserve">Gymzaal </t>
  </si>
  <si>
    <t>Beukenln 45</t>
  </si>
  <si>
    <t>School de Hasselbraam</t>
  </si>
  <si>
    <t>20</t>
  </si>
  <si>
    <t>Lambertusstr 3B</t>
  </si>
  <si>
    <t>104</t>
  </si>
  <si>
    <t>Edward Poppelaan 18</t>
  </si>
  <si>
    <t>4874 NA</t>
  </si>
  <si>
    <t>School d'n Overkant</t>
  </si>
  <si>
    <t>Gymzaal</t>
  </si>
  <si>
    <t>105</t>
  </si>
  <si>
    <t>Trivium 102</t>
  </si>
  <si>
    <t>4873 LP</t>
  </si>
  <si>
    <t xml:space="preserve">Onderdelen in de kantine van de nieuwbouw sporthal </t>
  </si>
  <si>
    <t>Anna van Berchemlaan 2</t>
  </si>
  <si>
    <t>4872 XE</t>
  </si>
  <si>
    <t>Cultuureelcentrum de Nieuwe Nobelaer</t>
  </si>
  <si>
    <t>Heilig Hartstraat 2, 4 en 6</t>
  </si>
  <si>
    <t>4073 CZ</t>
  </si>
  <si>
    <t>School 4 Heemskinderen</t>
  </si>
  <si>
    <t>Parklaan 12</t>
  </si>
  <si>
    <t>4873 ER</t>
  </si>
  <si>
    <t>Zwembad de Banakker</t>
  </si>
  <si>
    <t>pro rata per 07-05-2018</t>
  </si>
  <si>
    <t>Hobodreef 3</t>
  </si>
  <si>
    <t>4876 XB</t>
  </si>
  <si>
    <t>KBS</t>
  </si>
  <si>
    <t>pro rata per 20-7-2018</t>
  </si>
  <si>
    <t>(overvoer Carillon en 't Kompas) Taxatierapport 41171/17  19-4-2017 van der Mark</t>
  </si>
  <si>
    <t>Parklaan 2-10</t>
  </si>
  <si>
    <t>Cultureel centrum Nobelaer</t>
  </si>
  <si>
    <t>*1 getaxeerd door J.L. van der Mark d.d. 19-04-2017, rapportnummer 41171/17</t>
  </si>
  <si>
    <t>Bedrijfsuitrusting/inventaris</t>
  </si>
  <si>
    <t>Exploitatiekosten Valpoort 1</t>
  </si>
  <si>
    <t>Opruimingskosten</t>
  </si>
  <si>
    <t>Reconstructiekosten</t>
  </si>
  <si>
    <t>Extra Kosten</t>
  </si>
  <si>
    <t>Totaal</t>
  </si>
  <si>
    <t>Indexcijfer Q4 2022</t>
  </si>
  <si>
    <t>Indexcijfer 2021</t>
  </si>
  <si>
    <t>per 31-12-2022</t>
  </si>
  <si>
    <t>Zwembad de Banakker, inclusief zonnepanelen</t>
  </si>
  <si>
    <t>*3</t>
  </si>
  <si>
    <t>*2 getaxeerd door ATMP d.d. 19 april 2022</t>
  </si>
  <si>
    <t>rapportnummer 2022,04,20777,001-O</t>
  </si>
  <si>
    <t>*3 getaxeerd door ATMP Consulancy, d.d. 19-04-2022, Rapportnummer 2022.04.20777.001-O</t>
  </si>
  <si>
    <t>Nieuwe Kerkstraat 31A</t>
  </si>
  <si>
    <t>per 31-12-2023</t>
  </si>
  <si>
    <t>Indexcijfer Q4 2023</t>
  </si>
  <si>
    <t>Kwadestraat 1 B</t>
  </si>
  <si>
    <t>Concordialaan 210A,</t>
  </si>
  <si>
    <t>Sportpark de Lage Banken verblijfsruimte berging</t>
  </si>
  <si>
    <t>gebouw Hertenkamp</t>
  </si>
  <si>
    <t>Wilhelminalaan ongen.</t>
  </si>
  <si>
    <t>4871 ZD</t>
  </si>
  <si>
    <t>Concordialaan 202,</t>
  </si>
  <si>
    <t>Duivenvereniging de Snelpost</t>
  </si>
  <si>
    <t>Kwadestraat 1C ongen.?</t>
  </si>
  <si>
    <t xml:space="preserve">Kwadestraat 1C </t>
  </si>
  <si>
    <t>School BS de Aventurijn ?</t>
  </si>
  <si>
    <r>
      <rPr>
        <sz val="10"/>
        <color rgb="FFFF0000"/>
        <rFont val="Arial"/>
        <family val="2"/>
      </rPr>
      <t xml:space="preserve">School </t>
    </r>
    <r>
      <rPr>
        <strike/>
        <sz val="10"/>
        <color rgb="FFFF0000"/>
        <rFont val="Arial"/>
        <family val="2"/>
      </rPr>
      <t xml:space="preserve">Het Voortouw </t>
    </r>
    <r>
      <rPr>
        <sz val="10"/>
        <color rgb="FFFF0000"/>
        <rFont val="Arial"/>
        <family val="2"/>
      </rPr>
      <t>OBS de Toverlaars en gymzaal</t>
    </r>
  </si>
  <si>
    <t>Gymzaal het voortouw ?</t>
  </si>
  <si>
    <r>
      <t xml:space="preserve">School Het Voortouw </t>
    </r>
    <r>
      <rPr>
        <sz val="10"/>
        <color rgb="FFFF0000"/>
        <rFont val="Arial"/>
        <family val="2"/>
      </rPr>
      <t>en gymzaal?</t>
    </r>
  </si>
  <si>
    <t>Multifunctionel accommodatie vlgs tax.rapp?</t>
  </si>
  <si>
    <t>Taxatierapport 2023,01,20777,000-I ATMP Consultancy</t>
  </si>
  <si>
    <t>Taxatierapport 2023,01,20777,000-0 ATMP Consultancy</t>
  </si>
  <si>
    <t>31-12-2023</t>
  </si>
  <si>
    <t>Marsja</t>
  </si>
  <si>
    <t>KBS Sonate / BS de Klankhof vlgs tax.rapp.?</t>
  </si>
  <si>
    <t xml:space="preserve">KBS Sonate  </t>
  </si>
  <si>
    <t>KBS Sonate</t>
  </si>
  <si>
    <t>BMI</t>
  </si>
  <si>
    <t>IMI</t>
  </si>
  <si>
    <t>PV-Panelen</t>
  </si>
  <si>
    <t>Scope 12</t>
  </si>
  <si>
    <t>ja</t>
  </si>
  <si>
    <t>nee</t>
  </si>
  <si>
    <t>Onbekend</t>
  </si>
  <si>
    <t>ja, deze zijn van Unitas</t>
  </si>
  <si>
    <t>JA</t>
  </si>
  <si>
    <t>JA/321</t>
  </si>
  <si>
    <t>onbekend</t>
  </si>
  <si>
    <t>Ja/40</t>
  </si>
  <si>
    <t>Ja/32</t>
  </si>
  <si>
    <t>JA/130</t>
  </si>
  <si>
    <t>niet meer van gemeente per 1-1-2024</t>
  </si>
  <si>
    <t>ja/330 totaal</t>
  </si>
  <si>
    <t>ja/ 330 totaal</t>
  </si>
  <si>
    <t>Funderingen premier risque</t>
  </si>
  <si>
    <t>Extra Kosten premier risque</t>
  </si>
  <si>
    <t>Reconstructiekosten premier risque</t>
  </si>
  <si>
    <t>Opruimingskosten [premier risque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</si>
</sst>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_ ;[Red]\-#,##0\ "/>
    <numFmt numFmtId="166" formatCode="_-* #,##0_-;_-* #,##0\-;_-* &quot;-&quot;??_-;_-@_-"/>
    <numFmt numFmtId="167" formatCode="_-&quot;€&quot;\ * #,##0.00_-;_-&quot;€&quot;\ * \-#,##0.00;_-&quot;€&quot;* #0_-;_-@_-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8"/>
      <name val="Courier"/>
      <family val="3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sz val="8"/>
      <name val="Arial"/>
    </font>
    <font>
      <strike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0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4" fontId="2" fillId="0" borderId="1" xfId="1" applyFont="1" applyFill="1" applyBorder="1"/>
    <xf numFmtId="44" fontId="0" fillId="0" borderId="0" xfId="1" applyFont="1"/>
    <xf numFmtId="44" fontId="3" fillId="2" borderId="2" xfId="1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3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3" borderId="0" xfId="1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44" fontId="3" fillId="3" borderId="4" xfId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4" fontId="2" fillId="0" borderId="6" xfId="1" applyFont="1" applyFill="1" applyBorder="1"/>
    <xf numFmtId="49" fontId="3" fillId="3" borderId="7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8" xfId="3" applyNumberFormat="1" applyFont="1" applyFill="1" applyBorder="1" applyAlignment="1">
      <alignment horizontal="center"/>
    </xf>
    <xf numFmtId="44" fontId="3" fillId="3" borderId="8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165" fontId="0" fillId="0" borderId="0" xfId="0" applyNumberFormat="1"/>
    <xf numFmtId="44" fontId="2" fillId="0" borderId="0" xfId="1" applyFont="1" applyFill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166" fontId="2" fillId="0" borderId="1" xfId="2" applyNumberFormat="1" applyFont="1" applyFill="1" applyBorder="1"/>
    <xf numFmtId="44" fontId="2" fillId="0" borderId="1" xfId="1" applyFont="1" applyFill="1" applyBorder="1" applyAlignment="1">
      <alignment vertical="top"/>
    </xf>
    <xf numFmtId="44" fontId="2" fillId="0" borderId="6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44" fontId="2" fillId="0" borderId="1" xfId="0" applyNumberFormat="1" applyFont="1" applyBorder="1"/>
    <xf numFmtId="0" fontId="2" fillId="0" borderId="10" xfId="0" applyFont="1" applyBorder="1"/>
    <xf numFmtId="0" fontId="2" fillId="0" borderId="10" xfId="0" applyFont="1" applyBorder="1" applyAlignment="1">
      <alignment vertical="top"/>
    </xf>
    <xf numFmtId="44" fontId="3" fillId="3" borderId="4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5" borderId="0" xfId="0" applyFont="1" applyFill="1"/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165" fontId="2" fillId="0" borderId="6" xfId="0" applyNumberFormat="1" applyFont="1" applyBorder="1"/>
    <xf numFmtId="0" fontId="2" fillId="0" borderId="9" xfId="0" applyFont="1" applyBorder="1"/>
    <xf numFmtId="7" fontId="0" fillId="0" borderId="0" xfId="1" applyNumberFormat="1" applyFont="1"/>
    <xf numFmtId="7" fontId="3" fillId="3" borderId="4" xfId="1" applyNumberFormat="1" applyFont="1" applyFill="1" applyBorder="1" applyAlignment="1">
      <alignment horizontal="center"/>
    </xf>
    <xf numFmtId="7" fontId="3" fillId="3" borderId="0" xfId="1" applyNumberFormat="1" applyFont="1" applyFill="1" applyBorder="1" applyAlignment="1">
      <alignment horizontal="center"/>
    </xf>
    <xf numFmtId="7" fontId="3" fillId="3" borderId="8" xfId="1" applyNumberFormat="1" applyFont="1" applyFill="1" applyBorder="1" applyAlignment="1">
      <alignment horizontal="center"/>
    </xf>
    <xf numFmtId="7" fontId="2" fillId="0" borderId="6" xfId="1" applyNumberFormat="1" applyFont="1" applyFill="1" applyBorder="1"/>
    <xf numFmtId="7" fontId="3" fillId="2" borderId="2" xfId="1" applyNumberFormat="1" applyFont="1" applyFill="1" applyBorder="1"/>
    <xf numFmtId="7" fontId="0" fillId="0" borderId="1" xfId="1" applyNumberFormat="1" applyFont="1" applyBorder="1"/>
    <xf numFmtId="7" fontId="0" fillId="0" borderId="13" xfId="1" applyNumberFormat="1" applyFont="1" applyBorder="1"/>
    <xf numFmtId="7" fontId="2" fillId="4" borderId="6" xfId="1" applyNumberFormat="1" applyFont="1" applyFill="1" applyBorder="1"/>
    <xf numFmtId="7" fontId="0" fillId="0" borderId="0" xfId="0" applyNumberFormat="1"/>
    <xf numFmtId="7" fontId="2" fillId="0" borderId="1" xfId="1" applyNumberFormat="1" applyFont="1" applyFill="1" applyBorder="1"/>
    <xf numFmtId="7" fontId="2" fillId="0" borderId="1" xfId="1" applyNumberFormat="1" applyFont="1" applyFill="1" applyBorder="1" applyAlignment="1">
      <alignment vertical="top"/>
    </xf>
    <xf numFmtId="7" fontId="2" fillId="0" borderId="1" xfId="3" applyNumberFormat="1" applyFont="1" applyFill="1" applyBorder="1"/>
    <xf numFmtId="7" fontId="2" fillId="0" borderId="10" xfId="1" applyNumberFormat="1" applyFont="1" applyFill="1" applyBorder="1"/>
    <xf numFmtId="7" fontId="2" fillId="0" borderId="1" xfId="0" applyNumberFormat="1" applyFont="1" applyBorder="1"/>
    <xf numFmtId="7" fontId="0" fillId="0" borderId="1" xfId="3" applyNumberFormat="1" applyFont="1" applyBorder="1"/>
    <xf numFmtId="7" fontId="0" fillId="0" borderId="1" xfId="0" applyNumberFormat="1" applyBorder="1"/>
    <xf numFmtId="7" fontId="0" fillId="0" borderId="13" xfId="0" applyNumberFormat="1" applyBorder="1"/>
    <xf numFmtId="7" fontId="2" fillId="0" borderId="9" xfId="1" applyNumberFormat="1" applyFont="1" applyFill="1" applyBorder="1"/>
    <xf numFmtId="7" fontId="0" fillId="0" borderId="0" xfId="3" applyNumberFormat="1" applyFont="1"/>
    <xf numFmtId="7" fontId="2" fillId="0" borderId="0" xfId="1" applyNumberFormat="1" applyFont="1" applyFill="1" applyBorder="1"/>
    <xf numFmtId="7" fontId="0" fillId="0" borderId="0" xfId="3" applyNumberFormat="1" applyFont="1" applyBorder="1"/>
    <xf numFmtId="7" fontId="0" fillId="0" borderId="0" xfId="1" applyNumberFormat="1" applyFont="1" applyFill="1"/>
    <xf numFmtId="7" fontId="3" fillId="0" borderId="2" xfId="1" applyNumberFormat="1" applyFont="1" applyFill="1" applyBorder="1"/>
    <xf numFmtId="49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 vertical="top" wrapText="1"/>
    </xf>
    <xf numFmtId="44" fontId="2" fillId="0" borderId="12" xfId="1" applyFont="1" applyFill="1" applyBorder="1"/>
    <xf numFmtId="7" fontId="2" fillId="0" borderId="12" xfId="1" applyNumberFormat="1" applyFont="1" applyFill="1" applyBorder="1"/>
    <xf numFmtId="7" fontId="2" fillId="0" borderId="11" xfId="0" applyNumberFormat="1" applyFont="1" applyBorder="1"/>
    <xf numFmtId="7" fontId="2" fillId="0" borderId="15" xfId="1" applyNumberFormat="1" applyFont="1" applyFill="1" applyBorder="1"/>
    <xf numFmtId="0" fontId="2" fillId="0" borderId="15" xfId="0" applyFont="1" applyBorder="1"/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4" fontId="0" fillId="0" borderId="0" xfId="0" applyNumberFormat="1"/>
    <xf numFmtId="0" fontId="2" fillId="0" borderId="0" xfId="0" applyFont="1" applyAlignment="1">
      <alignment horizontal="left"/>
    </xf>
    <xf numFmtId="44" fontId="2" fillId="0" borderId="1" xfId="1" quotePrefix="1" applyFont="1" applyFill="1" applyBorder="1"/>
    <xf numFmtId="2" fontId="2" fillId="0" borderId="6" xfId="1" applyNumberFormat="1" applyFont="1" applyFill="1" applyBorder="1"/>
    <xf numFmtId="2" fontId="2" fillId="0" borderId="1" xfId="1" applyNumberFormat="1" applyFont="1" applyFill="1" applyBorder="1"/>
    <xf numFmtId="2" fontId="0" fillId="0" borderId="0" xfId="0" applyNumberFormat="1"/>
    <xf numFmtId="2" fontId="3" fillId="3" borderId="4" xfId="1" applyNumberFormat="1" applyFont="1" applyFill="1" applyBorder="1" applyAlignment="1">
      <alignment horizontal="center"/>
    </xf>
    <xf numFmtId="2" fontId="3" fillId="3" borderId="0" xfId="1" applyNumberFormat="1" applyFont="1" applyFill="1" applyBorder="1" applyAlignment="1">
      <alignment horizontal="center"/>
    </xf>
    <xf numFmtId="2" fontId="3" fillId="3" borderId="8" xfId="1" applyNumberFormat="1" applyFont="1" applyFill="1" applyBorder="1" applyAlignment="1">
      <alignment horizontal="center"/>
    </xf>
    <xf numFmtId="2" fontId="3" fillId="0" borderId="2" xfId="1" applyNumberFormat="1" applyFont="1" applyFill="1" applyBorder="1"/>
    <xf numFmtId="2" fontId="2" fillId="0" borderId="9" xfId="1" applyNumberFormat="1" applyFont="1" applyFill="1" applyBorder="1"/>
    <xf numFmtId="2" fontId="0" fillId="0" borderId="0" xfId="3" applyNumberFormat="1" applyFont="1"/>
    <xf numFmtId="2" fontId="2" fillId="0" borderId="0" xfId="1" applyNumberFormat="1" applyFont="1" applyFill="1" applyBorder="1"/>
    <xf numFmtId="44" fontId="3" fillId="3" borderId="0" xfId="1" applyFont="1" applyFill="1" applyBorder="1" applyAlignment="1">
      <alignment horizontal="center"/>
    </xf>
    <xf numFmtId="44" fontId="2" fillId="0" borderId="9" xfId="1" applyFont="1" applyFill="1" applyBorder="1"/>
    <xf numFmtId="44" fontId="3" fillId="0" borderId="2" xfId="1" applyFont="1" applyFill="1" applyBorder="1"/>
    <xf numFmtId="44" fontId="0" fillId="0" borderId="0" xfId="3" applyFont="1"/>
    <xf numFmtId="7" fontId="2" fillId="0" borderId="16" xfId="1" applyNumberFormat="1" applyFont="1" applyFill="1" applyBorder="1"/>
    <xf numFmtId="7" fontId="3" fillId="3" borderId="3" xfId="1" applyNumberFormat="1" applyFont="1" applyFill="1" applyBorder="1" applyAlignment="1">
      <alignment horizontal="center"/>
    </xf>
    <xf numFmtId="2" fontId="3" fillId="3" borderId="18" xfId="1" applyNumberFormat="1" applyFont="1" applyFill="1" applyBorder="1" applyAlignment="1">
      <alignment horizontal="center"/>
    </xf>
    <xf numFmtId="7" fontId="3" fillId="3" borderId="5" xfId="1" applyNumberFormat="1" applyFont="1" applyFill="1" applyBorder="1" applyAlignment="1">
      <alignment horizontal="center"/>
    </xf>
    <xf numFmtId="2" fontId="3" fillId="3" borderId="19" xfId="1" applyNumberFormat="1" applyFont="1" applyFill="1" applyBorder="1" applyAlignment="1">
      <alignment horizontal="center"/>
    </xf>
    <xf numFmtId="7" fontId="3" fillId="3" borderId="7" xfId="1" applyNumberFormat="1" applyFont="1" applyFill="1" applyBorder="1" applyAlignment="1">
      <alignment horizontal="center"/>
    </xf>
    <xf numFmtId="2" fontId="3" fillId="3" borderId="20" xfId="1" applyNumberFormat="1" applyFont="1" applyFill="1" applyBorder="1" applyAlignment="1">
      <alignment horizontal="center"/>
    </xf>
    <xf numFmtId="7" fontId="2" fillId="0" borderId="21" xfId="1" applyNumberFormat="1" applyFont="1" applyFill="1" applyBorder="1"/>
    <xf numFmtId="2" fontId="2" fillId="0" borderId="22" xfId="1" applyNumberFormat="1" applyFont="1" applyFill="1" applyBorder="1"/>
    <xf numFmtId="7" fontId="2" fillId="0" borderId="23" xfId="1" applyNumberFormat="1" applyFont="1" applyFill="1" applyBorder="1"/>
    <xf numFmtId="7" fontId="2" fillId="0" borderId="24" xfId="1" applyNumberFormat="1" applyFont="1" applyFill="1" applyBorder="1"/>
    <xf numFmtId="7" fontId="2" fillId="0" borderId="13" xfId="0" applyNumberFormat="1" applyFont="1" applyBorder="1"/>
    <xf numFmtId="2" fontId="2" fillId="0" borderId="14" xfId="1" applyNumberFormat="1" applyFont="1" applyFill="1" applyBorder="1"/>
    <xf numFmtId="7" fontId="2" fillId="0" borderId="13" xfId="1" applyNumberFormat="1" applyFont="1" applyFill="1" applyBorder="1"/>
    <xf numFmtId="2" fontId="2" fillId="0" borderId="25" xfId="1" applyNumberFormat="1" applyFont="1" applyFill="1" applyBorder="1"/>
    <xf numFmtId="7" fontId="2" fillId="0" borderId="17" xfId="1" applyNumberFormat="1" applyFont="1" applyFill="1" applyBorder="1"/>
    <xf numFmtId="7" fontId="2" fillId="0" borderId="26" xfId="1" applyNumberFormat="1" applyFont="1" applyFill="1" applyBorder="1"/>
    <xf numFmtId="7" fontId="2" fillId="0" borderId="27" xfId="1" applyNumberFormat="1" applyFont="1" applyFill="1" applyBorder="1"/>
    <xf numFmtId="7" fontId="2" fillId="0" borderId="28" xfId="1" applyNumberFormat="1" applyFont="1" applyFill="1" applyBorder="1"/>
    <xf numFmtId="44" fontId="3" fillId="3" borderId="3" xfId="1" applyFont="1" applyFill="1" applyBorder="1" applyAlignment="1">
      <alignment horizontal="center"/>
    </xf>
    <xf numFmtId="44" fontId="3" fillId="3" borderId="5" xfId="1" applyFont="1" applyFill="1" applyBorder="1" applyAlignment="1">
      <alignment horizontal="center"/>
    </xf>
    <xf numFmtId="44" fontId="3" fillId="3" borderId="7" xfId="1" applyFont="1" applyFill="1" applyBorder="1" applyAlignment="1">
      <alignment horizontal="center"/>
    </xf>
    <xf numFmtId="44" fontId="2" fillId="0" borderId="29" xfId="1" applyFont="1" applyFill="1" applyBorder="1"/>
    <xf numFmtId="44" fontId="2" fillId="0" borderId="7" xfId="1" applyFont="1" applyFill="1" applyBorder="1"/>
    <xf numFmtId="2" fontId="2" fillId="0" borderId="30" xfId="1" applyNumberFormat="1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44" fontId="0" fillId="0" borderId="1" xfId="3" applyFont="1" applyBorder="1" applyAlignment="1">
      <alignment vertical="top" wrapText="1"/>
    </xf>
    <xf numFmtId="7" fontId="2" fillId="4" borderId="1" xfId="1" applyNumberFormat="1" applyFont="1" applyFill="1" applyBorder="1"/>
    <xf numFmtId="44" fontId="2" fillId="0" borderId="1" xfId="3" applyFont="1" applyFill="1" applyBorder="1"/>
    <xf numFmtId="44" fontId="12" fillId="0" borderId="1" xfId="3" applyFont="1" applyFill="1" applyBorder="1"/>
    <xf numFmtId="44" fontId="2" fillId="7" borderId="29" xfId="1" applyFont="1" applyFill="1" applyBorder="1"/>
    <xf numFmtId="44" fontId="13" fillId="0" borderId="1" xfId="3" applyFont="1" applyFill="1" applyBorder="1"/>
    <xf numFmtId="2" fontId="2" fillId="0" borderId="12" xfId="1" applyNumberFormat="1" applyFont="1" applyFill="1" applyBorder="1"/>
    <xf numFmtId="44" fontId="2" fillId="0" borderId="5" xfId="1" applyFont="1" applyFill="1" applyBorder="1"/>
    <xf numFmtId="2" fontId="2" fillId="0" borderId="16" xfId="1" applyNumberFormat="1" applyFont="1" applyFill="1" applyBorder="1"/>
    <xf numFmtId="2" fontId="2" fillId="0" borderId="31" xfId="1" applyNumberFormat="1" applyFont="1" applyFill="1" applyBorder="1"/>
    <xf numFmtId="0" fontId="12" fillId="0" borderId="11" xfId="0" applyFont="1" applyBorder="1" applyAlignment="1">
      <alignment horizontal="left"/>
    </xf>
    <xf numFmtId="0" fontId="12" fillId="0" borderId="0" xfId="0" applyFont="1"/>
    <xf numFmtId="0" fontId="12" fillId="0" borderId="11" xfId="0" applyFont="1" applyBorder="1" applyAlignment="1">
      <alignment horizontal="left" vertical="top" wrapText="1"/>
    </xf>
    <xf numFmtId="44" fontId="14" fillId="0" borderId="1" xfId="3" applyFont="1" applyFill="1" applyBorder="1"/>
    <xf numFmtId="0" fontId="10" fillId="0" borderId="1" xfId="0" applyFont="1" applyBorder="1"/>
    <xf numFmtId="0" fontId="2" fillId="7" borderId="1" xfId="0" applyFont="1" applyFill="1" applyBorder="1" applyAlignment="1">
      <alignment horizontal="left" vertical="top" wrapText="1"/>
    </xf>
    <xf numFmtId="44" fontId="0" fillId="0" borderId="2" xfId="0" applyNumberFormat="1" applyBorder="1"/>
    <xf numFmtId="49" fontId="10" fillId="0" borderId="0" xfId="0" applyNumberFormat="1" applyFont="1" applyAlignment="1">
      <alignment horizontal="center"/>
    </xf>
    <xf numFmtId="44" fontId="10" fillId="0" borderId="1" xfId="3" applyFont="1" applyBorder="1"/>
    <xf numFmtId="44" fontId="10" fillId="0" borderId="1" xfId="0" applyNumberFormat="1" applyFont="1" applyBorder="1"/>
    <xf numFmtId="7" fontId="10" fillId="4" borderId="1" xfId="1" applyNumberFormat="1" applyFont="1" applyFill="1" applyBorder="1"/>
    <xf numFmtId="44" fontId="3" fillId="8" borderId="0" xfId="1" applyFont="1" applyFill="1" applyBorder="1" applyAlignment="1">
      <alignment horizontal="center" wrapText="1"/>
    </xf>
    <xf numFmtId="1" fontId="3" fillId="8" borderId="0" xfId="1" applyNumberFormat="1" applyFont="1" applyFill="1" applyBorder="1" applyAlignment="1">
      <alignment horizontal="center"/>
    </xf>
    <xf numFmtId="44" fontId="3" fillId="8" borderId="8" xfId="1" applyFont="1" applyFill="1" applyBorder="1" applyAlignment="1">
      <alignment horizontal="center"/>
    </xf>
    <xf numFmtId="44" fontId="12" fillId="9" borderId="1" xfId="3" applyFont="1" applyFill="1" applyBorder="1"/>
    <xf numFmtId="44" fontId="0" fillId="0" borderId="1" xfId="3" applyFont="1" applyBorder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9" borderId="1" xfId="0" applyFont="1" applyFill="1" applyBorder="1"/>
    <xf numFmtId="0" fontId="2" fillId="6" borderId="1" xfId="0" applyFont="1" applyFill="1" applyBorder="1"/>
    <xf numFmtId="2" fontId="16" fillId="0" borderId="9" xfId="1" applyNumberFormat="1" applyFont="1" applyFill="1" applyBorder="1"/>
    <xf numFmtId="44" fontId="16" fillId="0" borderId="1" xfId="3" applyFont="1" applyFill="1" applyBorder="1"/>
    <xf numFmtId="2" fontId="16" fillId="0" borderId="22" xfId="1" applyNumberFormat="1" applyFont="1" applyFill="1" applyBorder="1"/>
    <xf numFmtId="0" fontId="16" fillId="0" borderId="10" xfId="0" applyFont="1" applyBorder="1"/>
    <xf numFmtId="0" fontId="16" fillId="0" borderId="9" xfId="0" applyFont="1" applyBorder="1"/>
    <xf numFmtId="0" fontId="16" fillId="0" borderId="6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top" wrapText="1"/>
    </xf>
    <xf numFmtId="165" fontId="16" fillId="0" borderId="1" xfId="0" applyNumberFormat="1" applyFont="1" applyBorder="1"/>
    <xf numFmtId="44" fontId="16" fillId="0" borderId="1" xfId="1" applyFont="1" applyFill="1" applyBorder="1"/>
    <xf numFmtId="44" fontId="16" fillId="0" borderId="6" xfId="1" applyFont="1" applyFill="1" applyBorder="1"/>
    <xf numFmtId="7" fontId="16" fillId="0" borderId="9" xfId="1" applyNumberFormat="1" applyFont="1" applyFill="1" applyBorder="1"/>
    <xf numFmtId="7" fontId="16" fillId="0" borderId="21" xfId="1" applyNumberFormat="1" applyFont="1" applyFill="1" applyBorder="1"/>
    <xf numFmtId="7" fontId="16" fillId="0" borderId="1" xfId="1" applyNumberFormat="1" applyFont="1" applyFill="1" applyBorder="1"/>
    <xf numFmtId="2" fontId="16" fillId="0" borderId="1" xfId="1" applyNumberFormat="1" applyFont="1" applyFill="1" applyBorder="1"/>
    <xf numFmtId="7" fontId="16" fillId="0" borderId="10" xfId="1" applyNumberFormat="1" applyFont="1" applyFill="1" applyBorder="1"/>
    <xf numFmtId="44" fontId="16" fillId="0" borderId="29" xfId="1" applyFont="1" applyFill="1" applyBorder="1"/>
    <xf numFmtId="44" fontId="16" fillId="0" borderId="9" xfId="1" applyFont="1" applyFill="1" applyBorder="1"/>
    <xf numFmtId="7" fontId="16" fillId="0" borderId="26" xfId="1" applyNumberFormat="1" applyFont="1" applyFill="1" applyBorder="1"/>
    <xf numFmtId="7" fontId="0" fillId="0" borderId="0" xfId="0" applyNumberFormat="1" applyFill="1" applyBorder="1"/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2" fontId="3" fillId="3" borderId="0" xfId="1" applyNumberFormat="1" applyFont="1" applyFill="1" applyBorder="1" applyAlignment="1">
      <alignment horizontal="center" wrapText="1"/>
    </xf>
    <xf numFmtId="2" fontId="3" fillId="3" borderId="19" xfId="1" applyNumberFormat="1" applyFont="1" applyFill="1" applyBorder="1" applyAlignment="1">
      <alignment horizontal="center" wrapText="1"/>
    </xf>
    <xf numFmtId="7" fontId="2" fillId="4" borderId="28" xfId="1" applyNumberFormat="1" applyFont="1" applyFill="1" applyBorder="1"/>
    <xf numFmtId="44" fontId="0" fillId="0" borderId="11" xfId="3" applyFont="1" applyBorder="1" applyAlignment="1">
      <alignment vertical="top" wrapText="1"/>
    </xf>
    <xf numFmtId="7" fontId="0" fillId="0" borderId="11" xfId="1" applyNumberFormat="1" applyFont="1" applyBorder="1"/>
    <xf numFmtId="7" fontId="0" fillId="0" borderId="11" xfId="0" applyNumberFormat="1" applyBorder="1"/>
    <xf numFmtId="7" fontId="2" fillId="4" borderId="32" xfId="1" applyNumberFormat="1" applyFont="1" applyFill="1" applyBorder="1"/>
    <xf numFmtId="7" fontId="2" fillId="4" borderId="14" xfId="1" applyNumberFormat="1" applyFont="1" applyFill="1" applyBorder="1"/>
    <xf numFmtId="44" fontId="2" fillId="4" borderId="14" xfId="1" applyNumberFormat="1" applyFont="1" applyFill="1" applyBorder="1"/>
    <xf numFmtId="44" fontId="2" fillId="4" borderId="25" xfId="1" applyNumberFormat="1" applyFont="1" applyFill="1" applyBorder="1"/>
  </cellXfs>
  <cellStyles count="10">
    <cellStyle name="Euro" xfId="1" xr:uid="{00000000-0005-0000-0000-000000000000}"/>
    <cellStyle name="Euro 2" xfId="8" xr:uid="{C8CA2527-D8A8-42C7-A5B5-4B139D63178B}"/>
    <cellStyle name="Hyperlink 2" xfId="7" xr:uid="{26F486F9-4074-432A-8B97-50F9864442FD}"/>
    <cellStyle name="Komma" xfId="2" builtinId="3"/>
    <cellStyle name="Komma 2" xfId="9" xr:uid="{D8030C14-7221-4E76-8394-37EDF87ADCE0}"/>
    <cellStyle name="Komma 3" xfId="5" xr:uid="{334DB792-8B4A-4B51-8459-49A99CAE5AAD}"/>
    <cellStyle name="Standaard" xfId="0" builtinId="0"/>
    <cellStyle name="Standaard 2" xfId="4" xr:uid="{BF648E62-53EF-49F4-9480-3FABDCB01CBA}"/>
    <cellStyle name="Standaard 4" xfId="6" xr:uid="{73C3645E-7D29-4E66-B3D9-9A26FA100790}"/>
    <cellStyle name="Valuta" xfId="3" builtinId="4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1"/>
  <sheetViews>
    <sheetView showGridLines="0" topLeftCell="A55" zoomScaleNormal="100" workbookViewId="0">
      <selection activeCell="G89" sqref="G89"/>
    </sheetView>
  </sheetViews>
  <sheetFormatPr defaultRowHeight="13.2"/>
  <cols>
    <col min="1" max="1" width="8.109375" customWidth="1"/>
    <col min="2" max="2" width="12.6640625" hidden="1" customWidth="1"/>
    <col min="3" max="3" width="1.44140625" hidden="1" customWidth="1"/>
    <col min="4" max="4" width="44.109375" customWidth="1"/>
    <col min="5" max="5" width="11.33203125" bestFit="1" customWidth="1"/>
    <col min="6" max="6" width="15.44140625" bestFit="1" customWidth="1"/>
    <col min="7" max="7" width="53.6640625" style="27" customWidth="1"/>
    <col min="8" max="8" width="11.109375" hidden="1" customWidth="1"/>
    <col min="9" max="13" width="21.5546875" style="4" hidden="1" customWidth="1"/>
    <col min="14" max="14" width="4.33203125" style="4" customWidth="1"/>
    <col min="15" max="16" width="21.5546875" style="4" hidden="1" customWidth="1"/>
    <col min="17" max="17" width="18.44140625" style="4" hidden="1" customWidth="1"/>
    <col min="18" max="18" width="18.44140625" style="61" hidden="1" customWidth="1"/>
    <col min="19" max="19" width="18.44140625" style="61" customWidth="1"/>
    <col min="20" max="20" width="17.33203125" style="70" hidden="1" customWidth="1"/>
    <col min="21" max="21" width="17.33203125" style="70" customWidth="1"/>
    <col min="22" max="22" width="17.33203125" style="70" hidden="1" customWidth="1"/>
    <col min="23" max="23" width="17.33203125" style="70" customWidth="1"/>
    <col min="24" max="24" width="9.6640625" customWidth="1"/>
    <col min="25" max="25" width="42.33203125" customWidth="1"/>
  </cols>
  <sheetData>
    <row r="1" spans="1:29" ht="13.8" thickBot="1">
      <c r="D1" t="s">
        <v>0</v>
      </c>
    </row>
    <row r="2" spans="1:29" s="10" customFormat="1" ht="26.4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23" t="s">
        <v>7</v>
      </c>
      <c r="H2" s="13" t="s">
        <v>8</v>
      </c>
      <c r="I2" s="15" t="s">
        <v>9</v>
      </c>
      <c r="J2" s="15" t="s">
        <v>10</v>
      </c>
      <c r="K2" s="15" t="s">
        <v>10</v>
      </c>
      <c r="L2" s="15" t="s">
        <v>10</v>
      </c>
      <c r="M2" s="15" t="s">
        <v>10</v>
      </c>
      <c r="N2" s="15"/>
      <c r="O2" s="15" t="s">
        <v>10</v>
      </c>
      <c r="P2" s="15" t="s">
        <v>10</v>
      </c>
      <c r="Q2" s="15" t="s">
        <v>10</v>
      </c>
      <c r="R2" s="62" t="s">
        <v>10</v>
      </c>
      <c r="S2" s="62" t="s">
        <v>10</v>
      </c>
      <c r="T2" s="62" t="s">
        <v>10</v>
      </c>
      <c r="U2" s="62" t="s">
        <v>10</v>
      </c>
      <c r="V2" s="62" t="s">
        <v>10</v>
      </c>
      <c r="W2" s="62" t="s">
        <v>10</v>
      </c>
      <c r="X2" s="51" t="s">
        <v>11</v>
      </c>
      <c r="Y2" s="189"/>
    </row>
    <row r="3" spans="1:29" s="10" customFormat="1">
      <c r="A3" s="16"/>
      <c r="B3" s="6" t="s">
        <v>12</v>
      </c>
      <c r="C3" s="6"/>
      <c r="D3" s="7"/>
      <c r="E3" s="7"/>
      <c r="F3" s="7"/>
      <c r="G3" s="24"/>
      <c r="H3" s="8">
        <v>2011</v>
      </c>
      <c r="I3" s="11">
        <v>2012</v>
      </c>
      <c r="J3" s="11" t="s">
        <v>13</v>
      </c>
      <c r="K3" s="11" t="s">
        <v>14</v>
      </c>
      <c r="L3" s="11" t="s">
        <v>14</v>
      </c>
      <c r="M3" s="11" t="s">
        <v>14</v>
      </c>
      <c r="N3" s="11"/>
      <c r="O3" s="11" t="s">
        <v>14</v>
      </c>
      <c r="P3" s="11" t="s">
        <v>14</v>
      </c>
      <c r="Q3" s="11" t="s">
        <v>14</v>
      </c>
      <c r="R3" s="63" t="s">
        <v>14</v>
      </c>
      <c r="S3" s="63" t="s">
        <v>14</v>
      </c>
      <c r="T3" s="63" t="s">
        <v>15</v>
      </c>
      <c r="U3" s="63" t="s">
        <v>15</v>
      </c>
      <c r="V3" s="63" t="s">
        <v>16</v>
      </c>
      <c r="W3" s="63" t="s">
        <v>16</v>
      </c>
      <c r="X3" s="11"/>
      <c r="Y3" s="190"/>
    </row>
    <row r="4" spans="1:29" s="10" customFormat="1">
      <c r="A4" s="16"/>
      <c r="B4" s="6"/>
      <c r="C4" s="6"/>
      <c r="D4" s="7"/>
      <c r="E4" s="7"/>
      <c r="F4" s="7"/>
      <c r="G4" s="24"/>
      <c r="H4" s="8"/>
      <c r="I4" s="11"/>
      <c r="J4" s="11" t="s">
        <v>17</v>
      </c>
      <c r="K4" s="11" t="s">
        <v>18</v>
      </c>
      <c r="L4" s="11" t="s">
        <v>19</v>
      </c>
      <c r="M4" s="11" t="s">
        <v>20</v>
      </c>
      <c r="N4" s="11"/>
      <c r="O4" s="11" t="s">
        <v>21</v>
      </c>
      <c r="P4" s="11" t="s">
        <v>22</v>
      </c>
      <c r="Q4" s="11" t="s">
        <v>23</v>
      </c>
      <c r="R4" s="63" t="s">
        <v>24</v>
      </c>
      <c r="S4" s="63" t="s">
        <v>25</v>
      </c>
      <c r="T4" s="63" t="s">
        <v>24</v>
      </c>
      <c r="U4" s="63" t="s">
        <v>25</v>
      </c>
      <c r="V4" s="63" t="s">
        <v>24</v>
      </c>
      <c r="W4" s="63" t="s">
        <v>25</v>
      </c>
      <c r="X4" s="11"/>
      <c r="Y4" s="190"/>
    </row>
    <row r="5" spans="1:29" s="10" customFormat="1" ht="13.8" thickBot="1">
      <c r="A5" s="18"/>
      <c r="B5" s="19"/>
      <c r="C5" s="19"/>
      <c r="D5" s="20"/>
      <c r="E5" s="20"/>
      <c r="F5" s="20"/>
      <c r="G5" s="25"/>
      <c r="H5" s="21"/>
      <c r="I5" s="22"/>
      <c r="J5" s="22"/>
      <c r="K5" s="22" t="s">
        <v>26</v>
      </c>
      <c r="L5" s="22" t="s">
        <v>27</v>
      </c>
      <c r="M5" s="22" t="s">
        <v>28</v>
      </c>
      <c r="N5" s="22"/>
      <c r="O5" s="22" t="s">
        <v>29</v>
      </c>
      <c r="P5" s="22" t="s">
        <v>30</v>
      </c>
      <c r="Q5" s="22" t="s">
        <v>31</v>
      </c>
      <c r="R5" s="64" t="s">
        <v>32</v>
      </c>
      <c r="S5" s="64" t="s">
        <v>33</v>
      </c>
      <c r="T5" s="64"/>
      <c r="U5" s="64"/>
      <c r="V5" s="64"/>
      <c r="W5" s="64"/>
      <c r="X5" s="22"/>
      <c r="Y5" s="191"/>
    </row>
    <row r="6" spans="1:29" s="53" customFormat="1">
      <c r="A6" s="54" t="s">
        <v>34</v>
      </c>
      <c r="B6" s="55">
        <v>1</v>
      </c>
      <c r="C6" s="56" t="s">
        <v>35</v>
      </c>
      <c r="D6" s="57" t="s">
        <v>36</v>
      </c>
      <c r="E6" s="57" t="s">
        <v>37</v>
      </c>
      <c r="F6" s="57" t="s">
        <v>38</v>
      </c>
      <c r="G6" s="58" t="s">
        <v>39</v>
      </c>
      <c r="H6" s="59">
        <v>3518055.555555556</v>
      </c>
      <c r="I6" s="17">
        <v>3541049.3827160499</v>
      </c>
      <c r="J6" s="17">
        <f>ROUND(I6,0)</f>
        <v>3541049</v>
      </c>
      <c r="K6" s="17">
        <f>ROUND(J6/113.8*117,0)</f>
        <v>3640622</v>
      </c>
      <c r="L6" s="17">
        <f>ROUND(K6/117*118.7,0)</f>
        <v>3693520</v>
      </c>
      <c r="M6" s="17">
        <f>ROUND(L6/118.7*120.2,0)</f>
        <v>3740195</v>
      </c>
      <c r="N6" s="17" t="s">
        <v>40</v>
      </c>
      <c r="O6" s="17">
        <f>ROUND(M6/120.2*120.7,0)</f>
        <v>3755753</v>
      </c>
      <c r="P6" s="17">
        <v>5089600</v>
      </c>
      <c r="Q6" s="17">
        <f>ROUND(P6/123.1*125,0)</f>
        <v>5168156</v>
      </c>
      <c r="R6" s="65">
        <v>6284500</v>
      </c>
      <c r="S6" s="65">
        <v>6787260</v>
      </c>
      <c r="T6" s="65"/>
      <c r="U6" s="65"/>
      <c r="V6" s="79"/>
      <c r="W6" s="79"/>
      <c r="X6" s="60" t="s">
        <v>41</v>
      </c>
      <c r="Y6" s="56" t="s">
        <v>42</v>
      </c>
      <c r="Z6" s="28"/>
      <c r="AA6" s="28"/>
      <c r="AB6" s="28"/>
      <c r="AC6" s="28"/>
    </row>
    <row r="7" spans="1:29" s="53" customFormat="1">
      <c r="A7" s="9" t="s">
        <v>34</v>
      </c>
      <c r="B7" s="34">
        <v>2</v>
      </c>
      <c r="C7" s="2" t="s">
        <v>43</v>
      </c>
      <c r="D7" s="1" t="s">
        <v>36</v>
      </c>
      <c r="E7" s="1" t="s">
        <v>37</v>
      </c>
      <c r="F7" s="1" t="s">
        <v>38</v>
      </c>
      <c r="G7" s="26" t="s">
        <v>39</v>
      </c>
      <c r="H7" s="35">
        <v>858405.5555555555</v>
      </c>
      <c r="I7" s="3">
        <v>864016.04938271595</v>
      </c>
      <c r="J7" s="3"/>
      <c r="K7" s="3">
        <f t="shared" ref="K7:K36" si="0">ROUND(J7/113.8*117,0)</f>
        <v>0</v>
      </c>
      <c r="L7" s="3">
        <f t="shared" ref="L7:L37" si="1">ROUND(K7/117*118.7,0)</f>
        <v>0</v>
      </c>
      <c r="M7" s="17">
        <f t="shared" ref="M7:M44" si="2">ROUND(L7/118.7*120.2,0)</f>
        <v>0</v>
      </c>
      <c r="N7" s="17" t="s">
        <v>40</v>
      </c>
      <c r="O7" s="17">
        <f t="shared" ref="O7:O44" si="3">ROUND(M7/120.2*120.7,0)</f>
        <v>0</v>
      </c>
      <c r="P7" s="17">
        <f t="shared" ref="P7:P44" si="4">ROUND(O7/120.7*122.4,0)</f>
        <v>0</v>
      </c>
      <c r="Q7" s="17">
        <f t="shared" ref="Q7:Q21" si="5">ROUND(P7/123.1*125,0)</f>
        <v>0</v>
      </c>
      <c r="R7" s="65"/>
      <c r="S7" s="65"/>
      <c r="T7" s="71">
        <v>635210</v>
      </c>
      <c r="U7" s="71">
        <v>635210</v>
      </c>
      <c r="V7" s="79"/>
      <c r="W7" s="79"/>
      <c r="X7" s="60" t="s">
        <v>41</v>
      </c>
      <c r="Y7" s="2" t="s">
        <v>42</v>
      </c>
      <c r="Z7" s="28"/>
      <c r="AA7" s="28"/>
      <c r="AB7" s="28"/>
      <c r="AC7" s="28"/>
    </row>
    <row r="8" spans="1:29" s="53" customFormat="1">
      <c r="A8" s="9" t="s">
        <v>44</v>
      </c>
      <c r="B8" s="34">
        <v>1</v>
      </c>
      <c r="C8" s="2" t="s">
        <v>35</v>
      </c>
      <c r="D8" s="1" t="s">
        <v>45</v>
      </c>
      <c r="E8" s="1" t="s">
        <v>46</v>
      </c>
      <c r="F8" s="1" t="s">
        <v>38</v>
      </c>
      <c r="G8" s="26" t="s">
        <v>47</v>
      </c>
      <c r="H8" s="35">
        <v>3758700</v>
      </c>
      <c r="I8" s="3">
        <v>3783266.666666667</v>
      </c>
      <c r="J8" s="3">
        <f>ROUND(I8,0)</f>
        <v>3783267</v>
      </c>
      <c r="K8" s="3">
        <f t="shared" si="0"/>
        <v>3889651</v>
      </c>
      <c r="L8" s="3">
        <f t="shared" si="1"/>
        <v>3946167</v>
      </c>
      <c r="M8" s="17">
        <f t="shared" si="2"/>
        <v>3996034</v>
      </c>
      <c r="N8" s="17" t="s">
        <v>40</v>
      </c>
      <c r="O8" s="17">
        <f t="shared" si="3"/>
        <v>4012656</v>
      </c>
      <c r="P8" s="17">
        <v>10992000</v>
      </c>
      <c r="Q8" s="17">
        <f t="shared" si="5"/>
        <v>11161657</v>
      </c>
      <c r="R8" s="65">
        <v>13572500</v>
      </c>
      <c r="S8" s="65">
        <v>14658300</v>
      </c>
      <c r="T8" s="71"/>
      <c r="U8" s="71"/>
      <c r="V8" s="79"/>
      <c r="W8" s="79"/>
      <c r="X8" s="60" t="s">
        <v>41</v>
      </c>
      <c r="Y8" s="2" t="s">
        <v>42</v>
      </c>
      <c r="Z8" s="28"/>
      <c r="AA8" s="28"/>
      <c r="AB8" s="28"/>
      <c r="AC8" s="28"/>
    </row>
    <row r="9" spans="1:29" s="53" customFormat="1">
      <c r="A9" s="9" t="s">
        <v>44</v>
      </c>
      <c r="B9" s="34">
        <v>2</v>
      </c>
      <c r="C9" s="2" t="s">
        <v>43</v>
      </c>
      <c r="D9" s="1" t="s">
        <v>45</v>
      </c>
      <c r="E9" s="1" t="s">
        <v>46</v>
      </c>
      <c r="F9" s="1" t="s">
        <v>38</v>
      </c>
      <c r="G9" s="26" t="s">
        <v>47</v>
      </c>
      <c r="H9" s="35">
        <v>117455.48780487805</v>
      </c>
      <c r="I9" s="3">
        <v>118223.17073170733</v>
      </c>
      <c r="J9" s="3"/>
      <c r="K9" s="3">
        <f t="shared" si="0"/>
        <v>0</v>
      </c>
      <c r="L9" s="3">
        <f t="shared" si="1"/>
        <v>0</v>
      </c>
      <c r="M9" s="17">
        <f t="shared" si="2"/>
        <v>0</v>
      </c>
      <c r="N9" s="17" t="s">
        <v>40</v>
      </c>
      <c r="O9" s="17">
        <f t="shared" si="3"/>
        <v>0</v>
      </c>
      <c r="P9" s="17">
        <f t="shared" si="4"/>
        <v>0</v>
      </c>
      <c r="Q9" s="17">
        <f t="shared" si="5"/>
        <v>0</v>
      </c>
      <c r="R9" s="65"/>
      <c r="S9" s="65"/>
      <c r="T9" s="71">
        <v>1155235</v>
      </c>
      <c r="U9" s="71">
        <v>1155235</v>
      </c>
      <c r="V9" s="79"/>
      <c r="W9" s="79"/>
      <c r="X9" s="60" t="s">
        <v>41</v>
      </c>
      <c r="Y9" s="2" t="s">
        <v>42</v>
      </c>
      <c r="Z9" s="28"/>
      <c r="AA9" s="28"/>
      <c r="AB9" s="28"/>
      <c r="AC9" s="28"/>
    </row>
    <row r="10" spans="1:29" s="53" customFormat="1">
      <c r="A10" s="9" t="s">
        <v>48</v>
      </c>
      <c r="B10" s="34">
        <v>1</v>
      </c>
      <c r="C10" s="2" t="s">
        <v>35</v>
      </c>
      <c r="D10" s="1" t="s">
        <v>49</v>
      </c>
      <c r="E10" s="1" t="s">
        <v>46</v>
      </c>
      <c r="F10" s="1" t="s">
        <v>38</v>
      </c>
      <c r="G10" s="26" t="s">
        <v>50</v>
      </c>
      <c r="H10" s="35">
        <v>250655.5555555555</v>
      </c>
      <c r="I10" s="3">
        <v>252293.82716049379</v>
      </c>
      <c r="J10" s="3">
        <f t="shared" ref="J10:J11" si="6">ROUND(I10,0)</f>
        <v>252294</v>
      </c>
      <c r="K10" s="3">
        <f t="shared" si="0"/>
        <v>259388</v>
      </c>
      <c r="L10" s="3">
        <f t="shared" si="1"/>
        <v>263157</v>
      </c>
      <c r="M10" s="17">
        <f t="shared" si="2"/>
        <v>266482</v>
      </c>
      <c r="N10" s="17" t="s">
        <v>40</v>
      </c>
      <c r="O10" s="17">
        <f t="shared" si="3"/>
        <v>267590</v>
      </c>
      <c r="P10" s="3">
        <v>281400</v>
      </c>
      <c r="Q10" s="17">
        <f>ROUND(P10/123.1*125,0)/121*100</f>
        <v>236151.23966942145</v>
      </c>
      <c r="R10" s="65">
        <v>287200</v>
      </c>
      <c r="S10" s="65">
        <v>310.17599999999999</v>
      </c>
      <c r="T10" s="71"/>
      <c r="U10" s="71"/>
      <c r="V10" s="79"/>
      <c r="W10" s="79"/>
      <c r="X10" s="49" t="s">
        <v>51</v>
      </c>
      <c r="Y10" s="2" t="s">
        <v>42</v>
      </c>
      <c r="Z10" s="28"/>
      <c r="AA10" s="28"/>
      <c r="AB10" s="28"/>
      <c r="AC10" s="28"/>
    </row>
    <row r="11" spans="1:29" s="53" customFormat="1" ht="26.4">
      <c r="A11" s="9" t="s">
        <v>52</v>
      </c>
      <c r="B11" s="34">
        <v>1</v>
      </c>
      <c r="C11" s="2" t="s">
        <v>35</v>
      </c>
      <c r="D11" s="1" t="s">
        <v>53</v>
      </c>
      <c r="E11" s="1" t="s">
        <v>54</v>
      </c>
      <c r="F11" s="1" t="s">
        <v>38</v>
      </c>
      <c r="G11" s="26" t="s">
        <v>55</v>
      </c>
      <c r="H11" s="35">
        <v>12174455.555555556</v>
      </c>
      <c r="I11" s="3">
        <v>12254027.160493826</v>
      </c>
      <c r="J11" s="3">
        <f t="shared" si="6"/>
        <v>12254027</v>
      </c>
      <c r="K11" s="3">
        <f t="shared" si="0"/>
        <v>12598604</v>
      </c>
      <c r="L11" s="3">
        <f t="shared" si="1"/>
        <v>12781661</v>
      </c>
      <c r="M11" s="17">
        <f t="shared" si="2"/>
        <v>12943182</v>
      </c>
      <c r="N11" s="17" t="s">
        <v>40</v>
      </c>
      <c r="O11" s="17">
        <f t="shared" si="3"/>
        <v>12997022</v>
      </c>
      <c r="P11" s="17">
        <v>16945000</v>
      </c>
      <c r="Q11" s="17">
        <f t="shared" si="5"/>
        <v>17206539</v>
      </c>
      <c r="R11" s="65">
        <v>21001600</v>
      </c>
      <c r="S11" s="65">
        <v>22681728</v>
      </c>
      <c r="T11" s="71"/>
      <c r="U11" s="71"/>
      <c r="V11" s="79"/>
      <c r="W11" s="79"/>
      <c r="X11" s="49" t="s">
        <v>41</v>
      </c>
      <c r="Y11" s="2" t="s">
        <v>42</v>
      </c>
      <c r="Z11" s="28"/>
      <c r="AA11" s="28"/>
      <c r="AB11" s="28"/>
      <c r="AC11" s="28"/>
    </row>
    <row r="12" spans="1:29" s="53" customFormat="1">
      <c r="A12" s="9" t="s">
        <v>52</v>
      </c>
      <c r="B12" s="34">
        <v>2</v>
      </c>
      <c r="C12" s="2" t="s">
        <v>43</v>
      </c>
      <c r="D12" s="1" t="s">
        <v>56</v>
      </c>
      <c r="E12" s="1" t="s">
        <v>54</v>
      </c>
      <c r="F12" s="1" t="s">
        <v>38</v>
      </c>
      <c r="G12" s="26" t="s">
        <v>57</v>
      </c>
      <c r="H12" s="35">
        <v>3897861.5853658537</v>
      </c>
      <c r="I12" s="3">
        <v>3923337.8048780491</v>
      </c>
      <c r="J12" s="3"/>
      <c r="K12" s="3">
        <f t="shared" si="0"/>
        <v>0</v>
      </c>
      <c r="L12" s="3">
        <f t="shared" si="1"/>
        <v>0</v>
      </c>
      <c r="M12" s="17">
        <f t="shared" si="2"/>
        <v>0</v>
      </c>
      <c r="N12" s="17" t="s">
        <v>40</v>
      </c>
      <c r="O12" s="17">
        <f t="shared" si="3"/>
        <v>0</v>
      </c>
      <c r="P12" s="17">
        <f t="shared" si="4"/>
        <v>0</v>
      </c>
      <c r="Q12" s="17">
        <f t="shared" si="5"/>
        <v>0</v>
      </c>
      <c r="R12" s="65"/>
      <c r="S12" s="65"/>
      <c r="T12" s="71">
        <v>5101950</v>
      </c>
      <c r="U12" s="71">
        <v>5101950</v>
      </c>
      <c r="V12" s="79"/>
      <c r="W12" s="79"/>
      <c r="X12" s="49" t="s">
        <v>41</v>
      </c>
      <c r="Y12" s="2" t="s">
        <v>42</v>
      </c>
      <c r="Z12" s="28"/>
      <c r="AA12" s="28"/>
      <c r="AB12" s="28"/>
      <c r="AC12" s="28"/>
    </row>
    <row r="13" spans="1:29" s="53" customFormat="1">
      <c r="A13" s="9" t="s">
        <v>58</v>
      </c>
      <c r="B13" s="34">
        <v>1</v>
      </c>
      <c r="C13" s="2" t="s">
        <v>35</v>
      </c>
      <c r="D13" s="1" t="s">
        <v>59</v>
      </c>
      <c r="E13" s="1" t="s">
        <v>60</v>
      </c>
      <c r="F13" s="1" t="s">
        <v>38</v>
      </c>
      <c r="G13" s="26" t="s">
        <v>61</v>
      </c>
      <c r="H13" s="35">
        <v>1446888.888888889</v>
      </c>
      <c r="I13" s="3">
        <v>1456345.6790123458</v>
      </c>
      <c r="J13" s="3">
        <f>ROUND(I13,0)</f>
        <v>1456346</v>
      </c>
      <c r="K13" s="3">
        <f t="shared" si="0"/>
        <v>1497298</v>
      </c>
      <c r="L13" s="3">
        <f t="shared" si="1"/>
        <v>1519054</v>
      </c>
      <c r="M13" s="17">
        <f t="shared" si="2"/>
        <v>1538250</v>
      </c>
      <c r="N13" s="17" t="s">
        <v>40</v>
      </c>
      <c r="O13" s="17">
        <f t="shared" si="3"/>
        <v>1544649</v>
      </c>
      <c r="P13" s="17">
        <v>1920000</v>
      </c>
      <c r="Q13" s="17">
        <f>ROUND(P13/123.1*125,0)/121*100</f>
        <v>1611267.7685950412</v>
      </c>
      <c r="R13" s="65">
        <v>1959300</v>
      </c>
      <c r="S13" s="65">
        <v>2116044</v>
      </c>
      <c r="T13" s="71"/>
      <c r="U13" s="71"/>
      <c r="V13" s="79"/>
      <c r="W13" s="79"/>
      <c r="X13" s="49" t="s">
        <v>51</v>
      </c>
      <c r="Y13" s="2" t="s">
        <v>42</v>
      </c>
      <c r="Z13" s="28"/>
      <c r="AA13" s="28"/>
      <c r="AB13" s="28"/>
      <c r="AC13" s="28"/>
    </row>
    <row r="14" spans="1:29" s="53" customFormat="1" ht="13.5" customHeight="1">
      <c r="A14" s="9" t="s">
        <v>58</v>
      </c>
      <c r="B14" s="34">
        <v>2</v>
      </c>
      <c r="C14" s="2" t="s">
        <v>43</v>
      </c>
      <c r="D14" s="1" t="s">
        <v>59</v>
      </c>
      <c r="E14" s="1" t="s">
        <v>60</v>
      </c>
      <c r="F14" s="1" t="s">
        <v>38</v>
      </c>
      <c r="G14" s="26" t="s">
        <v>61</v>
      </c>
      <c r="H14" s="35">
        <v>518520.73170731706</v>
      </c>
      <c r="I14" s="3">
        <v>521909.75609756098</v>
      </c>
      <c r="J14" s="3"/>
      <c r="K14" s="3">
        <f t="shared" si="0"/>
        <v>0</v>
      </c>
      <c r="L14" s="3">
        <f t="shared" si="1"/>
        <v>0</v>
      </c>
      <c r="M14" s="17">
        <f t="shared" si="2"/>
        <v>0</v>
      </c>
      <c r="N14" s="17" t="s">
        <v>40</v>
      </c>
      <c r="O14" s="17">
        <f t="shared" si="3"/>
        <v>0</v>
      </c>
      <c r="P14" s="17">
        <v>0</v>
      </c>
      <c r="Q14" s="17">
        <f t="shared" si="5"/>
        <v>0</v>
      </c>
      <c r="R14" s="65"/>
      <c r="S14" s="65"/>
      <c r="T14" s="71">
        <f>(514165+217050)/121*100</f>
        <v>604309.91735537187</v>
      </c>
      <c r="U14" s="71">
        <f>(514165+217050)/121*100</f>
        <v>604309.91735537187</v>
      </c>
      <c r="V14" s="79"/>
      <c r="W14" s="79"/>
      <c r="X14" s="49" t="s">
        <v>51</v>
      </c>
      <c r="Y14" s="2" t="s">
        <v>42</v>
      </c>
      <c r="Z14" s="28"/>
      <c r="AA14" s="28"/>
      <c r="AB14" s="28"/>
      <c r="AC14" s="28"/>
    </row>
    <row r="15" spans="1:29" s="53" customFormat="1">
      <c r="A15" s="9" t="s">
        <v>62</v>
      </c>
      <c r="B15" s="34">
        <v>1</v>
      </c>
      <c r="C15" s="2" t="s">
        <v>35</v>
      </c>
      <c r="D15" s="1" t="s">
        <v>63</v>
      </c>
      <c r="E15" s="1" t="s">
        <v>64</v>
      </c>
      <c r="F15" s="1" t="s">
        <v>38</v>
      </c>
      <c r="G15" s="26" t="s">
        <v>65</v>
      </c>
      <c r="H15" s="35">
        <v>31544.444444444445</v>
      </c>
      <c r="I15" s="3">
        <v>31750.617283950618</v>
      </c>
      <c r="J15" s="3">
        <f>ROUND(I15,0)</f>
        <v>31751</v>
      </c>
      <c r="K15" s="3">
        <f t="shared" si="0"/>
        <v>32644</v>
      </c>
      <c r="L15" s="3">
        <f t="shared" si="1"/>
        <v>33118</v>
      </c>
      <c r="M15" s="17">
        <f t="shared" si="2"/>
        <v>33537</v>
      </c>
      <c r="N15" s="17" t="s">
        <v>40</v>
      </c>
      <c r="O15" s="17">
        <f t="shared" si="3"/>
        <v>33677</v>
      </c>
      <c r="P15" s="17">
        <v>50000</v>
      </c>
      <c r="Q15" s="17">
        <f t="shared" si="5"/>
        <v>50772</v>
      </c>
      <c r="R15" s="65">
        <v>61700</v>
      </c>
      <c r="S15" s="65">
        <v>66636</v>
      </c>
      <c r="T15" s="71"/>
      <c r="U15" s="71"/>
      <c r="V15" s="79"/>
      <c r="W15" s="79"/>
      <c r="X15" s="49" t="s">
        <v>41</v>
      </c>
      <c r="Y15" s="2" t="s">
        <v>42</v>
      </c>
      <c r="Z15" s="28"/>
      <c r="AA15" s="28"/>
      <c r="AB15" s="28"/>
      <c r="AC15" s="28"/>
    </row>
    <row r="16" spans="1:29" s="53" customFormat="1">
      <c r="A16" s="9" t="s">
        <v>62</v>
      </c>
      <c r="B16" s="34">
        <v>2</v>
      </c>
      <c r="C16" s="2" t="s">
        <v>43</v>
      </c>
      <c r="D16" s="1" t="s">
        <v>63</v>
      </c>
      <c r="E16" s="1" t="s">
        <v>64</v>
      </c>
      <c r="F16" s="1" t="s">
        <v>38</v>
      </c>
      <c r="G16" s="26" t="s">
        <v>65</v>
      </c>
      <c r="H16" s="35">
        <v>13434.146341463415</v>
      </c>
      <c r="I16" s="3">
        <v>13521.951219512193</v>
      </c>
      <c r="J16" s="3"/>
      <c r="K16" s="3">
        <f t="shared" si="0"/>
        <v>0</v>
      </c>
      <c r="L16" s="3">
        <f t="shared" si="1"/>
        <v>0</v>
      </c>
      <c r="M16" s="17">
        <f t="shared" si="2"/>
        <v>0</v>
      </c>
      <c r="N16" s="17" t="s">
        <v>40</v>
      </c>
      <c r="O16" s="17">
        <f t="shared" si="3"/>
        <v>0</v>
      </c>
      <c r="P16" s="17"/>
      <c r="Q16" s="17">
        <f t="shared" si="5"/>
        <v>0</v>
      </c>
      <c r="R16" s="65"/>
      <c r="S16" s="65"/>
      <c r="T16" s="71">
        <f>10225+650</f>
        <v>10875</v>
      </c>
      <c r="U16" s="71">
        <f>10225+650</f>
        <v>10875</v>
      </c>
      <c r="V16" s="79"/>
      <c r="W16" s="79"/>
      <c r="X16" s="49" t="s">
        <v>41</v>
      </c>
      <c r="Y16" s="2" t="s">
        <v>42</v>
      </c>
      <c r="Z16" s="28"/>
      <c r="AA16" s="28"/>
      <c r="AB16" s="28"/>
      <c r="AC16" s="28"/>
    </row>
    <row r="17" spans="1:29" s="53" customFormat="1">
      <c r="A17" s="9" t="s">
        <v>66</v>
      </c>
      <c r="B17" s="34">
        <v>1</v>
      </c>
      <c r="C17" s="2" t="s">
        <v>35</v>
      </c>
      <c r="D17" s="1" t="s">
        <v>63</v>
      </c>
      <c r="E17" s="1" t="s">
        <v>67</v>
      </c>
      <c r="F17" s="1" t="s">
        <v>38</v>
      </c>
      <c r="G17" s="26" t="s">
        <v>68</v>
      </c>
      <c r="H17" s="35">
        <v>27672.222222222219</v>
      </c>
      <c r="I17" s="3">
        <v>27853.086419753083</v>
      </c>
      <c r="J17" s="3">
        <f>ROUND(I17,0)</f>
        <v>27853</v>
      </c>
      <c r="K17" s="3">
        <f t="shared" si="0"/>
        <v>28636</v>
      </c>
      <c r="L17" s="3">
        <f t="shared" si="1"/>
        <v>29052</v>
      </c>
      <c r="M17" s="17">
        <f t="shared" si="2"/>
        <v>29419</v>
      </c>
      <c r="N17" s="17" t="s">
        <v>40</v>
      </c>
      <c r="O17" s="17">
        <f t="shared" si="3"/>
        <v>29541</v>
      </c>
      <c r="P17" s="17">
        <v>42000</v>
      </c>
      <c r="Q17" s="17">
        <f t="shared" si="5"/>
        <v>42648</v>
      </c>
      <c r="R17" s="65">
        <v>52000</v>
      </c>
      <c r="S17" s="65">
        <v>56160</v>
      </c>
      <c r="T17" s="71"/>
      <c r="U17" s="71"/>
      <c r="V17" s="79"/>
      <c r="W17" s="79"/>
      <c r="X17" s="49" t="s">
        <v>41</v>
      </c>
      <c r="Y17" s="2" t="s">
        <v>42</v>
      </c>
      <c r="Z17" s="28"/>
      <c r="AA17" s="28"/>
      <c r="AB17" s="28"/>
      <c r="AC17" s="28"/>
    </row>
    <row r="18" spans="1:29" s="53" customFormat="1">
      <c r="A18" s="9" t="s">
        <v>66</v>
      </c>
      <c r="B18" s="34">
        <v>2</v>
      </c>
      <c r="C18" s="2" t="s">
        <v>43</v>
      </c>
      <c r="D18" s="1" t="s">
        <v>63</v>
      </c>
      <c r="E18" s="1" t="s">
        <v>67</v>
      </c>
      <c r="F18" s="1" t="s">
        <v>38</v>
      </c>
      <c r="G18" s="26" t="s">
        <v>68</v>
      </c>
      <c r="H18" s="35">
        <v>15673.170731707318</v>
      </c>
      <c r="I18" s="3">
        <v>15775.609756097561</v>
      </c>
      <c r="J18" s="3"/>
      <c r="K18" s="3">
        <f t="shared" si="0"/>
        <v>0</v>
      </c>
      <c r="L18" s="3">
        <f t="shared" si="1"/>
        <v>0</v>
      </c>
      <c r="M18" s="17">
        <f t="shared" si="2"/>
        <v>0</v>
      </c>
      <c r="N18" s="17" t="s">
        <v>40</v>
      </c>
      <c r="O18" s="17">
        <f t="shared" si="3"/>
        <v>0</v>
      </c>
      <c r="P18" s="17"/>
      <c r="Q18" s="17">
        <f t="shared" si="5"/>
        <v>0</v>
      </c>
      <c r="R18" s="65"/>
      <c r="S18" s="65"/>
      <c r="T18" s="71">
        <f>11225+800</f>
        <v>12025</v>
      </c>
      <c r="U18" s="71">
        <f>11225+800</f>
        <v>12025</v>
      </c>
      <c r="V18" s="79"/>
      <c r="W18" s="79"/>
      <c r="X18" s="49" t="s">
        <v>41</v>
      </c>
      <c r="Y18" s="2" t="s">
        <v>42</v>
      </c>
      <c r="Z18" s="28"/>
      <c r="AA18" s="28"/>
      <c r="AB18" s="28"/>
      <c r="AC18" s="28"/>
    </row>
    <row r="19" spans="1:29" s="53" customFormat="1">
      <c r="A19" s="9" t="s">
        <v>69</v>
      </c>
      <c r="B19" s="34">
        <v>1</v>
      </c>
      <c r="C19" s="2" t="s">
        <v>35</v>
      </c>
      <c r="D19" s="1" t="s">
        <v>70</v>
      </c>
      <c r="E19" s="1" t="s">
        <v>71</v>
      </c>
      <c r="F19" s="1" t="s">
        <v>38</v>
      </c>
      <c r="G19" s="26" t="s">
        <v>72</v>
      </c>
      <c r="H19" s="35">
        <v>3114116.666666667</v>
      </c>
      <c r="I19" s="3">
        <v>3134470.3703703703</v>
      </c>
      <c r="J19" s="3">
        <f>ROUND(I19,0)</f>
        <v>3134470</v>
      </c>
      <c r="K19" s="3">
        <f t="shared" si="0"/>
        <v>3222610</v>
      </c>
      <c r="L19" s="3">
        <f t="shared" si="1"/>
        <v>3269434</v>
      </c>
      <c r="M19" s="17">
        <f t="shared" si="2"/>
        <v>3310750</v>
      </c>
      <c r="N19" s="17" t="s">
        <v>40</v>
      </c>
      <c r="O19" s="17">
        <f t="shared" si="3"/>
        <v>3324522</v>
      </c>
      <c r="P19" s="17">
        <v>4510000</v>
      </c>
      <c r="Q19" s="17">
        <f>ROUND(P19/123.1*125,0)/121*100</f>
        <v>3784801.6528925616</v>
      </c>
      <c r="R19" s="65">
        <v>4602300</v>
      </c>
      <c r="S19" s="65">
        <v>4970484</v>
      </c>
      <c r="T19" s="71"/>
      <c r="U19" s="71"/>
      <c r="V19" s="79"/>
      <c r="W19" s="79"/>
      <c r="X19" s="49" t="s">
        <v>51</v>
      </c>
      <c r="Y19" s="2" t="s">
        <v>42</v>
      </c>
      <c r="Z19" s="28"/>
      <c r="AA19" s="28"/>
      <c r="AB19" s="28"/>
      <c r="AC19" s="28"/>
    </row>
    <row r="20" spans="1:29" s="53" customFormat="1">
      <c r="A20" s="9" t="s">
        <v>69</v>
      </c>
      <c r="B20" s="34">
        <v>9</v>
      </c>
      <c r="C20" s="2" t="s">
        <v>43</v>
      </c>
      <c r="D20" s="1" t="s">
        <v>70</v>
      </c>
      <c r="E20" s="1" t="s">
        <v>71</v>
      </c>
      <c r="F20" s="1" t="s">
        <v>38</v>
      </c>
      <c r="G20" s="26" t="s">
        <v>72</v>
      </c>
      <c r="H20" s="35">
        <v>153093.29268292684</v>
      </c>
      <c r="I20" s="3">
        <v>154093.90243902439</v>
      </c>
      <c r="J20" s="3"/>
      <c r="K20" s="3">
        <f t="shared" si="0"/>
        <v>0</v>
      </c>
      <c r="L20" s="3">
        <f t="shared" si="1"/>
        <v>0</v>
      </c>
      <c r="M20" s="17">
        <f t="shared" si="2"/>
        <v>0</v>
      </c>
      <c r="N20" s="17" t="s">
        <v>40</v>
      </c>
      <c r="O20" s="17">
        <f t="shared" si="3"/>
        <v>0</v>
      </c>
      <c r="P20" s="17"/>
      <c r="Q20" s="17">
        <f t="shared" si="5"/>
        <v>0</v>
      </c>
      <c r="R20" s="65"/>
      <c r="S20" s="65"/>
      <c r="T20" s="71">
        <f>(839910+15000)/121*100</f>
        <v>706537.19008264458</v>
      </c>
      <c r="U20" s="71">
        <f>(839910+15000)/121*100</f>
        <v>706537.19008264458</v>
      </c>
      <c r="V20" s="79"/>
      <c r="W20" s="79"/>
      <c r="X20" s="49" t="s">
        <v>51</v>
      </c>
      <c r="Y20" s="2" t="s">
        <v>42</v>
      </c>
      <c r="Z20" s="28"/>
      <c r="AA20" s="28"/>
      <c r="AB20" s="28"/>
      <c r="AC20" s="28"/>
    </row>
    <row r="21" spans="1:29" s="53" customFormat="1">
      <c r="A21" s="9" t="s">
        <v>73</v>
      </c>
      <c r="B21" s="34">
        <v>1</v>
      </c>
      <c r="C21" s="2" t="s">
        <v>35</v>
      </c>
      <c r="D21" s="1" t="s">
        <v>74</v>
      </c>
      <c r="E21" s="1" t="s">
        <v>75</v>
      </c>
      <c r="F21" s="1" t="s">
        <v>38</v>
      </c>
      <c r="G21" s="26" t="s">
        <v>76</v>
      </c>
      <c r="H21" s="35">
        <v>2729161.111111111</v>
      </c>
      <c r="I21" s="3">
        <v>2746998.7654320989</v>
      </c>
      <c r="J21" s="3">
        <f>ROUND(I21,0)</f>
        <v>2746999</v>
      </c>
      <c r="K21" s="3">
        <f t="shared" si="0"/>
        <v>2824243</v>
      </c>
      <c r="L21" s="3">
        <f t="shared" si="1"/>
        <v>2865279</v>
      </c>
      <c r="M21" s="17">
        <f t="shared" si="2"/>
        <v>2901487</v>
      </c>
      <c r="N21" s="17" t="s">
        <v>40</v>
      </c>
      <c r="O21" s="17">
        <f t="shared" si="3"/>
        <v>2913556</v>
      </c>
      <c r="P21" s="17">
        <v>3268000</v>
      </c>
      <c r="Q21" s="17">
        <f t="shared" si="5"/>
        <v>3318440</v>
      </c>
      <c r="R21" s="65">
        <v>4035200</v>
      </c>
      <c r="S21" s="65">
        <v>4358016</v>
      </c>
      <c r="T21" s="71"/>
      <c r="U21" s="71"/>
      <c r="V21" s="79"/>
      <c r="W21" s="79"/>
      <c r="X21" s="49" t="s">
        <v>41</v>
      </c>
      <c r="Y21" s="2" t="s">
        <v>42</v>
      </c>
      <c r="Z21" s="28"/>
      <c r="AA21" s="28"/>
      <c r="AB21" s="28"/>
      <c r="AC21" s="28"/>
    </row>
    <row r="22" spans="1:29" s="53" customFormat="1">
      <c r="A22" s="9" t="s">
        <v>77</v>
      </c>
      <c r="B22" s="34">
        <v>1</v>
      </c>
      <c r="C22" s="2" t="s">
        <v>35</v>
      </c>
      <c r="D22" s="1" t="s">
        <v>78</v>
      </c>
      <c r="E22" s="1" t="s">
        <v>54</v>
      </c>
      <c r="F22" s="1" t="s">
        <v>38</v>
      </c>
      <c r="G22" s="26" t="s">
        <v>79</v>
      </c>
      <c r="H22" s="35">
        <v>13397605.555555556</v>
      </c>
      <c r="I22" s="3">
        <v>13485171.604938272</v>
      </c>
      <c r="J22" s="3">
        <f>ROUND(I22,0)</f>
        <v>13485172</v>
      </c>
      <c r="K22" s="3">
        <f t="shared" si="0"/>
        <v>13864368</v>
      </c>
      <c r="L22" s="3">
        <f t="shared" si="1"/>
        <v>14065816</v>
      </c>
      <c r="M22" s="17">
        <f t="shared" si="2"/>
        <v>14243564</v>
      </c>
      <c r="N22" s="17" t="s">
        <v>40</v>
      </c>
      <c r="O22" s="17">
        <f t="shared" si="3"/>
        <v>14302813</v>
      </c>
      <c r="P22" s="17">
        <v>15625000</v>
      </c>
      <c r="Q22" s="17">
        <f>ROUND(P22/123.1*125,0)/121*100</f>
        <v>13112533.88429752</v>
      </c>
      <c r="R22" s="65">
        <v>15944800</v>
      </c>
      <c r="S22" s="65">
        <v>17220384</v>
      </c>
      <c r="T22" s="71"/>
      <c r="U22" s="71"/>
      <c r="V22" s="74">
        <f>1841510</f>
        <v>1841510</v>
      </c>
      <c r="W22" s="74">
        <v>1841510</v>
      </c>
      <c r="X22" s="49" t="s">
        <v>51</v>
      </c>
      <c r="Y22" s="2" t="s">
        <v>42</v>
      </c>
      <c r="Z22" s="28"/>
      <c r="AA22" s="28"/>
      <c r="AB22" s="28"/>
      <c r="AC22" s="28"/>
    </row>
    <row r="23" spans="1:29" s="53" customFormat="1">
      <c r="A23" s="9" t="s">
        <v>80</v>
      </c>
      <c r="B23" s="34">
        <v>1</v>
      </c>
      <c r="C23" s="2" t="s">
        <v>35</v>
      </c>
      <c r="D23" s="1" t="s">
        <v>81</v>
      </c>
      <c r="E23" s="1" t="s">
        <v>82</v>
      </c>
      <c r="F23" s="1" t="s">
        <v>38</v>
      </c>
      <c r="G23" s="26" t="s">
        <v>83</v>
      </c>
      <c r="H23" s="35">
        <v>2423822.2222222225</v>
      </c>
      <c r="I23" s="3">
        <v>2439664.1975308643</v>
      </c>
      <c r="J23" s="3">
        <f>ROUND(I23,0)</f>
        <v>2439664</v>
      </c>
      <c r="K23" s="3">
        <f t="shared" si="0"/>
        <v>2508266</v>
      </c>
      <c r="L23" s="3">
        <f t="shared" si="1"/>
        <v>2544711</v>
      </c>
      <c r="M23" s="17">
        <f t="shared" si="2"/>
        <v>2576868</v>
      </c>
      <c r="N23" s="17" t="s">
        <v>40</v>
      </c>
      <c r="O23" s="17">
        <f t="shared" si="3"/>
        <v>2587587</v>
      </c>
      <c r="P23" s="17">
        <v>3690000</v>
      </c>
      <c r="Q23" s="17">
        <f>ROUND(P23/123.1*125,0)/121*100</f>
        <v>3096656.1983471075</v>
      </c>
      <c r="R23" s="65">
        <v>3765500</v>
      </c>
      <c r="S23" s="65">
        <v>4066740</v>
      </c>
      <c r="T23" s="71"/>
      <c r="U23" s="71"/>
      <c r="V23" s="74"/>
      <c r="W23" s="74"/>
      <c r="X23" s="49" t="s">
        <v>51</v>
      </c>
      <c r="Y23" s="2" t="s">
        <v>42</v>
      </c>
      <c r="Z23" s="28"/>
      <c r="AA23" s="28"/>
      <c r="AB23" s="28"/>
      <c r="AC23" s="28"/>
    </row>
    <row r="24" spans="1:29" s="53" customFormat="1">
      <c r="A24" s="9" t="s">
        <v>80</v>
      </c>
      <c r="B24" s="34">
        <v>2</v>
      </c>
      <c r="C24" s="2" t="s">
        <v>43</v>
      </c>
      <c r="D24" s="1" t="s">
        <v>81</v>
      </c>
      <c r="E24" s="1" t="s">
        <v>82</v>
      </c>
      <c r="F24" s="1" t="s">
        <v>38</v>
      </c>
      <c r="G24" s="26" t="s">
        <v>83</v>
      </c>
      <c r="H24" s="35">
        <v>76873.170731707316</v>
      </c>
      <c r="I24" s="3">
        <v>77375.609756097561</v>
      </c>
      <c r="J24" s="3"/>
      <c r="K24" s="3">
        <f t="shared" si="0"/>
        <v>0</v>
      </c>
      <c r="L24" s="3">
        <f t="shared" si="1"/>
        <v>0</v>
      </c>
      <c r="M24" s="17">
        <f t="shared" si="2"/>
        <v>0</v>
      </c>
      <c r="N24" s="17"/>
      <c r="O24" s="17">
        <f t="shared" si="3"/>
        <v>0</v>
      </c>
      <c r="P24" s="17">
        <f t="shared" si="4"/>
        <v>0</v>
      </c>
      <c r="Q24" s="17">
        <f t="shared" ref="Q24:Q34" si="7">ROUND(P24/122.4*125,0)</f>
        <v>0</v>
      </c>
      <c r="R24" s="65"/>
      <c r="S24" s="65"/>
      <c r="T24" s="71">
        <f>ROUND(I24,0)/121*100</f>
        <v>63947.10743801653</v>
      </c>
      <c r="U24" s="71">
        <v>63947.11</v>
      </c>
      <c r="V24" s="74"/>
      <c r="W24" s="74"/>
      <c r="X24" s="49" t="s">
        <v>51</v>
      </c>
      <c r="Y24" s="2"/>
      <c r="Z24" s="28"/>
      <c r="AA24" s="28"/>
      <c r="AB24" s="28"/>
      <c r="AC24" s="28"/>
    </row>
    <row r="25" spans="1:29" s="53" customFormat="1">
      <c r="A25" s="9" t="s">
        <v>84</v>
      </c>
      <c r="B25" s="34">
        <v>1</v>
      </c>
      <c r="C25" s="2" t="s">
        <v>35</v>
      </c>
      <c r="D25" s="1" t="s">
        <v>85</v>
      </c>
      <c r="E25" s="1" t="s">
        <v>86</v>
      </c>
      <c r="F25" s="1" t="s">
        <v>38</v>
      </c>
      <c r="G25" s="26" t="s">
        <v>87</v>
      </c>
      <c r="H25" s="35">
        <v>121738.88888888888</v>
      </c>
      <c r="I25" s="3">
        <v>122534.56790123456</v>
      </c>
      <c r="J25" s="3">
        <f>ROUND(I25,0)</f>
        <v>122535</v>
      </c>
      <c r="K25" s="3">
        <f t="shared" si="0"/>
        <v>125981</v>
      </c>
      <c r="L25" s="3">
        <f t="shared" si="1"/>
        <v>127811</v>
      </c>
      <c r="M25" s="17">
        <f t="shared" si="2"/>
        <v>129426</v>
      </c>
      <c r="N25" s="17" t="s">
        <v>40</v>
      </c>
      <c r="O25" s="17">
        <f t="shared" si="3"/>
        <v>129964</v>
      </c>
      <c r="P25" s="17">
        <v>157750</v>
      </c>
      <c r="Q25" s="17">
        <f t="shared" ref="Q25:Q28" si="8">ROUND(P25/123.1*125,0)</f>
        <v>160185</v>
      </c>
      <c r="R25" s="65">
        <v>194800</v>
      </c>
      <c r="S25" s="65">
        <v>210384</v>
      </c>
      <c r="T25" s="71"/>
      <c r="U25" s="71"/>
      <c r="V25" s="74"/>
      <c r="W25" s="74"/>
      <c r="X25" s="49" t="s">
        <v>41</v>
      </c>
      <c r="Y25" s="2" t="s">
        <v>42</v>
      </c>
      <c r="Z25" s="28"/>
      <c r="AA25" s="28"/>
      <c r="AB25" s="28"/>
      <c r="AC25" s="28"/>
    </row>
    <row r="26" spans="1:29" s="53" customFormat="1">
      <c r="A26" s="9" t="s">
        <v>84</v>
      </c>
      <c r="B26" s="34">
        <v>2</v>
      </c>
      <c r="C26" s="2" t="s">
        <v>43</v>
      </c>
      <c r="D26" s="1" t="s">
        <v>85</v>
      </c>
      <c r="E26" s="1" t="s">
        <v>86</v>
      </c>
      <c r="F26" s="1" t="s">
        <v>38</v>
      </c>
      <c r="G26" s="26" t="s">
        <v>87</v>
      </c>
      <c r="H26" s="35">
        <v>29200.609756097561</v>
      </c>
      <c r="I26" s="3">
        <v>29391.463414634145</v>
      </c>
      <c r="J26" s="3"/>
      <c r="K26" s="3">
        <f t="shared" si="0"/>
        <v>0</v>
      </c>
      <c r="L26" s="3">
        <f t="shared" si="1"/>
        <v>0</v>
      </c>
      <c r="M26" s="17">
        <f t="shared" si="2"/>
        <v>0</v>
      </c>
      <c r="N26" s="17" t="s">
        <v>40</v>
      </c>
      <c r="O26" s="17">
        <f t="shared" si="3"/>
        <v>0</v>
      </c>
      <c r="P26" s="17">
        <v>0</v>
      </c>
      <c r="Q26" s="17">
        <f t="shared" si="8"/>
        <v>0</v>
      </c>
      <c r="R26" s="65"/>
      <c r="S26" s="65"/>
      <c r="T26" s="71">
        <f>30885+1600</f>
        <v>32485</v>
      </c>
      <c r="U26" s="71">
        <f>30885+1600</f>
        <v>32485</v>
      </c>
      <c r="V26" s="74"/>
      <c r="W26" s="74"/>
      <c r="X26" s="49" t="s">
        <v>41</v>
      </c>
      <c r="Y26" s="2" t="s">
        <v>42</v>
      </c>
      <c r="Z26" s="28"/>
      <c r="AA26" s="28"/>
      <c r="AB26" s="28"/>
      <c r="AC26" s="28"/>
    </row>
    <row r="27" spans="1:29" s="28" customFormat="1">
      <c r="A27" s="9" t="s">
        <v>88</v>
      </c>
      <c r="B27" s="34">
        <v>1</v>
      </c>
      <c r="C27" s="2" t="s">
        <v>35</v>
      </c>
      <c r="D27" s="1" t="s">
        <v>89</v>
      </c>
      <c r="E27" s="1" t="s">
        <v>90</v>
      </c>
      <c r="F27" s="1" t="s">
        <v>38</v>
      </c>
      <c r="G27" s="26" t="s">
        <v>91</v>
      </c>
      <c r="H27" s="35">
        <v>1502516.6666666665</v>
      </c>
      <c r="I27" s="3">
        <v>1512337.0370370368</v>
      </c>
      <c r="J27" s="3">
        <f>ROUND(I27,0)</f>
        <v>1512337</v>
      </c>
      <c r="K27" s="3">
        <f t="shared" si="0"/>
        <v>1554863</v>
      </c>
      <c r="L27" s="3">
        <f t="shared" si="1"/>
        <v>1577455</v>
      </c>
      <c r="M27" s="17">
        <f t="shared" si="2"/>
        <v>1597389</v>
      </c>
      <c r="N27" s="17" t="s">
        <v>40</v>
      </c>
      <c r="O27" s="17">
        <f t="shared" si="3"/>
        <v>1604034</v>
      </c>
      <c r="P27" s="17">
        <v>1878000</v>
      </c>
      <c r="Q27" s="17">
        <f t="shared" si="8"/>
        <v>1906986</v>
      </c>
      <c r="R27" s="65">
        <v>2318900</v>
      </c>
      <c r="S27" s="65">
        <v>2504412</v>
      </c>
      <c r="T27" s="71"/>
      <c r="U27" s="71"/>
      <c r="V27" s="74"/>
      <c r="W27" s="74"/>
      <c r="X27" s="49" t="s">
        <v>41</v>
      </c>
      <c r="Y27" s="2" t="s">
        <v>42</v>
      </c>
    </row>
    <row r="28" spans="1:29" s="28" customFormat="1">
      <c r="A28" s="9" t="s">
        <v>88</v>
      </c>
      <c r="B28" s="34">
        <v>2</v>
      </c>
      <c r="C28" s="2" t="s">
        <v>43</v>
      </c>
      <c r="D28" s="1" t="s">
        <v>89</v>
      </c>
      <c r="E28" s="1" t="s">
        <v>90</v>
      </c>
      <c r="F28" s="1" t="s">
        <v>38</v>
      </c>
      <c r="G28" s="26" t="s">
        <v>91</v>
      </c>
      <c r="H28" s="35">
        <v>85456.097560975613</v>
      </c>
      <c r="I28" s="3">
        <v>86014.634146341457</v>
      </c>
      <c r="J28" s="3"/>
      <c r="K28" s="3">
        <f t="shared" si="0"/>
        <v>0</v>
      </c>
      <c r="L28" s="3">
        <f t="shared" si="1"/>
        <v>0</v>
      </c>
      <c r="M28" s="17">
        <f t="shared" si="2"/>
        <v>0</v>
      </c>
      <c r="N28" s="17" t="s">
        <v>40</v>
      </c>
      <c r="O28" s="17">
        <f t="shared" si="3"/>
        <v>0</v>
      </c>
      <c r="P28" s="17"/>
      <c r="Q28" s="17">
        <f t="shared" si="8"/>
        <v>0</v>
      </c>
      <c r="R28" s="65"/>
      <c r="S28" s="65"/>
      <c r="T28" s="71">
        <f>120100+7200</f>
        <v>127300</v>
      </c>
      <c r="U28" s="71">
        <f>120100+7200</f>
        <v>127300</v>
      </c>
      <c r="V28" s="74"/>
      <c r="W28" s="74"/>
      <c r="X28" s="49" t="s">
        <v>41</v>
      </c>
      <c r="Y28" s="2" t="s">
        <v>42</v>
      </c>
    </row>
    <row r="29" spans="1:29" s="28" customFormat="1">
      <c r="A29" s="9" t="s">
        <v>92</v>
      </c>
      <c r="B29" s="34">
        <v>1</v>
      </c>
      <c r="C29" s="2" t="s">
        <v>35</v>
      </c>
      <c r="D29" s="1" t="s">
        <v>93</v>
      </c>
      <c r="E29" s="1" t="s">
        <v>46</v>
      </c>
      <c r="F29" s="1" t="s">
        <v>38</v>
      </c>
      <c r="G29" s="26" t="s">
        <v>94</v>
      </c>
      <c r="H29" s="35">
        <v>39194.444444444453</v>
      </c>
      <c r="I29" s="3">
        <v>39450.617283950633</v>
      </c>
      <c r="J29" s="3">
        <f>ROUND(I29,0)</f>
        <v>39451</v>
      </c>
      <c r="K29" s="3">
        <f t="shared" si="0"/>
        <v>40560</v>
      </c>
      <c r="L29" s="3">
        <f t="shared" si="1"/>
        <v>41149</v>
      </c>
      <c r="M29" s="17">
        <f t="shared" si="2"/>
        <v>41669</v>
      </c>
      <c r="N29" s="17" t="s">
        <v>40</v>
      </c>
      <c r="O29" s="17">
        <f t="shared" si="3"/>
        <v>41842</v>
      </c>
      <c r="P29" s="17">
        <v>61500</v>
      </c>
      <c r="Q29" s="17">
        <f>ROUND(P29/123.1*125,0)/121*100</f>
        <v>51610.74380165289</v>
      </c>
      <c r="R29" s="65">
        <v>62800</v>
      </c>
      <c r="S29" s="65">
        <v>67824</v>
      </c>
      <c r="T29" s="71"/>
      <c r="U29" s="71"/>
      <c r="V29" s="74"/>
      <c r="W29" s="74"/>
      <c r="X29" s="49" t="s">
        <v>51</v>
      </c>
      <c r="Y29" s="2" t="s">
        <v>42</v>
      </c>
    </row>
    <row r="30" spans="1:29" s="28" customFormat="1">
      <c r="A30" s="9" t="s">
        <v>92</v>
      </c>
      <c r="B30" s="34">
        <v>2</v>
      </c>
      <c r="C30" s="2" t="s">
        <v>43</v>
      </c>
      <c r="D30" s="1" t="s">
        <v>93</v>
      </c>
      <c r="E30" s="1" t="s">
        <v>46</v>
      </c>
      <c r="F30" s="1" t="s">
        <v>38</v>
      </c>
      <c r="G30" s="26" t="s">
        <v>94</v>
      </c>
      <c r="H30" s="35">
        <v>6157.3170731707314</v>
      </c>
      <c r="I30" s="3">
        <v>6197.5609756097556</v>
      </c>
      <c r="J30" s="3"/>
      <c r="K30" s="3">
        <f t="shared" si="0"/>
        <v>0</v>
      </c>
      <c r="L30" s="3">
        <f t="shared" si="1"/>
        <v>0</v>
      </c>
      <c r="M30" s="17">
        <f t="shared" si="2"/>
        <v>0</v>
      </c>
      <c r="N30" s="17"/>
      <c r="O30" s="17">
        <f t="shared" si="3"/>
        <v>0</v>
      </c>
      <c r="P30" s="17">
        <f t="shared" si="4"/>
        <v>0</v>
      </c>
      <c r="Q30" s="17">
        <f t="shared" si="7"/>
        <v>0</v>
      </c>
      <c r="R30" s="65"/>
      <c r="S30" s="65"/>
      <c r="T30" s="71">
        <f>ROUND(I30,0)/121*100</f>
        <v>5122.3140495867765</v>
      </c>
      <c r="U30" s="71">
        <v>5122.3100000000004</v>
      </c>
      <c r="V30" s="74"/>
      <c r="W30" s="74"/>
      <c r="X30" s="49" t="s">
        <v>51</v>
      </c>
      <c r="Y30" s="2"/>
    </row>
    <row r="31" spans="1:29" s="28" customFormat="1">
      <c r="A31" s="9" t="s">
        <v>95</v>
      </c>
      <c r="B31" s="34">
        <v>1</v>
      </c>
      <c r="C31" s="2" t="s">
        <v>35</v>
      </c>
      <c r="D31" s="1" t="s">
        <v>96</v>
      </c>
      <c r="E31" s="1" t="s">
        <v>97</v>
      </c>
      <c r="F31" s="1" t="s">
        <v>38</v>
      </c>
      <c r="G31" s="26" t="s">
        <v>98</v>
      </c>
      <c r="H31" s="35">
        <v>1160722.2222222222</v>
      </c>
      <c r="I31" s="3">
        <v>1168308.6419753088</v>
      </c>
      <c r="J31" s="3">
        <f>ROUND(I31,0)</f>
        <v>1168309</v>
      </c>
      <c r="K31" s="3">
        <f t="shared" si="0"/>
        <v>1201161</v>
      </c>
      <c r="L31" s="3">
        <f t="shared" si="1"/>
        <v>1218614</v>
      </c>
      <c r="M31" s="17">
        <f t="shared" si="2"/>
        <v>1234014</v>
      </c>
      <c r="N31" s="17" t="s">
        <v>40</v>
      </c>
      <c r="O31" s="17">
        <f t="shared" si="3"/>
        <v>1239147</v>
      </c>
      <c r="P31" s="17">
        <v>1250000</v>
      </c>
      <c r="Q31" s="17">
        <f>ROUND(P31/123.1*125,0)/121*100</f>
        <v>1049002.4793388429</v>
      </c>
      <c r="R31" s="65">
        <v>1275600</v>
      </c>
      <c r="S31" s="65">
        <v>1377648</v>
      </c>
      <c r="T31" s="71"/>
      <c r="U31" s="71"/>
      <c r="V31" s="74"/>
      <c r="W31" s="74"/>
      <c r="X31" s="49" t="s">
        <v>51</v>
      </c>
      <c r="Y31" s="2" t="s">
        <v>42</v>
      </c>
    </row>
    <row r="32" spans="1:29" s="28" customFormat="1">
      <c r="A32" s="9" t="s">
        <v>99</v>
      </c>
      <c r="B32" s="34">
        <v>1</v>
      </c>
      <c r="C32" s="2" t="s">
        <v>35</v>
      </c>
      <c r="D32" s="1" t="s">
        <v>100</v>
      </c>
      <c r="E32" s="1" t="s">
        <v>101</v>
      </c>
      <c r="F32" s="1" t="s">
        <v>38</v>
      </c>
      <c r="G32" s="26" t="s">
        <v>102</v>
      </c>
      <c r="H32" s="35">
        <v>153283.33333333334</v>
      </c>
      <c r="I32" s="3">
        <v>154285.1851851852</v>
      </c>
      <c r="J32" s="3">
        <f>ROUND(I32,0)</f>
        <v>154285</v>
      </c>
      <c r="K32" s="3">
        <f t="shared" si="0"/>
        <v>158623</v>
      </c>
      <c r="L32" s="3">
        <f t="shared" si="1"/>
        <v>160928</v>
      </c>
      <c r="M32" s="17">
        <f t="shared" si="2"/>
        <v>162962</v>
      </c>
      <c r="N32" s="17" t="s">
        <v>40</v>
      </c>
      <c r="O32" s="17">
        <f t="shared" si="3"/>
        <v>163640</v>
      </c>
      <c r="P32" s="17">
        <v>177600</v>
      </c>
      <c r="Q32" s="17">
        <f>ROUND(P32/123.1*125,0)/121*100</f>
        <v>149042.1487603306</v>
      </c>
      <c r="R32" s="65">
        <v>181200</v>
      </c>
      <c r="S32" s="65">
        <v>195696</v>
      </c>
      <c r="T32" s="71"/>
      <c r="U32" s="71"/>
      <c r="V32" s="74"/>
      <c r="W32" s="74"/>
      <c r="X32" s="49" t="s">
        <v>51</v>
      </c>
      <c r="Y32" s="2" t="s">
        <v>42</v>
      </c>
    </row>
    <row r="33" spans="1:25" s="28" customFormat="1">
      <c r="A33" s="9" t="s">
        <v>103</v>
      </c>
      <c r="B33" s="34">
        <v>1</v>
      </c>
      <c r="C33" s="2" t="s">
        <v>35</v>
      </c>
      <c r="D33" s="1" t="s">
        <v>104</v>
      </c>
      <c r="E33" s="1" t="s">
        <v>105</v>
      </c>
      <c r="F33" s="1" t="s">
        <v>38</v>
      </c>
      <c r="G33" s="26" t="s">
        <v>106</v>
      </c>
      <c r="H33" s="35">
        <v>164333.33333333334</v>
      </c>
      <c r="I33" s="3">
        <v>165407.40740740742</v>
      </c>
      <c r="J33" s="3">
        <f>ROUND(I33,0)</f>
        <v>165407</v>
      </c>
      <c r="K33" s="3">
        <f t="shared" si="0"/>
        <v>170058</v>
      </c>
      <c r="L33" s="3">
        <f t="shared" si="1"/>
        <v>172529</v>
      </c>
      <c r="M33" s="17">
        <f t="shared" si="2"/>
        <v>174709</v>
      </c>
      <c r="N33" s="17" t="s">
        <v>40</v>
      </c>
      <c r="O33" s="17">
        <f t="shared" si="3"/>
        <v>175436</v>
      </c>
      <c r="P33" s="17">
        <v>290000</v>
      </c>
      <c r="Q33" s="17">
        <f t="shared" ref="Q33" si="9">ROUND(P33/123.1*125,0)</f>
        <v>294476</v>
      </c>
      <c r="R33" s="65">
        <v>358100</v>
      </c>
      <c r="S33" s="65">
        <v>386748</v>
      </c>
      <c r="T33" s="71"/>
      <c r="U33" s="71"/>
      <c r="V33" s="74"/>
      <c r="W33" s="74"/>
      <c r="X33" s="49" t="s">
        <v>41</v>
      </c>
      <c r="Y33" s="2" t="s">
        <v>42</v>
      </c>
    </row>
    <row r="34" spans="1:25" s="28" customFormat="1">
      <c r="A34" s="9" t="s">
        <v>103</v>
      </c>
      <c r="B34" s="34">
        <v>2</v>
      </c>
      <c r="C34" s="2" t="s">
        <v>43</v>
      </c>
      <c r="D34" s="1" t="s">
        <v>104</v>
      </c>
      <c r="E34" s="1" t="s">
        <v>105</v>
      </c>
      <c r="F34" s="1" t="s">
        <v>38</v>
      </c>
      <c r="G34" s="26" t="s">
        <v>106</v>
      </c>
      <c r="H34" s="35">
        <v>9515.8536585365855</v>
      </c>
      <c r="I34" s="3">
        <v>9578.0487804878048</v>
      </c>
      <c r="J34" s="3"/>
      <c r="K34" s="3">
        <f t="shared" si="0"/>
        <v>0</v>
      </c>
      <c r="L34" s="3">
        <f t="shared" si="1"/>
        <v>0</v>
      </c>
      <c r="M34" s="17">
        <f t="shared" si="2"/>
        <v>0</v>
      </c>
      <c r="N34" s="17"/>
      <c r="O34" s="17">
        <f t="shared" si="3"/>
        <v>0</v>
      </c>
      <c r="P34" s="17">
        <f t="shared" si="4"/>
        <v>0</v>
      </c>
      <c r="Q34" s="17">
        <f t="shared" si="7"/>
        <v>0</v>
      </c>
      <c r="R34" s="65"/>
      <c r="S34" s="65"/>
      <c r="T34" s="71">
        <f>ROUND(I34,0)</f>
        <v>9578</v>
      </c>
      <c r="U34" s="71">
        <v>9578</v>
      </c>
      <c r="V34" s="74"/>
      <c r="W34" s="74"/>
      <c r="X34" s="49" t="s">
        <v>41</v>
      </c>
      <c r="Y34" s="2"/>
    </row>
    <row r="35" spans="1:25" s="39" customFormat="1" ht="26.4">
      <c r="A35" s="40" t="s">
        <v>107</v>
      </c>
      <c r="B35" s="41">
        <v>1</v>
      </c>
      <c r="C35" s="42" t="s">
        <v>35</v>
      </c>
      <c r="D35" s="43" t="s">
        <v>108</v>
      </c>
      <c r="E35" s="43" t="s">
        <v>109</v>
      </c>
      <c r="F35" s="43" t="s">
        <v>38</v>
      </c>
      <c r="G35" s="26" t="s">
        <v>110</v>
      </c>
      <c r="H35" s="44">
        <v>596794.4444444445</v>
      </c>
      <c r="I35" s="37">
        <v>600695.06172839506</v>
      </c>
      <c r="J35" s="37">
        <f t="shared" ref="J35:J41" si="10">ROUND(I35,0)</f>
        <v>600695</v>
      </c>
      <c r="K35" s="37">
        <f t="shared" si="0"/>
        <v>617586</v>
      </c>
      <c r="L35" s="37">
        <f t="shared" si="1"/>
        <v>626559</v>
      </c>
      <c r="M35" s="38">
        <f t="shared" si="2"/>
        <v>634477</v>
      </c>
      <c r="N35" s="38" t="s">
        <v>40</v>
      </c>
      <c r="O35" s="38">
        <f t="shared" si="3"/>
        <v>637116</v>
      </c>
      <c r="P35" s="38">
        <v>770000</v>
      </c>
      <c r="Q35" s="38">
        <f t="shared" ref="Q35:Q40" si="11">ROUND(P35/123.1*125,0)</f>
        <v>781885</v>
      </c>
      <c r="R35" s="65">
        <v>950800</v>
      </c>
      <c r="S35" s="65">
        <v>1026864</v>
      </c>
      <c r="T35" s="72"/>
      <c r="U35" s="72"/>
      <c r="V35" s="74"/>
      <c r="W35" s="74"/>
      <c r="X35" s="50" t="s">
        <v>41</v>
      </c>
      <c r="Y35" s="42" t="s">
        <v>42</v>
      </c>
    </row>
    <row r="36" spans="1:25" s="39" customFormat="1" ht="26.4">
      <c r="A36" s="40" t="s">
        <v>111</v>
      </c>
      <c r="B36" s="41">
        <v>1</v>
      </c>
      <c r="C36" s="42" t="s">
        <v>35</v>
      </c>
      <c r="D36" s="43" t="s">
        <v>112</v>
      </c>
      <c r="E36" s="43" t="s">
        <v>75</v>
      </c>
      <c r="F36" s="43" t="s">
        <v>38</v>
      </c>
      <c r="G36" s="26" t="s">
        <v>113</v>
      </c>
      <c r="H36" s="44">
        <v>1083938.888888889</v>
      </c>
      <c r="I36" s="37">
        <v>1091023.4567901236</v>
      </c>
      <c r="J36" s="37">
        <f t="shared" si="10"/>
        <v>1091023</v>
      </c>
      <c r="K36" s="37">
        <f t="shared" si="0"/>
        <v>1121702</v>
      </c>
      <c r="L36" s="37">
        <f t="shared" si="1"/>
        <v>1138000</v>
      </c>
      <c r="M36" s="38">
        <f t="shared" si="2"/>
        <v>1152381</v>
      </c>
      <c r="N36" s="38" t="s">
        <v>40</v>
      </c>
      <c r="O36" s="38">
        <f t="shared" si="3"/>
        <v>1157175</v>
      </c>
      <c r="P36" s="38">
        <v>1440000</v>
      </c>
      <c r="Q36" s="38">
        <f>ROUND(P36/123.1*125,0)/121*100</f>
        <v>1208451.2396694215</v>
      </c>
      <c r="R36" s="65">
        <v>1469500</v>
      </c>
      <c r="S36" s="65">
        <v>1587060</v>
      </c>
      <c r="T36" s="72"/>
      <c r="U36" s="72"/>
      <c r="V36" s="74"/>
      <c r="W36" s="74"/>
      <c r="X36" s="50" t="s">
        <v>51</v>
      </c>
      <c r="Y36" s="42" t="s">
        <v>42</v>
      </c>
    </row>
    <row r="37" spans="1:25" s="28" customFormat="1">
      <c r="A37" s="9" t="s">
        <v>114</v>
      </c>
      <c r="B37" s="34">
        <v>1</v>
      </c>
      <c r="C37" s="2" t="s">
        <v>35</v>
      </c>
      <c r="D37" s="1" t="s">
        <v>115</v>
      </c>
      <c r="E37" s="1" t="s">
        <v>116</v>
      </c>
      <c r="F37" s="1" t="s">
        <v>38</v>
      </c>
      <c r="G37" s="26" t="s">
        <v>117</v>
      </c>
      <c r="H37" s="35">
        <v>336316.66666666669</v>
      </c>
      <c r="I37" s="3">
        <v>338514.81481481483</v>
      </c>
      <c r="J37" s="3">
        <f t="shared" si="10"/>
        <v>338515</v>
      </c>
      <c r="K37" s="3">
        <f t="shared" ref="K37:K62" si="12">ROUND(J37/113.8*117,0)</f>
        <v>348034</v>
      </c>
      <c r="L37" s="3">
        <f t="shared" si="1"/>
        <v>353091</v>
      </c>
      <c r="M37" s="17">
        <f t="shared" si="2"/>
        <v>357553</v>
      </c>
      <c r="N37" s="17" t="s">
        <v>40</v>
      </c>
      <c r="O37" s="17">
        <f t="shared" si="3"/>
        <v>359040</v>
      </c>
      <c r="P37" s="17">
        <v>370050</v>
      </c>
      <c r="Q37" s="17">
        <f t="shared" si="11"/>
        <v>375762</v>
      </c>
      <c r="R37" s="65">
        <v>456900</v>
      </c>
      <c r="S37" s="65">
        <v>493452</v>
      </c>
      <c r="T37" s="71"/>
      <c r="U37" s="71"/>
      <c r="V37" s="74"/>
      <c r="W37" s="74"/>
      <c r="X37" s="49" t="s">
        <v>41</v>
      </c>
      <c r="Y37" s="2" t="s">
        <v>42</v>
      </c>
    </row>
    <row r="38" spans="1:25" s="28" customFormat="1">
      <c r="A38" s="9" t="s">
        <v>118</v>
      </c>
      <c r="B38" s="34">
        <v>2</v>
      </c>
      <c r="C38" s="2" t="s">
        <v>35</v>
      </c>
      <c r="D38" s="1" t="s">
        <v>119</v>
      </c>
      <c r="E38" s="1" t="s">
        <v>120</v>
      </c>
      <c r="F38" s="1" t="s">
        <v>38</v>
      </c>
      <c r="G38" s="26" t="s">
        <v>121</v>
      </c>
      <c r="H38" s="35">
        <v>1339694.4444444445</v>
      </c>
      <c r="I38" s="3">
        <v>1348450.6172839506</v>
      </c>
      <c r="J38" s="3">
        <f t="shared" si="10"/>
        <v>1348451</v>
      </c>
      <c r="K38" s="3">
        <f t="shared" si="12"/>
        <v>1386369</v>
      </c>
      <c r="L38" s="3">
        <f t="shared" ref="L38:L65" si="13">ROUND(K38/117*118.7,0)</f>
        <v>1406513</v>
      </c>
      <c r="M38" s="17">
        <f t="shared" si="2"/>
        <v>1424287</v>
      </c>
      <c r="N38" s="17" t="s">
        <v>40</v>
      </c>
      <c r="O38" s="17">
        <f t="shared" si="3"/>
        <v>1430212</v>
      </c>
      <c r="P38" s="17">
        <v>1350000</v>
      </c>
      <c r="Q38" s="17">
        <f t="shared" si="11"/>
        <v>1370837</v>
      </c>
      <c r="R38" s="65">
        <v>1666900</v>
      </c>
      <c r="S38" s="65">
        <v>1800252</v>
      </c>
      <c r="T38" s="71"/>
      <c r="U38" s="71"/>
      <c r="V38" s="74"/>
      <c r="W38" s="74"/>
      <c r="X38" s="49" t="s">
        <v>41</v>
      </c>
      <c r="Y38" s="2" t="s">
        <v>42</v>
      </c>
    </row>
    <row r="39" spans="1:25" s="28" customFormat="1">
      <c r="A39" s="9" t="s">
        <v>118</v>
      </c>
      <c r="B39" s="34">
        <v>2</v>
      </c>
      <c r="C39" s="2" t="s">
        <v>35</v>
      </c>
      <c r="D39" s="1" t="s">
        <v>119</v>
      </c>
      <c r="E39" s="1" t="s">
        <v>120</v>
      </c>
      <c r="F39" s="1" t="s">
        <v>38</v>
      </c>
      <c r="G39" s="26" t="s">
        <v>122</v>
      </c>
      <c r="H39" s="35">
        <v>1339694.4444444445</v>
      </c>
      <c r="I39" s="3">
        <v>1348450.6172839506</v>
      </c>
      <c r="J39" s="3">
        <f>ROUND(I39,0)</f>
        <v>1348451</v>
      </c>
      <c r="K39" s="3">
        <f>ROUND(J39/113.8*117,0)</f>
        <v>1386369</v>
      </c>
      <c r="L39" s="3">
        <f>ROUND(K39/117*118.7,0)</f>
        <v>1406513</v>
      </c>
      <c r="M39" s="17">
        <f>ROUND(L39/118.7*120.2,0)</f>
        <v>1424287</v>
      </c>
      <c r="N39" s="17" t="s">
        <v>40</v>
      </c>
      <c r="O39" s="17"/>
      <c r="P39" s="17">
        <v>310000</v>
      </c>
      <c r="Q39" s="17">
        <f t="shared" si="11"/>
        <v>314785</v>
      </c>
      <c r="R39" s="65">
        <v>382800</v>
      </c>
      <c r="S39" s="65">
        <v>413424</v>
      </c>
      <c r="T39" s="71"/>
      <c r="U39" s="71"/>
      <c r="V39" s="74"/>
      <c r="W39" s="74"/>
      <c r="X39" s="49" t="s">
        <v>41</v>
      </c>
      <c r="Y39" s="2" t="s">
        <v>42</v>
      </c>
    </row>
    <row r="40" spans="1:25" s="28" customFormat="1">
      <c r="A40" s="9" t="s">
        <v>123</v>
      </c>
      <c r="B40" s="34">
        <v>1</v>
      </c>
      <c r="C40" s="2" t="s">
        <v>35</v>
      </c>
      <c r="D40" s="1" t="s">
        <v>124</v>
      </c>
      <c r="E40" s="1" t="s">
        <v>125</v>
      </c>
      <c r="F40" s="1" t="s">
        <v>38</v>
      </c>
      <c r="G40" s="26" t="s">
        <v>126</v>
      </c>
      <c r="H40" s="35">
        <v>120605.55555555556</v>
      </c>
      <c r="I40" s="3">
        <v>121393.82716049382</v>
      </c>
      <c r="J40" s="3">
        <f t="shared" si="10"/>
        <v>121394</v>
      </c>
      <c r="K40" s="3">
        <f t="shared" si="12"/>
        <v>124808</v>
      </c>
      <c r="L40" s="3">
        <f t="shared" si="13"/>
        <v>126621</v>
      </c>
      <c r="M40" s="17">
        <f t="shared" si="2"/>
        <v>128221</v>
      </c>
      <c r="N40" s="17" t="s">
        <v>40</v>
      </c>
      <c r="O40" s="17">
        <f t="shared" si="3"/>
        <v>128754</v>
      </c>
      <c r="P40" s="17">
        <v>160700</v>
      </c>
      <c r="Q40" s="17">
        <f t="shared" si="11"/>
        <v>163180</v>
      </c>
      <c r="R40" s="65">
        <v>198400</v>
      </c>
      <c r="S40" s="65">
        <v>214272</v>
      </c>
      <c r="T40" s="71"/>
      <c r="U40" s="71"/>
      <c r="V40" s="74"/>
      <c r="W40" s="74"/>
      <c r="X40" s="49" t="s">
        <v>41</v>
      </c>
      <c r="Y40" s="2" t="s">
        <v>42</v>
      </c>
    </row>
    <row r="41" spans="1:25" s="28" customFormat="1">
      <c r="A41" s="9" t="s">
        <v>127</v>
      </c>
      <c r="B41" s="34">
        <v>1</v>
      </c>
      <c r="C41" s="2" t="s">
        <v>35</v>
      </c>
      <c r="D41" s="1" t="s">
        <v>128</v>
      </c>
      <c r="E41" s="1" t="s">
        <v>129</v>
      </c>
      <c r="F41" s="1" t="s">
        <v>38</v>
      </c>
      <c r="G41" s="26" t="s">
        <v>130</v>
      </c>
      <c r="H41" s="35">
        <v>22383.333333333336</v>
      </c>
      <c r="I41" s="3">
        <v>22529.629629629631</v>
      </c>
      <c r="J41" s="3">
        <f t="shared" si="10"/>
        <v>22530</v>
      </c>
      <c r="K41" s="3">
        <f t="shared" si="12"/>
        <v>23164</v>
      </c>
      <c r="L41" s="3">
        <f t="shared" si="13"/>
        <v>23501</v>
      </c>
      <c r="M41" s="17">
        <f t="shared" si="2"/>
        <v>23798</v>
      </c>
      <c r="N41" s="17" t="s">
        <v>40</v>
      </c>
      <c r="O41" s="17">
        <f t="shared" si="3"/>
        <v>23897</v>
      </c>
      <c r="P41" s="17">
        <v>173000</v>
      </c>
      <c r="Q41" s="17">
        <f>ROUND(P41/123.1*125,0)/121*100</f>
        <v>145181.81818181818</v>
      </c>
      <c r="R41" s="65">
        <v>176500</v>
      </c>
      <c r="S41" s="65">
        <v>190620</v>
      </c>
      <c r="T41" s="71"/>
      <c r="U41" s="71"/>
      <c r="V41" s="74"/>
      <c r="W41" s="74"/>
      <c r="X41" s="49" t="s">
        <v>51</v>
      </c>
      <c r="Y41" s="2" t="s">
        <v>42</v>
      </c>
    </row>
    <row r="42" spans="1:25" s="28" customFormat="1">
      <c r="A42" s="9" t="s">
        <v>131</v>
      </c>
      <c r="B42" s="34">
        <v>1</v>
      </c>
      <c r="C42" s="2" t="s">
        <v>35</v>
      </c>
      <c r="D42" s="1" t="s">
        <v>132</v>
      </c>
      <c r="E42" s="1" t="s">
        <v>133</v>
      </c>
      <c r="F42" s="1" t="s">
        <v>38</v>
      </c>
      <c r="G42" s="26" t="s">
        <v>134</v>
      </c>
      <c r="H42" s="35">
        <v>129672.22222222222</v>
      </c>
      <c r="I42" s="3">
        <v>130519.75308641975</v>
      </c>
      <c r="J42" s="3">
        <f t="shared" ref="J42:J49" si="14">ROUND(I42,0)</f>
        <v>130520</v>
      </c>
      <c r="K42" s="3">
        <f t="shared" si="12"/>
        <v>134190</v>
      </c>
      <c r="L42" s="3">
        <f t="shared" si="13"/>
        <v>136140</v>
      </c>
      <c r="M42" s="17">
        <f t="shared" si="2"/>
        <v>137860</v>
      </c>
      <c r="N42" s="17" t="s">
        <v>40</v>
      </c>
      <c r="O42" s="17">
        <f t="shared" si="3"/>
        <v>138433</v>
      </c>
      <c r="P42" s="17">
        <v>112000</v>
      </c>
      <c r="Q42" s="17">
        <f>ROUND(P42/123.1*125,0)/121*100</f>
        <v>93990.909090909088</v>
      </c>
      <c r="R42" s="65">
        <v>114300</v>
      </c>
      <c r="S42" s="65">
        <v>123444</v>
      </c>
      <c r="T42" s="71"/>
      <c r="U42" s="71"/>
      <c r="V42" s="74"/>
      <c r="W42" s="74"/>
      <c r="X42" s="49" t="s">
        <v>51</v>
      </c>
      <c r="Y42" s="2" t="s">
        <v>42</v>
      </c>
    </row>
    <row r="43" spans="1:25" s="28" customFormat="1">
      <c r="A43" s="9" t="s">
        <v>135</v>
      </c>
      <c r="B43" s="34">
        <v>1</v>
      </c>
      <c r="C43" s="2" t="s">
        <v>35</v>
      </c>
      <c r="D43" s="1" t="s">
        <v>136</v>
      </c>
      <c r="E43" s="1" t="s">
        <v>64</v>
      </c>
      <c r="F43" s="1" t="s">
        <v>38</v>
      </c>
      <c r="G43" s="26" t="s">
        <v>137</v>
      </c>
      <c r="H43" s="35">
        <v>384672.22222222225</v>
      </c>
      <c r="I43" s="3">
        <v>387186.41975308646</v>
      </c>
      <c r="J43" s="3">
        <f t="shared" si="14"/>
        <v>387186</v>
      </c>
      <c r="K43" s="3">
        <f t="shared" si="12"/>
        <v>398073</v>
      </c>
      <c r="L43" s="3">
        <f t="shared" si="13"/>
        <v>403857</v>
      </c>
      <c r="M43" s="17">
        <f t="shared" si="2"/>
        <v>408961</v>
      </c>
      <c r="N43" s="17" t="s">
        <v>40</v>
      </c>
      <c r="O43" s="17">
        <f t="shared" si="3"/>
        <v>410662</v>
      </c>
      <c r="P43" s="17">
        <v>42000</v>
      </c>
      <c r="Q43" s="17">
        <f>ROUND(P43/123.1*125,0)/121*100</f>
        <v>35246.280991735533</v>
      </c>
      <c r="R43" s="65">
        <v>42900</v>
      </c>
      <c r="S43" s="65">
        <v>46332</v>
      </c>
      <c r="T43" s="71"/>
      <c r="U43" s="71"/>
      <c r="V43" s="74"/>
      <c r="W43" s="74"/>
      <c r="X43" s="49" t="s">
        <v>51</v>
      </c>
      <c r="Y43" s="2" t="s">
        <v>42</v>
      </c>
    </row>
    <row r="44" spans="1:25" s="28" customFormat="1">
      <c r="A44" s="9" t="s">
        <v>138</v>
      </c>
      <c r="B44" s="34">
        <v>1</v>
      </c>
      <c r="C44" s="2" t="s">
        <v>35</v>
      </c>
      <c r="D44" s="1" t="s">
        <v>139</v>
      </c>
      <c r="E44" s="1"/>
      <c r="F44" s="1" t="s">
        <v>38</v>
      </c>
      <c r="G44" s="26" t="s">
        <v>140</v>
      </c>
      <c r="H44" s="35">
        <v>517650</v>
      </c>
      <c r="I44" s="3">
        <v>521033.33333333337</v>
      </c>
      <c r="J44" s="3">
        <f t="shared" si="14"/>
        <v>521033</v>
      </c>
      <c r="K44" s="3">
        <f t="shared" si="12"/>
        <v>535684</v>
      </c>
      <c r="L44" s="3">
        <f t="shared" si="13"/>
        <v>543467</v>
      </c>
      <c r="M44" s="17">
        <f t="shared" si="2"/>
        <v>550335</v>
      </c>
      <c r="N44" s="17"/>
      <c r="O44" s="17">
        <f t="shared" si="3"/>
        <v>552624</v>
      </c>
      <c r="P44" s="17">
        <f t="shared" si="4"/>
        <v>560407</v>
      </c>
      <c r="Q44" s="17">
        <f>ROUND(P44/122.4*125,0)/121*100</f>
        <v>472984.29752066114</v>
      </c>
      <c r="R44" s="65">
        <v>575100</v>
      </c>
      <c r="S44" s="65">
        <v>621108</v>
      </c>
      <c r="T44" s="71"/>
      <c r="U44" s="71"/>
      <c r="V44" s="74"/>
      <c r="W44" s="74"/>
      <c r="X44" s="49" t="s">
        <v>51</v>
      </c>
      <c r="Y44" s="2"/>
    </row>
    <row r="45" spans="1:25" s="28" customFormat="1">
      <c r="A45" s="9" t="s">
        <v>141</v>
      </c>
      <c r="B45" s="34">
        <v>1</v>
      </c>
      <c r="C45" s="2" t="s">
        <v>35</v>
      </c>
      <c r="D45" s="1" t="s">
        <v>142</v>
      </c>
      <c r="E45" s="1" t="s">
        <v>143</v>
      </c>
      <c r="F45" s="1" t="s">
        <v>38</v>
      </c>
      <c r="G45" s="26" t="s">
        <v>144</v>
      </c>
      <c r="H45" s="35">
        <v>31733.333333333336</v>
      </c>
      <c r="I45" s="3">
        <v>31940.740740740741</v>
      </c>
      <c r="J45" s="3">
        <f t="shared" si="14"/>
        <v>31941</v>
      </c>
      <c r="K45" s="3">
        <f t="shared" si="12"/>
        <v>32839</v>
      </c>
      <c r="L45" s="3">
        <f t="shared" si="13"/>
        <v>33316</v>
      </c>
      <c r="M45" s="17">
        <f t="shared" ref="M45:M68" si="15">ROUND(L45/118.7*120.2,0)</f>
        <v>33737</v>
      </c>
      <c r="N45" s="17" t="s">
        <v>40</v>
      </c>
      <c r="O45" s="17">
        <f t="shared" ref="O45:O68" si="16">ROUND(M45/120.2*120.7,0)</f>
        <v>33877</v>
      </c>
      <c r="P45" s="17">
        <v>129000</v>
      </c>
      <c r="Q45" s="17">
        <f t="shared" ref="Q45:Q62" si="17">ROUND(P45/123.1*125,0)</f>
        <v>130991</v>
      </c>
      <c r="R45" s="65">
        <v>159300</v>
      </c>
      <c r="S45" s="65">
        <v>172044</v>
      </c>
      <c r="T45" s="71"/>
      <c r="U45" s="71"/>
      <c r="V45" s="74"/>
      <c r="W45" s="74"/>
      <c r="X45" s="49" t="s">
        <v>41</v>
      </c>
      <c r="Y45" s="2" t="s">
        <v>42</v>
      </c>
    </row>
    <row r="46" spans="1:25" s="28" customFormat="1">
      <c r="A46" s="9" t="s">
        <v>141</v>
      </c>
      <c r="B46" s="34">
        <v>2</v>
      </c>
      <c r="C46" s="2" t="s">
        <v>35</v>
      </c>
      <c r="D46" s="1" t="s">
        <v>142</v>
      </c>
      <c r="E46" s="1" t="s">
        <v>143</v>
      </c>
      <c r="F46" s="1" t="s">
        <v>38</v>
      </c>
      <c r="G46" s="26" t="s">
        <v>144</v>
      </c>
      <c r="H46" s="35">
        <v>21627.777777777781</v>
      </c>
      <c r="I46" s="3">
        <v>21769.13580246914</v>
      </c>
      <c r="J46" s="3">
        <f t="shared" si="14"/>
        <v>21769</v>
      </c>
      <c r="K46" s="3">
        <f t="shared" si="12"/>
        <v>22381</v>
      </c>
      <c r="L46" s="3">
        <f t="shared" si="13"/>
        <v>22706</v>
      </c>
      <c r="M46" s="17">
        <f t="shared" si="15"/>
        <v>22993</v>
      </c>
      <c r="N46" s="17" t="s">
        <v>40</v>
      </c>
      <c r="O46" s="17">
        <f t="shared" si="16"/>
        <v>23089</v>
      </c>
      <c r="P46" s="17"/>
      <c r="Q46" s="17">
        <f t="shared" si="17"/>
        <v>0</v>
      </c>
      <c r="R46" s="65"/>
      <c r="S46" s="65"/>
      <c r="T46" s="71">
        <f>14900+1000</f>
        <v>15900</v>
      </c>
      <c r="U46" s="71">
        <f>14900+1000</f>
        <v>15900</v>
      </c>
      <c r="V46" s="74"/>
      <c r="W46" s="74"/>
      <c r="X46" s="49" t="s">
        <v>41</v>
      </c>
      <c r="Y46" s="2" t="s">
        <v>42</v>
      </c>
    </row>
    <row r="47" spans="1:25" s="28" customFormat="1">
      <c r="A47" s="9" t="s">
        <v>145</v>
      </c>
      <c r="B47" s="34">
        <v>1</v>
      </c>
      <c r="C47" s="2" t="s">
        <v>35</v>
      </c>
      <c r="D47" s="1" t="s">
        <v>146</v>
      </c>
      <c r="E47" s="1" t="s">
        <v>147</v>
      </c>
      <c r="F47" s="1" t="s">
        <v>38</v>
      </c>
      <c r="G47" s="26" t="s">
        <v>148</v>
      </c>
      <c r="H47" s="35">
        <v>200000</v>
      </c>
      <c r="I47" s="3">
        <v>201307.18954248365</v>
      </c>
      <c r="J47" s="3">
        <f t="shared" si="14"/>
        <v>201307</v>
      </c>
      <c r="K47" s="3">
        <f t="shared" si="12"/>
        <v>206968</v>
      </c>
      <c r="L47" s="3">
        <f t="shared" si="13"/>
        <v>209975</v>
      </c>
      <c r="M47" s="17">
        <f t="shared" si="15"/>
        <v>212628</v>
      </c>
      <c r="N47" s="17" t="s">
        <v>40</v>
      </c>
      <c r="O47" s="17">
        <f t="shared" si="16"/>
        <v>213512</v>
      </c>
      <c r="P47" s="17">
        <v>265000</v>
      </c>
      <c r="Q47" s="17">
        <f>ROUND(P47/123.1*125,0)/121*100</f>
        <v>222388.42975206612</v>
      </c>
      <c r="R47" s="65">
        <v>270400</v>
      </c>
      <c r="S47" s="65">
        <v>292032</v>
      </c>
      <c r="T47" s="73"/>
      <c r="U47" s="73"/>
      <c r="V47" s="74"/>
      <c r="W47" s="74"/>
      <c r="X47" s="49" t="s">
        <v>51</v>
      </c>
      <c r="Y47" s="2" t="s">
        <v>42</v>
      </c>
    </row>
    <row r="48" spans="1:25" s="28" customFormat="1">
      <c r="A48" s="9" t="s">
        <v>145</v>
      </c>
      <c r="B48" s="34">
        <v>1</v>
      </c>
      <c r="C48" s="2" t="s">
        <v>35</v>
      </c>
      <c r="D48" s="1" t="s">
        <v>146</v>
      </c>
      <c r="E48" s="1" t="s">
        <v>147</v>
      </c>
      <c r="F48" s="1" t="s">
        <v>38</v>
      </c>
      <c r="G48" s="26" t="s">
        <v>148</v>
      </c>
      <c r="H48" s="35">
        <v>200000</v>
      </c>
      <c r="I48" s="3">
        <v>201307.18954248365</v>
      </c>
      <c r="J48" s="3">
        <f t="shared" ref="J48" si="18">ROUND(I48,0)</f>
        <v>201307</v>
      </c>
      <c r="K48" s="3">
        <f t="shared" ref="K48" si="19">ROUND(J48/113.8*117,0)</f>
        <v>206968</v>
      </c>
      <c r="L48" s="3">
        <f t="shared" ref="L48" si="20">ROUND(K48/117*118.7,0)</f>
        <v>209975</v>
      </c>
      <c r="M48" s="17">
        <f t="shared" ref="M48" si="21">ROUND(L48/118.7*120.2,0)</f>
        <v>212628</v>
      </c>
      <c r="N48" s="17" t="s">
        <v>40</v>
      </c>
      <c r="O48" s="17">
        <f t="shared" ref="O48" si="22">ROUND(M48/120.2*120.7,0)</f>
        <v>213512</v>
      </c>
      <c r="P48" s="17"/>
      <c r="Q48" s="17">
        <f t="shared" si="17"/>
        <v>0</v>
      </c>
      <c r="R48" s="65"/>
      <c r="S48" s="65"/>
      <c r="T48" s="73">
        <f>(11800+700)/121*100</f>
        <v>10330.578512396694</v>
      </c>
      <c r="U48" s="73">
        <f>(11800+700)/121*100</f>
        <v>10330.578512396694</v>
      </c>
      <c r="V48" s="74"/>
      <c r="W48" s="74"/>
      <c r="X48" s="49" t="s">
        <v>51</v>
      </c>
      <c r="Y48" s="2" t="s">
        <v>42</v>
      </c>
    </row>
    <row r="49" spans="1:25" s="28" customFormat="1">
      <c r="A49" s="9" t="s">
        <v>149</v>
      </c>
      <c r="B49" s="34">
        <v>1</v>
      </c>
      <c r="C49" s="2" t="s">
        <v>35</v>
      </c>
      <c r="D49" s="1" t="s">
        <v>150</v>
      </c>
      <c r="E49" s="1" t="s">
        <v>151</v>
      </c>
      <c r="F49" s="1" t="s">
        <v>38</v>
      </c>
      <c r="G49" s="26" t="s">
        <v>152</v>
      </c>
      <c r="H49" s="36">
        <v>572000</v>
      </c>
      <c r="I49" s="3">
        <v>572000</v>
      </c>
      <c r="J49" s="3">
        <f t="shared" si="14"/>
        <v>572000</v>
      </c>
      <c r="K49" s="3">
        <f t="shared" si="12"/>
        <v>588084</v>
      </c>
      <c r="L49" s="3">
        <f t="shared" si="13"/>
        <v>596629</v>
      </c>
      <c r="M49" s="17">
        <f t="shared" si="15"/>
        <v>604169</v>
      </c>
      <c r="N49" s="17" t="s">
        <v>40</v>
      </c>
      <c r="O49" s="17">
        <f t="shared" si="16"/>
        <v>606682</v>
      </c>
      <c r="P49" s="17">
        <v>912000</v>
      </c>
      <c r="Q49" s="17">
        <f t="shared" si="17"/>
        <v>926076</v>
      </c>
      <c r="R49" s="65">
        <v>1126100</v>
      </c>
      <c r="S49" s="65">
        <v>1216188</v>
      </c>
      <c r="T49" s="71"/>
      <c r="U49" s="71"/>
      <c r="V49" s="74"/>
      <c r="W49" s="74"/>
      <c r="X49" s="49" t="s">
        <v>41</v>
      </c>
      <c r="Y49" s="2" t="s">
        <v>42</v>
      </c>
    </row>
    <row r="50" spans="1:25" s="28" customFormat="1">
      <c r="A50" s="9" t="s">
        <v>153</v>
      </c>
      <c r="B50" s="34">
        <v>1</v>
      </c>
      <c r="C50" s="2" t="s">
        <v>35</v>
      </c>
      <c r="D50" s="2" t="s">
        <v>154</v>
      </c>
      <c r="E50" s="2" t="s">
        <v>155</v>
      </c>
      <c r="F50" s="1" t="s">
        <v>38</v>
      </c>
      <c r="G50" s="26" t="s">
        <v>156</v>
      </c>
      <c r="H50" s="35"/>
      <c r="I50" s="3"/>
      <c r="J50" s="3"/>
      <c r="K50" s="3">
        <v>7750000</v>
      </c>
      <c r="L50" s="3">
        <f>ROUND(K50/117*118.7,0)</f>
        <v>7862607</v>
      </c>
      <c r="M50" s="17">
        <f>ROUND(L50/118.7*120.2,0)</f>
        <v>7961966</v>
      </c>
      <c r="N50" s="17" t="s">
        <v>40</v>
      </c>
      <c r="O50" s="17">
        <f>ROUND(M50/120.2*120.7,0)</f>
        <v>7995086</v>
      </c>
      <c r="P50" s="17">
        <v>5971500</v>
      </c>
      <c r="Q50" s="17">
        <f t="shared" si="17"/>
        <v>6063668</v>
      </c>
      <c r="R50" s="65">
        <v>7373400</v>
      </c>
      <c r="S50" s="65">
        <v>7963272</v>
      </c>
      <c r="T50" s="71"/>
      <c r="U50" s="71"/>
      <c r="V50" s="74"/>
      <c r="W50" s="74"/>
      <c r="X50" s="49" t="s">
        <v>41</v>
      </c>
      <c r="Y50" s="2" t="s">
        <v>42</v>
      </c>
    </row>
    <row r="51" spans="1:25" s="28" customFormat="1">
      <c r="A51" s="9" t="s">
        <v>153</v>
      </c>
      <c r="B51" s="34">
        <v>1</v>
      </c>
      <c r="C51" s="2" t="s">
        <v>35</v>
      </c>
      <c r="D51" s="2" t="s">
        <v>154</v>
      </c>
      <c r="E51" s="2" t="s">
        <v>155</v>
      </c>
      <c r="F51" s="1" t="s">
        <v>38</v>
      </c>
      <c r="G51" s="26" t="s">
        <v>157</v>
      </c>
      <c r="H51" s="35"/>
      <c r="I51" s="3"/>
      <c r="J51" s="3"/>
      <c r="K51" s="3">
        <v>7750000</v>
      </c>
      <c r="L51" s="3">
        <f>ROUND(K51/117*118.7,0)</f>
        <v>7862607</v>
      </c>
      <c r="M51" s="17">
        <f>ROUND(L51/118.7*120.2,0)</f>
        <v>7961966</v>
      </c>
      <c r="N51" s="17" t="s">
        <v>40</v>
      </c>
      <c r="O51" s="17"/>
      <c r="P51" s="17"/>
      <c r="Q51" s="17">
        <f t="shared" si="17"/>
        <v>0</v>
      </c>
      <c r="R51" s="65"/>
      <c r="S51" s="65"/>
      <c r="T51" s="71">
        <f>624722+253986</f>
        <v>878708</v>
      </c>
      <c r="U51" s="71">
        <f>624722+253986</f>
        <v>878708</v>
      </c>
      <c r="V51" s="74"/>
      <c r="W51" s="74"/>
      <c r="X51" s="49" t="s">
        <v>41</v>
      </c>
      <c r="Y51" s="2" t="s">
        <v>42</v>
      </c>
    </row>
    <row r="52" spans="1:25" s="28" customFormat="1">
      <c r="A52" s="9" t="s">
        <v>153</v>
      </c>
      <c r="B52" s="34">
        <v>1</v>
      </c>
      <c r="C52" s="2" t="s">
        <v>35</v>
      </c>
      <c r="D52" s="2" t="s">
        <v>154</v>
      </c>
      <c r="E52" s="2" t="s">
        <v>155</v>
      </c>
      <c r="F52" s="1" t="s">
        <v>38</v>
      </c>
      <c r="G52" s="26" t="s">
        <v>158</v>
      </c>
      <c r="H52" s="35"/>
      <c r="I52" s="3"/>
      <c r="J52" s="3"/>
      <c r="K52" s="3">
        <v>7750000</v>
      </c>
      <c r="L52" s="3">
        <f>ROUND(K52/117*118.7,0)</f>
        <v>7862607</v>
      </c>
      <c r="M52" s="17">
        <f>ROUND(L52/118.7*120.2,0)</f>
        <v>7961966</v>
      </c>
      <c r="N52" s="17" t="s">
        <v>40</v>
      </c>
      <c r="O52" s="17"/>
      <c r="P52" s="17"/>
      <c r="Q52" s="17">
        <f t="shared" si="17"/>
        <v>0</v>
      </c>
      <c r="R52" s="65"/>
      <c r="S52" s="65"/>
      <c r="T52" s="71">
        <f>275311+110516</f>
        <v>385827</v>
      </c>
      <c r="U52" s="71">
        <f>275311+110516</f>
        <v>385827</v>
      </c>
      <c r="V52" s="74"/>
      <c r="W52" s="74"/>
      <c r="X52" s="49" t="s">
        <v>41</v>
      </c>
      <c r="Y52" s="2" t="s">
        <v>42</v>
      </c>
    </row>
    <row r="53" spans="1:25" s="28" customFormat="1">
      <c r="A53" s="9" t="s">
        <v>153</v>
      </c>
      <c r="B53" s="34">
        <v>1</v>
      </c>
      <c r="C53" s="2" t="s">
        <v>35</v>
      </c>
      <c r="D53" s="2" t="s">
        <v>154</v>
      </c>
      <c r="E53" s="2" t="s">
        <v>155</v>
      </c>
      <c r="F53" s="1" t="s">
        <v>38</v>
      </c>
      <c r="G53" s="26" t="s">
        <v>159</v>
      </c>
      <c r="H53" s="35"/>
      <c r="I53" s="3"/>
      <c r="J53" s="3"/>
      <c r="K53" s="3">
        <v>7750000</v>
      </c>
      <c r="L53" s="3">
        <f>ROUND(K53/117*118.7,0)</f>
        <v>7862607</v>
      </c>
      <c r="M53" s="17">
        <f>ROUND(L53/118.7*120.2,0)</f>
        <v>7961966</v>
      </c>
      <c r="N53" s="17" t="s">
        <v>40</v>
      </c>
      <c r="O53" s="17"/>
      <c r="P53" s="17"/>
      <c r="Q53" s="17">
        <f t="shared" si="17"/>
        <v>0</v>
      </c>
      <c r="R53" s="65"/>
      <c r="S53" s="65"/>
      <c r="T53" s="71">
        <f>127200+11610</f>
        <v>138810</v>
      </c>
      <c r="U53" s="71">
        <f>127200+11610</f>
        <v>138810</v>
      </c>
      <c r="V53" s="74"/>
      <c r="W53" s="74"/>
      <c r="X53" s="49" t="s">
        <v>41</v>
      </c>
      <c r="Y53" s="2" t="s">
        <v>42</v>
      </c>
    </row>
    <row r="54" spans="1:25" s="28" customFormat="1">
      <c r="A54" s="9" t="s">
        <v>153</v>
      </c>
      <c r="B54" s="34">
        <v>1</v>
      </c>
      <c r="C54" s="2" t="s">
        <v>35</v>
      </c>
      <c r="D54" s="2" t="s">
        <v>154</v>
      </c>
      <c r="E54" s="2" t="s">
        <v>155</v>
      </c>
      <c r="F54" s="1" t="s">
        <v>38</v>
      </c>
      <c r="G54" s="26" t="s">
        <v>160</v>
      </c>
      <c r="H54" s="35"/>
      <c r="I54" s="3"/>
      <c r="J54" s="3"/>
      <c r="K54" s="3">
        <v>7750000</v>
      </c>
      <c r="L54" s="3">
        <f>ROUND(K54/117*118.7,0)</f>
        <v>7862607</v>
      </c>
      <c r="M54" s="17">
        <f>ROUND(L54/118.7*120.2,0)</f>
        <v>7961966</v>
      </c>
      <c r="N54" s="17" t="s">
        <v>40</v>
      </c>
      <c r="O54" s="17"/>
      <c r="P54" s="17"/>
      <c r="Q54" s="17">
        <f t="shared" si="17"/>
        <v>0</v>
      </c>
      <c r="R54" s="65"/>
      <c r="S54" s="65"/>
      <c r="T54" s="71">
        <f>94500+4725</f>
        <v>99225</v>
      </c>
      <c r="U54" s="71">
        <f>94500+4725</f>
        <v>99225</v>
      </c>
      <c r="V54" s="74"/>
      <c r="W54" s="74"/>
      <c r="X54" s="49" t="s">
        <v>41</v>
      </c>
      <c r="Y54" s="2" t="s">
        <v>42</v>
      </c>
    </row>
    <row r="55" spans="1:25" s="28" customFormat="1">
      <c r="A55" s="9" t="s">
        <v>161</v>
      </c>
      <c r="B55" s="34">
        <v>1</v>
      </c>
      <c r="C55" s="2" t="s">
        <v>35</v>
      </c>
      <c r="D55" s="2" t="s">
        <v>162</v>
      </c>
      <c r="E55" s="2" t="s">
        <v>163</v>
      </c>
      <c r="F55" s="1" t="s">
        <v>38</v>
      </c>
      <c r="G55" s="26" t="s">
        <v>164</v>
      </c>
      <c r="H55" s="35">
        <v>5393744.2399454676</v>
      </c>
      <c r="I55" s="3">
        <f t="shared" ref="I55:I65" si="23">H55/153*154</f>
        <v>5428997.4702719087</v>
      </c>
      <c r="J55" s="3">
        <f>ROUND(I55,0)</f>
        <v>5428997</v>
      </c>
      <c r="K55" s="3">
        <f t="shared" si="12"/>
        <v>5581658</v>
      </c>
      <c r="L55" s="3">
        <f t="shared" si="13"/>
        <v>5662759</v>
      </c>
      <c r="M55" s="17">
        <f t="shared" si="15"/>
        <v>5734319</v>
      </c>
      <c r="N55" s="17" t="s">
        <v>40</v>
      </c>
      <c r="O55" s="17">
        <f t="shared" si="16"/>
        <v>5758172</v>
      </c>
      <c r="P55" s="3">
        <v>5880000</v>
      </c>
      <c r="Q55" s="17">
        <f t="shared" si="17"/>
        <v>5970755</v>
      </c>
      <c r="R55" s="65">
        <v>7260400</v>
      </c>
      <c r="S55" s="65">
        <v>7841232</v>
      </c>
      <c r="T55" s="71"/>
      <c r="U55" s="71"/>
      <c r="V55" s="74"/>
      <c r="W55" s="74"/>
      <c r="X55" s="49" t="s">
        <v>41</v>
      </c>
      <c r="Y55" s="48" t="s">
        <v>42</v>
      </c>
    </row>
    <row r="56" spans="1:25" s="28" customFormat="1">
      <c r="A56" s="9" t="s">
        <v>161</v>
      </c>
      <c r="B56" s="34">
        <v>2</v>
      </c>
      <c r="C56" s="2" t="s">
        <v>43</v>
      </c>
      <c r="D56" s="2" t="s">
        <v>162</v>
      </c>
      <c r="E56" s="2" t="s">
        <v>163</v>
      </c>
      <c r="F56" s="1" t="s">
        <v>38</v>
      </c>
      <c r="G56" s="26" t="s">
        <v>164</v>
      </c>
      <c r="H56" s="35">
        <v>562066.12133605999</v>
      </c>
      <c r="I56" s="3">
        <f t="shared" si="23"/>
        <v>565739.75611603423</v>
      </c>
      <c r="J56" s="3"/>
      <c r="K56" s="3">
        <f t="shared" si="12"/>
        <v>0</v>
      </c>
      <c r="L56" s="3">
        <f t="shared" si="13"/>
        <v>0</v>
      </c>
      <c r="M56" s="17">
        <f t="shared" si="15"/>
        <v>0</v>
      </c>
      <c r="N56" s="17" t="s">
        <v>40</v>
      </c>
      <c r="O56" s="17">
        <f t="shared" si="16"/>
        <v>0</v>
      </c>
      <c r="P56" s="17">
        <f t="shared" ref="P56:P67" si="24">ROUND(O56/120.7*122.4,0)</f>
        <v>0</v>
      </c>
      <c r="Q56" s="17">
        <f t="shared" si="17"/>
        <v>0</v>
      </c>
      <c r="R56" s="65"/>
      <c r="S56" s="65"/>
      <c r="T56" s="71">
        <f>796268+275813+76500+3825</f>
        <v>1152406</v>
      </c>
      <c r="U56" s="71">
        <f>796268+275813+76500+3825</f>
        <v>1152406</v>
      </c>
      <c r="V56" s="74"/>
      <c r="W56" s="74"/>
      <c r="X56" s="49" t="s">
        <v>41</v>
      </c>
      <c r="Y56" s="48" t="s">
        <v>42</v>
      </c>
    </row>
    <row r="57" spans="1:25" s="28" customFormat="1">
      <c r="A57" s="9" t="s">
        <v>165</v>
      </c>
      <c r="B57" s="34">
        <v>1</v>
      </c>
      <c r="C57" s="2" t="s">
        <v>35</v>
      </c>
      <c r="D57" s="2" t="s">
        <v>166</v>
      </c>
      <c r="E57" s="2" t="s">
        <v>167</v>
      </c>
      <c r="F57" s="1" t="s">
        <v>38</v>
      </c>
      <c r="G57" s="26" t="s">
        <v>168</v>
      </c>
      <c r="H57" s="35">
        <v>5504922.1540558962</v>
      </c>
      <c r="I57" s="3">
        <f t="shared" si="23"/>
        <v>5540902.0374157391</v>
      </c>
      <c r="J57" s="3">
        <f>ROUND(I57,0)</f>
        <v>5540902</v>
      </c>
      <c r="K57" s="3">
        <f t="shared" si="12"/>
        <v>5696709</v>
      </c>
      <c r="L57" s="3">
        <f t="shared" si="13"/>
        <v>5779482</v>
      </c>
      <c r="M57" s="17">
        <f t="shared" si="15"/>
        <v>5852517</v>
      </c>
      <c r="N57" s="17" t="s">
        <v>40</v>
      </c>
      <c r="O57" s="17">
        <f t="shared" si="16"/>
        <v>5876862</v>
      </c>
      <c r="P57" s="17">
        <v>5920000</v>
      </c>
      <c r="Q57" s="17">
        <f t="shared" si="17"/>
        <v>6011373</v>
      </c>
      <c r="R57" s="65">
        <v>7309800</v>
      </c>
      <c r="S57" s="65">
        <v>7894584</v>
      </c>
      <c r="T57" s="71"/>
      <c r="U57" s="71"/>
      <c r="V57" s="74"/>
      <c r="W57" s="74"/>
      <c r="X57" s="49" t="s">
        <v>41</v>
      </c>
      <c r="Y57" s="2" t="s">
        <v>42</v>
      </c>
    </row>
    <row r="58" spans="1:25" s="28" customFormat="1">
      <c r="A58" s="9" t="s">
        <v>165</v>
      </c>
      <c r="B58" s="34">
        <v>1</v>
      </c>
      <c r="C58" s="2" t="s">
        <v>35</v>
      </c>
      <c r="D58" s="2" t="s">
        <v>166</v>
      </c>
      <c r="E58" s="2" t="s">
        <v>167</v>
      </c>
      <c r="F58" s="1" t="s">
        <v>38</v>
      </c>
      <c r="G58" s="26" t="s">
        <v>169</v>
      </c>
      <c r="H58" s="35">
        <v>5504922.1540558962</v>
      </c>
      <c r="I58" s="3">
        <f>H58/153*154</f>
        <v>5540902.0374157391</v>
      </c>
      <c r="J58" s="3">
        <f>ROUND(I58,0)</f>
        <v>5540902</v>
      </c>
      <c r="K58" s="3">
        <f>ROUND(J58/113.8*117,0)</f>
        <v>5696709</v>
      </c>
      <c r="L58" s="3">
        <f>ROUND(K58/117*118.7,0)</f>
        <v>5779482</v>
      </c>
      <c r="M58" s="17">
        <f>ROUND(L58/118.7*120.2,0)</f>
        <v>5852517</v>
      </c>
      <c r="N58" s="17" t="s">
        <v>40</v>
      </c>
      <c r="O58" s="17"/>
      <c r="P58" s="17"/>
      <c r="Q58" s="17">
        <f t="shared" si="17"/>
        <v>0</v>
      </c>
      <c r="R58" s="65"/>
      <c r="S58" s="65"/>
      <c r="T58" s="73">
        <f>343397+117520</f>
        <v>460917</v>
      </c>
      <c r="U58" s="73">
        <f>343397+117520</f>
        <v>460917</v>
      </c>
      <c r="V58" s="74"/>
      <c r="W58" s="74"/>
      <c r="X58" s="49" t="s">
        <v>41</v>
      </c>
      <c r="Y58" s="2" t="s">
        <v>42</v>
      </c>
    </row>
    <row r="59" spans="1:25" s="28" customFormat="1">
      <c r="A59" s="9" t="s">
        <v>165</v>
      </c>
      <c r="B59" s="34">
        <v>1</v>
      </c>
      <c r="C59" s="2" t="s">
        <v>35</v>
      </c>
      <c r="D59" s="2" t="s">
        <v>166</v>
      </c>
      <c r="E59" s="2" t="s">
        <v>167</v>
      </c>
      <c r="F59" s="1" t="s">
        <v>38</v>
      </c>
      <c r="G59" s="26" t="s">
        <v>170</v>
      </c>
      <c r="H59" s="35">
        <v>5504922.1540558962</v>
      </c>
      <c r="I59" s="3">
        <f>H59/153*154</f>
        <v>5540902.0374157391</v>
      </c>
      <c r="J59" s="3">
        <f>ROUND(I59,0)</f>
        <v>5540902</v>
      </c>
      <c r="K59" s="3">
        <f>ROUND(J59/113.8*117,0)</f>
        <v>5696709</v>
      </c>
      <c r="L59" s="3">
        <f>ROUND(K59/117*118.7,0)</f>
        <v>5779482</v>
      </c>
      <c r="M59" s="17">
        <f>ROUND(L59/118.7*120.2,0)</f>
        <v>5852517</v>
      </c>
      <c r="N59" s="17" t="s">
        <v>40</v>
      </c>
      <c r="O59" s="17"/>
      <c r="P59" s="17"/>
      <c r="Q59" s="17">
        <f t="shared" si="17"/>
        <v>0</v>
      </c>
      <c r="R59" s="65"/>
      <c r="S59" s="65"/>
      <c r="T59" s="71">
        <f>514233+140712</f>
        <v>654945</v>
      </c>
      <c r="U59" s="71">
        <f>514233+140712</f>
        <v>654945</v>
      </c>
      <c r="V59" s="74"/>
      <c r="W59" s="74"/>
      <c r="X59" s="49" t="s">
        <v>41</v>
      </c>
      <c r="Y59" s="2" t="s">
        <v>42</v>
      </c>
    </row>
    <row r="60" spans="1:25" s="28" customFormat="1">
      <c r="A60" s="9" t="s">
        <v>165</v>
      </c>
      <c r="B60" s="34">
        <v>1</v>
      </c>
      <c r="C60" s="2" t="s">
        <v>35</v>
      </c>
      <c r="D60" s="2" t="s">
        <v>166</v>
      </c>
      <c r="E60" s="2" t="s">
        <v>167</v>
      </c>
      <c r="F60" s="1" t="s">
        <v>38</v>
      </c>
      <c r="G60" s="26" t="s">
        <v>171</v>
      </c>
      <c r="H60" s="35">
        <v>5504922.1540558962</v>
      </c>
      <c r="I60" s="3">
        <f>H60/153*154</f>
        <v>5540902.0374157391</v>
      </c>
      <c r="J60" s="3">
        <f>ROUND(I60,0)</f>
        <v>5540902</v>
      </c>
      <c r="K60" s="3">
        <f>ROUND(J60/113.8*117,0)</f>
        <v>5696709</v>
      </c>
      <c r="L60" s="3">
        <f>ROUND(K60/117*118.7,0)</f>
        <v>5779482</v>
      </c>
      <c r="M60" s="17">
        <f>ROUND(L60/118.7*120.2,0)</f>
        <v>5852517</v>
      </c>
      <c r="N60" s="17" t="s">
        <v>40</v>
      </c>
      <c r="O60" s="17"/>
      <c r="P60" s="17"/>
      <c r="Q60" s="17">
        <f t="shared" si="17"/>
        <v>0</v>
      </c>
      <c r="R60" s="65"/>
      <c r="S60" s="65"/>
      <c r="T60" s="71">
        <f>35200+2500</f>
        <v>37700</v>
      </c>
      <c r="U60" s="71">
        <f>35200+2500</f>
        <v>37700</v>
      </c>
      <c r="V60" s="74"/>
      <c r="W60" s="74"/>
      <c r="X60" s="49" t="s">
        <v>41</v>
      </c>
      <c r="Y60" s="2" t="s">
        <v>42</v>
      </c>
    </row>
    <row r="61" spans="1:25" s="28" customFormat="1">
      <c r="A61" s="9" t="s">
        <v>172</v>
      </c>
      <c r="B61" s="34">
        <v>1</v>
      </c>
      <c r="C61" s="2" t="s">
        <v>35</v>
      </c>
      <c r="D61" s="2" t="s">
        <v>173</v>
      </c>
      <c r="E61" s="2" t="s">
        <v>120</v>
      </c>
      <c r="F61" s="1" t="s">
        <v>38</v>
      </c>
      <c r="G61" s="26" t="s">
        <v>174</v>
      </c>
      <c r="H61" s="35">
        <v>2296251.533742331</v>
      </c>
      <c r="I61" s="3">
        <f t="shared" si="23"/>
        <v>2311259.7137014312</v>
      </c>
      <c r="J61" s="3">
        <f>ROUND(I61,0)</f>
        <v>2311260</v>
      </c>
      <c r="K61" s="3">
        <f t="shared" si="12"/>
        <v>2376251</v>
      </c>
      <c r="L61" s="3">
        <f t="shared" si="13"/>
        <v>2410778</v>
      </c>
      <c r="M61" s="17">
        <f t="shared" si="15"/>
        <v>2441243</v>
      </c>
      <c r="N61" s="17" t="s">
        <v>40</v>
      </c>
      <c r="O61" s="17">
        <f t="shared" si="16"/>
        <v>2451398</v>
      </c>
      <c r="P61" s="17">
        <v>2980000</v>
      </c>
      <c r="Q61" s="17">
        <f t="shared" si="17"/>
        <v>3025995</v>
      </c>
      <c r="R61" s="65">
        <v>3679600</v>
      </c>
      <c r="S61" s="65">
        <v>3973968</v>
      </c>
      <c r="T61" s="71"/>
      <c r="U61" s="71"/>
      <c r="V61" s="74"/>
      <c r="W61" s="74"/>
      <c r="X61" s="49" t="s">
        <v>41</v>
      </c>
      <c r="Y61" s="2" t="s">
        <v>42</v>
      </c>
    </row>
    <row r="62" spans="1:25" s="28" customFormat="1">
      <c r="A62" s="9" t="s">
        <v>172</v>
      </c>
      <c r="B62" s="34">
        <v>2</v>
      </c>
      <c r="C62" s="2" t="s">
        <v>43</v>
      </c>
      <c r="D62" s="2" t="s">
        <v>173</v>
      </c>
      <c r="E62" s="2" t="s">
        <v>120</v>
      </c>
      <c r="F62" s="1" t="s">
        <v>38</v>
      </c>
      <c r="G62" s="26" t="s">
        <v>174</v>
      </c>
      <c r="H62" s="35">
        <v>358334.96932515339</v>
      </c>
      <c r="I62" s="3">
        <f t="shared" si="23"/>
        <v>360677.0279481936</v>
      </c>
      <c r="J62" s="3"/>
      <c r="K62" s="3">
        <f t="shared" si="12"/>
        <v>0</v>
      </c>
      <c r="L62" s="3">
        <f t="shared" si="13"/>
        <v>0</v>
      </c>
      <c r="M62" s="17">
        <f t="shared" si="15"/>
        <v>0</v>
      </c>
      <c r="N62" s="17" t="s">
        <v>40</v>
      </c>
      <c r="O62" s="17">
        <f t="shared" si="16"/>
        <v>0</v>
      </c>
      <c r="P62" s="17">
        <f t="shared" si="24"/>
        <v>0</v>
      </c>
      <c r="Q62" s="17">
        <f t="shared" si="17"/>
        <v>0</v>
      </c>
      <c r="R62" s="65"/>
      <c r="S62" s="65"/>
      <c r="T62" s="71">
        <f>364815+110491</f>
        <v>475306</v>
      </c>
      <c r="U62" s="71">
        <f>364815+110491</f>
        <v>475306</v>
      </c>
      <c r="V62" s="74"/>
      <c r="W62" s="74"/>
      <c r="X62" s="49" t="s">
        <v>41</v>
      </c>
      <c r="Y62" s="2" t="s">
        <v>42</v>
      </c>
    </row>
    <row r="63" spans="1:25" s="28" customFormat="1">
      <c r="A63" s="9" t="s">
        <v>175</v>
      </c>
      <c r="B63" s="34">
        <v>1</v>
      </c>
      <c r="C63" s="2" t="s">
        <v>35</v>
      </c>
      <c r="D63" s="2" t="s">
        <v>176</v>
      </c>
      <c r="E63" s="2" t="s">
        <v>177</v>
      </c>
      <c r="F63" s="1" t="s">
        <v>38</v>
      </c>
      <c r="G63" s="26" t="s">
        <v>178</v>
      </c>
      <c r="H63" s="35">
        <v>3170946.1486025904</v>
      </c>
      <c r="I63" s="3">
        <f t="shared" si="23"/>
        <v>3191671.2868287512</v>
      </c>
      <c r="J63" s="3">
        <f>ROUND(I63,0)</f>
        <v>3191671</v>
      </c>
      <c r="K63" s="3">
        <f t="shared" ref="K63:K67" si="25">ROUND(J63/113.8*117,0)</f>
        <v>3281419</v>
      </c>
      <c r="L63" s="3">
        <f t="shared" si="13"/>
        <v>3329098</v>
      </c>
      <c r="M63" s="17">
        <f t="shared" si="15"/>
        <v>3371167</v>
      </c>
      <c r="N63" s="17" t="s">
        <v>40</v>
      </c>
      <c r="O63" s="17">
        <f t="shared" si="16"/>
        <v>3385190</v>
      </c>
      <c r="P63" s="17">
        <v>4085000</v>
      </c>
      <c r="Q63" s="17">
        <f t="shared" ref="Q63:Q65" si="26">ROUND(P63/123.1*125,0)</f>
        <v>4148050</v>
      </c>
      <c r="R63" s="65">
        <v>5044000</v>
      </c>
      <c r="S63" s="65">
        <v>5447520</v>
      </c>
      <c r="T63" s="71"/>
      <c r="U63" s="71"/>
      <c r="V63" s="74"/>
      <c r="W63" s="74"/>
      <c r="X63" s="49" t="s">
        <v>41</v>
      </c>
      <c r="Y63" s="2" t="s">
        <v>42</v>
      </c>
    </row>
    <row r="64" spans="1:25" s="28" customFormat="1">
      <c r="A64" s="9" t="s">
        <v>175</v>
      </c>
      <c r="B64" s="34"/>
      <c r="C64" s="2"/>
      <c r="D64" s="2" t="s">
        <v>179</v>
      </c>
      <c r="E64" s="2" t="s">
        <v>177</v>
      </c>
      <c r="F64" s="1" t="s">
        <v>38</v>
      </c>
      <c r="G64" s="26" t="s">
        <v>180</v>
      </c>
      <c r="H64" s="35"/>
      <c r="I64" s="3"/>
      <c r="J64" s="3"/>
      <c r="K64" s="3"/>
      <c r="L64" s="3"/>
      <c r="M64" s="17"/>
      <c r="N64" s="17" t="s">
        <v>40</v>
      </c>
      <c r="O64" s="17"/>
      <c r="P64" s="17"/>
      <c r="Q64" s="17">
        <f t="shared" si="26"/>
        <v>0</v>
      </c>
      <c r="R64" s="65"/>
      <c r="S64" s="65"/>
      <c r="T64" s="71">
        <f>67500+3375</f>
        <v>70875</v>
      </c>
      <c r="U64" s="71">
        <f>67500+3375</f>
        <v>70875</v>
      </c>
      <c r="V64" s="74"/>
      <c r="W64" s="74"/>
      <c r="X64" s="49" t="s">
        <v>41</v>
      </c>
      <c r="Y64" s="2" t="s">
        <v>42</v>
      </c>
    </row>
    <row r="65" spans="1:25" s="28" customFormat="1">
      <c r="A65" s="9" t="s">
        <v>175</v>
      </c>
      <c r="B65" s="34">
        <v>2</v>
      </c>
      <c r="C65" s="2" t="s">
        <v>43</v>
      </c>
      <c r="D65" s="2" t="s">
        <v>181</v>
      </c>
      <c r="E65" s="2" t="s">
        <v>177</v>
      </c>
      <c r="F65" s="1" t="s">
        <v>38</v>
      </c>
      <c r="G65" s="26" t="s">
        <v>182</v>
      </c>
      <c r="H65" s="35">
        <v>329732.78800272668</v>
      </c>
      <c r="I65" s="3">
        <f t="shared" si="23"/>
        <v>331887.90426418238</v>
      </c>
      <c r="J65" s="3"/>
      <c r="K65" s="3">
        <f t="shared" si="25"/>
        <v>0</v>
      </c>
      <c r="L65" s="3">
        <f t="shared" si="13"/>
        <v>0</v>
      </c>
      <c r="M65" s="2"/>
      <c r="N65" s="17" t="s">
        <v>40</v>
      </c>
      <c r="O65" s="17">
        <f t="shared" si="16"/>
        <v>0</v>
      </c>
      <c r="P65" s="17">
        <f t="shared" si="24"/>
        <v>0</v>
      </c>
      <c r="Q65" s="17">
        <f t="shared" si="26"/>
        <v>0</v>
      </c>
      <c r="R65" s="65"/>
      <c r="S65" s="65"/>
      <c r="T65" s="71">
        <f>477340+107017</f>
        <v>584357</v>
      </c>
      <c r="U65" s="71">
        <f>477340+107017</f>
        <v>584357</v>
      </c>
      <c r="V65" s="74"/>
      <c r="W65" s="74"/>
      <c r="X65" s="49" t="s">
        <v>41</v>
      </c>
      <c r="Y65" s="2" t="s">
        <v>42</v>
      </c>
    </row>
    <row r="66" spans="1:25" s="28" customFormat="1">
      <c r="A66" s="9" t="s">
        <v>183</v>
      </c>
      <c r="B66" s="34">
        <v>1</v>
      </c>
      <c r="C66" s="2" t="s">
        <v>35</v>
      </c>
      <c r="D66" s="2" t="s">
        <v>184</v>
      </c>
      <c r="E66" s="2" t="s">
        <v>120</v>
      </c>
      <c r="F66" s="1" t="s">
        <v>38</v>
      </c>
      <c r="G66" s="26" t="s">
        <v>180</v>
      </c>
      <c r="H66" s="35">
        <v>620220.72256305395</v>
      </c>
      <c r="I66" s="3">
        <f t="shared" ref="I66:I67" si="27">H66/153*154</f>
        <v>624274.45277588442</v>
      </c>
      <c r="J66" s="3">
        <f>ROUND(I66,0)</f>
        <v>624274</v>
      </c>
      <c r="K66" s="3">
        <f t="shared" si="25"/>
        <v>641828</v>
      </c>
      <c r="L66" s="3">
        <f t="shared" ref="L66:L67" si="28">ROUND(K66/117*118.7,0)</f>
        <v>651154</v>
      </c>
      <c r="M66" s="17">
        <f t="shared" si="15"/>
        <v>659383</v>
      </c>
      <c r="N66" s="17" t="s">
        <v>40</v>
      </c>
      <c r="O66" s="17">
        <f t="shared" si="16"/>
        <v>662126</v>
      </c>
      <c r="P66" s="17">
        <v>825000</v>
      </c>
      <c r="Q66" s="17">
        <f t="shared" ref="Q66:Q75" si="29">ROUND(P66/123.1*125,0)</f>
        <v>837734</v>
      </c>
      <c r="R66" s="65">
        <v>1018700</v>
      </c>
      <c r="S66" s="65">
        <v>1100196</v>
      </c>
      <c r="T66" s="71"/>
      <c r="U66" s="71"/>
      <c r="V66" s="74"/>
      <c r="W66" s="74"/>
      <c r="X66" s="49" t="s">
        <v>41</v>
      </c>
      <c r="Y66" s="2" t="s">
        <v>42</v>
      </c>
    </row>
    <row r="67" spans="1:25" s="28" customFormat="1">
      <c r="A67" s="9" t="s">
        <v>183</v>
      </c>
      <c r="B67" s="34">
        <v>2</v>
      </c>
      <c r="C67" s="2" t="s">
        <v>43</v>
      </c>
      <c r="D67" s="2" t="s">
        <v>184</v>
      </c>
      <c r="E67" s="2" t="s">
        <v>120</v>
      </c>
      <c r="F67" s="1" t="s">
        <v>38</v>
      </c>
      <c r="G67" s="26" t="s">
        <v>180</v>
      </c>
      <c r="H67" s="35">
        <v>56824.267211997278</v>
      </c>
      <c r="I67" s="3">
        <f t="shared" si="27"/>
        <v>57195.667651291376</v>
      </c>
      <c r="J67" s="3"/>
      <c r="K67" s="3">
        <f t="shared" si="25"/>
        <v>0</v>
      </c>
      <c r="L67" s="3">
        <f t="shared" si="28"/>
        <v>0</v>
      </c>
      <c r="M67" s="17">
        <f t="shared" si="15"/>
        <v>0</v>
      </c>
      <c r="N67" s="17" t="s">
        <v>40</v>
      </c>
      <c r="O67" s="17">
        <f t="shared" si="16"/>
        <v>0</v>
      </c>
      <c r="P67" s="17">
        <f t="shared" si="24"/>
        <v>0</v>
      </c>
      <c r="Q67" s="17">
        <f t="shared" si="29"/>
        <v>0</v>
      </c>
      <c r="R67" s="65"/>
      <c r="S67" s="65"/>
      <c r="T67" s="71">
        <v>80010</v>
      </c>
      <c r="U67" s="71">
        <v>80010</v>
      </c>
      <c r="V67" s="74"/>
      <c r="W67" s="74"/>
      <c r="X67" s="49" t="s">
        <v>41</v>
      </c>
      <c r="Y67" s="2"/>
    </row>
    <row r="68" spans="1:25" s="28" customFormat="1">
      <c r="A68" s="9" t="s">
        <v>185</v>
      </c>
      <c r="B68" s="34"/>
      <c r="C68" s="2"/>
      <c r="D68" s="2" t="s">
        <v>186</v>
      </c>
      <c r="E68" s="2" t="s">
        <v>187</v>
      </c>
      <c r="F68" s="1" t="s">
        <v>38</v>
      </c>
      <c r="G68" s="26" t="s">
        <v>188</v>
      </c>
      <c r="H68" s="35"/>
      <c r="I68" s="3"/>
      <c r="J68" s="3"/>
      <c r="K68" s="3"/>
      <c r="L68" s="3">
        <v>5600000</v>
      </c>
      <c r="M68" s="17">
        <f t="shared" si="15"/>
        <v>5670767</v>
      </c>
      <c r="N68" s="17" t="s">
        <v>40</v>
      </c>
      <c r="O68" s="17">
        <f t="shared" si="16"/>
        <v>5694356</v>
      </c>
      <c r="P68" s="17">
        <v>6955000</v>
      </c>
      <c r="Q68" s="17">
        <f t="shared" si="29"/>
        <v>7062348</v>
      </c>
      <c r="R68" s="65">
        <v>8587800</v>
      </c>
      <c r="S68" s="65">
        <v>9274824</v>
      </c>
      <c r="T68" s="65"/>
      <c r="U68" s="65"/>
      <c r="V68" s="74"/>
      <c r="W68" s="74"/>
      <c r="X68" s="49" t="s">
        <v>41</v>
      </c>
      <c r="Y68" s="2" t="s">
        <v>42</v>
      </c>
    </row>
    <row r="69" spans="1:25" s="28" customFormat="1">
      <c r="A69" s="9" t="s">
        <v>185</v>
      </c>
      <c r="B69" s="34"/>
      <c r="C69" s="2"/>
      <c r="D69" s="2" t="s">
        <v>186</v>
      </c>
      <c r="E69" s="2" t="s">
        <v>187</v>
      </c>
      <c r="F69" s="1" t="s">
        <v>38</v>
      </c>
      <c r="G69" s="26" t="s">
        <v>188</v>
      </c>
      <c r="H69" s="35"/>
      <c r="I69" s="3"/>
      <c r="J69" s="3"/>
      <c r="K69" s="3"/>
      <c r="L69" s="3"/>
      <c r="M69" s="17"/>
      <c r="N69" s="17" t="s">
        <v>40</v>
      </c>
      <c r="O69" s="17"/>
      <c r="P69" s="17"/>
      <c r="Q69" s="17">
        <f t="shared" si="29"/>
        <v>0</v>
      </c>
      <c r="R69" s="65"/>
      <c r="S69" s="65"/>
      <c r="T69" s="65">
        <f>661926+278346</f>
        <v>940272</v>
      </c>
      <c r="U69" s="65">
        <f>661926+278346</f>
        <v>940272</v>
      </c>
      <c r="V69" s="74"/>
      <c r="W69" s="74"/>
      <c r="X69" s="49" t="s">
        <v>41</v>
      </c>
      <c r="Y69" s="2" t="s">
        <v>42</v>
      </c>
    </row>
    <row r="70" spans="1:25" s="28" customFormat="1">
      <c r="A70" s="9" t="s">
        <v>185</v>
      </c>
      <c r="B70" s="34"/>
      <c r="C70" s="2"/>
      <c r="D70" s="2" t="s">
        <v>186</v>
      </c>
      <c r="E70" s="2" t="s">
        <v>187</v>
      </c>
      <c r="F70" s="1" t="s">
        <v>38</v>
      </c>
      <c r="G70" s="26" t="s">
        <v>189</v>
      </c>
      <c r="H70" s="35"/>
      <c r="I70" s="3"/>
      <c r="J70" s="3"/>
      <c r="K70" s="3"/>
      <c r="L70" s="3"/>
      <c r="M70" s="17"/>
      <c r="N70" s="17" t="s">
        <v>40</v>
      </c>
      <c r="O70" s="17"/>
      <c r="P70" s="17"/>
      <c r="Q70" s="17">
        <f t="shared" si="29"/>
        <v>0</v>
      </c>
      <c r="R70" s="65"/>
      <c r="S70" s="65"/>
      <c r="T70" s="73">
        <f>67500+3375</f>
        <v>70875</v>
      </c>
      <c r="U70" s="73">
        <f>67500+3375</f>
        <v>70875</v>
      </c>
      <c r="V70" s="74"/>
      <c r="W70" s="74"/>
      <c r="X70" s="49" t="s">
        <v>41</v>
      </c>
      <c r="Y70" s="2" t="s">
        <v>42</v>
      </c>
    </row>
    <row r="71" spans="1:25" s="28" customFormat="1">
      <c r="A71" s="9" t="s">
        <v>190</v>
      </c>
      <c r="B71" s="34"/>
      <c r="C71" s="2"/>
      <c r="D71" s="2" t="s">
        <v>191</v>
      </c>
      <c r="E71" s="2" t="s">
        <v>192</v>
      </c>
      <c r="F71" s="1" t="s">
        <v>38</v>
      </c>
      <c r="G71" s="26" t="s">
        <v>193</v>
      </c>
      <c r="H71" s="35"/>
      <c r="I71" s="3"/>
      <c r="J71" s="3"/>
      <c r="K71" s="3"/>
      <c r="L71" s="3"/>
      <c r="M71" s="17"/>
      <c r="N71" s="17" t="s">
        <v>40</v>
      </c>
      <c r="O71" s="17">
        <f>ROUND(M71/120.2*120.7,0)</f>
        <v>0</v>
      </c>
      <c r="P71" s="17">
        <f>ROUND(O71/120.7*122.4,0)</f>
        <v>0</v>
      </c>
      <c r="Q71" s="17">
        <f t="shared" si="29"/>
        <v>0</v>
      </c>
      <c r="R71" s="65"/>
      <c r="S71" s="65"/>
      <c r="T71" s="71">
        <f>117570+10500+30000</f>
        <v>158070</v>
      </c>
      <c r="U71" s="71">
        <f>117570+10500+30000</f>
        <v>158070</v>
      </c>
      <c r="V71" s="74"/>
      <c r="W71" s="74"/>
      <c r="X71" s="49" t="s">
        <v>41</v>
      </c>
      <c r="Y71" s="2" t="s">
        <v>42</v>
      </c>
    </row>
    <row r="72" spans="1:25" s="28" customFormat="1">
      <c r="A72" s="9"/>
      <c r="B72" s="34"/>
      <c r="C72" s="2"/>
      <c r="D72" s="2" t="s">
        <v>194</v>
      </c>
      <c r="E72" s="2" t="s">
        <v>195</v>
      </c>
      <c r="F72" s="1" t="s">
        <v>38</v>
      </c>
      <c r="G72" s="26" t="s">
        <v>196</v>
      </c>
      <c r="H72" s="35"/>
      <c r="I72" s="3"/>
      <c r="J72" s="3"/>
      <c r="K72" s="3"/>
      <c r="L72" s="3"/>
      <c r="M72" s="3"/>
      <c r="N72" s="3" t="s">
        <v>40</v>
      </c>
      <c r="O72" s="3">
        <v>5600000</v>
      </c>
      <c r="P72" s="17">
        <v>23740500</v>
      </c>
      <c r="Q72" s="17">
        <f>ROUND(P72/123.1*125,0)/121*100</f>
        <v>19923078.512396697</v>
      </c>
      <c r="R72" s="65">
        <v>24226400</v>
      </c>
      <c r="S72" s="65">
        <v>26164512</v>
      </c>
      <c r="T72" s="71"/>
      <c r="U72" s="71"/>
      <c r="V72" s="74"/>
      <c r="W72" s="74"/>
      <c r="X72" s="49" t="s">
        <v>51</v>
      </c>
      <c r="Y72" s="2" t="s">
        <v>42</v>
      </c>
    </row>
    <row r="73" spans="1:25" s="28" customFormat="1">
      <c r="A73" s="2"/>
      <c r="B73" s="2"/>
      <c r="C73" s="2"/>
      <c r="D73" s="2" t="s">
        <v>197</v>
      </c>
      <c r="E73" s="2" t="s">
        <v>198</v>
      </c>
      <c r="F73" s="2" t="s">
        <v>38</v>
      </c>
      <c r="G73" s="45" t="s">
        <v>199</v>
      </c>
      <c r="H73" s="2"/>
      <c r="I73" s="3"/>
      <c r="J73" s="3"/>
      <c r="K73" s="3"/>
      <c r="L73" s="3"/>
      <c r="M73" s="3"/>
      <c r="N73" s="3" t="s">
        <v>40</v>
      </c>
      <c r="O73" s="3"/>
      <c r="P73" s="3">
        <v>5500000</v>
      </c>
      <c r="Q73" s="17">
        <f t="shared" si="29"/>
        <v>5584890</v>
      </c>
      <c r="R73" s="65">
        <v>6791200</v>
      </c>
      <c r="S73" s="65">
        <v>7334496</v>
      </c>
      <c r="T73" s="71"/>
      <c r="U73" s="71"/>
      <c r="V73" s="74"/>
      <c r="W73" s="74"/>
      <c r="X73" s="49" t="s">
        <v>41</v>
      </c>
      <c r="Y73" s="2" t="s">
        <v>42</v>
      </c>
    </row>
    <row r="74" spans="1:25" s="28" customFormat="1">
      <c r="A74" s="2"/>
      <c r="B74" s="2"/>
      <c r="C74" s="2"/>
      <c r="D74" s="2" t="s">
        <v>197</v>
      </c>
      <c r="E74" s="2" t="s">
        <v>198</v>
      </c>
      <c r="F74" s="2" t="s">
        <v>38</v>
      </c>
      <c r="G74" s="45" t="s">
        <v>199</v>
      </c>
      <c r="H74" s="2"/>
      <c r="I74" s="3"/>
      <c r="J74" s="3"/>
      <c r="K74" s="3"/>
      <c r="L74" s="3"/>
      <c r="M74" s="3"/>
      <c r="N74" s="3" t="s">
        <v>40</v>
      </c>
      <c r="O74" s="3"/>
      <c r="P74" s="3"/>
      <c r="Q74" s="17">
        <f t="shared" si="29"/>
        <v>0</v>
      </c>
      <c r="R74" s="65"/>
      <c r="S74" s="65"/>
      <c r="T74" s="71">
        <f>615410+176021</f>
        <v>791431</v>
      </c>
      <c r="U74" s="71">
        <f>615410+176021</f>
        <v>791431</v>
      </c>
      <c r="V74" s="74"/>
      <c r="W74" s="74"/>
      <c r="X74" s="49" t="s">
        <v>41</v>
      </c>
      <c r="Y74" s="2" t="s">
        <v>42</v>
      </c>
    </row>
    <row r="75" spans="1:25" s="28" customFormat="1">
      <c r="A75" s="2"/>
      <c r="B75" s="2"/>
      <c r="C75" s="2"/>
      <c r="D75" s="2" t="s">
        <v>197</v>
      </c>
      <c r="E75" s="2" t="s">
        <v>198</v>
      </c>
      <c r="F75" s="2" t="s">
        <v>38</v>
      </c>
      <c r="G75" s="45" t="s">
        <v>189</v>
      </c>
      <c r="H75" s="2"/>
      <c r="I75" s="3"/>
      <c r="J75" s="3"/>
      <c r="K75" s="3"/>
      <c r="L75" s="3"/>
      <c r="M75" s="3"/>
      <c r="N75" s="3" t="s">
        <v>40</v>
      </c>
      <c r="O75" s="3"/>
      <c r="P75" s="3"/>
      <c r="Q75" s="17">
        <f t="shared" si="29"/>
        <v>0</v>
      </c>
      <c r="R75" s="65"/>
      <c r="S75" s="65"/>
      <c r="T75" s="71">
        <f>76500+3825</f>
        <v>80325</v>
      </c>
      <c r="U75" s="71">
        <f>76500+3825</f>
        <v>80325</v>
      </c>
      <c r="V75" s="74"/>
      <c r="W75" s="74"/>
      <c r="X75" s="49" t="s">
        <v>41</v>
      </c>
      <c r="Y75" s="2" t="s">
        <v>42</v>
      </c>
    </row>
    <row r="76" spans="1:25" s="28" customFormat="1">
      <c r="A76" s="2"/>
      <c r="B76" s="2"/>
      <c r="C76" s="2"/>
      <c r="D76" s="2" t="s">
        <v>200</v>
      </c>
      <c r="E76" s="2" t="s">
        <v>201</v>
      </c>
      <c r="F76" s="2" t="s">
        <v>38</v>
      </c>
      <c r="G76" s="45" t="s">
        <v>202</v>
      </c>
      <c r="H76" s="2"/>
      <c r="I76" s="3"/>
      <c r="J76" s="3"/>
      <c r="K76" s="3"/>
      <c r="L76" s="3"/>
      <c r="M76" s="3"/>
      <c r="N76" s="3" t="s">
        <v>40</v>
      </c>
      <c r="O76" s="3"/>
      <c r="P76" s="3"/>
      <c r="Q76" s="3">
        <f>10305730/121*100</f>
        <v>8517132.2314049583</v>
      </c>
      <c r="R76" s="65">
        <v>10356800</v>
      </c>
      <c r="S76" s="65">
        <v>11185344</v>
      </c>
      <c r="T76" s="71"/>
      <c r="U76" s="71"/>
      <c r="V76" s="74"/>
      <c r="W76" s="74"/>
      <c r="X76" s="49" t="s">
        <v>51</v>
      </c>
      <c r="Y76" s="2" t="s">
        <v>203</v>
      </c>
    </row>
    <row r="77" spans="1:25" s="28" customFormat="1">
      <c r="A77" s="2"/>
      <c r="B77" s="2"/>
      <c r="C77" s="2"/>
      <c r="D77" s="2" t="s">
        <v>200</v>
      </c>
      <c r="E77" s="2" t="s">
        <v>201</v>
      </c>
      <c r="F77" s="2" t="s">
        <v>38</v>
      </c>
      <c r="G77" s="45" t="s">
        <v>202</v>
      </c>
      <c r="H77" s="2"/>
      <c r="I77" s="3"/>
      <c r="J77" s="3"/>
      <c r="K77" s="3"/>
      <c r="L77" s="3"/>
      <c r="M77" s="17"/>
      <c r="N77" s="3" t="s">
        <v>40</v>
      </c>
      <c r="O77" s="17"/>
      <c r="P77" s="17"/>
      <c r="Q77" s="17">
        <v>0</v>
      </c>
      <c r="R77" s="65"/>
      <c r="S77" s="65"/>
      <c r="T77" s="71">
        <f>100270/121*100</f>
        <v>82867.768595041314</v>
      </c>
      <c r="U77" s="71">
        <f>100270/121*100</f>
        <v>82867.768595041314</v>
      </c>
      <c r="V77" s="74"/>
      <c r="W77" s="74"/>
      <c r="X77" s="49" t="s">
        <v>51</v>
      </c>
      <c r="Y77" s="2" t="s">
        <v>203</v>
      </c>
    </row>
    <row r="78" spans="1:25" s="28" customFormat="1">
      <c r="A78" s="9"/>
      <c r="B78" s="34">
        <v>1</v>
      </c>
      <c r="C78" s="2" t="s">
        <v>35</v>
      </c>
      <c r="D78" s="1" t="s">
        <v>204</v>
      </c>
      <c r="E78" s="1" t="s">
        <v>205</v>
      </c>
      <c r="F78" s="1" t="s">
        <v>38</v>
      </c>
      <c r="G78" s="26" t="s">
        <v>206</v>
      </c>
      <c r="H78" s="35">
        <v>636000</v>
      </c>
      <c r="I78" s="3">
        <v>636000</v>
      </c>
      <c r="J78" s="3">
        <f t="shared" ref="J78" si="30">ROUND(I78,0)</f>
        <v>636000</v>
      </c>
      <c r="K78" s="3">
        <f t="shared" ref="K78" si="31">ROUND(J78/113.8*117,0)</f>
        <v>653884</v>
      </c>
      <c r="L78" s="3">
        <f t="shared" ref="L78" si="32">ROUND(K78/117*118.7,0)</f>
        <v>663385</v>
      </c>
      <c r="M78" s="17">
        <f t="shared" ref="M78" si="33">ROUND(L78/118.7*120.2,0)</f>
        <v>671768</v>
      </c>
      <c r="N78" s="17"/>
      <c r="O78" s="17">
        <f t="shared" ref="O78" si="34">ROUND(M78/120.2*120.7,0)</f>
        <v>674562</v>
      </c>
      <c r="P78" s="17">
        <v>782000</v>
      </c>
      <c r="Q78" s="17">
        <v>10165000</v>
      </c>
      <c r="R78" s="65">
        <v>12360600</v>
      </c>
      <c r="S78" s="65">
        <v>13349448</v>
      </c>
      <c r="T78" s="74"/>
      <c r="U78" s="74"/>
      <c r="V78" s="74"/>
      <c r="W78" s="74"/>
      <c r="X78" s="49" t="s">
        <v>41</v>
      </c>
      <c r="Y78" s="2" t="s">
        <v>207</v>
      </c>
    </row>
    <row r="79" spans="1:25" s="28" customFormat="1" ht="25.5" customHeight="1">
      <c r="A79" s="85"/>
      <c r="B79" s="46"/>
      <c r="D79" s="86" t="s">
        <v>204</v>
      </c>
      <c r="E79" s="86" t="s">
        <v>205</v>
      </c>
      <c r="F79" s="86" t="s">
        <v>38</v>
      </c>
      <c r="G79" s="87" t="s">
        <v>206</v>
      </c>
      <c r="H79" s="47"/>
      <c r="I79" s="33"/>
      <c r="J79" s="33"/>
      <c r="K79" s="33"/>
      <c r="L79" s="33"/>
      <c r="M79" s="33"/>
      <c r="N79" s="88"/>
      <c r="O79" s="88">
        <f t="shared" ref="O79" si="35">ROUND(M79/120.2*120.7,0)</f>
        <v>0</v>
      </c>
      <c r="P79" s="88">
        <v>782000</v>
      </c>
      <c r="Q79" s="88">
        <v>0</v>
      </c>
      <c r="R79" s="89"/>
      <c r="S79" s="89"/>
      <c r="T79" s="90">
        <v>1325145</v>
      </c>
      <c r="U79" s="90">
        <v>1325145</v>
      </c>
      <c r="V79" s="91"/>
      <c r="W79" s="91"/>
      <c r="X79" s="92" t="s">
        <v>41</v>
      </c>
      <c r="Y79" s="93" t="s">
        <v>208</v>
      </c>
    </row>
    <row r="80" spans="1:25" s="28" customFormat="1" ht="12.75" customHeight="1">
      <c r="A80" s="9"/>
      <c r="B80" s="34"/>
      <c r="C80" s="2"/>
      <c r="D80" s="1" t="s">
        <v>209</v>
      </c>
      <c r="E80" s="1" t="s">
        <v>201</v>
      </c>
      <c r="F80" s="1" t="s">
        <v>38</v>
      </c>
      <c r="G80" s="94" t="s">
        <v>210</v>
      </c>
      <c r="H80" s="35"/>
      <c r="I80" s="3"/>
      <c r="J80" s="3"/>
      <c r="K80" s="3"/>
      <c r="L80" s="3"/>
      <c r="M80" s="3"/>
      <c r="N80" s="3"/>
      <c r="O80" s="3"/>
      <c r="P80" s="3"/>
      <c r="Q80" s="3"/>
      <c r="R80" s="71"/>
      <c r="S80" s="71">
        <v>17000000</v>
      </c>
      <c r="T80" s="75"/>
      <c r="U80" s="75"/>
      <c r="V80" s="71"/>
      <c r="W80" s="71"/>
      <c r="X80" s="2" t="s">
        <v>51</v>
      </c>
      <c r="Y80" s="52"/>
    </row>
    <row r="81" spans="1:23">
      <c r="S81" s="83"/>
    </row>
    <row r="82" spans="1:23" ht="13.8" thickBot="1">
      <c r="D82" s="28" t="s">
        <v>211</v>
      </c>
      <c r="I82" s="5">
        <f>SUM(I3:I67)</f>
        <v>94110095.592105672</v>
      </c>
      <c r="J82" s="5">
        <f>SUM(J3:J67)</f>
        <v>86973148</v>
      </c>
      <c r="K82" s="5">
        <f>SUM(K6:K79)</f>
        <v>128822671</v>
      </c>
      <c r="L82" s="5">
        <f>SUM(L6:L79)</f>
        <v>136294455</v>
      </c>
      <c r="M82" s="5">
        <f>SUM(M6:M79)</f>
        <v>138016797</v>
      </c>
      <c r="O82" s="5">
        <f>SUM(O6:O79)</f>
        <v>93149766</v>
      </c>
      <c r="P82" s="5">
        <f>SUM(P6:P79)</f>
        <v>136243007</v>
      </c>
      <c r="Q82" s="5">
        <f>SUM(Q6:Q79)</f>
        <v>145952707.83471072</v>
      </c>
      <c r="R82" s="66">
        <f>SUM(R6:R79)</f>
        <v>177556600</v>
      </c>
      <c r="S82" s="84">
        <f>SUM(S6:S80)</f>
        <v>208451262.176</v>
      </c>
      <c r="T82" s="84">
        <f>SUM(T6:T79)</f>
        <v>16958876.87603306</v>
      </c>
      <c r="U82" s="84">
        <f>SUM(U6:U80)</f>
        <v>16958876.874545455</v>
      </c>
      <c r="V82" s="84">
        <f>SUM(V6:V79)</f>
        <v>1841510</v>
      </c>
      <c r="W82" s="84">
        <f>SUM(W6:W80)</f>
        <v>1841510</v>
      </c>
    </row>
    <row r="83" spans="1:23" ht="13.8" thickTop="1"/>
    <row r="84" spans="1:23">
      <c r="D84" s="67" t="s">
        <v>35</v>
      </c>
      <c r="E84" s="67"/>
      <c r="F84" s="76">
        <f>S82</f>
        <v>208451262.176</v>
      </c>
      <c r="U84" s="82"/>
      <c r="V84" s="80"/>
      <c r="W84" s="80"/>
    </row>
    <row r="85" spans="1:23">
      <c r="D85" s="67" t="s">
        <v>212</v>
      </c>
      <c r="E85" s="67"/>
      <c r="F85" s="76">
        <f>U82</f>
        <v>16958876.874545455</v>
      </c>
      <c r="U85" s="82"/>
      <c r="V85" s="80"/>
      <c r="W85" s="80"/>
    </row>
    <row r="86" spans="1:23">
      <c r="D86" s="67" t="s">
        <v>213</v>
      </c>
      <c r="E86" s="67"/>
      <c r="F86" s="76">
        <f>W82</f>
        <v>1841510</v>
      </c>
      <c r="U86" s="82"/>
      <c r="V86" s="80"/>
      <c r="W86" s="80"/>
    </row>
    <row r="87" spans="1:23">
      <c r="D87" s="67" t="s">
        <v>214</v>
      </c>
      <c r="E87" s="67"/>
      <c r="F87" s="77">
        <v>1000000</v>
      </c>
    </row>
    <row r="88" spans="1:23">
      <c r="D88" s="67" t="s">
        <v>215</v>
      </c>
      <c r="E88" s="67"/>
      <c r="F88" s="77">
        <v>1000000</v>
      </c>
      <c r="K88" s="4" t="e">
        <f>K82+T82+#REF!</f>
        <v>#REF!</v>
      </c>
      <c r="M88" s="4">
        <f>M82+T82</f>
        <v>154975673.87603307</v>
      </c>
    </row>
    <row r="89" spans="1:23">
      <c r="D89" s="67" t="s">
        <v>216</v>
      </c>
      <c r="E89" s="67"/>
      <c r="F89" s="77">
        <v>1000000</v>
      </c>
      <c r="M89" s="4">
        <v>4250000</v>
      </c>
    </row>
    <row r="90" spans="1:23" ht="13.8" thickBot="1">
      <c r="D90" s="68" t="s">
        <v>16</v>
      </c>
      <c r="E90" s="68"/>
      <c r="F90" s="78">
        <v>1250000</v>
      </c>
      <c r="M90" s="4">
        <f>SUM(M88:M89)</f>
        <v>159225673.87603307</v>
      </c>
    </row>
    <row r="91" spans="1:23">
      <c r="A91" s="29"/>
      <c r="B91" s="30"/>
      <c r="D91" s="69" t="s">
        <v>217</v>
      </c>
      <c r="E91" s="69"/>
      <c r="F91" s="69">
        <f>SUM(F84:F90)</f>
        <v>231501649.05054545</v>
      </c>
      <c r="G91" s="31"/>
      <c r="H91" s="32"/>
      <c r="I91" s="33"/>
      <c r="J91" s="33"/>
      <c r="K91" s="33"/>
      <c r="L91" s="33"/>
      <c r="M91" s="33"/>
      <c r="N91" s="33"/>
      <c r="O91" s="33"/>
      <c r="P91" s="33"/>
      <c r="Q91" s="33"/>
      <c r="R91"/>
      <c r="S91"/>
      <c r="T91"/>
      <c r="U91" s="81"/>
      <c r="V91" s="81"/>
      <c r="W91" s="81"/>
    </row>
  </sheetData>
  <autoFilter ref="A2:X75" xr:uid="{00000000-0009-0000-0000-000000000000}"/>
  <sortState xmlns:xlrd2="http://schemas.microsoft.com/office/spreadsheetml/2017/richdata2" ref="A121:X189">
    <sortCondition ref="A121:A189"/>
  </sortState>
  <mergeCells count="1">
    <mergeCell ref="Y2:Y5"/>
  </mergeCells>
  <phoneticPr fontId="5" type="noConversion"/>
  <dataValidations count="1">
    <dataValidation type="list" allowBlank="1" showInputMessage="1" showErrorMessage="1" sqref="X6:X80" xr:uid="{00000000-0002-0000-0000-000000000000}">
      <formula1>"Ja, Nee"</formula1>
    </dataValidation>
  </dataValidations>
  <pageMargins left="0.70866141732283472" right="0.70866141732283472" top="1.7716535433070868" bottom="0.9055118110236221" header="0.31496062992125984" footer="0.62992125984251968"/>
  <pageSetup paperSize="9" scale="56" fitToHeight="0" orientation="landscape" r:id="rId1"/>
  <headerFooter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3FBC-2EE1-4A02-BDE9-3E14CC844E6C}">
  <sheetPr>
    <pageSetUpPr fitToPage="1"/>
  </sheetPr>
  <dimension ref="A1:AT101"/>
  <sheetViews>
    <sheetView tabSelected="1" zoomScale="90" zoomScaleNormal="90" workbookViewId="0">
      <pane ySplit="5" topLeftCell="A66" activePane="bottomLeft" state="frozen"/>
      <selection pane="bottomLeft" activeCell="K102" sqref="K102"/>
    </sheetView>
  </sheetViews>
  <sheetFormatPr defaultRowHeight="13.2"/>
  <cols>
    <col min="1" max="1" width="8.109375" customWidth="1"/>
    <col min="2" max="2" width="12.6640625" hidden="1" customWidth="1"/>
    <col min="3" max="3" width="1.44140625" hidden="1" customWidth="1"/>
    <col min="4" max="4" width="44.109375" customWidth="1"/>
    <col min="5" max="5" width="8.109375" customWidth="1"/>
    <col min="6" max="6" width="9.109375" customWidth="1"/>
    <col min="7" max="8" width="14.6640625" customWidth="1"/>
    <col min="9" max="9" width="11.33203125" bestFit="1" customWidth="1"/>
    <col min="10" max="10" width="18.33203125" customWidth="1"/>
    <col min="11" max="11" width="53.6640625" style="27" customWidth="1"/>
    <col min="12" max="12" width="11.109375" hidden="1" customWidth="1"/>
    <col min="13" max="17" width="21.5546875" style="4" hidden="1" customWidth="1"/>
    <col min="18" max="18" width="4.33203125" style="4" hidden="1" customWidth="1"/>
    <col min="19" max="20" width="21.5546875" style="4" hidden="1" customWidth="1"/>
    <col min="21" max="21" width="18.44140625" style="4" hidden="1" customWidth="1"/>
    <col min="22" max="23" width="18.44140625" style="61" hidden="1" customWidth="1"/>
    <col min="24" max="24" width="17.33203125" style="70" hidden="1" customWidth="1"/>
    <col min="25" max="25" width="14" style="100" hidden="1" customWidth="1"/>
    <col min="26" max="27" width="17.33203125" style="70" hidden="1" customWidth="1"/>
    <col min="28" max="28" width="15.109375" style="100" hidden="1" customWidth="1"/>
    <col min="29" max="29" width="17.109375" style="95" hidden="1" customWidth="1"/>
    <col min="30" max="30" width="15.109375" style="100" hidden="1" customWidth="1"/>
    <col min="31" max="31" width="16.88671875" style="95" hidden="1" customWidth="1"/>
    <col min="32" max="32" width="15.109375" style="100" hidden="1" customWidth="1"/>
    <col min="33" max="33" width="17.33203125" style="70" hidden="1" customWidth="1"/>
    <col min="34" max="34" width="9.6640625" customWidth="1"/>
    <col min="35" max="35" width="17.44140625" bestFit="1" customWidth="1"/>
    <col min="36" max="36" width="10.44140625" customWidth="1"/>
    <col min="37" max="37" width="16.5546875" bestFit="1" customWidth="1"/>
    <col min="38" max="38" width="9.6640625" customWidth="1"/>
    <col min="39" max="39" width="16.33203125" bestFit="1" customWidth="1"/>
    <col min="40" max="40" width="9.6640625" customWidth="1"/>
    <col min="41" max="41" width="9.6640625" hidden="1" customWidth="1"/>
    <col min="42" max="42" width="42.33203125" customWidth="1"/>
  </cols>
  <sheetData>
    <row r="1" spans="1:46" ht="13.8" thickBot="1">
      <c r="D1" t="s">
        <v>0</v>
      </c>
    </row>
    <row r="2" spans="1:46" s="10" customFormat="1" ht="26.4">
      <c r="A2" s="12" t="s">
        <v>1</v>
      </c>
      <c r="B2" s="13" t="s">
        <v>2</v>
      </c>
      <c r="C2" s="13" t="s">
        <v>3</v>
      </c>
      <c r="D2" s="14" t="s">
        <v>4</v>
      </c>
      <c r="E2" s="14" t="s">
        <v>251</v>
      </c>
      <c r="F2" s="14" t="s">
        <v>252</v>
      </c>
      <c r="G2" s="14" t="s">
        <v>253</v>
      </c>
      <c r="H2" s="14" t="s">
        <v>254</v>
      </c>
      <c r="I2" s="14" t="s">
        <v>5</v>
      </c>
      <c r="J2" s="14" t="s">
        <v>6</v>
      </c>
      <c r="K2" s="23" t="s">
        <v>7</v>
      </c>
      <c r="L2" s="13" t="s">
        <v>8</v>
      </c>
      <c r="M2" s="15" t="s">
        <v>9</v>
      </c>
      <c r="N2" s="15" t="s">
        <v>10</v>
      </c>
      <c r="O2" s="15" t="s">
        <v>10</v>
      </c>
      <c r="P2" s="15" t="s">
        <v>10</v>
      </c>
      <c r="Q2" s="15" t="s">
        <v>10</v>
      </c>
      <c r="R2" s="15"/>
      <c r="S2" s="15" t="s">
        <v>10</v>
      </c>
      <c r="T2" s="15" t="s">
        <v>10</v>
      </c>
      <c r="U2" s="15" t="s">
        <v>10</v>
      </c>
      <c r="V2" s="62" t="s">
        <v>10</v>
      </c>
      <c r="W2" s="113" t="s">
        <v>10</v>
      </c>
      <c r="X2" s="62" t="s">
        <v>10</v>
      </c>
      <c r="Y2" s="101"/>
      <c r="Z2" s="62" t="s">
        <v>10</v>
      </c>
      <c r="AA2" s="62" t="s">
        <v>10</v>
      </c>
      <c r="AB2" s="114"/>
      <c r="AC2" s="131" t="s">
        <v>10</v>
      </c>
      <c r="AD2" s="101"/>
      <c r="AE2" s="15" t="s">
        <v>10</v>
      </c>
      <c r="AF2" s="114"/>
      <c r="AG2" s="62" t="s">
        <v>10</v>
      </c>
      <c r="AH2" s="51" t="s">
        <v>11</v>
      </c>
      <c r="AI2" s="131" t="s">
        <v>10</v>
      </c>
      <c r="AJ2" s="101"/>
      <c r="AK2" s="15" t="s">
        <v>10</v>
      </c>
      <c r="AL2" s="114"/>
      <c r="AM2" s="62" t="s">
        <v>10</v>
      </c>
      <c r="AN2" s="51" t="s">
        <v>11</v>
      </c>
      <c r="AO2" s="160" t="s">
        <v>247</v>
      </c>
      <c r="AP2" s="189"/>
    </row>
    <row r="3" spans="1:46" s="10" customFormat="1" ht="13.2" customHeight="1">
      <c r="A3" s="16"/>
      <c r="B3" s="6" t="s">
        <v>12</v>
      </c>
      <c r="C3" s="6"/>
      <c r="D3" s="7"/>
      <c r="E3" s="7"/>
      <c r="F3" s="7"/>
      <c r="G3" s="7"/>
      <c r="H3" s="7"/>
      <c r="I3" s="7"/>
      <c r="J3" s="7"/>
      <c r="K3" s="24"/>
      <c r="L3" s="8">
        <v>2011</v>
      </c>
      <c r="M3" s="11">
        <v>2012</v>
      </c>
      <c r="N3" s="11" t="s">
        <v>13</v>
      </c>
      <c r="O3" s="11" t="s">
        <v>14</v>
      </c>
      <c r="P3" s="11" t="s">
        <v>14</v>
      </c>
      <c r="Q3" s="11" t="s">
        <v>14</v>
      </c>
      <c r="R3" s="11"/>
      <c r="S3" s="11" t="s">
        <v>14</v>
      </c>
      <c r="T3" s="11" t="s">
        <v>14</v>
      </c>
      <c r="U3" s="11" t="s">
        <v>14</v>
      </c>
      <c r="V3" s="63" t="s">
        <v>14</v>
      </c>
      <c r="W3" s="115" t="s">
        <v>14</v>
      </c>
      <c r="X3" s="63" t="s">
        <v>15</v>
      </c>
      <c r="Y3" s="102"/>
      <c r="Z3" s="63" t="s">
        <v>15</v>
      </c>
      <c r="AA3" s="63" t="s">
        <v>16</v>
      </c>
      <c r="AB3" s="116"/>
      <c r="AC3" s="132" t="s">
        <v>14</v>
      </c>
      <c r="AD3" s="192" t="s">
        <v>218</v>
      </c>
      <c r="AE3" s="108" t="s">
        <v>15</v>
      </c>
      <c r="AF3" s="193" t="s">
        <v>218</v>
      </c>
      <c r="AG3" s="63" t="s">
        <v>16</v>
      </c>
      <c r="AH3" s="11"/>
      <c r="AI3" s="132" t="s">
        <v>14</v>
      </c>
      <c r="AJ3" s="192" t="s">
        <v>228</v>
      </c>
      <c r="AK3" s="108" t="s">
        <v>15</v>
      </c>
      <c r="AL3" s="193" t="s">
        <v>228</v>
      </c>
      <c r="AM3" s="63" t="s">
        <v>16</v>
      </c>
      <c r="AN3" s="11"/>
      <c r="AO3" s="161"/>
      <c r="AP3" s="190"/>
    </row>
    <row r="4" spans="1:46" s="10" customFormat="1">
      <c r="A4" s="16"/>
      <c r="B4" s="6"/>
      <c r="C4" s="6"/>
      <c r="D4" s="7"/>
      <c r="E4" s="7"/>
      <c r="F4" s="7"/>
      <c r="G4" s="7"/>
      <c r="H4" s="7"/>
      <c r="I4" s="7"/>
      <c r="J4" s="7"/>
      <c r="K4" s="24"/>
      <c r="L4" s="8"/>
      <c r="M4" s="11"/>
      <c r="N4" s="11" t="s">
        <v>17</v>
      </c>
      <c r="O4" s="11" t="s">
        <v>18</v>
      </c>
      <c r="P4" s="11" t="s">
        <v>19</v>
      </c>
      <c r="Q4" s="11" t="s">
        <v>20</v>
      </c>
      <c r="R4" s="11"/>
      <c r="S4" s="11" t="s">
        <v>21</v>
      </c>
      <c r="T4" s="11" t="s">
        <v>22</v>
      </c>
      <c r="U4" s="11" t="s">
        <v>23</v>
      </c>
      <c r="V4" s="63" t="s">
        <v>24</v>
      </c>
      <c r="W4" s="115" t="s">
        <v>25</v>
      </c>
      <c r="X4" s="63" t="s">
        <v>24</v>
      </c>
      <c r="Y4" s="102" t="s">
        <v>219</v>
      </c>
      <c r="Z4" s="63" t="s">
        <v>25</v>
      </c>
      <c r="AA4" s="63" t="s">
        <v>24</v>
      </c>
      <c r="AB4" s="116" t="s">
        <v>219</v>
      </c>
      <c r="AC4" s="132" t="s">
        <v>220</v>
      </c>
      <c r="AD4" s="192"/>
      <c r="AE4" s="108" t="s">
        <v>220</v>
      </c>
      <c r="AF4" s="193"/>
      <c r="AG4" s="63" t="s">
        <v>220</v>
      </c>
      <c r="AH4" s="11"/>
      <c r="AI4" s="132" t="s">
        <v>227</v>
      </c>
      <c r="AJ4" s="192"/>
      <c r="AK4" s="108" t="s">
        <v>227</v>
      </c>
      <c r="AL4" s="193"/>
      <c r="AM4" s="63" t="s">
        <v>227</v>
      </c>
      <c r="AN4" s="11"/>
      <c r="AO4" s="161"/>
      <c r="AP4" s="190"/>
    </row>
    <row r="5" spans="1:46" s="10" customFormat="1" ht="13.95" customHeight="1" thickBot="1">
      <c r="A5" s="18"/>
      <c r="B5" s="19"/>
      <c r="C5" s="19"/>
      <c r="D5" s="20"/>
      <c r="E5" s="20"/>
      <c r="F5" s="20"/>
      <c r="G5" s="20"/>
      <c r="H5" s="20"/>
      <c r="I5" s="20"/>
      <c r="J5" s="20"/>
      <c r="K5" s="25"/>
      <c r="L5" s="21"/>
      <c r="M5" s="22"/>
      <c r="N5" s="22"/>
      <c r="O5" s="22" t="s">
        <v>26</v>
      </c>
      <c r="P5" s="22" t="s">
        <v>27</v>
      </c>
      <c r="Q5" s="22" t="s">
        <v>28</v>
      </c>
      <c r="R5" s="22"/>
      <c r="S5" s="22" t="s">
        <v>29</v>
      </c>
      <c r="T5" s="22" t="s">
        <v>30</v>
      </c>
      <c r="U5" s="22" t="s">
        <v>31</v>
      </c>
      <c r="V5" s="64" t="s">
        <v>32</v>
      </c>
      <c r="W5" s="117"/>
      <c r="X5" s="64"/>
      <c r="Y5" s="103"/>
      <c r="Z5" s="64"/>
      <c r="AA5" s="64"/>
      <c r="AB5" s="118"/>
      <c r="AC5" s="133"/>
      <c r="AD5" s="103"/>
      <c r="AE5" s="22"/>
      <c r="AF5" s="118"/>
      <c r="AG5" s="64"/>
      <c r="AH5" s="22"/>
      <c r="AI5" s="132"/>
      <c r="AJ5" s="103"/>
      <c r="AK5" s="108"/>
      <c r="AL5" s="118"/>
      <c r="AM5" s="64"/>
      <c r="AN5" s="22"/>
      <c r="AO5" s="162"/>
      <c r="AP5" s="191"/>
    </row>
    <row r="6" spans="1:46" s="53" customFormat="1">
      <c r="A6" s="54" t="s">
        <v>34</v>
      </c>
      <c r="B6" s="55">
        <v>1</v>
      </c>
      <c r="C6" s="56" t="s">
        <v>35</v>
      </c>
      <c r="D6" s="57" t="s">
        <v>36</v>
      </c>
      <c r="E6" s="57" t="s">
        <v>255</v>
      </c>
      <c r="F6" s="57" t="s">
        <v>255</v>
      </c>
      <c r="G6" s="57" t="s">
        <v>256</v>
      </c>
      <c r="H6" s="57" t="s">
        <v>256</v>
      </c>
      <c r="I6" s="57" t="s">
        <v>37</v>
      </c>
      <c r="J6" s="57" t="s">
        <v>38</v>
      </c>
      <c r="K6" s="58" t="s">
        <v>39</v>
      </c>
      <c r="L6" s="59">
        <v>3518055.555555556</v>
      </c>
      <c r="M6" s="17">
        <v>3541049.3827160499</v>
      </c>
      <c r="N6" s="17">
        <f>ROUND(M6,0)</f>
        <v>3541049</v>
      </c>
      <c r="O6" s="17">
        <f>ROUND(N6/113.8*117,0)</f>
        <v>3640622</v>
      </c>
      <c r="P6" s="17">
        <f>ROUND(O6/117*118.7,0)</f>
        <v>3693520</v>
      </c>
      <c r="Q6" s="17">
        <f>ROUND(P6/118.7*120.2,0)</f>
        <v>3740195</v>
      </c>
      <c r="R6" s="17" t="s">
        <v>40</v>
      </c>
      <c r="S6" s="17">
        <f>ROUND(Q6/120.2*120.7,0)</f>
        <v>3755753</v>
      </c>
      <c r="T6" s="17">
        <v>5089600</v>
      </c>
      <c r="U6" s="17">
        <f>ROUND(T6/123.1*125,0)</f>
        <v>5168156</v>
      </c>
      <c r="V6" s="79">
        <v>6284500</v>
      </c>
      <c r="W6" s="119">
        <v>6787260</v>
      </c>
      <c r="X6" s="65"/>
      <c r="Y6" s="98">
        <v>108</v>
      </c>
      <c r="Z6" s="65"/>
      <c r="AA6" s="79"/>
      <c r="AB6" s="120">
        <v>103.5</v>
      </c>
      <c r="AC6" s="134">
        <f t="shared" ref="AC6:AC37" si="0">W6/Y6*AD6</f>
        <v>7522546.5</v>
      </c>
      <c r="AD6" s="105">
        <v>119.7</v>
      </c>
      <c r="AE6" s="109">
        <f t="shared" ref="AE6:AE37" si="1">Z6/AB6*AF6</f>
        <v>0</v>
      </c>
      <c r="AF6" s="120">
        <v>115.1</v>
      </c>
      <c r="AG6" s="127"/>
      <c r="AH6" s="60" t="s">
        <v>41</v>
      </c>
      <c r="AI6" s="142">
        <v>8065000</v>
      </c>
      <c r="AJ6" s="105">
        <v>125.2</v>
      </c>
      <c r="AK6" s="141"/>
      <c r="AL6" s="120">
        <v>123.3</v>
      </c>
      <c r="AM6" s="141"/>
      <c r="AN6" s="60" t="s">
        <v>41</v>
      </c>
      <c r="AO6" s="60" t="s">
        <v>41</v>
      </c>
      <c r="AP6" s="56" t="s">
        <v>245</v>
      </c>
      <c r="AQ6" s="28"/>
      <c r="AR6" s="28"/>
      <c r="AS6" s="28"/>
      <c r="AT6" s="28"/>
    </row>
    <row r="7" spans="1:46" s="53" customFormat="1">
      <c r="A7" s="9" t="s">
        <v>34</v>
      </c>
      <c r="B7" s="34">
        <v>2</v>
      </c>
      <c r="C7" s="2" t="s">
        <v>43</v>
      </c>
      <c r="D7" s="1" t="s">
        <v>36</v>
      </c>
      <c r="E7" s="1" t="s">
        <v>255</v>
      </c>
      <c r="F7" s="1" t="s">
        <v>255</v>
      </c>
      <c r="G7" s="1" t="s">
        <v>256</v>
      </c>
      <c r="H7" s="1" t="s">
        <v>256</v>
      </c>
      <c r="I7" s="1" t="s">
        <v>37</v>
      </c>
      <c r="J7" s="1" t="s">
        <v>38</v>
      </c>
      <c r="K7" s="26" t="s">
        <v>39</v>
      </c>
      <c r="L7" s="35">
        <v>858405.5555555555</v>
      </c>
      <c r="M7" s="3">
        <v>864016.04938271595</v>
      </c>
      <c r="N7" s="3"/>
      <c r="O7" s="3">
        <f t="shared" ref="O7:O67" si="2">ROUND(N7/113.8*117,0)</f>
        <v>0</v>
      </c>
      <c r="P7" s="3">
        <f t="shared" ref="P7:P67" si="3">ROUND(O7/117*118.7,0)</f>
        <v>0</v>
      </c>
      <c r="Q7" s="17">
        <f t="shared" ref="Q7:Q68" si="4">ROUND(P7/118.7*120.2,0)</f>
        <v>0</v>
      </c>
      <c r="R7" s="17" t="s">
        <v>40</v>
      </c>
      <c r="S7" s="17">
        <f t="shared" ref="S7:S68" si="5">ROUND(Q7/120.2*120.7,0)</f>
        <v>0</v>
      </c>
      <c r="T7" s="17">
        <f t="shared" ref="T7:T42" si="6">ROUND(S7/120.7*122.4,0)</f>
        <v>0</v>
      </c>
      <c r="U7" s="17">
        <f t="shared" ref="U7:U21" si="7">ROUND(T7/123.1*125,0)</f>
        <v>0</v>
      </c>
      <c r="V7" s="79"/>
      <c r="W7" s="119"/>
      <c r="X7" s="71">
        <v>635210</v>
      </c>
      <c r="Y7" s="99">
        <v>108</v>
      </c>
      <c r="Z7" s="71">
        <v>635210</v>
      </c>
      <c r="AA7" s="79"/>
      <c r="AB7" s="120">
        <v>103.5</v>
      </c>
      <c r="AC7" s="134">
        <f t="shared" si="0"/>
        <v>0</v>
      </c>
      <c r="AD7" s="105">
        <v>119.7</v>
      </c>
      <c r="AE7" s="109">
        <f t="shared" si="1"/>
        <v>706402.61835748784</v>
      </c>
      <c r="AF7" s="120">
        <v>115.1</v>
      </c>
      <c r="AG7" s="127"/>
      <c r="AH7" s="60" t="s">
        <v>41</v>
      </c>
      <c r="AI7" s="141"/>
      <c r="AJ7" s="105">
        <v>125.2</v>
      </c>
      <c r="AK7" s="163">
        <v>1040600</v>
      </c>
      <c r="AL7" s="120">
        <v>123.3</v>
      </c>
      <c r="AM7" s="141"/>
      <c r="AN7" s="60" t="s">
        <v>41</v>
      </c>
      <c r="AO7" s="60" t="s">
        <v>41</v>
      </c>
      <c r="AP7" s="2" t="s">
        <v>244</v>
      </c>
      <c r="AQ7" s="28"/>
      <c r="AR7" s="28"/>
      <c r="AS7" s="28"/>
      <c r="AT7" s="28"/>
    </row>
    <row r="8" spans="1:46" s="53" customFormat="1">
      <c r="A8" s="9" t="s">
        <v>44</v>
      </c>
      <c r="B8" s="34">
        <v>1</v>
      </c>
      <c r="C8" s="2" t="s">
        <v>35</v>
      </c>
      <c r="D8" s="1" t="s">
        <v>45</v>
      </c>
      <c r="E8" s="1" t="s">
        <v>255</v>
      </c>
      <c r="F8" s="1" t="s">
        <v>255</v>
      </c>
      <c r="G8" s="1" t="s">
        <v>256</v>
      </c>
      <c r="H8" s="1" t="s">
        <v>256</v>
      </c>
      <c r="I8" s="1" t="s">
        <v>46</v>
      </c>
      <c r="J8" s="1" t="s">
        <v>38</v>
      </c>
      <c r="K8" s="26" t="s">
        <v>47</v>
      </c>
      <c r="L8" s="35">
        <v>3758700</v>
      </c>
      <c r="M8" s="3">
        <v>3783266.666666667</v>
      </c>
      <c r="N8" s="3">
        <f>ROUND(M8,0)</f>
        <v>3783267</v>
      </c>
      <c r="O8" s="3">
        <f t="shared" si="2"/>
        <v>3889651</v>
      </c>
      <c r="P8" s="3">
        <f t="shared" si="3"/>
        <v>3946167</v>
      </c>
      <c r="Q8" s="17">
        <f t="shared" si="4"/>
        <v>3996034</v>
      </c>
      <c r="R8" s="17" t="s">
        <v>40</v>
      </c>
      <c r="S8" s="17">
        <f t="shared" si="5"/>
        <v>4012656</v>
      </c>
      <c r="T8" s="17">
        <v>10992000</v>
      </c>
      <c r="U8" s="17">
        <f t="shared" si="7"/>
        <v>11161657</v>
      </c>
      <c r="V8" s="79">
        <v>13572500</v>
      </c>
      <c r="W8" s="119">
        <v>14658300</v>
      </c>
      <c r="X8" s="71"/>
      <c r="Y8" s="98">
        <v>108</v>
      </c>
      <c r="Z8" s="71"/>
      <c r="AA8" s="79"/>
      <c r="AB8" s="120">
        <v>103.5</v>
      </c>
      <c r="AC8" s="134">
        <f t="shared" si="0"/>
        <v>16246282.5</v>
      </c>
      <c r="AD8" s="105">
        <v>119.7</v>
      </c>
      <c r="AE8" s="109">
        <f t="shared" si="1"/>
        <v>0</v>
      </c>
      <c r="AF8" s="120">
        <v>115.1</v>
      </c>
      <c r="AG8" s="127"/>
      <c r="AH8" s="60" t="s">
        <v>41</v>
      </c>
      <c r="AI8" s="142">
        <v>10989000</v>
      </c>
      <c r="AJ8" s="105">
        <v>125.2</v>
      </c>
      <c r="AK8" s="141"/>
      <c r="AL8" s="120">
        <v>123.3</v>
      </c>
      <c r="AM8" s="141"/>
      <c r="AN8" s="60" t="s">
        <v>41</v>
      </c>
      <c r="AO8" s="60" t="s">
        <v>41</v>
      </c>
      <c r="AP8" s="56" t="s">
        <v>245</v>
      </c>
      <c r="AQ8" s="28"/>
      <c r="AR8" s="28"/>
      <c r="AS8" s="28"/>
      <c r="AT8" s="28"/>
    </row>
    <row r="9" spans="1:46" s="53" customFormat="1">
      <c r="A9" s="9" t="s">
        <v>44</v>
      </c>
      <c r="B9" s="34">
        <v>2</v>
      </c>
      <c r="C9" s="2" t="s">
        <v>43</v>
      </c>
      <c r="D9" s="1" t="s">
        <v>45</v>
      </c>
      <c r="E9" s="1" t="s">
        <v>255</v>
      </c>
      <c r="F9" s="1" t="s">
        <v>255</v>
      </c>
      <c r="G9" s="1" t="s">
        <v>256</v>
      </c>
      <c r="H9" s="1" t="s">
        <v>256</v>
      </c>
      <c r="I9" s="1" t="s">
        <v>46</v>
      </c>
      <c r="J9" s="1" t="s">
        <v>38</v>
      </c>
      <c r="K9" s="26" t="s">
        <v>47</v>
      </c>
      <c r="L9" s="35">
        <v>117455.48780487805</v>
      </c>
      <c r="M9" s="3">
        <v>118223.17073170733</v>
      </c>
      <c r="N9" s="3"/>
      <c r="O9" s="3">
        <f t="shared" si="2"/>
        <v>0</v>
      </c>
      <c r="P9" s="3">
        <f t="shared" si="3"/>
        <v>0</v>
      </c>
      <c r="Q9" s="17">
        <f t="shared" si="4"/>
        <v>0</v>
      </c>
      <c r="R9" s="17" t="s">
        <v>40</v>
      </c>
      <c r="S9" s="17">
        <f t="shared" si="5"/>
        <v>0</v>
      </c>
      <c r="T9" s="17">
        <f t="shared" si="6"/>
        <v>0</v>
      </c>
      <c r="U9" s="17">
        <f t="shared" si="7"/>
        <v>0</v>
      </c>
      <c r="V9" s="79"/>
      <c r="W9" s="119"/>
      <c r="X9" s="71">
        <v>1155235</v>
      </c>
      <c r="Y9" s="99">
        <v>108</v>
      </c>
      <c r="Z9" s="71">
        <v>1155235</v>
      </c>
      <c r="AA9" s="79"/>
      <c r="AB9" s="120">
        <v>103.5</v>
      </c>
      <c r="AC9" s="134">
        <f t="shared" si="0"/>
        <v>0</v>
      </c>
      <c r="AD9" s="105">
        <v>119.7</v>
      </c>
      <c r="AE9" s="109">
        <f t="shared" si="1"/>
        <v>1284710.6135265701</v>
      </c>
      <c r="AF9" s="120">
        <v>115.1</v>
      </c>
      <c r="AG9" s="127"/>
      <c r="AH9" s="60" t="s">
        <v>41</v>
      </c>
      <c r="AI9" s="141"/>
      <c r="AJ9" s="105">
        <v>125.2</v>
      </c>
      <c r="AK9" s="163">
        <v>1452000</v>
      </c>
      <c r="AL9" s="120">
        <v>123.3</v>
      </c>
      <c r="AM9" s="141"/>
      <c r="AN9" s="60" t="s">
        <v>41</v>
      </c>
      <c r="AO9" s="60" t="s">
        <v>41</v>
      </c>
      <c r="AP9" s="2" t="s">
        <v>244</v>
      </c>
      <c r="AQ9" s="28"/>
      <c r="AR9" s="28"/>
      <c r="AS9" s="28"/>
      <c r="AT9" s="28"/>
    </row>
    <row r="10" spans="1:46" s="53" customFormat="1">
      <c r="A10" s="9" t="s">
        <v>48</v>
      </c>
      <c r="B10" s="34">
        <v>1</v>
      </c>
      <c r="C10" s="2" t="s">
        <v>35</v>
      </c>
      <c r="D10" s="1" t="s">
        <v>49</v>
      </c>
      <c r="E10" s="1" t="s">
        <v>256</v>
      </c>
      <c r="F10" s="1" t="s">
        <v>256</v>
      </c>
      <c r="G10" s="1" t="s">
        <v>256</v>
      </c>
      <c r="H10" s="1" t="s">
        <v>256</v>
      </c>
      <c r="I10" s="1" t="s">
        <v>46</v>
      </c>
      <c r="J10" s="1" t="s">
        <v>38</v>
      </c>
      <c r="K10" s="26" t="s">
        <v>50</v>
      </c>
      <c r="L10" s="35">
        <v>250655.5555555555</v>
      </c>
      <c r="M10" s="3">
        <v>252293.82716049379</v>
      </c>
      <c r="N10" s="3">
        <f t="shared" ref="N10:N11" si="8">ROUND(M10,0)</f>
        <v>252294</v>
      </c>
      <c r="O10" s="3">
        <f t="shared" si="2"/>
        <v>259388</v>
      </c>
      <c r="P10" s="3">
        <f t="shared" si="3"/>
        <v>263157</v>
      </c>
      <c r="Q10" s="17">
        <f t="shared" si="4"/>
        <v>266482</v>
      </c>
      <c r="R10" s="17" t="s">
        <v>40</v>
      </c>
      <c r="S10" s="17">
        <f t="shared" si="5"/>
        <v>267590</v>
      </c>
      <c r="T10" s="3">
        <v>281400</v>
      </c>
      <c r="U10" s="17">
        <f>ROUND(T10/123.1*125,0)/121*100</f>
        <v>236151.23966942145</v>
      </c>
      <c r="V10" s="79">
        <v>287200</v>
      </c>
      <c r="W10" s="119">
        <v>310.17599999999999</v>
      </c>
      <c r="X10" s="71"/>
      <c r="Y10" s="98">
        <v>108</v>
      </c>
      <c r="Z10" s="71"/>
      <c r="AA10" s="79"/>
      <c r="AB10" s="120">
        <v>103.5</v>
      </c>
      <c r="AC10" s="143">
        <f t="shared" si="0"/>
        <v>343.77839999999998</v>
      </c>
      <c r="AD10" s="105">
        <v>119.7</v>
      </c>
      <c r="AE10" s="109">
        <f t="shared" si="1"/>
        <v>0</v>
      </c>
      <c r="AF10" s="120">
        <v>115.1</v>
      </c>
      <c r="AG10" s="127"/>
      <c r="AH10" s="49" t="s">
        <v>51</v>
      </c>
      <c r="AI10" s="142">
        <v>369050</v>
      </c>
      <c r="AJ10" s="105">
        <v>125.2</v>
      </c>
      <c r="AK10" s="141"/>
      <c r="AL10" s="120">
        <v>123.3</v>
      </c>
      <c r="AM10" s="141"/>
      <c r="AN10" s="49" t="s">
        <v>51</v>
      </c>
      <c r="AO10" s="60" t="s">
        <v>51</v>
      </c>
      <c r="AP10" s="56" t="s">
        <v>245</v>
      </c>
      <c r="AQ10" s="28"/>
      <c r="AR10" s="28"/>
      <c r="AS10" s="28"/>
      <c r="AT10" s="28"/>
    </row>
    <row r="11" spans="1:46" s="53" customFormat="1" ht="26.4">
      <c r="A11" s="9" t="s">
        <v>52</v>
      </c>
      <c r="B11" s="34">
        <v>1</v>
      </c>
      <c r="C11" s="2" t="s">
        <v>35</v>
      </c>
      <c r="D11" s="1" t="s">
        <v>53</v>
      </c>
      <c r="E11" s="1" t="s">
        <v>255</v>
      </c>
      <c r="F11" s="1" t="s">
        <v>255</v>
      </c>
      <c r="G11" s="1" t="s">
        <v>255</v>
      </c>
      <c r="H11" s="1" t="s">
        <v>255</v>
      </c>
      <c r="I11" s="1" t="s">
        <v>54</v>
      </c>
      <c r="J11" s="1" t="s">
        <v>38</v>
      </c>
      <c r="K11" s="26" t="s">
        <v>55</v>
      </c>
      <c r="L11" s="35">
        <v>12174455.555555556</v>
      </c>
      <c r="M11" s="3">
        <v>12254027.160493826</v>
      </c>
      <c r="N11" s="3">
        <f t="shared" si="8"/>
        <v>12254027</v>
      </c>
      <c r="O11" s="3">
        <f t="shared" si="2"/>
        <v>12598604</v>
      </c>
      <c r="P11" s="3">
        <f t="shared" si="3"/>
        <v>12781661</v>
      </c>
      <c r="Q11" s="17">
        <f t="shared" si="4"/>
        <v>12943182</v>
      </c>
      <c r="R11" s="17" t="s">
        <v>40</v>
      </c>
      <c r="S11" s="17">
        <f t="shared" si="5"/>
        <v>12997022</v>
      </c>
      <c r="T11" s="17">
        <v>16945000</v>
      </c>
      <c r="U11" s="17">
        <f t="shared" si="7"/>
        <v>17206539</v>
      </c>
      <c r="V11" s="79">
        <v>21001600</v>
      </c>
      <c r="W11" s="119">
        <v>22681728</v>
      </c>
      <c r="X11" s="71"/>
      <c r="Y11" s="99">
        <v>108</v>
      </c>
      <c r="Z11" s="71"/>
      <c r="AA11" s="79"/>
      <c r="AB11" s="120">
        <v>103.5</v>
      </c>
      <c r="AC11" s="134">
        <f t="shared" si="0"/>
        <v>25138915.199999999</v>
      </c>
      <c r="AD11" s="105">
        <v>119.7</v>
      </c>
      <c r="AE11" s="109">
        <f t="shared" si="1"/>
        <v>0</v>
      </c>
      <c r="AF11" s="120">
        <v>115.1</v>
      </c>
      <c r="AG11" s="127"/>
      <c r="AH11" s="49" t="s">
        <v>41</v>
      </c>
      <c r="AI11" s="142">
        <v>22000000</v>
      </c>
      <c r="AJ11" s="105">
        <v>125.2</v>
      </c>
      <c r="AK11" s="141"/>
      <c r="AL11" s="120">
        <v>123.3</v>
      </c>
      <c r="AM11" s="141"/>
      <c r="AN11" s="49" t="s">
        <v>41</v>
      </c>
      <c r="AO11" s="60" t="s">
        <v>41</v>
      </c>
      <c r="AP11" s="56" t="s">
        <v>245</v>
      </c>
      <c r="AQ11" s="28"/>
      <c r="AR11" s="28"/>
      <c r="AS11" s="28"/>
      <c r="AT11" s="28"/>
    </row>
    <row r="12" spans="1:46" s="53" customFormat="1">
      <c r="A12" s="9" t="s">
        <v>52</v>
      </c>
      <c r="B12" s="34">
        <v>2</v>
      </c>
      <c r="C12" s="2" t="s">
        <v>43</v>
      </c>
      <c r="D12" s="1" t="s">
        <v>56</v>
      </c>
      <c r="E12" s="1" t="s">
        <v>255</v>
      </c>
      <c r="F12" s="1" t="s">
        <v>255</v>
      </c>
      <c r="G12" s="1" t="s">
        <v>255</v>
      </c>
      <c r="H12" s="1" t="s">
        <v>255</v>
      </c>
      <c r="I12" s="1" t="s">
        <v>54</v>
      </c>
      <c r="J12" s="1" t="s">
        <v>38</v>
      </c>
      <c r="K12" s="26" t="s">
        <v>57</v>
      </c>
      <c r="L12" s="35">
        <v>3897861.5853658537</v>
      </c>
      <c r="M12" s="3">
        <v>3923337.8048780491</v>
      </c>
      <c r="N12" s="3"/>
      <c r="O12" s="3">
        <f t="shared" si="2"/>
        <v>0</v>
      </c>
      <c r="P12" s="3">
        <f t="shared" si="3"/>
        <v>0</v>
      </c>
      <c r="Q12" s="17">
        <f t="shared" si="4"/>
        <v>0</v>
      </c>
      <c r="R12" s="17" t="s">
        <v>40</v>
      </c>
      <c r="S12" s="17">
        <f t="shared" si="5"/>
        <v>0</v>
      </c>
      <c r="T12" s="17">
        <f t="shared" si="6"/>
        <v>0</v>
      </c>
      <c r="U12" s="17">
        <f t="shared" si="7"/>
        <v>0</v>
      </c>
      <c r="V12" s="79"/>
      <c r="W12" s="119"/>
      <c r="X12" s="71">
        <v>5101950</v>
      </c>
      <c r="Y12" s="98">
        <v>108</v>
      </c>
      <c r="Z12" s="71">
        <v>5101950</v>
      </c>
      <c r="AA12" s="79"/>
      <c r="AB12" s="120">
        <v>103.5</v>
      </c>
      <c r="AC12" s="134">
        <f t="shared" si="0"/>
        <v>0</v>
      </c>
      <c r="AD12" s="105">
        <v>119.7</v>
      </c>
      <c r="AE12" s="109">
        <f t="shared" si="1"/>
        <v>5673762.7536231885</v>
      </c>
      <c r="AF12" s="120">
        <v>115.1</v>
      </c>
      <c r="AG12" s="127"/>
      <c r="AH12" s="49" t="s">
        <v>41</v>
      </c>
      <c r="AI12" s="141"/>
      <c r="AJ12" s="105">
        <v>125.2</v>
      </c>
      <c r="AK12" s="163">
        <v>6588450</v>
      </c>
      <c r="AL12" s="120">
        <v>123.3</v>
      </c>
      <c r="AM12" s="141"/>
      <c r="AN12" s="49" t="s">
        <v>41</v>
      </c>
      <c r="AO12" s="60" t="s">
        <v>41</v>
      </c>
      <c r="AP12" s="2" t="s">
        <v>244</v>
      </c>
      <c r="AQ12" s="28"/>
      <c r="AR12" s="28"/>
      <c r="AS12" s="28"/>
      <c r="AT12" s="28"/>
    </row>
    <row r="13" spans="1:46" s="53" customFormat="1">
      <c r="A13" s="9" t="s">
        <v>58</v>
      </c>
      <c r="B13" s="34">
        <v>1</v>
      </c>
      <c r="C13" s="2" t="s">
        <v>35</v>
      </c>
      <c r="D13" s="1" t="s">
        <v>59</v>
      </c>
      <c r="E13" s="1" t="s">
        <v>255</v>
      </c>
      <c r="F13" s="1" t="s">
        <v>255</v>
      </c>
      <c r="G13" s="1" t="s">
        <v>255</v>
      </c>
      <c r="H13" s="1" t="s">
        <v>255</v>
      </c>
      <c r="I13" s="1" t="s">
        <v>60</v>
      </c>
      <c r="J13" s="1" t="s">
        <v>38</v>
      </c>
      <c r="K13" s="26" t="s">
        <v>61</v>
      </c>
      <c r="L13" s="35">
        <v>1446888.888888889</v>
      </c>
      <c r="M13" s="3">
        <v>1456345.6790123458</v>
      </c>
      <c r="N13" s="3">
        <f>ROUND(M13,0)</f>
        <v>1456346</v>
      </c>
      <c r="O13" s="3">
        <f t="shared" si="2"/>
        <v>1497298</v>
      </c>
      <c r="P13" s="3">
        <f t="shared" si="3"/>
        <v>1519054</v>
      </c>
      <c r="Q13" s="17">
        <f t="shared" si="4"/>
        <v>1538250</v>
      </c>
      <c r="R13" s="17" t="s">
        <v>40</v>
      </c>
      <c r="S13" s="17">
        <f t="shared" si="5"/>
        <v>1544649</v>
      </c>
      <c r="T13" s="17">
        <v>1920000</v>
      </c>
      <c r="U13" s="17">
        <f>ROUND(T13/123.1*125,0)/121*100</f>
        <v>1611267.7685950412</v>
      </c>
      <c r="V13" s="79">
        <v>1959300</v>
      </c>
      <c r="W13" s="119">
        <v>2116044</v>
      </c>
      <c r="X13" s="71"/>
      <c r="Y13" s="99">
        <v>108</v>
      </c>
      <c r="Z13" s="71"/>
      <c r="AA13" s="79"/>
      <c r="AB13" s="120">
        <v>103.5</v>
      </c>
      <c r="AC13" s="134">
        <f t="shared" si="0"/>
        <v>2345282.1</v>
      </c>
      <c r="AD13" s="105">
        <v>119.7</v>
      </c>
      <c r="AE13" s="109">
        <f t="shared" si="1"/>
        <v>0</v>
      </c>
      <c r="AF13" s="120">
        <v>115.1</v>
      </c>
      <c r="AG13" s="127"/>
      <c r="AH13" s="49" t="s">
        <v>51</v>
      </c>
      <c r="AI13" s="144">
        <v>2415000</v>
      </c>
      <c r="AJ13" s="105">
        <v>125.2</v>
      </c>
      <c r="AK13" s="141"/>
      <c r="AL13" s="120">
        <v>123.3</v>
      </c>
      <c r="AM13" s="141"/>
      <c r="AN13" s="49" t="s">
        <v>51</v>
      </c>
      <c r="AO13" s="60" t="s">
        <v>51</v>
      </c>
      <c r="AP13" s="56" t="s">
        <v>245</v>
      </c>
      <c r="AQ13" s="28"/>
      <c r="AR13" s="28"/>
      <c r="AS13" s="28"/>
      <c r="AT13" s="28"/>
    </row>
    <row r="14" spans="1:46" s="53" customFormat="1" ht="13.5" customHeight="1">
      <c r="A14" s="9" t="s">
        <v>58</v>
      </c>
      <c r="B14" s="34">
        <v>2</v>
      </c>
      <c r="C14" s="2" t="s">
        <v>43</v>
      </c>
      <c r="D14" s="1" t="s">
        <v>59</v>
      </c>
      <c r="E14" s="1" t="s">
        <v>255</v>
      </c>
      <c r="F14" s="1" t="s">
        <v>255</v>
      </c>
      <c r="G14" s="1" t="s">
        <v>255</v>
      </c>
      <c r="H14" s="1" t="s">
        <v>255</v>
      </c>
      <c r="I14" s="1" t="s">
        <v>60</v>
      </c>
      <c r="J14" s="1" t="s">
        <v>38</v>
      </c>
      <c r="K14" s="26" t="s">
        <v>61</v>
      </c>
      <c r="L14" s="35">
        <v>518520.73170731706</v>
      </c>
      <c r="M14" s="3">
        <v>521909.75609756098</v>
      </c>
      <c r="N14" s="3"/>
      <c r="O14" s="3">
        <f t="shared" si="2"/>
        <v>0</v>
      </c>
      <c r="P14" s="3">
        <f t="shared" si="3"/>
        <v>0</v>
      </c>
      <c r="Q14" s="17">
        <f t="shared" si="4"/>
        <v>0</v>
      </c>
      <c r="R14" s="17" t="s">
        <v>40</v>
      </c>
      <c r="S14" s="17">
        <f t="shared" si="5"/>
        <v>0</v>
      </c>
      <c r="T14" s="17">
        <v>0</v>
      </c>
      <c r="U14" s="17">
        <f t="shared" si="7"/>
        <v>0</v>
      </c>
      <c r="V14" s="79"/>
      <c r="W14" s="119"/>
      <c r="X14" s="71">
        <f>(514165+217050)/121*100</f>
        <v>604309.91735537187</v>
      </c>
      <c r="Y14" s="98">
        <v>108</v>
      </c>
      <c r="Z14" s="71">
        <f>(514165+217050)/121*100</f>
        <v>604309.91735537187</v>
      </c>
      <c r="AA14" s="79"/>
      <c r="AB14" s="120">
        <v>103.5</v>
      </c>
      <c r="AC14" s="134">
        <f t="shared" si="0"/>
        <v>0</v>
      </c>
      <c r="AD14" s="105">
        <v>119.7</v>
      </c>
      <c r="AE14" s="109">
        <f t="shared" si="1"/>
        <v>672039.33804447635</v>
      </c>
      <c r="AF14" s="120">
        <v>115.1</v>
      </c>
      <c r="AG14" s="127"/>
      <c r="AH14" s="49" t="s">
        <v>51</v>
      </c>
      <c r="AI14" s="141"/>
      <c r="AJ14" s="105">
        <v>125.2</v>
      </c>
      <c r="AK14" s="144">
        <v>777000</v>
      </c>
      <c r="AL14" s="120">
        <v>123.3</v>
      </c>
      <c r="AM14" s="141"/>
      <c r="AN14" s="49" t="s">
        <v>51</v>
      </c>
      <c r="AO14" s="60" t="s">
        <v>51</v>
      </c>
      <c r="AP14" s="2" t="s">
        <v>244</v>
      </c>
      <c r="AQ14" s="28"/>
      <c r="AR14" s="28"/>
      <c r="AS14" s="28"/>
      <c r="AT14" s="28"/>
    </row>
    <row r="15" spans="1:46" s="53" customFormat="1">
      <c r="A15" s="9" t="s">
        <v>62</v>
      </c>
      <c r="B15" s="34">
        <v>1</v>
      </c>
      <c r="C15" s="2" t="s">
        <v>35</v>
      </c>
      <c r="D15" s="137" t="s">
        <v>238</v>
      </c>
      <c r="E15" s="137" t="s">
        <v>256</v>
      </c>
      <c r="F15" s="137" t="s">
        <v>256</v>
      </c>
      <c r="G15" s="137" t="s">
        <v>255</v>
      </c>
      <c r="H15" s="137" t="s">
        <v>256</v>
      </c>
      <c r="I15" s="1" t="s">
        <v>64</v>
      </c>
      <c r="J15" s="1" t="s">
        <v>38</v>
      </c>
      <c r="K15" s="26" t="s">
        <v>65</v>
      </c>
      <c r="L15" s="35">
        <v>31544.444444444445</v>
      </c>
      <c r="M15" s="3">
        <v>31750.617283950618</v>
      </c>
      <c r="N15" s="3">
        <f>ROUND(M15,0)</f>
        <v>31751</v>
      </c>
      <c r="O15" s="3">
        <f t="shared" si="2"/>
        <v>32644</v>
      </c>
      <c r="P15" s="3">
        <f t="shared" si="3"/>
        <v>33118</v>
      </c>
      <c r="Q15" s="17">
        <f t="shared" si="4"/>
        <v>33537</v>
      </c>
      <c r="R15" s="17" t="s">
        <v>40</v>
      </c>
      <c r="S15" s="17">
        <f t="shared" si="5"/>
        <v>33677</v>
      </c>
      <c r="T15" s="17">
        <v>50000</v>
      </c>
      <c r="U15" s="17">
        <f t="shared" si="7"/>
        <v>50772</v>
      </c>
      <c r="V15" s="79">
        <v>61700</v>
      </c>
      <c r="W15" s="119">
        <v>66636</v>
      </c>
      <c r="X15" s="71"/>
      <c r="Y15" s="99">
        <v>108</v>
      </c>
      <c r="Z15" s="71"/>
      <c r="AA15" s="79"/>
      <c r="AB15" s="120">
        <v>103.5</v>
      </c>
      <c r="AC15" s="134">
        <f t="shared" si="0"/>
        <v>73854.900000000009</v>
      </c>
      <c r="AD15" s="105">
        <v>119.7</v>
      </c>
      <c r="AE15" s="109">
        <f t="shared" si="1"/>
        <v>0</v>
      </c>
      <c r="AF15" s="120">
        <v>115.1</v>
      </c>
      <c r="AG15" s="127"/>
      <c r="AH15" s="49" t="s">
        <v>41</v>
      </c>
      <c r="AI15" s="142">
        <v>65000</v>
      </c>
      <c r="AJ15" s="105">
        <v>125.2</v>
      </c>
      <c r="AK15" s="141"/>
      <c r="AL15" s="120">
        <v>123.3</v>
      </c>
      <c r="AM15" s="141"/>
      <c r="AN15" s="49" t="s">
        <v>41</v>
      </c>
      <c r="AO15" s="60" t="s">
        <v>41</v>
      </c>
      <c r="AP15" s="56" t="s">
        <v>245</v>
      </c>
      <c r="AQ15" s="28"/>
      <c r="AR15" s="28"/>
      <c r="AS15" s="28"/>
      <c r="AT15" s="28"/>
    </row>
    <row r="16" spans="1:46" s="53" customFormat="1">
      <c r="A16" s="9" t="s">
        <v>62</v>
      </c>
      <c r="B16" s="34">
        <v>2</v>
      </c>
      <c r="C16" s="2" t="s">
        <v>43</v>
      </c>
      <c r="D16" s="137" t="s">
        <v>237</v>
      </c>
      <c r="E16" s="137" t="s">
        <v>256</v>
      </c>
      <c r="F16" s="137" t="s">
        <v>256</v>
      </c>
      <c r="G16" s="137" t="s">
        <v>255</v>
      </c>
      <c r="H16" s="137" t="s">
        <v>256</v>
      </c>
      <c r="I16" s="1" t="s">
        <v>64</v>
      </c>
      <c r="J16" s="1" t="s">
        <v>38</v>
      </c>
      <c r="K16" s="26" t="s">
        <v>65</v>
      </c>
      <c r="L16" s="35">
        <v>13434.146341463415</v>
      </c>
      <c r="M16" s="3">
        <v>13521.951219512193</v>
      </c>
      <c r="N16" s="3"/>
      <c r="O16" s="3">
        <f t="shared" si="2"/>
        <v>0</v>
      </c>
      <c r="P16" s="3">
        <f t="shared" si="3"/>
        <v>0</v>
      </c>
      <c r="Q16" s="17">
        <f t="shared" si="4"/>
        <v>0</v>
      </c>
      <c r="R16" s="17" t="s">
        <v>40</v>
      </c>
      <c r="S16" s="17">
        <f t="shared" si="5"/>
        <v>0</v>
      </c>
      <c r="T16" s="17"/>
      <c r="U16" s="17">
        <f t="shared" si="7"/>
        <v>0</v>
      </c>
      <c r="V16" s="79"/>
      <c r="W16" s="119"/>
      <c r="X16" s="71">
        <f>10225+650</f>
        <v>10875</v>
      </c>
      <c r="Y16" s="98">
        <v>108</v>
      </c>
      <c r="Z16" s="71">
        <f>10225+650</f>
        <v>10875</v>
      </c>
      <c r="AA16" s="79"/>
      <c r="AB16" s="120">
        <v>103.5</v>
      </c>
      <c r="AC16" s="134">
        <f t="shared" si="0"/>
        <v>0</v>
      </c>
      <c r="AD16" s="105">
        <v>119.7</v>
      </c>
      <c r="AE16" s="109">
        <f t="shared" si="1"/>
        <v>12093.840579710144</v>
      </c>
      <c r="AF16" s="120">
        <v>115.1</v>
      </c>
      <c r="AG16" s="127"/>
      <c r="AH16" s="49" t="s">
        <v>41</v>
      </c>
      <c r="AI16" s="141"/>
      <c r="AJ16" s="105">
        <v>125.2</v>
      </c>
      <c r="AK16" s="142">
        <v>14000</v>
      </c>
      <c r="AL16" s="120">
        <v>123.3</v>
      </c>
      <c r="AM16" s="141"/>
      <c r="AN16" s="49" t="s">
        <v>41</v>
      </c>
      <c r="AO16" s="60" t="s">
        <v>41</v>
      </c>
      <c r="AP16" s="2" t="s">
        <v>244</v>
      </c>
      <c r="AQ16" s="28"/>
      <c r="AR16" s="28"/>
      <c r="AS16" s="28"/>
      <c r="AT16" s="28"/>
    </row>
    <row r="17" spans="1:46" s="53" customFormat="1">
      <c r="A17" s="9" t="s">
        <v>66</v>
      </c>
      <c r="B17" s="34">
        <v>1</v>
      </c>
      <c r="C17" s="2" t="s">
        <v>35</v>
      </c>
      <c r="D17" s="1" t="s">
        <v>226</v>
      </c>
      <c r="E17" s="1" t="s">
        <v>256</v>
      </c>
      <c r="F17" s="1" t="s">
        <v>256</v>
      </c>
      <c r="G17" s="1" t="s">
        <v>255</v>
      </c>
      <c r="H17" s="1" t="s">
        <v>256</v>
      </c>
      <c r="I17" s="1" t="s">
        <v>67</v>
      </c>
      <c r="J17" s="1" t="s">
        <v>38</v>
      </c>
      <c r="K17" s="26" t="s">
        <v>68</v>
      </c>
      <c r="L17" s="35">
        <v>27672.222222222219</v>
      </c>
      <c r="M17" s="3">
        <v>27853.086419753083</v>
      </c>
      <c r="N17" s="3">
        <f>ROUND(M17,0)</f>
        <v>27853</v>
      </c>
      <c r="O17" s="3">
        <f t="shared" si="2"/>
        <v>28636</v>
      </c>
      <c r="P17" s="3">
        <f t="shared" si="3"/>
        <v>29052</v>
      </c>
      <c r="Q17" s="17">
        <f t="shared" si="4"/>
        <v>29419</v>
      </c>
      <c r="R17" s="17" t="s">
        <v>40</v>
      </c>
      <c r="S17" s="17">
        <f t="shared" si="5"/>
        <v>29541</v>
      </c>
      <c r="T17" s="17">
        <v>42000</v>
      </c>
      <c r="U17" s="17">
        <f t="shared" si="7"/>
        <v>42648</v>
      </c>
      <c r="V17" s="79">
        <v>52000</v>
      </c>
      <c r="W17" s="119">
        <v>56160</v>
      </c>
      <c r="X17" s="71"/>
      <c r="Y17" s="99">
        <v>108</v>
      </c>
      <c r="Z17" s="71"/>
      <c r="AA17" s="79"/>
      <c r="AB17" s="120">
        <v>103.5</v>
      </c>
      <c r="AC17" s="134">
        <f t="shared" si="0"/>
        <v>62244</v>
      </c>
      <c r="AD17" s="105">
        <v>119.7</v>
      </c>
      <c r="AE17" s="109">
        <f t="shared" si="1"/>
        <v>0</v>
      </c>
      <c r="AF17" s="120">
        <v>115.1</v>
      </c>
      <c r="AG17" s="127"/>
      <c r="AH17" s="49" t="s">
        <v>41</v>
      </c>
      <c r="AI17" s="142">
        <v>62000</v>
      </c>
      <c r="AJ17" s="105">
        <v>125.2</v>
      </c>
      <c r="AK17" s="141"/>
      <c r="AL17" s="120">
        <v>123.3</v>
      </c>
      <c r="AM17" s="141"/>
      <c r="AN17" s="49" t="s">
        <v>41</v>
      </c>
      <c r="AO17" s="60" t="s">
        <v>41</v>
      </c>
      <c r="AP17" s="56" t="s">
        <v>245</v>
      </c>
      <c r="AQ17" s="28"/>
      <c r="AR17" s="28"/>
      <c r="AS17" s="28"/>
      <c r="AT17" s="28"/>
    </row>
    <row r="18" spans="1:46" s="53" customFormat="1">
      <c r="A18" s="9" t="s">
        <v>66</v>
      </c>
      <c r="B18" s="34">
        <v>2</v>
      </c>
      <c r="C18" s="2" t="s">
        <v>43</v>
      </c>
      <c r="D18" s="1" t="s">
        <v>226</v>
      </c>
      <c r="E18" s="1" t="s">
        <v>256</v>
      </c>
      <c r="F18" s="1" t="s">
        <v>256</v>
      </c>
      <c r="G18" s="1" t="s">
        <v>255</v>
      </c>
      <c r="H18" s="1" t="s">
        <v>256</v>
      </c>
      <c r="I18" s="1" t="s">
        <v>67</v>
      </c>
      <c r="J18" s="1" t="s">
        <v>38</v>
      </c>
      <c r="K18" s="26" t="s">
        <v>68</v>
      </c>
      <c r="L18" s="35">
        <v>15673.170731707318</v>
      </c>
      <c r="M18" s="3">
        <v>15775.609756097561</v>
      </c>
      <c r="N18" s="3"/>
      <c r="O18" s="3">
        <f t="shared" si="2"/>
        <v>0</v>
      </c>
      <c r="P18" s="3">
        <f t="shared" si="3"/>
        <v>0</v>
      </c>
      <c r="Q18" s="17">
        <f t="shared" si="4"/>
        <v>0</v>
      </c>
      <c r="R18" s="17" t="s">
        <v>40</v>
      </c>
      <c r="S18" s="17">
        <f t="shared" si="5"/>
        <v>0</v>
      </c>
      <c r="T18" s="17"/>
      <c r="U18" s="17">
        <f t="shared" si="7"/>
        <v>0</v>
      </c>
      <c r="V18" s="79"/>
      <c r="W18" s="119"/>
      <c r="X18" s="71">
        <f>11225+800</f>
        <v>12025</v>
      </c>
      <c r="Y18" s="98">
        <v>108</v>
      </c>
      <c r="Z18" s="71">
        <f>11225+800</f>
        <v>12025</v>
      </c>
      <c r="AA18" s="79"/>
      <c r="AB18" s="120">
        <v>103.5</v>
      </c>
      <c r="AC18" s="134">
        <f t="shared" si="0"/>
        <v>0</v>
      </c>
      <c r="AD18" s="105">
        <v>119.7</v>
      </c>
      <c r="AE18" s="109">
        <f t="shared" si="1"/>
        <v>13372.729468599033</v>
      </c>
      <c r="AF18" s="120">
        <v>115.1</v>
      </c>
      <c r="AG18" s="127"/>
      <c r="AH18" s="49" t="s">
        <v>41</v>
      </c>
      <c r="AI18" s="141"/>
      <c r="AJ18" s="105">
        <v>125.2</v>
      </c>
      <c r="AK18" s="142">
        <v>62000</v>
      </c>
      <c r="AL18" s="120">
        <v>123.3</v>
      </c>
      <c r="AM18" s="141"/>
      <c r="AN18" s="49" t="s">
        <v>41</v>
      </c>
      <c r="AO18" s="60" t="s">
        <v>41</v>
      </c>
      <c r="AP18" s="2" t="s">
        <v>244</v>
      </c>
      <c r="AQ18" s="28"/>
      <c r="AR18" s="28"/>
      <c r="AS18" s="28"/>
      <c r="AT18" s="28"/>
    </row>
    <row r="19" spans="1:46" s="53" customFormat="1">
      <c r="A19" s="9" t="s">
        <v>69</v>
      </c>
      <c r="B19" s="34">
        <v>1</v>
      </c>
      <c r="C19" s="2" t="s">
        <v>35</v>
      </c>
      <c r="D19" s="1" t="s">
        <v>70</v>
      </c>
      <c r="E19" s="1" t="s">
        <v>256</v>
      </c>
      <c r="F19" s="1" t="s">
        <v>256</v>
      </c>
      <c r="G19" s="1" t="s">
        <v>256</v>
      </c>
      <c r="H19" s="1" t="s">
        <v>256</v>
      </c>
      <c r="I19" s="1" t="s">
        <v>71</v>
      </c>
      <c r="J19" s="1" t="s">
        <v>38</v>
      </c>
      <c r="K19" s="26" t="s">
        <v>72</v>
      </c>
      <c r="L19" s="35">
        <v>3114116.666666667</v>
      </c>
      <c r="M19" s="3">
        <v>3134470.3703703703</v>
      </c>
      <c r="N19" s="3">
        <f>ROUND(M19,0)</f>
        <v>3134470</v>
      </c>
      <c r="O19" s="3">
        <f t="shared" si="2"/>
        <v>3222610</v>
      </c>
      <c r="P19" s="3">
        <f t="shared" si="3"/>
        <v>3269434</v>
      </c>
      <c r="Q19" s="17">
        <f t="shared" si="4"/>
        <v>3310750</v>
      </c>
      <c r="R19" s="17" t="s">
        <v>40</v>
      </c>
      <c r="S19" s="17">
        <f t="shared" si="5"/>
        <v>3324522</v>
      </c>
      <c r="T19" s="17">
        <v>4510000</v>
      </c>
      <c r="U19" s="17">
        <f>ROUND(T19/123.1*125,0)/121*100</f>
        <v>3784801.6528925616</v>
      </c>
      <c r="V19" s="79">
        <v>4602300</v>
      </c>
      <c r="W19" s="119">
        <v>4970484</v>
      </c>
      <c r="X19" s="71"/>
      <c r="Y19" s="99">
        <v>108</v>
      </c>
      <c r="Z19" s="71"/>
      <c r="AA19" s="79"/>
      <c r="AB19" s="120">
        <v>103.5</v>
      </c>
      <c r="AC19" s="134">
        <f t="shared" si="0"/>
        <v>5508953.1000000006</v>
      </c>
      <c r="AD19" s="105">
        <v>119.7</v>
      </c>
      <c r="AE19" s="109">
        <f t="shared" si="1"/>
        <v>0</v>
      </c>
      <c r="AF19" s="120">
        <v>115.1</v>
      </c>
      <c r="AG19" s="127"/>
      <c r="AH19" s="49" t="s">
        <v>51</v>
      </c>
      <c r="AI19" s="144">
        <v>3855000</v>
      </c>
      <c r="AJ19" s="105">
        <v>125.2</v>
      </c>
      <c r="AK19" s="141"/>
      <c r="AL19" s="120">
        <v>123.3</v>
      </c>
      <c r="AM19" s="141"/>
      <c r="AN19" s="49" t="s">
        <v>51</v>
      </c>
      <c r="AO19" s="60" t="s">
        <v>51</v>
      </c>
      <c r="AP19" s="56" t="s">
        <v>245</v>
      </c>
      <c r="AQ19" s="28"/>
      <c r="AR19" s="28"/>
      <c r="AS19" s="28"/>
      <c r="AT19" s="28"/>
    </row>
    <row r="20" spans="1:46" s="53" customFormat="1">
      <c r="A20" s="9" t="s">
        <v>69</v>
      </c>
      <c r="B20" s="34">
        <v>9</v>
      </c>
      <c r="C20" s="2" t="s">
        <v>43</v>
      </c>
      <c r="D20" s="1" t="s">
        <v>70</v>
      </c>
      <c r="E20" s="1" t="s">
        <v>256</v>
      </c>
      <c r="F20" s="1" t="s">
        <v>256</v>
      </c>
      <c r="G20" s="1" t="s">
        <v>256</v>
      </c>
      <c r="H20" s="1" t="s">
        <v>256</v>
      </c>
      <c r="I20" s="1" t="s">
        <v>71</v>
      </c>
      <c r="J20" s="1" t="s">
        <v>38</v>
      </c>
      <c r="K20" s="26" t="s">
        <v>72</v>
      </c>
      <c r="L20" s="35">
        <v>153093.29268292684</v>
      </c>
      <c r="M20" s="3">
        <v>154093.90243902439</v>
      </c>
      <c r="N20" s="3"/>
      <c r="O20" s="3">
        <f t="shared" si="2"/>
        <v>0</v>
      </c>
      <c r="P20" s="3">
        <f t="shared" si="3"/>
        <v>0</v>
      </c>
      <c r="Q20" s="17">
        <f t="shared" si="4"/>
        <v>0</v>
      </c>
      <c r="R20" s="17" t="s">
        <v>40</v>
      </c>
      <c r="S20" s="17">
        <f t="shared" si="5"/>
        <v>0</v>
      </c>
      <c r="T20" s="17"/>
      <c r="U20" s="17">
        <f t="shared" si="7"/>
        <v>0</v>
      </c>
      <c r="V20" s="79"/>
      <c r="W20" s="119"/>
      <c r="X20" s="71">
        <f>(839910+15000)/121*100</f>
        <v>706537.19008264458</v>
      </c>
      <c r="Y20" s="98">
        <v>108</v>
      </c>
      <c r="Z20" s="71">
        <f>(839910+15000)/121*100</f>
        <v>706537.19008264458</v>
      </c>
      <c r="AA20" s="79"/>
      <c r="AB20" s="120">
        <v>103.5</v>
      </c>
      <c r="AC20" s="134">
        <f t="shared" si="0"/>
        <v>0</v>
      </c>
      <c r="AD20" s="105">
        <v>119.7</v>
      </c>
      <c r="AE20" s="109">
        <f t="shared" si="1"/>
        <v>785723.96694214863</v>
      </c>
      <c r="AF20" s="120">
        <v>115.1</v>
      </c>
      <c r="AG20" s="127"/>
      <c r="AH20" s="49" t="s">
        <v>51</v>
      </c>
      <c r="AI20" s="141"/>
      <c r="AJ20" s="105">
        <v>125.2</v>
      </c>
      <c r="AK20" s="144">
        <v>915000</v>
      </c>
      <c r="AL20" s="120">
        <v>123.3</v>
      </c>
      <c r="AM20" s="141"/>
      <c r="AN20" s="49" t="s">
        <v>51</v>
      </c>
      <c r="AO20" s="60" t="s">
        <v>51</v>
      </c>
      <c r="AP20" s="2" t="s">
        <v>244</v>
      </c>
      <c r="AQ20" s="28"/>
      <c r="AR20" s="28"/>
      <c r="AS20" s="28"/>
      <c r="AT20" s="28"/>
    </row>
    <row r="21" spans="1:46" s="53" customFormat="1">
      <c r="A21" s="9" t="s">
        <v>73</v>
      </c>
      <c r="B21" s="34">
        <v>1</v>
      </c>
      <c r="C21" s="2" t="s">
        <v>35</v>
      </c>
      <c r="D21" s="1" t="s">
        <v>74</v>
      </c>
      <c r="E21" s="1" t="s">
        <v>255</v>
      </c>
      <c r="F21" s="1" t="s">
        <v>255</v>
      </c>
      <c r="G21" s="1" t="s">
        <v>255</v>
      </c>
      <c r="H21" s="1" t="s">
        <v>255</v>
      </c>
      <c r="I21" s="1" t="s">
        <v>75</v>
      </c>
      <c r="J21" s="1" t="s">
        <v>38</v>
      </c>
      <c r="K21" s="26" t="s">
        <v>76</v>
      </c>
      <c r="L21" s="35">
        <v>2729161.111111111</v>
      </c>
      <c r="M21" s="3">
        <v>2746998.7654320989</v>
      </c>
      <c r="N21" s="3">
        <f>ROUND(M21,0)</f>
        <v>2746999</v>
      </c>
      <c r="O21" s="3">
        <f t="shared" si="2"/>
        <v>2824243</v>
      </c>
      <c r="P21" s="3">
        <f t="shared" si="3"/>
        <v>2865279</v>
      </c>
      <c r="Q21" s="17">
        <f t="shared" si="4"/>
        <v>2901487</v>
      </c>
      <c r="R21" s="17" t="s">
        <v>40</v>
      </c>
      <c r="S21" s="17">
        <f t="shared" si="5"/>
        <v>2913556</v>
      </c>
      <c r="T21" s="17">
        <v>3268000</v>
      </c>
      <c r="U21" s="17">
        <f t="shared" si="7"/>
        <v>3318440</v>
      </c>
      <c r="V21" s="79">
        <v>4035200</v>
      </c>
      <c r="W21" s="119">
        <v>4358016</v>
      </c>
      <c r="X21" s="71"/>
      <c r="Y21" s="99">
        <v>108</v>
      </c>
      <c r="Z21" s="71"/>
      <c r="AA21" s="79"/>
      <c r="AB21" s="120">
        <v>103.5</v>
      </c>
      <c r="AC21" s="134">
        <f t="shared" si="0"/>
        <v>4830134.4000000004</v>
      </c>
      <c r="AD21" s="105">
        <v>119.7</v>
      </c>
      <c r="AE21" s="109">
        <f t="shared" si="1"/>
        <v>0</v>
      </c>
      <c r="AF21" s="120">
        <v>115.1</v>
      </c>
      <c r="AG21" s="127"/>
      <c r="AH21" s="49" t="s">
        <v>41</v>
      </c>
      <c r="AI21" s="142">
        <v>4555000</v>
      </c>
      <c r="AJ21" s="105">
        <v>125.2</v>
      </c>
      <c r="AK21" s="141"/>
      <c r="AL21" s="120">
        <v>123.3</v>
      </c>
      <c r="AM21" s="141"/>
      <c r="AN21" s="49" t="s">
        <v>41</v>
      </c>
      <c r="AO21" s="60" t="s">
        <v>41</v>
      </c>
      <c r="AP21" s="56" t="s">
        <v>245</v>
      </c>
      <c r="AQ21" s="28"/>
      <c r="AR21" s="28"/>
      <c r="AS21" s="28"/>
      <c r="AT21" s="28"/>
    </row>
    <row r="22" spans="1:46" s="53" customFormat="1">
      <c r="A22" s="9" t="s">
        <v>77</v>
      </c>
      <c r="B22" s="34">
        <v>1</v>
      </c>
      <c r="C22" s="2" t="s">
        <v>35</v>
      </c>
      <c r="D22" s="1" t="s">
        <v>78</v>
      </c>
      <c r="E22" s="1" t="s">
        <v>255</v>
      </c>
      <c r="F22" s="1" t="s">
        <v>255</v>
      </c>
      <c r="G22" s="1" t="s">
        <v>256</v>
      </c>
      <c r="H22" s="1" t="s">
        <v>256</v>
      </c>
      <c r="I22" s="1" t="s">
        <v>54</v>
      </c>
      <c r="J22" s="1" t="s">
        <v>38</v>
      </c>
      <c r="K22" s="26" t="s">
        <v>79</v>
      </c>
      <c r="L22" s="35">
        <v>13397605.555555556</v>
      </c>
      <c r="M22" s="3">
        <v>13485171.604938272</v>
      </c>
      <c r="N22" s="3">
        <f>ROUND(M22,0)</f>
        <v>13485172</v>
      </c>
      <c r="O22" s="3">
        <f t="shared" si="2"/>
        <v>13864368</v>
      </c>
      <c r="P22" s="3">
        <f t="shared" si="3"/>
        <v>14065816</v>
      </c>
      <c r="Q22" s="17">
        <f t="shared" si="4"/>
        <v>14243564</v>
      </c>
      <c r="R22" s="17" t="s">
        <v>40</v>
      </c>
      <c r="S22" s="17">
        <f t="shared" si="5"/>
        <v>14302813</v>
      </c>
      <c r="T22" s="17">
        <v>15625000</v>
      </c>
      <c r="U22" s="17">
        <f>ROUND(T22/123.1*125,0)/121*100</f>
        <v>13112533.88429752</v>
      </c>
      <c r="V22" s="79">
        <v>15944800</v>
      </c>
      <c r="W22" s="119">
        <v>17220384</v>
      </c>
      <c r="X22" s="71"/>
      <c r="Y22" s="98">
        <v>108</v>
      </c>
      <c r="Z22" s="71"/>
      <c r="AA22" s="74">
        <f>1841510</f>
        <v>1841510</v>
      </c>
      <c r="AB22" s="120">
        <v>103.5</v>
      </c>
      <c r="AC22" s="134">
        <f t="shared" si="0"/>
        <v>19085925.600000001</v>
      </c>
      <c r="AD22" s="105">
        <v>119.7</v>
      </c>
      <c r="AE22" s="109">
        <f t="shared" si="1"/>
        <v>0</v>
      </c>
      <c r="AF22" s="120">
        <v>115.1</v>
      </c>
      <c r="AG22" s="128">
        <v>1841510</v>
      </c>
      <c r="AH22" s="49" t="s">
        <v>51</v>
      </c>
      <c r="AI22" s="144">
        <v>17550000</v>
      </c>
      <c r="AJ22" s="105">
        <v>125.2</v>
      </c>
      <c r="AK22" s="141"/>
      <c r="AL22" s="120">
        <v>123.3</v>
      </c>
      <c r="AM22" s="141">
        <v>1841510</v>
      </c>
      <c r="AN22" s="49" t="s">
        <v>51</v>
      </c>
      <c r="AO22" s="60" t="s">
        <v>51</v>
      </c>
      <c r="AP22" s="56" t="s">
        <v>245</v>
      </c>
      <c r="AQ22" s="28"/>
      <c r="AR22" s="28"/>
      <c r="AS22" s="28"/>
      <c r="AT22" s="28"/>
    </row>
    <row r="23" spans="1:46" s="53" customFormat="1">
      <c r="A23" s="9" t="s">
        <v>84</v>
      </c>
      <c r="B23" s="34">
        <v>1</v>
      </c>
      <c r="C23" s="2" t="s">
        <v>35</v>
      </c>
      <c r="D23" s="1" t="s">
        <v>85</v>
      </c>
      <c r="E23" s="1" t="s">
        <v>256</v>
      </c>
      <c r="F23" s="1" t="s">
        <v>255</v>
      </c>
      <c r="G23" s="1" t="s">
        <v>256</v>
      </c>
      <c r="H23" s="1" t="s">
        <v>256</v>
      </c>
      <c r="I23" s="1" t="s">
        <v>86</v>
      </c>
      <c r="J23" s="1" t="s">
        <v>38</v>
      </c>
      <c r="K23" s="26" t="s">
        <v>87</v>
      </c>
      <c r="L23" s="35">
        <v>121738.88888888888</v>
      </c>
      <c r="M23" s="3">
        <v>122534.56790123456</v>
      </c>
      <c r="N23" s="3">
        <f>ROUND(M23,0)</f>
        <v>122535</v>
      </c>
      <c r="O23" s="3">
        <f t="shared" si="2"/>
        <v>125981</v>
      </c>
      <c r="P23" s="3">
        <f t="shared" si="3"/>
        <v>127811</v>
      </c>
      <c r="Q23" s="17">
        <f t="shared" si="4"/>
        <v>129426</v>
      </c>
      <c r="R23" s="17" t="s">
        <v>40</v>
      </c>
      <c r="S23" s="17">
        <f t="shared" si="5"/>
        <v>129964</v>
      </c>
      <c r="T23" s="17">
        <v>157750</v>
      </c>
      <c r="U23" s="17">
        <f t="shared" ref="U23:U26" si="9">ROUND(T23/123.1*125,0)</f>
        <v>160185</v>
      </c>
      <c r="V23" s="79">
        <v>194800</v>
      </c>
      <c r="W23" s="119">
        <v>210384</v>
      </c>
      <c r="X23" s="71"/>
      <c r="Y23" s="99">
        <v>108</v>
      </c>
      <c r="Z23" s="71"/>
      <c r="AA23" s="74"/>
      <c r="AB23" s="120">
        <v>103.5</v>
      </c>
      <c r="AC23" s="134">
        <f t="shared" si="0"/>
        <v>233175.6</v>
      </c>
      <c r="AD23" s="105">
        <v>119.7</v>
      </c>
      <c r="AE23" s="109">
        <f t="shared" si="1"/>
        <v>0</v>
      </c>
      <c r="AF23" s="120">
        <v>115.1</v>
      </c>
      <c r="AG23" s="128"/>
      <c r="AH23" s="49" t="s">
        <v>41</v>
      </c>
      <c r="AI23" s="142">
        <v>225000</v>
      </c>
      <c r="AJ23" s="105">
        <v>125.2</v>
      </c>
      <c r="AK23" s="141"/>
      <c r="AL23" s="120">
        <v>123.3</v>
      </c>
      <c r="AM23" s="141"/>
      <c r="AN23" s="49" t="s">
        <v>41</v>
      </c>
      <c r="AO23" s="60" t="s">
        <v>41</v>
      </c>
      <c r="AP23" s="56" t="s">
        <v>245</v>
      </c>
      <c r="AQ23" s="28"/>
      <c r="AR23" s="28"/>
      <c r="AS23" s="28"/>
      <c r="AT23" s="28"/>
    </row>
    <row r="24" spans="1:46" s="53" customFormat="1">
      <c r="A24" s="9" t="s">
        <v>84</v>
      </c>
      <c r="B24" s="34">
        <v>2</v>
      </c>
      <c r="C24" s="2" t="s">
        <v>43</v>
      </c>
      <c r="D24" s="1" t="s">
        <v>85</v>
      </c>
      <c r="E24" s="1" t="s">
        <v>256</v>
      </c>
      <c r="F24" s="1" t="s">
        <v>255</v>
      </c>
      <c r="G24" s="1" t="s">
        <v>256</v>
      </c>
      <c r="H24" s="1" t="s">
        <v>256</v>
      </c>
      <c r="I24" s="1" t="s">
        <v>86</v>
      </c>
      <c r="J24" s="1" t="s">
        <v>38</v>
      </c>
      <c r="K24" s="26" t="s">
        <v>87</v>
      </c>
      <c r="L24" s="35">
        <v>29200.609756097561</v>
      </c>
      <c r="M24" s="3">
        <v>29391.463414634145</v>
      </c>
      <c r="N24" s="3"/>
      <c r="O24" s="3">
        <f t="shared" si="2"/>
        <v>0</v>
      </c>
      <c r="P24" s="3">
        <f t="shared" si="3"/>
        <v>0</v>
      </c>
      <c r="Q24" s="17">
        <f t="shared" si="4"/>
        <v>0</v>
      </c>
      <c r="R24" s="17" t="s">
        <v>40</v>
      </c>
      <c r="S24" s="17">
        <f t="shared" si="5"/>
        <v>0</v>
      </c>
      <c r="T24" s="17">
        <v>0</v>
      </c>
      <c r="U24" s="17">
        <f t="shared" si="9"/>
        <v>0</v>
      </c>
      <c r="V24" s="79"/>
      <c r="W24" s="119"/>
      <c r="X24" s="71">
        <f>30885+1600</f>
        <v>32485</v>
      </c>
      <c r="Y24" s="98">
        <v>108</v>
      </c>
      <c r="Z24" s="71">
        <f>30885+1600</f>
        <v>32485</v>
      </c>
      <c r="AA24" s="74"/>
      <c r="AB24" s="120">
        <v>103.5</v>
      </c>
      <c r="AC24" s="134">
        <f t="shared" si="0"/>
        <v>0</v>
      </c>
      <c r="AD24" s="105">
        <v>119.7</v>
      </c>
      <c r="AE24" s="109">
        <f t="shared" si="1"/>
        <v>36125.830917874395</v>
      </c>
      <c r="AF24" s="120">
        <v>115.1</v>
      </c>
      <c r="AG24" s="128"/>
      <c r="AH24" s="49" t="s">
        <v>41</v>
      </c>
      <c r="AI24" s="141"/>
      <c r="AJ24" s="105">
        <v>125.2</v>
      </c>
      <c r="AK24" s="142">
        <v>340000</v>
      </c>
      <c r="AL24" s="120">
        <v>123.3</v>
      </c>
      <c r="AM24" s="141"/>
      <c r="AN24" s="49" t="s">
        <v>41</v>
      </c>
      <c r="AO24" s="60" t="s">
        <v>41</v>
      </c>
      <c r="AP24" s="2" t="s">
        <v>244</v>
      </c>
      <c r="AQ24" s="28"/>
      <c r="AR24" s="28"/>
      <c r="AS24" s="28"/>
      <c r="AT24" s="28"/>
    </row>
    <row r="25" spans="1:46" s="28" customFormat="1">
      <c r="A25" s="9" t="s">
        <v>88</v>
      </c>
      <c r="B25" s="34">
        <v>1</v>
      </c>
      <c r="C25" s="2" t="s">
        <v>35</v>
      </c>
      <c r="D25" s="1" t="s">
        <v>89</v>
      </c>
      <c r="E25" s="1" t="s">
        <v>256</v>
      </c>
      <c r="F25" s="1" t="s">
        <v>256</v>
      </c>
      <c r="G25" s="1" t="s">
        <v>256</v>
      </c>
      <c r="H25" s="1" t="s">
        <v>256</v>
      </c>
      <c r="I25" s="1" t="s">
        <v>90</v>
      </c>
      <c r="J25" s="1" t="s">
        <v>38</v>
      </c>
      <c r="K25" s="26" t="s">
        <v>91</v>
      </c>
      <c r="L25" s="35">
        <v>1502516.6666666665</v>
      </c>
      <c r="M25" s="3">
        <v>1512337.0370370368</v>
      </c>
      <c r="N25" s="3">
        <f>ROUND(M25,0)</f>
        <v>1512337</v>
      </c>
      <c r="O25" s="3">
        <f t="shared" si="2"/>
        <v>1554863</v>
      </c>
      <c r="P25" s="3">
        <f t="shared" si="3"/>
        <v>1577455</v>
      </c>
      <c r="Q25" s="17">
        <f t="shared" si="4"/>
        <v>1597389</v>
      </c>
      <c r="R25" s="17" t="s">
        <v>40</v>
      </c>
      <c r="S25" s="17">
        <f t="shared" si="5"/>
        <v>1604034</v>
      </c>
      <c r="T25" s="17">
        <v>1878000</v>
      </c>
      <c r="U25" s="17">
        <f t="shared" si="9"/>
        <v>1906986</v>
      </c>
      <c r="V25" s="79">
        <v>2318900</v>
      </c>
      <c r="W25" s="119">
        <v>2504412</v>
      </c>
      <c r="X25" s="71"/>
      <c r="Y25" s="99">
        <v>108</v>
      </c>
      <c r="Z25" s="71"/>
      <c r="AA25" s="74"/>
      <c r="AB25" s="120">
        <v>103.5</v>
      </c>
      <c r="AC25" s="134">
        <f t="shared" si="0"/>
        <v>2775723.3000000003</v>
      </c>
      <c r="AD25" s="105">
        <v>119.7</v>
      </c>
      <c r="AE25" s="109">
        <f t="shared" si="1"/>
        <v>0</v>
      </c>
      <c r="AF25" s="120">
        <v>115.1</v>
      </c>
      <c r="AG25" s="128"/>
      <c r="AH25" s="49" t="s">
        <v>41</v>
      </c>
      <c r="AI25" s="142">
        <v>3595000</v>
      </c>
      <c r="AJ25" s="105">
        <v>125.2</v>
      </c>
      <c r="AK25" s="141"/>
      <c r="AL25" s="120">
        <v>123.3</v>
      </c>
      <c r="AM25" s="141"/>
      <c r="AN25" s="49" t="s">
        <v>41</v>
      </c>
      <c r="AO25" s="60" t="s">
        <v>41</v>
      </c>
      <c r="AP25" s="56" t="s">
        <v>245</v>
      </c>
    </row>
    <row r="26" spans="1:46" s="28" customFormat="1">
      <c r="A26" s="9" t="s">
        <v>88</v>
      </c>
      <c r="B26" s="34">
        <v>2</v>
      </c>
      <c r="C26" s="2" t="s">
        <v>43</v>
      </c>
      <c r="D26" s="1" t="s">
        <v>89</v>
      </c>
      <c r="E26" s="1" t="s">
        <v>256</v>
      </c>
      <c r="F26" s="1" t="s">
        <v>256</v>
      </c>
      <c r="G26" s="1" t="s">
        <v>256</v>
      </c>
      <c r="H26" s="1" t="s">
        <v>256</v>
      </c>
      <c r="I26" s="1" t="s">
        <v>90</v>
      </c>
      <c r="J26" s="1" t="s">
        <v>38</v>
      </c>
      <c r="K26" s="26" t="s">
        <v>91</v>
      </c>
      <c r="L26" s="35">
        <v>85456.097560975613</v>
      </c>
      <c r="M26" s="3">
        <v>86014.634146341457</v>
      </c>
      <c r="N26" s="3"/>
      <c r="O26" s="3">
        <f t="shared" si="2"/>
        <v>0</v>
      </c>
      <c r="P26" s="3">
        <f t="shared" si="3"/>
        <v>0</v>
      </c>
      <c r="Q26" s="17">
        <f t="shared" si="4"/>
        <v>0</v>
      </c>
      <c r="R26" s="17" t="s">
        <v>40</v>
      </c>
      <c r="S26" s="17">
        <f t="shared" si="5"/>
        <v>0</v>
      </c>
      <c r="T26" s="17"/>
      <c r="U26" s="17">
        <f t="shared" si="9"/>
        <v>0</v>
      </c>
      <c r="V26" s="79"/>
      <c r="W26" s="119"/>
      <c r="X26" s="71">
        <f>120100+7200</f>
        <v>127300</v>
      </c>
      <c r="Y26" s="98">
        <v>108</v>
      </c>
      <c r="Z26" s="71">
        <f>120100+7200</f>
        <v>127300</v>
      </c>
      <c r="AA26" s="74"/>
      <c r="AB26" s="120">
        <v>103.5</v>
      </c>
      <c r="AC26" s="134">
        <f t="shared" si="0"/>
        <v>0</v>
      </c>
      <c r="AD26" s="105">
        <v>119.7</v>
      </c>
      <c r="AE26" s="109">
        <f t="shared" si="1"/>
        <v>141567.43961352657</v>
      </c>
      <c r="AF26" s="120">
        <v>115.1</v>
      </c>
      <c r="AG26" s="128"/>
      <c r="AH26" s="49" t="s">
        <v>41</v>
      </c>
      <c r="AI26" s="141"/>
      <c r="AJ26" s="105">
        <v>125.2</v>
      </c>
      <c r="AK26" s="142">
        <v>172000</v>
      </c>
      <c r="AL26" s="120">
        <v>123.3</v>
      </c>
      <c r="AM26" s="141"/>
      <c r="AN26" s="49" t="s">
        <v>41</v>
      </c>
      <c r="AO26" s="60" t="s">
        <v>41</v>
      </c>
      <c r="AP26" s="2" t="s">
        <v>244</v>
      </c>
    </row>
    <row r="27" spans="1:46" s="28" customFormat="1">
      <c r="A27" s="9" t="s">
        <v>92</v>
      </c>
      <c r="B27" s="34">
        <v>1</v>
      </c>
      <c r="C27" s="2" t="s">
        <v>35</v>
      </c>
      <c r="D27" s="1" t="s">
        <v>93</v>
      </c>
      <c r="E27" s="1" t="s">
        <v>256</v>
      </c>
      <c r="F27" s="1" t="s">
        <v>256</v>
      </c>
      <c r="G27" s="1" t="s">
        <v>256</v>
      </c>
      <c r="H27" s="1" t="s">
        <v>256</v>
      </c>
      <c r="I27" s="1" t="s">
        <v>46</v>
      </c>
      <c r="J27" s="1" t="s">
        <v>38</v>
      </c>
      <c r="K27" s="26" t="s">
        <v>94</v>
      </c>
      <c r="L27" s="35">
        <v>39194.444444444453</v>
      </c>
      <c r="M27" s="3">
        <v>39450.617283950633</v>
      </c>
      <c r="N27" s="3">
        <f>ROUND(M27,0)</f>
        <v>39451</v>
      </c>
      <c r="O27" s="3">
        <f t="shared" si="2"/>
        <v>40560</v>
      </c>
      <c r="P27" s="3">
        <f t="shared" si="3"/>
        <v>41149</v>
      </c>
      <c r="Q27" s="17">
        <f t="shared" si="4"/>
        <v>41669</v>
      </c>
      <c r="R27" s="17" t="s">
        <v>40</v>
      </c>
      <c r="S27" s="17">
        <f t="shared" si="5"/>
        <v>41842</v>
      </c>
      <c r="T27" s="17">
        <v>61500</v>
      </c>
      <c r="U27" s="17">
        <f>ROUND(T27/123.1*125,0)/121*100</f>
        <v>51610.74380165289</v>
      </c>
      <c r="V27" s="79">
        <v>62800</v>
      </c>
      <c r="W27" s="119">
        <v>67824</v>
      </c>
      <c r="X27" s="71"/>
      <c r="Y27" s="99">
        <v>108</v>
      </c>
      <c r="Z27" s="71"/>
      <c r="AA27" s="74"/>
      <c r="AB27" s="120">
        <v>103.5</v>
      </c>
      <c r="AC27" s="134">
        <f t="shared" si="0"/>
        <v>75171.600000000006</v>
      </c>
      <c r="AD27" s="105">
        <v>119.7</v>
      </c>
      <c r="AE27" s="109">
        <f t="shared" si="1"/>
        <v>0</v>
      </c>
      <c r="AF27" s="120">
        <v>115.1</v>
      </c>
      <c r="AG27" s="128"/>
      <c r="AH27" s="49" t="s">
        <v>51</v>
      </c>
      <c r="AI27" s="144">
        <v>75000</v>
      </c>
      <c r="AJ27" s="105">
        <v>125.2</v>
      </c>
      <c r="AK27" s="141"/>
      <c r="AL27" s="120">
        <v>123.3</v>
      </c>
      <c r="AM27" s="141"/>
      <c r="AN27" s="49" t="s">
        <v>51</v>
      </c>
      <c r="AO27" s="60" t="s">
        <v>51</v>
      </c>
      <c r="AP27" s="56" t="s">
        <v>245</v>
      </c>
    </row>
    <row r="28" spans="1:46" s="28" customFormat="1">
      <c r="A28" s="9" t="s">
        <v>92</v>
      </c>
      <c r="B28" s="34">
        <v>2</v>
      </c>
      <c r="C28" s="2" t="s">
        <v>43</v>
      </c>
      <c r="D28" s="1" t="s">
        <v>93</v>
      </c>
      <c r="E28" s="1" t="s">
        <v>256</v>
      </c>
      <c r="F28" s="1" t="s">
        <v>256</v>
      </c>
      <c r="G28" s="1" t="s">
        <v>256</v>
      </c>
      <c r="H28" s="1" t="s">
        <v>256</v>
      </c>
      <c r="I28" s="1" t="s">
        <v>46</v>
      </c>
      <c r="J28" s="1" t="s">
        <v>38</v>
      </c>
      <c r="K28" s="26" t="s">
        <v>94</v>
      </c>
      <c r="L28" s="35">
        <v>6157.3170731707314</v>
      </c>
      <c r="M28" s="3">
        <v>6197.5609756097556</v>
      </c>
      <c r="N28" s="3"/>
      <c r="O28" s="3">
        <f t="shared" si="2"/>
        <v>0</v>
      </c>
      <c r="P28" s="3">
        <f t="shared" si="3"/>
        <v>0</v>
      </c>
      <c r="Q28" s="17">
        <f t="shared" si="4"/>
        <v>0</v>
      </c>
      <c r="R28" s="17"/>
      <c r="S28" s="17">
        <f t="shared" si="5"/>
        <v>0</v>
      </c>
      <c r="T28" s="17">
        <f t="shared" si="6"/>
        <v>0</v>
      </c>
      <c r="U28" s="17">
        <f t="shared" ref="U28:U32" si="10">ROUND(T28/122.4*125,0)</f>
        <v>0</v>
      </c>
      <c r="V28" s="79"/>
      <c r="W28" s="119"/>
      <c r="X28" s="71">
        <f>ROUND(M28,0)/121*100</f>
        <v>5122.3140495867765</v>
      </c>
      <c r="Y28" s="98">
        <v>108</v>
      </c>
      <c r="Z28" s="71">
        <v>5122.3100000000004</v>
      </c>
      <c r="AA28" s="74"/>
      <c r="AB28" s="120">
        <v>103.5</v>
      </c>
      <c r="AC28" s="134">
        <f t="shared" si="0"/>
        <v>0</v>
      </c>
      <c r="AD28" s="105">
        <v>119.7</v>
      </c>
      <c r="AE28" s="109">
        <f t="shared" si="1"/>
        <v>5696.4046473429953</v>
      </c>
      <c r="AF28" s="120">
        <v>115.1</v>
      </c>
      <c r="AG28" s="128"/>
      <c r="AH28" s="49" t="s">
        <v>51</v>
      </c>
      <c r="AI28" s="141"/>
      <c r="AJ28" s="105">
        <v>125.2</v>
      </c>
      <c r="AK28" s="144">
        <v>8000</v>
      </c>
      <c r="AL28" s="120">
        <v>123.3</v>
      </c>
      <c r="AM28" s="141"/>
      <c r="AN28" s="49" t="s">
        <v>51</v>
      </c>
      <c r="AO28" s="60" t="s">
        <v>51</v>
      </c>
      <c r="AP28" s="2" t="s">
        <v>244</v>
      </c>
    </row>
    <row r="29" spans="1:46" s="28" customFormat="1">
      <c r="A29" s="9" t="s">
        <v>95</v>
      </c>
      <c r="B29" s="34">
        <v>1</v>
      </c>
      <c r="C29" s="2" t="s">
        <v>35</v>
      </c>
      <c r="D29" s="1" t="s">
        <v>96</v>
      </c>
      <c r="E29" s="1" t="s">
        <v>256</v>
      </c>
      <c r="F29" s="1" t="s">
        <v>256</v>
      </c>
      <c r="G29" s="1" t="s">
        <v>256</v>
      </c>
      <c r="H29" s="1" t="s">
        <v>256</v>
      </c>
      <c r="I29" s="1" t="s">
        <v>97</v>
      </c>
      <c r="J29" s="1" t="s">
        <v>38</v>
      </c>
      <c r="K29" s="26" t="s">
        <v>98</v>
      </c>
      <c r="L29" s="35">
        <v>1160722.2222222222</v>
      </c>
      <c r="M29" s="3">
        <v>1168308.6419753088</v>
      </c>
      <c r="N29" s="3">
        <f>ROUND(M29,0)</f>
        <v>1168309</v>
      </c>
      <c r="O29" s="3">
        <f t="shared" si="2"/>
        <v>1201161</v>
      </c>
      <c r="P29" s="3">
        <f t="shared" si="3"/>
        <v>1218614</v>
      </c>
      <c r="Q29" s="17">
        <f t="shared" si="4"/>
        <v>1234014</v>
      </c>
      <c r="R29" s="17" t="s">
        <v>40</v>
      </c>
      <c r="S29" s="17">
        <f t="shared" si="5"/>
        <v>1239147</v>
      </c>
      <c r="T29" s="17">
        <v>1250000</v>
      </c>
      <c r="U29" s="17">
        <f>ROUND(T29/123.1*125,0)/121*100</f>
        <v>1049002.4793388429</v>
      </c>
      <c r="V29" s="79">
        <v>1275600</v>
      </c>
      <c r="W29" s="119">
        <v>1377648</v>
      </c>
      <c r="X29" s="71"/>
      <c r="Y29" s="99">
        <v>108</v>
      </c>
      <c r="Z29" s="71"/>
      <c r="AA29" s="74"/>
      <c r="AB29" s="120">
        <v>103.5</v>
      </c>
      <c r="AC29" s="134">
        <f t="shared" si="0"/>
        <v>1526893.2</v>
      </c>
      <c r="AD29" s="105">
        <v>119.7</v>
      </c>
      <c r="AE29" s="109">
        <f t="shared" si="1"/>
        <v>0</v>
      </c>
      <c r="AF29" s="120">
        <v>115.1</v>
      </c>
      <c r="AG29" s="128"/>
      <c r="AH29" s="49" t="s">
        <v>51</v>
      </c>
      <c r="AI29" s="144">
        <v>1650000</v>
      </c>
      <c r="AJ29" s="105">
        <v>125.2</v>
      </c>
      <c r="AK29" s="141"/>
      <c r="AL29" s="120">
        <v>123.3</v>
      </c>
      <c r="AM29" s="141"/>
      <c r="AN29" s="49" t="s">
        <v>51</v>
      </c>
      <c r="AO29" s="60" t="s">
        <v>51</v>
      </c>
      <c r="AP29" s="56" t="s">
        <v>245</v>
      </c>
    </row>
    <row r="30" spans="1:46" s="28" customFormat="1">
      <c r="A30" s="9" t="s">
        <v>99</v>
      </c>
      <c r="B30" s="34">
        <v>1</v>
      </c>
      <c r="C30" s="2" t="s">
        <v>35</v>
      </c>
      <c r="D30" s="1" t="s">
        <v>100</v>
      </c>
      <c r="E30" s="1" t="s">
        <v>256</v>
      </c>
      <c r="F30" s="1" t="s">
        <v>256</v>
      </c>
      <c r="G30" s="1" t="s">
        <v>256</v>
      </c>
      <c r="H30" s="1" t="s">
        <v>256</v>
      </c>
      <c r="I30" s="1" t="s">
        <v>101</v>
      </c>
      <c r="J30" s="1" t="s">
        <v>38</v>
      </c>
      <c r="K30" s="26" t="s">
        <v>102</v>
      </c>
      <c r="L30" s="35">
        <v>153283.33333333334</v>
      </c>
      <c r="M30" s="3">
        <v>154285.1851851852</v>
      </c>
      <c r="N30" s="3">
        <f>ROUND(M30,0)</f>
        <v>154285</v>
      </c>
      <c r="O30" s="3">
        <f t="shared" si="2"/>
        <v>158623</v>
      </c>
      <c r="P30" s="3">
        <f t="shared" si="3"/>
        <v>160928</v>
      </c>
      <c r="Q30" s="17">
        <f t="shared" si="4"/>
        <v>162962</v>
      </c>
      <c r="R30" s="17" t="s">
        <v>40</v>
      </c>
      <c r="S30" s="17">
        <f t="shared" si="5"/>
        <v>163640</v>
      </c>
      <c r="T30" s="17">
        <v>177600</v>
      </c>
      <c r="U30" s="17">
        <f>ROUND(T30/123.1*125,0)/121*100</f>
        <v>149042.1487603306</v>
      </c>
      <c r="V30" s="79">
        <v>181200</v>
      </c>
      <c r="W30" s="119">
        <v>195696</v>
      </c>
      <c r="X30" s="71"/>
      <c r="Y30" s="98">
        <v>108</v>
      </c>
      <c r="Z30" s="71"/>
      <c r="AA30" s="74"/>
      <c r="AB30" s="120">
        <v>103.5</v>
      </c>
      <c r="AC30" s="134">
        <f t="shared" si="0"/>
        <v>216896.4</v>
      </c>
      <c r="AD30" s="105">
        <v>119.7</v>
      </c>
      <c r="AE30" s="109">
        <f t="shared" si="1"/>
        <v>0</v>
      </c>
      <c r="AF30" s="120">
        <v>115.1</v>
      </c>
      <c r="AG30" s="128"/>
      <c r="AH30" s="49" t="s">
        <v>51</v>
      </c>
      <c r="AI30" s="144">
        <v>400000</v>
      </c>
      <c r="AJ30" s="105">
        <v>125.2</v>
      </c>
      <c r="AK30" s="141"/>
      <c r="AL30" s="120">
        <v>123.3</v>
      </c>
      <c r="AM30" s="141"/>
      <c r="AN30" s="49" t="s">
        <v>51</v>
      </c>
      <c r="AO30" s="60" t="s">
        <v>51</v>
      </c>
      <c r="AP30" s="56" t="s">
        <v>245</v>
      </c>
    </row>
    <row r="31" spans="1:46" s="28" customFormat="1">
      <c r="A31" s="9" t="s">
        <v>103</v>
      </c>
      <c r="B31" s="34">
        <v>1</v>
      </c>
      <c r="C31" s="2" t="s">
        <v>35</v>
      </c>
      <c r="D31" s="1" t="s">
        <v>104</v>
      </c>
      <c r="E31" s="1" t="s">
        <v>256</v>
      </c>
      <c r="F31" s="1" t="s">
        <v>256</v>
      </c>
      <c r="G31" s="1" t="s">
        <v>256</v>
      </c>
      <c r="H31" s="1" t="s">
        <v>256</v>
      </c>
      <c r="I31" s="1" t="s">
        <v>105</v>
      </c>
      <c r="J31" s="1" t="s">
        <v>38</v>
      </c>
      <c r="K31" s="26" t="s">
        <v>106</v>
      </c>
      <c r="L31" s="35">
        <v>164333.33333333334</v>
      </c>
      <c r="M31" s="3">
        <v>165407.40740740742</v>
      </c>
      <c r="N31" s="3">
        <f>ROUND(M31,0)</f>
        <v>165407</v>
      </c>
      <c r="O31" s="3">
        <f t="shared" si="2"/>
        <v>170058</v>
      </c>
      <c r="P31" s="3">
        <f t="shared" si="3"/>
        <v>172529</v>
      </c>
      <c r="Q31" s="17">
        <f t="shared" si="4"/>
        <v>174709</v>
      </c>
      <c r="R31" s="17" t="s">
        <v>40</v>
      </c>
      <c r="S31" s="17">
        <f t="shared" si="5"/>
        <v>175436</v>
      </c>
      <c r="T31" s="17">
        <v>290000</v>
      </c>
      <c r="U31" s="17">
        <f t="shared" ref="U31" si="11">ROUND(T31/123.1*125,0)</f>
        <v>294476</v>
      </c>
      <c r="V31" s="79">
        <v>358100</v>
      </c>
      <c r="W31" s="119">
        <v>386748</v>
      </c>
      <c r="X31" s="71"/>
      <c r="Y31" s="99">
        <v>108</v>
      </c>
      <c r="Z31" s="71"/>
      <c r="AA31" s="74"/>
      <c r="AB31" s="120">
        <v>103.5</v>
      </c>
      <c r="AC31" s="134">
        <f t="shared" si="0"/>
        <v>428645.7</v>
      </c>
      <c r="AD31" s="105">
        <v>119.7</v>
      </c>
      <c r="AE31" s="109">
        <f t="shared" si="1"/>
        <v>0</v>
      </c>
      <c r="AF31" s="120">
        <v>115.1</v>
      </c>
      <c r="AG31" s="128"/>
      <c r="AH31" s="49" t="s">
        <v>41</v>
      </c>
      <c r="AI31" s="142">
        <v>500000</v>
      </c>
      <c r="AJ31" s="105">
        <v>125.2</v>
      </c>
      <c r="AK31" s="141"/>
      <c r="AL31" s="120">
        <v>123.3</v>
      </c>
      <c r="AM31" s="141"/>
      <c r="AN31" s="49" t="s">
        <v>41</v>
      </c>
      <c r="AO31" s="60" t="s">
        <v>41</v>
      </c>
      <c r="AP31" s="56" t="s">
        <v>245</v>
      </c>
    </row>
    <row r="32" spans="1:46" s="28" customFormat="1">
      <c r="A32" s="9" t="s">
        <v>103</v>
      </c>
      <c r="B32" s="34">
        <v>2</v>
      </c>
      <c r="C32" s="2" t="s">
        <v>43</v>
      </c>
      <c r="D32" s="1" t="s">
        <v>104</v>
      </c>
      <c r="E32" s="1" t="s">
        <v>256</v>
      </c>
      <c r="F32" s="1" t="s">
        <v>256</v>
      </c>
      <c r="G32" s="1" t="s">
        <v>256</v>
      </c>
      <c r="H32" s="1" t="s">
        <v>256</v>
      </c>
      <c r="I32" s="1" t="s">
        <v>105</v>
      </c>
      <c r="J32" s="1" t="s">
        <v>38</v>
      </c>
      <c r="K32" s="154" t="s">
        <v>106</v>
      </c>
      <c r="L32" s="35">
        <v>9515.8536585365855</v>
      </c>
      <c r="M32" s="3">
        <v>9578.0487804878048</v>
      </c>
      <c r="N32" s="3"/>
      <c r="O32" s="3">
        <f t="shared" si="2"/>
        <v>0</v>
      </c>
      <c r="P32" s="3">
        <f t="shared" si="3"/>
        <v>0</v>
      </c>
      <c r="Q32" s="17">
        <f t="shared" si="4"/>
        <v>0</v>
      </c>
      <c r="R32" s="17"/>
      <c r="S32" s="17">
        <f t="shared" si="5"/>
        <v>0</v>
      </c>
      <c r="T32" s="17">
        <f t="shared" si="6"/>
        <v>0</v>
      </c>
      <c r="U32" s="17">
        <f t="shared" si="10"/>
        <v>0</v>
      </c>
      <c r="V32" s="79"/>
      <c r="W32" s="119"/>
      <c r="X32" s="71">
        <f>ROUND(M32,0)</f>
        <v>9578</v>
      </c>
      <c r="Y32" s="98">
        <v>108</v>
      </c>
      <c r="Z32" s="71">
        <v>9578</v>
      </c>
      <c r="AA32" s="74"/>
      <c r="AB32" s="120">
        <v>103.5</v>
      </c>
      <c r="AC32" s="134">
        <f t="shared" si="0"/>
        <v>0</v>
      </c>
      <c r="AD32" s="105">
        <v>119.7</v>
      </c>
      <c r="AE32" s="109">
        <f t="shared" si="1"/>
        <v>10651.476328502415</v>
      </c>
      <c r="AF32" s="120">
        <v>115.1</v>
      </c>
      <c r="AG32" s="128"/>
      <c r="AH32" s="49" t="s">
        <v>41</v>
      </c>
      <c r="AI32" s="141"/>
      <c r="AJ32" s="105">
        <v>125.2</v>
      </c>
      <c r="AK32" s="141"/>
      <c r="AL32" s="120">
        <v>123.3</v>
      </c>
      <c r="AM32" s="141"/>
      <c r="AN32" s="49" t="s">
        <v>41</v>
      </c>
      <c r="AO32" s="60" t="s">
        <v>41</v>
      </c>
      <c r="AP32" s="2"/>
    </row>
    <row r="33" spans="1:42" s="39" customFormat="1" ht="26.4">
      <c r="A33" s="40" t="s">
        <v>107</v>
      </c>
      <c r="B33" s="41">
        <v>1</v>
      </c>
      <c r="C33" s="42" t="s">
        <v>35</v>
      </c>
      <c r="D33" s="43" t="s">
        <v>108</v>
      </c>
      <c r="E33" s="43" t="s">
        <v>256</v>
      </c>
      <c r="F33" s="43" t="s">
        <v>256</v>
      </c>
      <c r="G33" s="43" t="s">
        <v>256</v>
      </c>
      <c r="H33" s="43" t="s">
        <v>256</v>
      </c>
      <c r="I33" s="43" t="s">
        <v>109</v>
      </c>
      <c r="J33" s="43" t="s">
        <v>38</v>
      </c>
      <c r="K33" s="26" t="s">
        <v>110</v>
      </c>
      <c r="L33" s="44">
        <v>596794.4444444445</v>
      </c>
      <c r="M33" s="37">
        <v>600695.06172839506</v>
      </c>
      <c r="N33" s="37">
        <f t="shared" ref="N33:N47" si="12">ROUND(M33,0)</f>
        <v>600695</v>
      </c>
      <c r="O33" s="37">
        <f t="shared" si="2"/>
        <v>617586</v>
      </c>
      <c r="P33" s="37">
        <f t="shared" si="3"/>
        <v>626559</v>
      </c>
      <c r="Q33" s="38">
        <f t="shared" si="4"/>
        <v>634477</v>
      </c>
      <c r="R33" s="38" t="s">
        <v>40</v>
      </c>
      <c r="S33" s="38">
        <f t="shared" si="5"/>
        <v>637116</v>
      </c>
      <c r="T33" s="38">
        <v>770000</v>
      </c>
      <c r="U33" s="38">
        <f t="shared" ref="U33:U38" si="13">ROUND(T33/123.1*125,0)</f>
        <v>781885</v>
      </c>
      <c r="V33" s="79">
        <v>950800</v>
      </c>
      <c r="W33" s="119">
        <v>1026864</v>
      </c>
      <c r="X33" s="72"/>
      <c r="Y33" s="99">
        <v>108</v>
      </c>
      <c r="Z33" s="72"/>
      <c r="AA33" s="74"/>
      <c r="AB33" s="120">
        <v>103.5</v>
      </c>
      <c r="AC33" s="134">
        <f t="shared" si="0"/>
        <v>1138107.6000000001</v>
      </c>
      <c r="AD33" s="105">
        <v>119.7</v>
      </c>
      <c r="AE33" s="109">
        <f t="shared" si="1"/>
        <v>0</v>
      </c>
      <c r="AF33" s="120">
        <v>115.1</v>
      </c>
      <c r="AG33" s="128"/>
      <c r="AH33" s="50" t="s">
        <v>41</v>
      </c>
      <c r="AI33" s="142">
        <v>1230000</v>
      </c>
      <c r="AJ33" s="105">
        <v>125.2</v>
      </c>
      <c r="AK33" s="141"/>
      <c r="AL33" s="120">
        <v>123.3</v>
      </c>
      <c r="AM33" s="141"/>
      <c r="AN33" s="50" t="s">
        <v>41</v>
      </c>
      <c r="AO33" s="60" t="s">
        <v>41</v>
      </c>
      <c r="AP33" s="56" t="s">
        <v>245</v>
      </c>
    </row>
    <row r="34" spans="1:42" s="39" customFormat="1" ht="26.4">
      <c r="A34" s="40" t="s">
        <v>111</v>
      </c>
      <c r="B34" s="41">
        <v>1</v>
      </c>
      <c r="C34" s="42" t="s">
        <v>35</v>
      </c>
      <c r="D34" s="43" t="s">
        <v>112</v>
      </c>
      <c r="E34" s="43" t="s">
        <v>256</v>
      </c>
      <c r="F34" s="43" t="s">
        <v>256</v>
      </c>
      <c r="G34" s="43" t="s">
        <v>256</v>
      </c>
      <c r="H34" s="43" t="s">
        <v>256</v>
      </c>
      <c r="I34" s="43" t="s">
        <v>75</v>
      </c>
      <c r="J34" s="43" t="s">
        <v>38</v>
      </c>
      <c r="K34" s="26" t="s">
        <v>113</v>
      </c>
      <c r="L34" s="44">
        <v>1083938.888888889</v>
      </c>
      <c r="M34" s="37">
        <v>1091023.4567901236</v>
      </c>
      <c r="N34" s="37">
        <f t="shared" si="12"/>
        <v>1091023</v>
      </c>
      <c r="O34" s="37">
        <f t="shared" si="2"/>
        <v>1121702</v>
      </c>
      <c r="P34" s="37">
        <f t="shared" si="3"/>
        <v>1138000</v>
      </c>
      <c r="Q34" s="38">
        <f t="shared" si="4"/>
        <v>1152381</v>
      </c>
      <c r="R34" s="38" t="s">
        <v>40</v>
      </c>
      <c r="S34" s="38">
        <f t="shared" si="5"/>
        <v>1157175</v>
      </c>
      <c r="T34" s="38">
        <v>1440000</v>
      </c>
      <c r="U34" s="38">
        <f>ROUND(T34/123.1*125,0)/121*100</f>
        <v>1208451.2396694215</v>
      </c>
      <c r="V34" s="79">
        <v>1469500</v>
      </c>
      <c r="W34" s="119">
        <v>1587060</v>
      </c>
      <c r="X34" s="72"/>
      <c r="Y34" s="98">
        <v>108</v>
      </c>
      <c r="Z34" s="72"/>
      <c r="AA34" s="74"/>
      <c r="AB34" s="120">
        <v>103.5</v>
      </c>
      <c r="AC34" s="134">
        <f t="shared" si="0"/>
        <v>1758991.5</v>
      </c>
      <c r="AD34" s="105">
        <v>119.7</v>
      </c>
      <c r="AE34" s="109">
        <f t="shared" si="1"/>
        <v>0</v>
      </c>
      <c r="AF34" s="120">
        <v>115.1</v>
      </c>
      <c r="AG34" s="128"/>
      <c r="AH34" s="50" t="s">
        <v>51</v>
      </c>
      <c r="AI34" s="144">
        <v>2580000</v>
      </c>
      <c r="AJ34" s="105">
        <v>125.2</v>
      </c>
      <c r="AK34" s="141"/>
      <c r="AL34" s="120">
        <v>123.3</v>
      </c>
      <c r="AM34" s="141"/>
      <c r="AN34" s="50" t="s">
        <v>51</v>
      </c>
      <c r="AO34" s="60" t="s">
        <v>51</v>
      </c>
      <c r="AP34" s="56" t="s">
        <v>245</v>
      </c>
    </row>
    <row r="35" spans="1:42" s="28" customFormat="1">
      <c r="A35" s="9" t="s">
        <v>114</v>
      </c>
      <c r="B35" s="34">
        <v>1</v>
      </c>
      <c r="C35" s="2" t="s">
        <v>35</v>
      </c>
      <c r="D35" s="175" t="s">
        <v>115</v>
      </c>
      <c r="E35" s="137" t="s">
        <v>265</v>
      </c>
      <c r="F35" s="1"/>
      <c r="G35" s="1"/>
      <c r="H35" s="175"/>
      <c r="I35" s="175" t="s">
        <v>116</v>
      </c>
      <c r="J35" s="175" t="s">
        <v>38</v>
      </c>
      <c r="K35" s="176" t="s">
        <v>117</v>
      </c>
      <c r="L35" s="177">
        <v>336316.66666666669</v>
      </c>
      <c r="M35" s="178">
        <v>338514.81481481483</v>
      </c>
      <c r="N35" s="178">
        <f t="shared" si="12"/>
        <v>338515</v>
      </c>
      <c r="O35" s="178">
        <f t="shared" si="2"/>
        <v>348034</v>
      </c>
      <c r="P35" s="178">
        <f t="shared" si="3"/>
        <v>353091</v>
      </c>
      <c r="Q35" s="179">
        <f t="shared" si="4"/>
        <v>357553</v>
      </c>
      <c r="R35" s="179" t="s">
        <v>40</v>
      </c>
      <c r="S35" s="179">
        <f t="shared" si="5"/>
        <v>359040</v>
      </c>
      <c r="T35" s="179">
        <v>370050</v>
      </c>
      <c r="U35" s="179">
        <f t="shared" si="13"/>
        <v>375762</v>
      </c>
      <c r="V35" s="180">
        <v>456900</v>
      </c>
      <c r="W35" s="181">
        <v>493452</v>
      </c>
      <c r="X35" s="182"/>
      <c r="Y35" s="183">
        <v>108</v>
      </c>
      <c r="Z35" s="182"/>
      <c r="AA35" s="184"/>
      <c r="AB35" s="171">
        <v>103.5</v>
      </c>
      <c r="AC35" s="185">
        <f t="shared" si="0"/>
        <v>546909.30000000005</v>
      </c>
      <c r="AD35" s="169">
        <v>119.7</v>
      </c>
      <c r="AE35" s="186">
        <f t="shared" si="1"/>
        <v>0</v>
      </c>
      <c r="AF35" s="171">
        <v>115.1</v>
      </c>
      <c r="AG35" s="187"/>
      <c r="AH35" s="172" t="s">
        <v>41</v>
      </c>
      <c r="AI35" s="142"/>
      <c r="AJ35" s="169">
        <v>125.2</v>
      </c>
      <c r="AK35" s="170"/>
      <c r="AL35" s="171">
        <v>123.3</v>
      </c>
      <c r="AM35" s="170"/>
      <c r="AN35" s="172" t="s">
        <v>41</v>
      </c>
      <c r="AO35" s="173" t="s">
        <v>41</v>
      </c>
      <c r="AP35" s="174" t="s">
        <v>245</v>
      </c>
    </row>
    <row r="36" spans="1:42" s="28" customFormat="1">
      <c r="A36" s="9" t="s">
        <v>118</v>
      </c>
      <c r="B36" s="34">
        <v>2</v>
      </c>
      <c r="C36" s="2" t="s">
        <v>35</v>
      </c>
      <c r="D36" s="1" t="s">
        <v>119</v>
      </c>
      <c r="E36" s="1" t="s">
        <v>255</v>
      </c>
      <c r="F36" s="1" t="s">
        <v>256</v>
      </c>
      <c r="G36" s="1" t="s">
        <v>256</v>
      </c>
      <c r="H36" s="1" t="s">
        <v>256</v>
      </c>
      <c r="I36" s="1" t="s">
        <v>120</v>
      </c>
      <c r="J36" s="1" t="s">
        <v>38</v>
      </c>
      <c r="K36" s="26" t="s">
        <v>121</v>
      </c>
      <c r="L36" s="35">
        <v>1339694.4444444445</v>
      </c>
      <c r="M36" s="3">
        <v>1348450.6172839506</v>
      </c>
      <c r="N36" s="3">
        <f t="shared" si="12"/>
        <v>1348451</v>
      </c>
      <c r="O36" s="3">
        <f t="shared" si="2"/>
        <v>1386369</v>
      </c>
      <c r="P36" s="3">
        <f t="shared" si="3"/>
        <v>1406513</v>
      </c>
      <c r="Q36" s="17">
        <f t="shared" si="4"/>
        <v>1424287</v>
      </c>
      <c r="R36" s="17" t="s">
        <v>40</v>
      </c>
      <c r="S36" s="17">
        <f t="shared" si="5"/>
        <v>1430212</v>
      </c>
      <c r="T36" s="17">
        <v>1350000</v>
      </c>
      <c r="U36" s="17">
        <f t="shared" si="13"/>
        <v>1370837</v>
      </c>
      <c r="V36" s="79">
        <v>1666900</v>
      </c>
      <c r="W36" s="119">
        <v>1800252</v>
      </c>
      <c r="X36" s="71"/>
      <c r="Y36" s="98">
        <v>108</v>
      </c>
      <c r="Z36" s="71"/>
      <c r="AA36" s="74"/>
      <c r="AB36" s="120">
        <v>103.5</v>
      </c>
      <c r="AC36" s="134">
        <f t="shared" si="0"/>
        <v>1995279.3</v>
      </c>
      <c r="AD36" s="105">
        <v>119.7</v>
      </c>
      <c r="AE36" s="109">
        <f t="shared" si="1"/>
        <v>0</v>
      </c>
      <c r="AF36" s="120">
        <v>115.1</v>
      </c>
      <c r="AG36" s="128"/>
      <c r="AH36" s="49" t="s">
        <v>41</v>
      </c>
      <c r="AI36" s="142">
        <v>1980000</v>
      </c>
      <c r="AJ36" s="105">
        <v>125.2</v>
      </c>
      <c r="AK36" s="141"/>
      <c r="AL36" s="120">
        <v>123.3</v>
      </c>
      <c r="AM36" s="141"/>
      <c r="AN36" s="49" t="s">
        <v>41</v>
      </c>
      <c r="AO36" s="60" t="s">
        <v>41</v>
      </c>
      <c r="AP36" s="56" t="s">
        <v>245</v>
      </c>
    </row>
    <row r="37" spans="1:42" s="28" customFormat="1">
      <c r="A37" s="9" t="s">
        <v>118</v>
      </c>
      <c r="B37" s="34">
        <v>2</v>
      </c>
      <c r="C37" s="2" t="s">
        <v>35</v>
      </c>
      <c r="D37" s="1" t="s">
        <v>119</v>
      </c>
      <c r="E37" s="1" t="s">
        <v>255</v>
      </c>
      <c r="F37" s="1" t="s">
        <v>256</v>
      </c>
      <c r="G37" s="1" t="s">
        <v>256</v>
      </c>
      <c r="H37" s="1" t="s">
        <v>256</v>
      </c>
      <c r="I37" s="1" t="s">
        <v>120</v>
      </c>
      <c r="J37" s="1" t="s">
        <v>38</v>
      </c>
      <c r="K37" s="26" t="s">
        <v>122</v>
      </c>
      <c r="L37" s="35">
        <v>1339694.4444444445</v>
      </c>
      <c r="M37" s="3">
        <v>1348450.6172839506</v>
      </c>
      <c r="N37" s="3">
        <f>ROUND(M37,0)</f>
        <v>1348451</v>
      </c>
      <c r="O37" s="3">
        <f>ROUND(N37/113.8*117,0)</f>
        <v>1386369</v>
      </c>
      <c r="P37" s="3">
        <f>ROUND(O37/117*118.7,0)</f>
        <v>1406513</v>
      </c>
      <c r="Q37" s="17">
        <f>ROUND(P37/118.7*120.2,0)</f>
        <v>1424287</v>
      </c>
      <c r="R37" s="17" t="s">
        <v>40</v>
      </c>
      <c r="S37" s="17"/>
      <c r="T37" s="17">
        <v>310000</v>
      </c>
      <c r="U37" s="17">
        <f t="shared" si="13"/>
        <v>314785</v>
      </c>
      <c r="V37" s="79">
        <v>382800</v>
      </c>
      <c r="W37" s="119">
        <v>413424</v>
      </c>
      <c r="X37" s="71"/>
      <c r="Y37" s="99">
        <v>108</v>
      </c>
      <c r="Z37" s="71"/>
      <c r="AA37" s="74"/>
      <c r="AB37" s="120">
        <v>103.5</v>
      </c>
      <c r="AC37" s="134">
        <f t="shared" si="0"/>
        <v>458211.60000000003</v>
      </c>
      <c r="AD37" s="105">
        <v>119.7</v>
      </c>
      <c r="AE37" s="109">
        <f t="shared" si="1"/>
        <v>0</v>
      </c>
      <c r="AF37" s="120">
        <v>115.1</v>
      </c>
      <c r="AG37" s="128"/>
      <c r="AH37" s="49" t="s">
        <v>41</v>
      </c>
      <c r="AI37" s="142">
        <v>744999</v>
      </c>
      <c r="AJ37" s="105">
        <v>125.2</v>
      </c>
      <c r="AK37" s="141"/>
      <c r="AL37" s="120">
        <v>123.3</v>
      </c>
      <c r="AM37" s="141"/>
      <c r="AN37" s="49" t="s">
        <v>41</v>
      </c>
      <c r="AO37" s="60" t="s">
        <v>41</v>
      </c>
      <c r="AP37" s="56" t="s">
        <v>245</v>
      </c>
    </row>
    <row r="38" spans="1:42" s="28" customFormat="1">
      <c r="A38" s="9" t="s">
        <v>123</v>
      </c>
      <c r="B38" s="34">
        <v>1</v>
      </c>
      <c r="C38" s="2" t="s">
        <v>35</v>
      </c>
      <c r="D38" s="1" t="s">
        <v>124</v>
      </c>
      <c r="E38" s="1" t="s">
        <v>255</v>
      </c>
      <c r="F38" s="1" t="s">
        <v>256</v>
      </c>
      <c r="G38" s="1" t="s">
        <v>256</v>
      </c>
      <c r="H38" s="1" t="s">
        <v>256</v>
      </c>
      <c r="I38" s="1" t="s">
        <v>125</v>
      </c>
      <c r="J38" s="1" t="s">
        <v>38</v>
      </c>
      <c r="K38" s="26" t="s">
        <v>126</v>
      </c>
      <c r="L38" s="35">
        <v>120605.55555555556</v>
      </c>
      <c r="M38" s="3">
        <v>121393.82716049382</v>
      </c>
      <c r="N38" s="3">
        <f t="shared" si="12"/>
        <v>121394</v>
      </c>
      <c r="O38" s="3">
        <f t="shared" si="2"/>
        <v>124808</v>
      </c>
      <c r="P38" s="3">
        <f t="shared" si="3"/>
        <v>126621</v>
      </c>
      <c r="Q38" s="17">
        <f t="shared" si="4"/>
        <v>128221</v>
      </c>
      <c r="R38" s="17" t="s">
        <v>40</v>
      </c>
      <c r="S38" s="17">
        <f t="shared" si="5"/>
        <v>128754</v>
      </c>
      <c r="T38" s="17">
        <v>160700</v>
      </c>
      <c r="U38" s="17">
        <f t="shared" si="13"/>
        <v>163180</v>
      </c>
      <c r="V38" s="79">
        <v>198400</v>
      </c>
      <c r="W38" s="119">
        <v>214272</v>
      </c>
      <c r="X38" s="71"/>
      <c r="Y38" s="98">
        <v>108</v>
      </c>
      <c r="Z38" s="71"/>
      <c r="AA38" s="74"/>
      <c r="AB38" s="120">
        <v>103.5</v>
      </c>
      <c r="AC38" s="134">
        <f t="shared" ref="AC38:AC54" si="14">W38/Y38*AD38</f>
        <v>237484.80000000002</v>
      </c>
      <c r="AD38" s="105">
        <v>119.7</v>
      </c>
      <c r="AE38" s="109">
        <f t="shared" ref="AE38:AE54" si="15">Z38/AB38*AF38</f>
        <v>0</v>
      </c>
      <c r="AF38" s="120">
        <v>115.1</v>
      </c>
      <c r="AG38" s="128"/>
      <c r="AH38" s="49" t="s">
        <v>41</v>
      </c>
      <c r="AI38" s="142">
        <v>470000</v>
      </c>
      <c r="AJ38" s="105">
        <v>125.2</v>
      </c>
      <c r="AK38" s="141"/>
      <c r="AL38" s="120">
        <v>123.3</v>
      </c>
      <c r="AM38" s="141"/>
      <c r="AN38" s="49" t="s">
        <v>41</v>
      </c>
      <c r="AO38" s="60" t="s">
        <v>41</v>
      </c>
      <c r="AP38" s="56" t="s">
        <v>245</v>
      </c>
    </row>
    <row r="39" spans="1:42" s="28" customFormat="1">
      <c r="A39" s="9" t="s">
        <v>127</v>
      </c>
      <c r="B39" s="34">
        <v>1</v>
      </c>
      <c r="C39" s="2" t="s">
        <v>35</v>
      </c>
      <c r="D39" s="1" t="s">
        <v>128</v>
      </c>
      <c r="E39" s="1" t="s">
        <v>256</v>
      </c>
      <c r="F39" s="1" t="s">
        <v>255</v>
      </c>
      <c r="G39" s="1" t="s">
        <v>256</v>
      </c>
      <c r="H39" s="1" t="s">
        <v>256</v>
      </c>
      <c r="I39" s="1" t="s">
        <v>129</v>
      </c>
      <c r="J39" s="1" t="s">
        <v>38</v>
      </c>
      <c r="K39" s="26" t="s">
        <v>130</v>
      </c>
      <c r="L39" s="35">
        <v>22383.333333333336</v>
      </c>
      <c r="M39" s="3">
        <v>22529.629629629631</v>
      </c>
      <c r="N39" s="3">
        <f t="shared" si="12"/>
        <v>22530</v>
      </c>
      <c r="O39" s="3">
        <f t="shared" si="2"/>
        <v>23164</v>
      </c>
      <c r="P39" s="3">
        <f t="shared" si="3"/>
        <v>23501</v>
      </c>
      <c r="Q39" s="17">
        <f t="shared" si="4"/>
        <v>23798</v>
      </c>
      <c r="R39" s="17" t="s">
        <v>40</v>
      </c>
      <c r="S39" s="17">
        <f t="shared" si="5"/>
        <v>23897</v>
      </c>
      <c r="T39" s="17">
        <v>173000</v>
      </c>
      <c r="U39" s="17">
        <f>ROUND(T39/123.1*125,0)/121*100</f>
        <v>145181.81818181818</v>
      </c>
      <c r="V39" s="79">
        <v>176500</v>
      </c>
      <c r="W39" s="119">
        <v>190620</v>
      </c>
      <c r="X39" s="71"/>
      <c r="Y39" s="99">
        <v>108</v>
      </c>
      <c r="Z39" s="71"/>
      <c r="AA39" s="74"/>
      <c r="AB39" s="120">
        <v>103.5</v>
      </c>
      <c r="AC39" s="134">
        <f t="shared" si="14"/>
        <v>211270.5</v>
      </c>
      <c r="AD39" s="105">
        <v>119.7</v>
      </c>
      <c r="AE39" s="109">
        <f t="shared" si="15"/>
        <v>0</v>
      </c>
      <c r="AF39" s="120">
        <v>115.1</v>
      </c>
      <c r="AG39" s="128"/>
      <c r="AH39" s="49" t="s">
        <v>51</v>
      </c>
      <c r="AI39" s="144">
        <v>190000</v>
      </c>
      <c r="AJ39" s="105">
        <v>125.2</v>
      </c>
      <c r="AK39" s="141"/>
      <c r="AL39" s="120">
        <v>123.3</v>
      </c>
      <c r="AM39" s="141"/>
      <c r="AN39" s="49" t="s">
        <v>51</v>
      </c>
      <c r="AO39" s="60" t="s">
        <v>51</v>
      </c>
      <c r="AP39" s="56" t="s">
        <v>245</v>
      </c>
    </row>
    <row r="40" spans="1:42" s="28" customFormat="1">
      <c r="A40" s="9" t="s">
        <v>131</v>
      </c>
      <c r="B40" s="34">
        <v>1</v>
      </c>
      <c r="C40" s="2" t="s">
        <v>35</v>
      </c>
      <c r="D40" s="1" t="s">
        <v>132</v>
      </c>
      <c r="E40" s="137" t="s">
        <v>256</v>
      </c>
      <c r="F40" s="1" t="s">
        <v>256</v>
      </c>
      <c r="G40" s="1" t="s">
        <v>256</v>
      </c>
      <c r="H40" s="1" t="s">
        <v>256</v>
      </c>
      <c r="I40" s="1" t="s">
        <v>133</v>
      </c>
      <c r="J40" s="1" t="s">
        <v>38</v>
      </c>
      <c r="K40" s="26" t="s">
        <v>134</v>
      </c>
      <c r="L40" s="35">
        <v>129672.22222222222</v>
      </c>
      <c r="M40" s="3">
        <v>130519.75308641975</v>
      </c>
      <c r="N40" s="3">
        <f t="shared" si="12"/>
        <v>130520</v>
      </c>
      <c r="O40" s="3">
        <f t="shared" si="2"/>
        <v>134190</v>
      </c>
      <c r="P40" s="3">
        <f t="shared" si="3"/>
        <v>136140</v>
      </c>
      <c r="Q40" s="17">
        <f t="shared" si="4"/>
        <v>137860</v>
      </c>
      <c r="R40" s="17" t="s">
        <v>40</v>
      </c>
      <c r="S40" s="17">
        <f t="shared" si="5"/>
        <v>138433</v>
      </c>
      <c r="T40" s="17">
        <v>112000</v>
      </c>
      <c r="U40" s="17">
        <f>ROUND(T40/123.1*125,0)/121*100</f>
        <v>93990.909090909088</v>
      </c>
      <c r="V40" s="79">
        <v>114300</v>
      </c>
      <c r="W40" s="119">
        <v>123444</v>
      </c>
      <c r="X40" s="71"/>
      <c r="Y40" s="98">
        <v>108</v>
      </c>
      <c r="Z40" s="71"/>
      <c r="AA40" s="74"/>
      <c r="AB40" s="120">
        <v>103.5</v>
      </c>
      <c r="AC40" s="134">
        <f t="shared" si="14"/>
        <v>136817.1</v>
      </c>
      <c r="AD40" s="105">
        <v>119.7</v>
      </c>
      <c r="AE40" s="109">
        <f t="shared" si="15"/>
        <v>0</v>
      </c>
      <c r="AF40" s="120">
        <v>115.1</v>
      </c>
      <c r="AG40" s="128"/>
      <c r="AH40" s="49" t="s">
        <v>51</v>
      </c>
      <c r="AI40" s="144">
        <v>165000</v>
      </c>
      <c r="AJ40" s="105">
        <v>125.2</v>
      </c>
      <c r="AK40" s="141"/>
      <c r="AL40" s="120">
        <v>123.3</v>
      </c>
      <c r="AM40" s="141"/>
      <c r="AN40" s="49" t="s">
        <v>51</v>
      </c>
      <c r="AO40" s="60" t="s">
        <v>51</v>
      </c>
      <c r="AP40" s="56" t="s">
        <v>245</v>
      </c>
    </row>
    <row r="41" spans="1:42" s="28" customFormat="1">
      <c r="A41" s="9" t="s">
        <v>135</v>
      </c>
      <c r="B41" s="34">
        <v>1</v>
      </c>
      <c r="C41" s="2" t="s">
        <v>35</v>
      </c>
      <c r="D41" s="1" t="s">
        <v>229</v>
      </c>
      <c r="E41" s="137" t="s">
        <v>256</v>
      </c>
      <c r="F41" s="1" t="s">
        <v>256</v>
      </c>
      <c r="G41" s="1" t="s">
        <v>256</v>
      </c>
      <c r="H41" s="1" t="s">
        <v>256</v>
      </c>
      <c r="I41" s="1" t="s">
        <v>64</v>
      </c>
      <c r="J41" s="1" t="s">
        <v>38</v>
      </c>
      <c r="K41" s="26" t="s">
        <v>137</v>
      </c>
      <c r="L41" s="35">
        <v>384672.22222222225</v>
      </c>
      <c r="M41" s="3">
        <v>387186.41975308646</v>
      </c>
      <c r="N41" s="3">
        <f t="shared" si="12"/>
        <v>387186</v>
      </c>
      <c r="O41" s="3">
        <f t="shared" si="2"/>
        <v>398073</v>
      </c>
      <c r="P41" s="3">
        <f t="shared" si="3"/>
        <v>403857</v>
      </c>
      <c r="Q41" s="17">
        <f t="shared" si="4"/>
        <v>408961</v>
      </c>
      <c r="R41" s="17" t="s">
        <v>40</v>
      </c>
      <c r="S41" s="17">
        <f t="shared" si="5"/>
        <v>410662</v>
      </c>
      <c r="T41" s="17">
        <v>42000</v>
      </c>
      <c r="U41" s="17">
        <f>ROUND(T41/123.1*125,0)/121*100</f>
        <v>35246.280991735533</v>
      </c>
      <c r="V41" s="79">
        <v>42900</v>
      </c>
      <c r="W41" s="119">
        <v>46332</v>
      </c>
      <c r="X41" s="71"/>
      <c r="Y41" s="99">
        <v>108</v>
      </c>
      <c r="Z41" s="71"/>
      <c r="AA41" s="74"/>
      <c r="AB41" s="120">
        <v>103.5</v>
      </c>
      <c r="AC41" s="134">
        <f t="shared" si="14"/>
        <v>51351.3</v>
      </c>
      <c r="AD41" s="105">
        <v>119.7</v>
      </c>
      <c r="AE41" s="109">
        <f t="shared" si="15"/>
        <v>0</v>
      </c>
      <c r="AF41" s="120">
        <v>115.1</v>
      </c>
      <c r="AG41" s="128"/>
      <c r="AH41" s="49" t="s">
        <v>51</v>
      </c>
      <c r="AI41" s="144">
        <v>325000</v>
      </c>
      <c r="AJ41" s="105">
        <v>125.2</v>
      </c>
      <c r="AK41" s="141"/>
      <c r="AL41" s="120">
        <v>123.3</v>
      </c>
      <c r="AM41" s="141"/>
      <c r="AN41" s="49" t="s">
        <v>51</v>
      </c>
      <c r="AO41" s="60" t="s">
        <v>51</v>
      </c>
      <c r="AP41" s="56" t="s">
        <v>245</v>
      </c>
    </row>
    <row r="42" spans="1:42" s="28" customFormat="1">
      <c r="A42" s="9" t="s">
        <v>138</v>
      </c>
      <c r="B42" s="34">
        <v>1</v>
      </c>
      <c r="C42" s="2" t="s">
        <v>35</v>
      </c>
      <c r="D42" s="1" t="s">
        <v>139</v>
      </c>
      <c r="E42" s="137" t="s">
        <v>256</v>
      </c>
      <c r="F42" s="1" t="s">
        <v>256</v>
      </c>
      <c r="G42" s="1" t="s">
        <v>256</v>
      </c>
      <c r="H42" s="1" t="s">
        <v>256</v>
      </c>
      <c r="I42" s="1"/>
      <c r="J42" s="1" t="s">
        <v>38</v>
      </c>
      <c r="K42" s="26" t="s">
        <v>140</v>
      </c>
      <c r="L42" s="35">
        <v>517650</v>
      </c>
      <c r="M42" s="3">
        <v>521033.33333333337</v>
      </c>
      <c r="N42" s="3">
        <f t="shared" si="12"/>
        <v>521033</v>
      </c>
      <c r="O42" s="3">
        <f t="shared" si="2"/>
        <v>535684</v>
      </c>
      <c r="P42" s="3">
        <f t="shared" si="3"/>
        <v>543467</v>
      </c>
      <c r="Q42" s="17">
        <f t="shared" si="4"/>
        <v>550335</v>
      </c>
      <c r="R42" s="17"/>
      <c r="S42" s="17">
        <f t="shared" si="5"/>
        <v>552624</v>
      </c>
      <c r="T42" s="17">
        <f t="shared" si="6"/>
        <v>560407</v>
      </c>
      <c r="U42" s="17">
        <f>ROUND(T42/122.4*125,0)/121*100</f>
        <v>472984.29752066114</v>
      </c>
      <c r="V42" s="79">
        <v>575100</v>
      </c>
      <c r="W42" s="119">
        <v>621108</v>
      </c>
      <c r="X42" s="71"/>
      <c r="Y42" s="98">
        <v>108</v>
      </c>
      <c r="Z42" s="71"/>
      <c r="AA42" s="74"/>
      <c r="AB42" s="120">
        <v>103.5</v>
      </c>
      <c r="AC42" s="134">
        <f t="shared" si="14"/>
        <v>688394.70000000007</v>
      </c>
      <c r="AD42" s="105">
        <v>119.7</v>
      </c>
      <c r="AE42" s="109">
        <f t="shared" si="15"/>
        <v>0</v>
      </c>
      <c r="AF42" s="120">
        <v>115.1</v>
      </c>
      <c r="AG42" s="128"/>
      <c r="AH42" s="49" t="s">
        <v>51</v>
      </c>
      <c r="AI42" s="144">
        <v>1000000</v>
      </c>
      <c r="AJ42" s="105">
        <v>125.2</v>
      </c>
      <c r="AK42" s="141"/>
      <c r="AL42" s="120">
        <v>123.3</v>
      </c>
      <c r="AM42" s="141"/>
      <c r="AN42" s="49" t="s">
        <v>51</v>
      </c>
      <c r="AO42" s="60" t="s">
        <v>51</v>
      </c>
      <c r="AP42" s="56" t="s">
        <v>245</v>
      </c>
    </row>
    <row r="43" spans="1:42" s="28" customFormat="1">
      <c r="A43" s="9" t="s">
        <v>141</v>
      </c>
      <c r="B43" s="34">
        <v>1</v>
      </c>
      <c r="C43" s="2" t="s">
        <v>35</v>
      </c>
      <c r="D43" s="1" t="s">
        <v>142</v>
      </c>
      <c r="E43" s="1" t="s">
        <v>256</v>
      </c>
      <c r="F43" s="1" t="s">
        <v>256</v>
      </c>
      <c r="G43" s="1" t="s">
        <v>256</v>
      </c>
      <c r="H43" s="1" t="s">
        <v>256</v>
      </c>
      <c r="I43" s="1" t="s">
        <v>143</v>
      </c>
      <c r="J43" s="1" t="s">
        <v>38</v>
      </c>
      <c r="K43" s="26" t="s">
        <v>144</v>
      </c>
      <c r="L43" s="35">
        <v>31733.333333333336</v>
      </c>
      <c r="M43" s="3">
        <v>31940.740740740741</v>
      </c>
      <c r="N43" s="3">
        <f t="shared" si="12"/>
        <v>31941</v>
      </c>
      <c r="O43" s="3">
        <f t="shared" si="2"/>
        <v>32839</v>
      </c>
      <c r="P43" s="3">
        <f t="shared" si="3"/>
        <v>33316</v>
      </c>
      <c r="Q43" s="17">
        <f t="shared" si="4"/>
        <v>33737</v>
      </c>
      <c r="R43" s="17" t="s">
        <v>40</v>
      </c>
      <c r="S43" s="17">
        <f t="shared" si="5"/>
        <v>33877</v>
      </c>
      <c r="T43" s="17">
        <v>129000</v>
      </c>
      <c r="U43" s="17">
        <f t="shared" ref="U43:U74" si="16">ROUND(T43/123.1*125,0)</f>
        <v>130991</v>
      </c>
      <c r="V43" s="79">
        <v>159300</v>
      </c>
      <c r="W43" s="119">
        <v>172044</v>
      </c>
      <c r="X43" s="71"/>
      <c r="Y43" s="99">
        <v>108</v>
      </c>
      <c r="Z43" s="71"/>
      <c r="AA43" s="74"/>
      <c r="AB43" s="120">
        <v>103.5</v>
      </c>
      <c r="AC43" s="134">
        <f t="shared" si="14"/>
        <v>190682.1</v>
      </c>
      <c r="AD43" s="105">
        <v>119.7</v>
      </c>
      <c r="AE43" s="109">
        <f t="shared" si="15"/>
        <v>0</v>
      </c>
      <c r="AF43" s="120">
        <v>115.1</v>
      </c>
      <c r="AG43" s="128"/>
      <c r="AH43" s="49" t="s">
        <v>41</v>
      </c>
      <c r="AI43" s="142">
        <v>180000</v>
      </c>
      <c r="AJ43" s="105">
        <v>125.2</v>
      </c>
      <c r="AK43" s="141"/>
      <c r="AL43" s="120">
        <v>123.3</v>
      </c>
      <c r="AM43" s="141"/>
      <c r="AN43" s="49" t="s">
        <v>41</v>
      </c>
      <c r="AO43" s="60" t="s">
        <v>41</v>
      </c>
      <c r="AP43" s="56" t="s">
        <v>245</v>
      </c>
    </row>
    <row r="44" spans="1:42" s="28" customFormat="1">
      <c r="A44" s="9" t="s">
        <v>141</v>
      </c>
      <c r="B44" s="34">
        <v>2</v>
      </c>
      <c r="C44" s="2" t="s">
        <v>35</v>
      </c>
      <c r="D44" s="1" t="s">
        <v>142</v>
      </c>
      <c r="E44" s="1" t="s">
        <v>256</v>
      </c>
      <c r="F44" s="1" t="s">
        <v>256</v>
      </c>
      <c r="G44" s="1" t="s">
        <v>256</v>
      </c>
      <c r="H44" s="1" t="s">
        <v>256</v>
      </c>
      <c r="I44" s="1" t="s">
        <v>143</v>
      </c>
      <c r="J44" s="1" t="s">
        <v>38</v>
      </c>
      <c r="K44" s="26" t="s">
        <v>144</v>
      </c>
      <c r="L44" s="35">
        <v>21627.777777777781</v>
      </c>
      <c r="M44" s="3">
        <v>21769.13580246914</v>
      </c>
      <c r="N44" s="3">
        <f t="shared" si="12"/>
        <v>21769</v>
      </c>
      <c r="O44" s="3">
        <f t="shared" si="2"/>
        <v>22381</v>
      </c>
      <c r="P44" s="3">
        <f t="shared" si="3"/>
        <v>22706</v>
      </c>
      <c r="Q44" s="17">
        <f t="shared" si="4"/>
        <v>22993</v>
      </c>
      <c r="R44" s="17" t="s">
        <v>40</v>
      </c>
      <c r="S44" s="17">
        <f t="shared" si="5"/>
        <v>23089</v>
      </c>
      <c r="T44" s="17"/>
      <c r="U44" s="17">
        <f t="shared" si="16"/>
        <v>0</v>
      </c>
      <c r="V44" s="79"/>
      <c r="W44" s="119"/>
      <c r="X44" s="71">
        <f>14900+1000</f>
        <v>15900</v>
      </c>
      <c r="Y44" s="98">
        <v>108</v>
      </c>
      <c r="Z44" s="71">
        <f>14900+1000</f>
        <v>15900</v>
      </c>
      <c r="AA44" s="74"/>
      <c r="AB44" s="120">
        <v>103.5</v>
      </c>
      <c r="AC44" s="134">
        <f t="shared" si="14"/>
        <v>0</v>
      </c>
      <c r="AD44" s="105">
        <v>119.7</v>
      </c>
      <c r="AE44" s="109">
        <f t="shared" si="15"/>
        <v>17682.028985507244</v>
      </c>
      <c r="AF44" s="120">
        <v>115.1</v>
      </c>
      <c r="AG44" s="128"/>
      <c r="AH44" s="49" t="s">
        <v>41</v>
      </c>
      <c r="AI44" s="141"/>
      <c r="AJ44" s="105">
        <v>125.2</v>
      </c>
      <c r="AK44" s="142">
        <v>41000</v>
      </c>
      <c r="AL44" s="120">
        <v>123.3</v>
      </c>
      <c r="AM44" s="141"/>
      <c r="AN44" s="49" t="s">
        <v>41</v>
      </c>
      <c r="AO44" s="60" t="s">
        <v>41</v>
      </c>
      <c r="AP44" s="2" t="s">
        <v>244</v>
      </c>
    </row>
    <row r="45" spans="1:42" s="28" customFormat="1">
      <c r="A45" s="9" t="s">
        <v>145</v>
      </c>
      <c r="B45" s="34">
        <v>1</v>
      </c>
      <c r="C45" s="2" t="s">
        <v>35</v>
      </c>
      <c r="D45" s="1" t="s">
        <v>146</v>
      </c>
      <c r="E45" s="1" t="s">
        <v>256</v>
      </c>
      <c r="F45" s="1" t="s">
        <v>255</v>
      </c>
      <c r="G45" s="1" t="s">
        <v>256</v>
      </c>
      <c r="H45" s="1" t="s">
        <v>256</v>
      </c>
      <c r="I45" s="1" t="s">
        <v>147</v>
      </c>
      <c r="J45" s="1" t="s">
        <v>38</v>
      </c>
      <c r="K45" s="26" t="s">
        <v>148</v>
      </c>
      <c r="L45" s="35">
        <v>200000</v>
      </c>
      <c r="M45" s="3">
        <v>201307.18954248365</v>
      </c>
      <c r="N45" s="3">
        <f t="shared" si="12"/>
        <v>201307</v>
      </c>
      <c r="O45" s="3">
        <f t="shared" si="2"/>
        <v>206968</v>
      </c>
      <c r="P45" s="3">
        <f t="shared" si="3"/>
        <v>209975</v>
      </c>
      <c r="Q45" s="17">
        <f t="shared" si="4"/>
        <v>212628</v>
      </c>
      <c r="R45" s="17" t="s">
        <v>40</v>
      </c>
      <c r="S45" s="17">
        <f t="shared" si="5"/>
        <v>213512</v>
      </c>
      <c r="T45" s="17">
        <v>265000</v>
      </c>
      <c r="U45" s="17">
        <f>ROUND(T45/123.1*125,0)/121*100</f>
        <v>222388.42975206612</v>
      </c>
      <c r="V45" s="79">
        <v>270400</v>
      </c>
      <c r="W45" s="119">
        <v>292032</v>
      </c>
      <c r="X45" s="73"/>
      <c r="Y45" s="99">
        <v>108</v>
      </c>
      <c r="Z45" s="73"/>
      <c r="AA45" s="74"/>
      <c r="AB45" s="120">
        <v>103.5</v>
      </c>
      <c r="AC45" s="134">
        <f t="shared" si="14"/>
        <v>323668.8</v>
      </c>
      <c r="AD45" s="105">
        <v>119.7</v>
      </c>
      <c r="AE45" s="109">
        <f t="shared" si="15"/>
        <v>0</v>
      </c>
      <c r="AF45" s="120">
        <v>115.1</v>
      </c>
      <c r="AG45" s="128"/>
      <c r="AH45" s="49" t="s">
        <v>51</v>
      </c>
      <c r="AI45" s="144">
        <v>280000</v>
      </c>
      <c r="AJ45" s="105">
        <v>125.2</v>
      </c>
      <c r="AK45" s="141"/>
      <c r="AL45" s="120">
        <v>123.3</v>
      </c>
      <c r="AM45" s="141"/>
      <c r="AN45" s="49" t="s">
        <v>51</v>
      </c>
      <c r="AO45" s="60" t="s">
        <v>51</v>
      </c>
      <c r="AP45" s="56" t="s">
        <v>245</v>
      </c>
    </row>
    <row r="46" spans="1:42" s="28" customFormat="1">
      <c r="A46" s="9" t="s">
        <v>145</v>
      </c>
      <c r="B46" s="34">
        <v>1</v>
      </c>
      <c r="C46" s="2" t="s">
        <v>35</v>
      </c>
      <c r="D46" s="1" t="s">
        <v>146</v>
      </c>
      <c r="E46" s="1" t="s">
        <v>256</v>
      </c>
      <c r="F46" s="1" t="s">
        <v>255</v>
      </c>
      <c r="G46" s="1" t="s">
        <v>256</v>
      </c>
      <c r="H46" s="1" t="s">
        <v>256</v>
      </c>
      <c r="I46" s="1" t="s">
        <v>147</v>
      </c>
      <c r="J46" s="1" t="s">
        <v>38</v>
      </c>
      <c r="K46" s="26" t="s">
        <v>148</v>
      </c>
      <c r="L46" s="35">
        <v>200000</v>
      </c>
      <c r="M46" s="3">
        <v>201307.18954248365</v>
      </c>
      <c r="N46" s="3">
        <f t="shared" si="12"/>
        <v>201307</v>
      </c>
      <c r="O46" s="3">
        <f t="shared" si="2"/>
        <v>206968</v>
      </c>
      <c r="P46" s="3">
        <f t="shared" si="3"/>
        <v>209975</v>
      </c>
      <c r="Q46" s="17">
        <f t="shared" si="4"/>
        <v>212628</v>
      </c>
      <c r="R46" s="17" t="s">
        <v>40</v>
      </c>
      <c r="S46" s="17">
        <f t="shared" si="5"/>
        <v>213512</v>
      </c>
      <c r="T46" s="17"/>
      <c r="U46" s="17">
        <f t="shared" si="16"/>
        <v>0</v>
      </c>
      <c r="V46" s="79"/>
      <c r="W46" s="119"/>
      <c r="X46" s="73">
        <f>(11800+700)/121*100</f>
        <v>10330.578512396694</v>
      </c>
      <c r="Y46" s="98">
        <v>108</v>
      </c>
      <c r="Z46" s="73">
        <f>(11800+700)/121*100</f>
        <v>10330.578512396694</v>
      </c>
      <c r="AA46" s="74"/>
      <c r="AB46" s="120">
        <v>103.5</v>
      </c>
      <c r="AC46" s="134">
        <f t="shared" si="14"/>
        <v>0</v>
      </c>
      <c r="AD46" s="105">
        <v>119.7</v>
      </c>
      <c r="AE46" s="109">
        <f t="shared" si="15"/>
        <v>11488.401804607338</v>
      </c>
      <c r="AF46" s="120">
        <v>115.1</v>
      </c>
      <c r="AG46" s="128"/>
      <c r="AH46" s="49" t="s">
        <v>51</v>
      </c>
      <c r="AI46" s="141"/>
      <c r="AJ46" s="105">
        <v>125.2</v>
      </c>
      <c r="AK46" s="144">
        <v>29000</v>
      </c>
      <c r="AL46" s="120">
        <v>123.3</v>
      </c>
      <c r="AM46" s="141"/>
      <c r="AN46" s="49" t="s">
        <v>51</v>
      </c>
      <c r="AO46" s="60" t="s">
        <v>51</v>
      </c>
      <c r="AP46" s="2" t="s">
        <v>244</v>
      </c>
    </row>
    <row r="47" spans="1:42" s="28" customFormat="1">
      <c r="A47" s="9" t="s">
        <v>149</v>
      </c>
      <c r="B47" s="34">
        <v>1</v>
      </c>
      <c r="C47" s="2" t="s">
        <v>35</v>
      </c>
      <c r="D47" s="1" t="s">
        <v>150</v>
      </c>
      <c r="E47" s="1" t="s">
        <v>256</v>
      </c>
      <c r="F47" s="1" t="s">
        <v>256</v>
      </c>
      <c r="G47" s="1" t="s">
        <v>256</v>
      </c>
      <c r="H47" s="1" t="s">
        <v>256</v>
      </c>
      <c r="I47" s="1" t="s">
        <v>151</v>
      </c>
      <c r="J47" s="1" t="s">
        <v>38</v>
      </c>
      <c r="K47" s="26" t="s">
        <v>152</v>
      </c>
      <c r="L47" s="36">
        <v>572000</v>
      </c>
      <c r="M47" s="3">
        <v>572000</v>
      </c>
      <c r="N47" s="3">
        <f t="shared" si="12"/>
        <v>572000</v>
      </c>
      <c r="O47" s="3">
        <f t="shared" si="2"/>
        <v>588084</v>
      </c>
      <c r="P47" s="3">
        <f t="shared" si="3"/>
        <v>596629</v>
      </c>
      <c r="Q47" s="17">
        <f t="shared" si="4"/>
        <v>604169</v>
      </c>
      <c r="R47" s="17" t="s">
        <v>40</v>
      </c>
      <c r="S47" s="17">
        <f t="shared" si="5"/>
        <v>606682</v>
      </c>
      <c r="T47" s="17">
        <v>912000</v>
      </c>
      <c r="U47" s="17">
        <f t="shared" si="16"/>
        <v>926076</v>
      </c>
      <c r="V47" s="79">
        <v>1126100</v>
      </c>
      <c r="W47" s="119">
        <v>1216188</v>
      </c>
      <c r="X47" s="71"/>
      <c r="Y47" s="99">
        <v>108</v>
      </c>
      <c r="Z47" s="71"/>
      <c r="AA47" s="74"/>
      <c r="AB47" s="120">
        <v>103.5</v>
      </c>
      <c r="AC47" s="134">
        <f t="shared" si="14"/>
        <v>1347941.7</v>
      </c>
      <c r="AD47" s="105">
        <v>119.7</v>
      </c>
      <c r="AE47" s="109">
        <f t="shared" si="15"/>
        <v>0</v>
      </c>
      <c r="AF47" s="120">
        <v>115.1</v>
      </c>
      <c r="AG47" s="128"/>
      <c r="AH47" s="49" t="s">
        <v>41</v>
      </c>
      <c r="AI47" s="142">
        <v>1535000</v>
      </c>
      <c r="AJ47" s="105">
        <v>125.2</v>
      </c>
      <c r="AK47" s="141"/>
      <c r="AL47" s="120">
        <v>123.3</v>
      </c>
      <c r="AM47" s="141"/>
      <c r="AN47" s="49" t="s">
        <v>41</v>
      </c>
      <c r="AO47" s="60" t="s">
        <v>41</v>
      </c>
      <c r="AP47" s="56" t="s">
        <v>245</v>
      </c>
    </row>
    <row r="48" spans="1:42" s="28" customFormat="1">
      <c r="A48" s="9" t="s">
        <v>153</v>
      </c>
      <c r="B48" s="34">
        <v>1</v>
      </c>
      <c r="C48" s="2" t="s">
        <v>35</v>
      </c>
      <c r="D48" s="2" t="s">
        <v>154</v>
      </c>
      <c r="E48" s="153" t="s">
        <v>41</v>
      </c>
      <c r="F48" s="2" t="s">
        <v>41</v>
      </c>
      <c r="G48" s="2" t="s">
        <v>262</v>
      </c>
      <c r="H48" s="2" t="s">
        <v>261</v>
      </c>
      <c r="I48" s="2" t="s">
        <v>155</v>
      </c>
      <c r="J48" s="1" t="s">
        <v>38</v>
      </c>
      <c r="K48" s="26" t="s">
        <v>156</v>
      </c>
      <c r="L48" s="35"/>
      <c r="M48" s="3"/>
      <c r="N48" s="3"/>
      <c r="O48" s="3">
        <v>7750000</v>
      </c>
      <c r="P48" s="3">
        <f>ROUND(O48/117*118.7,0)</f>
        <v>7862607</v>
      </c>
      <c r="Q48" s="17">
        <f>ROUND(P48/118.7*120.2,0)</f>
        <v>7961966</v>
      </c>
      <c r="R48" s="17" t="s">
        <v>40</v>
      </c>
      <c r="S48" s="17">
        <f>ROUND(Q48/120.2*120.7,0)</f>
        <v>7995086</v>
      </c>
      <c r="T48" s="17">
        <v>5971500</v>
      </c>
      <c r="U48" s="17">
        <f t="shared" si="16"/>
        <v>6063668</v>
      </c>
      <c r="V48" s="79">
        <v>7373400</v>
      </c>
      <c r="W48" s="119">
        <v>7963272</v>
      </c>
      <c r="X48" s="71"/>
      <c r="Y48" s="98">
        <v>108</v>
      </c>
      <c r="Z48" s="71"/>
      <c r="AA48" s="74"/>
      <c r="AB48" s="120">
        <v>103.5</v>
      </c>
      <c r="AC48" s="134">
        <f t="shared" si="14"/>
        <v>8825959.8000000007</v>
      </c>
      <c r="AD48" s="105">
        <v>119.7</v>
      </c>
      <c r="AE48" s="109">
        <f t="shared" si="15"/>
        <v>0</v>
      </c>
      <c r="AF48" s="120">
        <v>115.1</v>
      </c>
      <c r="AG48" s="128"/>
      <c r="AH48" s="49" t="s">
        <v>41</v>
      </c>
      <c r="AI48" s="142">
        <v>9335000</v>
      </c>
      <c r="AJ48" s="105">
        <v>125.2</v>
      </c>
      <c r="AK48" s="141"/>
      <c r="AL48" s="120">
        <v>123.3</v>
      </c>
      <c r="AM48" s="141"/>
      <c r="AN48" s="49" t="s">
        <v>41</v>
      </c>
      <c r="AO48" s="60" t="s">
        <v>41</v>
      </c>
      <c r="AP48" s="56" t="s">
        <v>245</v>
      </c>
    </row>
    <row r="49" spans="1:42" s="28" customFormat="1">
      <c r="A49" s="9" t="s">
        <v>153</v>
      </c>
      <c r="B49" s="34">
        <v>1</v>
      </c>
      <c r="C49" s="2" t="s">
        <v>35</v>
      </c>
      <c r="D49" s="2" t="s">
        <v>154</v>
      </c>
      <c r="E49" s="153" t="s">
        <v>41</v>
      </c>
      <c r="F49" s="2" t="s">
        <v>41</v>
      </c>
      <c r="G49" s="2" t="s">
        <v>262</v>
      </c>
      <c r="H49" s="2" t="s">
        <v>261</v>
      </c>
      <c r="I49" s="2" t="s">
        <v>155</v>
      </c>
      <c r="J49" s="1" t="s">
        <v>38</v>
      </c>
      <c r="K49" s="26" t="s">
        <v>157</v>
      </c>
      <c r="L49" s="35"/>
      <c r="M49" s="3"/>
      <c r="N49" s="3"/>
      <c r="O49" s="3">
        <v>7750000</v>
      </c>
      <c r="P49" s="3">
        <f>ROUND(O49/117*118.7,0)</f>
        <v>7862607</v>
      </c>
      <c r="Q49" s="17">
        <f>ROUND(P49/118.7*120.2,0)</f>
        <v>7961966</v>
      </c>
      <c r="R49" s="17" t="s">
        <v>40</v>
      </c>
      <c r="S49" s="17"/>
      <c r="T49" s="17"/>
      <c r="U49" s="17">
        <f t="shared" si="16"/>
        <v>0</v>
      </c>
      <c r="V49" s="79"/>
      <c r="W49" s="119"/>
      <c r="X49" s="71">
        <f>624722+253986</f>
        <v>878708</v>
      </c>
      <c r="Y49" s="99">
        <v>108</v>
      </c>
      <c r="Z49" s="71">
        <f>624722+253986</f>
        <v>878708</v>
      </c>
      <c r="AA49" s="74"/>
      <c r="AB49" s="120">
        <v>103.5</v>
      </c>
      <c r="AC49" s="134">
        <f t="shared" si="14"/>
        <v>0</v>
      </c>
      <c r="AD49" s="105">
        <v>119.7</v>
      </c>
      <c r="AE49" s="109">
        <f t="shared" si="15"/>
        <v>977191.21545893722</v>
      </c>
      <c r="AF49" s="120">
        <v>115.1</v>
      </c>
      <c r="AG49" s="128"/>
      <c r="AH49" s="49" t="s">
        <v>41</v>
      </c>
      <c r="AI49" s="141"/>
      <c r="AJ49" s="105">
        <v>125.2</v>
      </c>
      <c r="AK49" s="142">
        <v>1264450</v>
      </c>
      <c r="AL49" s="120">
        <v>123.3</v>
      </c>
      <c r="AM49" s="141"/>
      <c r="AN49" s="49" t="s">
        <v>41</v>
      </c>
      <c r="AO49" s="60" t="s">
        <v>41</v>
      </c>
      <c r="AP49" s="2" t="s">
        <v>244</v>
      </c>
    </row>
    <row r="50" spans="1:42" s="28" customFormat="1">
      <c r="A50" s="9" t="s">
        <v>153</v>
      </c>
      <c r="B50" s="34">
        <v>1</v>
      </c>
      <c r="C50" s="2" t="s">
        <v>35</v>
      </c>
      <c r="D50" s="2" t="s">
        <v>154</v>
      </c>
      <c r="E50" s="153" t="s">
        <v>41</v>
      </c>
      <c r="F50" s="2" t="s">
        <v>41</v>
      </c>
      <c r="G50" s="2" t="s">
        <v>262</v>
      </c>
      <c r="H50" s="2" t="s">
        <v>261</v>
      </c>
      <c r="I50" s="2" t="s">
        <v>155</v>
      </c>
      <c r="J50" s="1" t="s">
        <v>38</v>
      </c>
      <c r="K50" s="26" t="s">
        <v>158</v>
      </c>
      <c r="L50" s="35"/>
      <c r="M50" s="3"/>
      <c r="N50" s="3"/>
      <c r="O50" s="3">
        <v>7750000</v>
      </c>
      <c r="P50" s="3">
        <f>ROUND(O50/117*118.7,0)</f>
        <v>7862607</v>
      </c>
      <c r="Q50" s="17">
        <f>ROUND(P50/118.7*120.2,0)</f>
        <v>7961966</v>
      </c>
      <c r="R50" s="17" t="s">
        <v>40</v>
      </c>
      <c r="S50" s="17"/>
      <c r="T50" s="17"/>
      <c r="U50" s="17">
        <f t="shared" si="16"/>
        <v>0</v>
      </c>
      <c r="V50" s="79"/>
      <c r="W50" s="119"/>
      <c r="X50" s="71">
        <f>275311+110516</f>
        <v>385827</v>
      </c>
      <c r="Y50" s="98">
        <v>108</v>
      </c>
      <c r="Z50" s="71">
        <f>275311+110516</f>
        <v>385827</v>
      </c>
      <c r="AA50" s="74"/>
      <c r="AB50" s="120">
        <v>103.5</v>
      </c>
      <c r="AC50" s="134">
        <f t="shared" si="14"/>
        <v>0</v>
      </c>
      <c r="AD50" s="105">
        <v>119.7</v>
      </c>
      <c r="AE50" s="109">
        <f t="shared" si="15"/>
        <v>429069.4463768116</v>
      </c>
      <c r="AF50" s="120">
        <v>115.1</v>
      </c>
      <c r="AG50" s="128"/>
      <c r="AH50" s="49" t="s">
        <v>41</v>
      </c>
      <c r="AI50" s="141"/>
      <c r="AJ50" s="105">
        <v>125.2</v>
      </c>
      <c r="AK50" s="142">
        <v>726000</v>
      </c>
      <c r="AL50" s="120">
        <v>123.3</v>
      </c>
      <c r="AM50" s="141"/>
      <c r="AN50" s="49" t="s">
        <v>41</v>
      </c>
      <c r="AO50" s="60" t="s">
        <v>41</v>
      </c>
      <c r="AP50" s="2" t="s">
        <v>244</v>
      </c>
    </row>
    <row r="51" spans="1:42" s="28" customFormat="1">
      <c r="A51" s="9" t="s">
        <v>153</v>
      </c>
      <c r="B51" s="34">
        <v>1</v>
      </c>
      <c r="C51" s="2" t="s">
        <v>35</v>
      </c>
      <c r="D51" s="2" t="s">
        <v>154</v>
      </c>
      <c r="E51" s="153" t="s">
        <v>41</v>
      </c>
      <c r="F51" s="2" t="s">
        <v>41</v>
      </c>
      <c r="G51" s="2" t="s">
        <v>262</v>
      </c>
      <c r="H51" s="2" t="s">
        <v>261</v>
      </c>
      <c r="I51" s="2" t="s">
        <v>155</v>
      </c>
      <c r="J51" s="1" t="s">
        <v>38</v>
      </c>
      <c r="K51" s="26" t="s">
        <v>159</v>
      </c>
      <c r="L51" s="35"/>
      <c r="M51" s="3"/>
      <c r="N51" s="3"/>
      <c r="O51" s="3">
        <v>7750000</v>
      </c>
      <c r="P51" s="3">
        <f>ROUND(O51/117*118.7,0)</f>
        <v>7862607</v>
      </c>
      <c r="Q51" s="17">
        <f>ROUND(P51/118.7*120.2,0)</f>
        <v>7961966</v>
      </c>
      <c r="R51" s="17" t="s">
        <v>40</v>
      </c>
      <c r="S51" s="17"/>
      <c r="T51" s="17"/>
      <c r="U51" s="17">
        <f t="shared" si="16"/>
        <v>0</v>
      </c>
      <c r="V51" s="79"/>
      <c r="W51" s="119"/>
      <c r="X51" s="71">
        <f>127200+11610</f>
        <v>138810</v>
      </c>
      <c r="Y51" s="99">
        <v>108</v>
      </c>
      <c r="Z51" s="71">
        <f>127200+11610</f>
        <v>138810</v>
      </c>
      <c r="AA51" s="74"/>
      <c r="AB51" s="120">
        <v>103.5</v>
      </c>
      <c r="AC51" s="134">
        <f t="shared" si="14"/>
        <v>0</v>
      </c>
      <c r="AD51" s="105">
        <v>119.7</v>
      </c>
      <c r="AE51" s="109">
        <f t="shared" si="15"/>
        <v>154367.44927536231</v>
      </c>
      <c r="AF51" s="120">
        <v>115.1</v>
      </c>
      <c r="AG51" s="128"/>
      <c r="AH51" s="49" t="s">
        <v>41</v>
      </c>
      <c r="AI51" s="141"/>
      <c r="AJ51" s="105">
        <v>125.2</v>
      </c>
      <c r="AK51" s="142">
        <v>175450</v>
      </c>
      <c r="AL51" s="120">
        <v>123.3</v>
      </c>
      <c r="AM51" s="141"/>
      <c r="AN51" s="49" t="s">
        <v>41</v>
      </c>
      <c r="AO51" s="60" t="s">
        <v>41</v>
      </c>
      <c r="AP51" s="2" t="s">
        <v>244</v>
      </c>
    </row>
    <row r="52" spans="1:42" s="28" customFormat="1">
      <c r="A52" s="9" t="s">
        <v>153</v>
      </c>
      <c r="B52" s="34">
        <v>1</v>
      </c>
      <c r="C52" s="2" t="s">
        <v>35</v>
      </c>
      <c r="D52" s="2" t="s">
        <v>154</v>
      </c>
      <c r="E52" s="153" t="s">
        <v>41</v>
      </c>
      <c r="F52" s="2" t="s">
        <v>41</v>
      </c>
      <c r="G52" s="2" t="s">
        <v>262</v>
      </c>
      <c r="H52" s="2" t="s">
        <v>261</v>
      </c>
      <c r="I52" s="2" t="s">
        <v>155</v>
      </c>
      <c r="J52" s="1" t="s">
        <v>38</v>
      </c>
      <c r="K52" s="26" t="s">
        <v>160</v>
      </c>
      <c r="L52" s="35"/>
      <c r="M52" s="3"/>
      <c r="N52" s="3"/>
      <c r="O52" s="3">
        <v>7750000</v>
      </c>
      <c r="P52" s="3">
        <f>ROUND(O52/117*118.7,0)</f>
        <v>7862607</v>
      </c>
      <c r="Q52" s="17">
        <f>ROUND(P52/118.7*120.2,0)</f>
        <v>7961966</v>
      </c>
      <c r="R52" s="17" t="s">
        <v>40</v>
      </c>
      <c r="S52" s="17"/>
      <c r="T52" s="17"/>
      <c r="U52" s="17">
        <f t="shared" si="16"/>
        <v>0</v>
      </c>
      <c r="V52" s="79"/>
      <c r="W52" s="119"/>
      <c r="X52" s="71">
        <f>94500+4725</f>
        <v>99225</v>
      </c>
      <c r="Y52" s="98">
        <v>108</v>
      </c>
      <c r="Z52" s="71">
        <f>94500+4725</f>
        <v>99225</v>
      </c>
      <c r="AA52" s="74"/>
      <c r="AB52" s="120">
        <v>103.5</v>
      </c>
      <c r="AC52" s="134">
        <f t="shared" si="14"/>
        <v>0</v>
      </c>
      <c r="AD52" s="105">
        <v>119.7</v>
      </c>
      <c r="AE52" s="109">
        <f t="shared" si="15"/>
        <v>110345.86956521738</v>
      </c>
      <c r="AF52" s="120">
        <v>115.1</v>
      </c>
      <c r="AG52" s="128"/>
      <c r="AH52" s="49" t="s">
        <v>41</v>
      </c>
      <c r="AI52" s="141"/>
      <c r="AJ52" s="105">
        <v>125.2</v>
      </c>
      <c r="AK52" s="142">
        <v>133100</v>
      </c>
      <c r="AL52" s="120">
        <v>123.3</v>
      </c>
      <c r="AM52" s="141"/>
      <c r="AN52" s="49" t="s">
        <v>41</v>
      </c>
      <c r="AO52" s="60" t="s">
        <v>41</v>
      </c>
      <c r="AP52" s="2" t="s">
        <v>244</v>
      </c>
    </row>
    <row r="53" spans="1:42" s="28" customFormat="1">
      <c r="A53" s="9" t="s">
        <v>161</v>
      </c>
      <c r="B53" s="34">
        <v>1</v>
      </c>
      <c r="C53" s="2" t="s">
        <v>35</v>
      </c>
      <c r="D53" s="2" t="s">
        <v>162</v>
      </c>
      <c r="E53" s="153" t="s">
        <v>41</v>
      </c>
      <c r="F53" s="2" t="s">
        <v>41</v>
      </c>
      <c r="G53" s="2" t="s">
        <v>263</v>
      </c>
      <c r="H53" s="2" t="s">
        <v>261</v>
      </c>
      <c r="I53" s="2" t="s">
        <v>163</v>
      </c>
      <c r="J53" s="1" t="s">
        <v>38</v>
      </c>
      <c r="K53" s="26" t="s">
        <v>242</v>
      </c>
      <c r="L53" s="35">
        <v>5393744.2399454676</v>
      </c>
      <c r="M53" s="3">
        <f t="shared" ref="M53:M67" si="17">L53/153*154</f>
        <v>5428997.4702719087</v>
      </c>
      <c r="N53" s="3">
        <f>ROUND(M53,0)</f>
        <v>5428997</v>
      </c>
      <c r="O53" s="3">
        <f t="shared" si="2"/>
        <v>5581658</v>
      </c>
      <c r="P53" s="3">
        <f t="shared" si="3"/>
        <v>5662759</v>
      </c>
      <c r="Q53" s="17">
        <f t="shared" si="4"/>
        <v>5734319</v>
      </c>
      <c r="R53" s="17" t="s">
        <v>40</v>
      </c>
      <c r="S53" s="17">
        <f t="shared" si="5"/>
        <v>5758172</v>
      </c>
      <c r="T53" s="3">
        <v>5880000</v>
      </c>
      <c r="U53" s="17">
        <f t="shared" si="16"/>
        <v>5970755</v>
      </c>
      <c r="V53" s="79">
        <v>7260400</v>
      </c>
      <c r="W53" s="119">
        <v>7841232</v>
      </c>
      <c r="X53" s="71"/>
      <c r="Y53" s="99">
        <v>108</v>
      </c>
      <c r="Z53" s="71"/>
      <c r="AA53" s="74"/>
      <c r="AB53" s="120">
        <v>103.5</v>
      </c>
      <c r="AC53" s="134">
        <f t="shared" si="14"/>
        <v>8690698.8000000007</v>
      </c>
      <c r="AD53" s="105">
        <v>119.7</v>
      </c>
      <c r="AE53" s="109">
        <f t="shared" si="15"/>
        <v>0</v>
      </c>
      <c r="AF53" s="120">
        <v>115.1</v>
      </c>
      <c r="AG53" s="128"/>
      <c r="AH53" s="49" t="s">
        <v>41</v>
      </c>
      <c r="AI53" s="142">
        <v>9315000</v>
      </c>
      <c r="AJ53" s="105">
        <v>125.2</v>
      </c>
      <c r="AK53" s="141"/>
      <c r="AL53" s="120">
        <v>123.3</v>
      </c>
      <c r="AM53" s="141"/>
      <c r="AN53" s="49" t="s">
        <v>41</v>
      </c>
      <c r="AO53" s="60" t="s">
        <v>41</v>
      </c>
      <c r="AP53" s="56" t="s">
        <v>245</v>
      </c>
    </row>
    <row r="54" spans="1:42" s="28" customFormat="1">
      <c r="A54" s="9" t="s">
        <v>161</v>
      </c>
      <c r="B54" s="34">
        <v>2</v>
      </c>
      <c r="C54" s="2" t="s">
        <v>43</v>
      </c>
      <c r="D54" s="2" t="s">
        <v>162</v>
      </c>
      <c r="E54" s="153" t="s">
        <v>41</v>
      </c>
      <c r="F54" s="2" t="s">
        <v>41</v>
      </c>
      <c r="G54" s="2" t="s">
        <v>263</v>
      </c>
      <c r="H54" s="2" t="s">
        <v>261</v>
      </c>
      <c r="I54" s="2" t="s">
        <v>163</v>
      </c>
      <c r="J54" s="1" t="s">
        <v>38</v>
      </c>
      <c r="K54" s="138" t="s">
        <v>240</v>
      </c>
      <c r="L54" s="35">
        <v>562066.12133605999</v>
      </c>
      <c r="M54" s="3">
        <f t="shared" si="17"/>
        <v>565739.75611603423</v>
      </c>
      <c r="N54" s="3"/>
      <c r="O54" s="3">
        <f t="shared" si="2"/>
        <v>0</v>
      </c>
      <c r="P54" s="3">
        <f t="shared" si="3"/>
        <v>0</v>
      </c>
      <c r="Q54" s="17">
        <f t="shared" si="4"/>
        <v>0</v>
      </c>
      <c r="R54" s="17" t="s">
        <v>40</v>
      </c>
      <c r="S54" s="17">
        <f t="shared" si="5"/>
        <v>0</v>
      </c>
      <c r="T54" s="17">
        <f t="shared" ref="T54:T67" si="18">ROUND(S54/120.7*122.4,0)</f>
        <v>0</v>
      </c>
      <c r="U54" s="17">
        <f t="shared" si="16"/>
        <v>0</v>
      </c>
      <c r="V54" s="79"/>
      <c r="W54" s="119"/>
      <c r="X54" s="71">
        <f>796268+275813+76500+3825</f>
        <v>1152406</v>
      </c>
      <c r="Y54" s="98">
        <v>108</v>
      </c>
      <c r="Z54" s="71">
        <f>796268+275813+76500+3825</f>
        <v>1152406</v>
      </c>
      <c r="AA54" s="74"/>
      <c r="AB54" s="120">
        <v>103.5</v>
      </c>
      <c r="AC54" s="134">
        <f t="shared" si="14"/>
        <v>0</v>
      </c>
      <c r="AD54" s="105">
        <v>119.7</v>
      </c>
      <c r="AE54" s="109">
        <f t="shared" si="15"/>
        <v>1281564.5468599033</v>
      </c>
      <c r="AF54" s="120">
        <v>115.1</v>
      </c>
      <c r="AG54" s="128"/>
      <c r="AH54" s="49" t="s">
        <v>41</v>
      </c>
      <c r="AI54" s="141"/>
      <c r="AJ54" s="105">
        <v>125.2</v>
      </c>
      <c r="AK54" s="142">
        <v>738100</v>
      </c>
      <c r="AL54" s="120">
        <v>123.3</v>
      </c>
      <c r="AM54" s="141"/>
      <c r="AN54" s="49" t="s">
        <v>41</v>
      </c>
      <c r="AO54" s="60" t="s">
        <v>41</v>
      </c>
      <c r="AP54" s="2" t="s">
        <v>244</v>
      </c>
    </row>
    <row r="55" spans="1:42" s="28" customFormat="1">
      <c r="A55" s="9"/>
      <c r="B55" s="34"/>
      <c r="C55" s="2"/>
      <c r="D55" s="153" t="s">
        <v>162</v>
      </c>
      <c r="E55" s="153" t="s">
        <v>41</v>
      </c>
      <c r="F55" s="2" t="s">
        <v>41</v>
      </c>
      <c r="G55" s="2" t="s">
        <v>263</v>
      </c>
      <c r="H55" s="2" t="s">
        <v>261</v>
      </c>
      <c r="I55" s="153" t="s">
        <v>163</v>
      </c>
      <c r="J55" s="137" t="s">
        <v>38</v>
      </c>
      <c r="K55" s="138" t="s">
        <v>241</v>
      </c>
      <c r="L55" s="35"/>
      <c r="M55" s="3"/>
      <c r="N55" s="3"/>
      <c r="O55" s="3"/>
      <c r="P55" s="3"/>
      <c r="Q55" s="17"/>
      <c r="R55" s="17"/>
      <c r="S55" s="17"/>
      <c r="T55" s="17"/>
      <c r="U55" s="17"/>
      <c r="V55" s="79"/>
      <c r="W55" s="119"/>
      <c r="X55" s="71"/>
      <c r="Y55" s="98"/>
      <c r="Z55" s="71"/>
      <c r="AA55" s="74"/>
      <c r="AB55" s="120"/>
      <c r="AC55" s="134"/>
      <c r="AD55" s="105">
        <v>119.7</v>
      </c>
      <c r="AE55" s="109"/>
      <c r="AF55" s="120">
        <v>115.1</v>
      </c>
      <c r="AG55" s="128"/>
      <c r="AH55" s="49" t="s">
        <v>41</v>
      </c>
      <c r="AI55" s="141"/>
      <c r="AJ55" s="105">
        <v>125.2</v>
      </c>
      <c r="AK55" s="142">
        <v>108900</v>
      </c>
      <c r="AL55" s="120">
        <v>123.3</v>
      </c>
      <c r="AM55" s="141"/>
      <c r="AN55" s="49" t="s">
        <v>41</v>
      </c>
      <c r="AO55" s="60" t="s">
        <v>41</v>
      </c>
      <c r="AP55" s="2" t="s">
        <v>244</v>
      </c>
    </row>
    <row r="56" spans="1:42" s="28" customFormat="1">
      <c r="A56" s="9"/>
      <c r="B56" s="34"/>
      <c r="C56" s="2"/>
      <c r="D56" s="153" t="s">
        <v>162</v>
      </c>
      <c r="E56" s="153" t="s">
        <v>41</v>
      </c>
      <c r="F56" s="2" t="s">
        <v>41</v>
      </c>
      <c r="G56" s="2" t="s">
        <v>263</v>
      </c>
      <c r="H56" s="2" t="s">
        <v>261</v>
      </c>
      <c r="I56" s="153" t="s">
        <v>163</v>
      </c>
      <c r="J56" s="137" t="s">
        <v>38</v>
      </c>
      <c r="K56" s="138" t="s">
        <v>239</v>
      </c>
      <c r="L56" s="35"/>
      <c r="M56" s="3"/>
      <c r="N56" s="3"/>
      <c r="O56" s="3"/>
      <c r="P56" s="3"/>
      <c r="Q56" s="17"/>
      <c r="R56" s="17"/>
      <c r="S56" s="17"/>
      <c r="T56" s="17"/>
      <c r="U56" s="17"/>
      <c r="V56" s="79"/>
      <c r="W56" s="119"/>
      <c r="X56" s="71"/>
      <c r="Y56" s="98"/>
      <c r="Z56" s="71"/>
      <c r="AA56" s="74"/>
      <c r="AB56" s="120"/>
      <c r="AC56" s="134"/>
      <c r="AD56" s="105">
        <v>119.7</v>
      </c>
      <c r="AE56" s="109"/>
      <c r="AF56" s="120">
        <v>115.1</v>
      </c>
      <c r="AG56" s="128"/>
      <c r="AH56" s="49" t="s">
        <v>41</v>
      </c>
      <c r="AI56" s="141"/>
      <c r="AJ56" s="105">
        <v>125.2</v>
      </c>
      <c r="AK56" s="142">
        <v>816750</v>
      </c>
      <c r="AL56" s="120">
        <v>123.3</v>
      </c>
      <c r="AM56" s="141"/>
      <c r="AN56" s="49" t="s">
        <v>41</v>
      </c>
      <c r="AO56" s="60" t="s">
        <v>41</v>
      </c>
      <c r="AP56" s="2" t="s">
        <v>244</v>
      </c>
    </row>
    <row r="57" spans="1:42" s="28" customFormat="1">
      <c r="A57" s="9" t="s">
        <v>165</v>
      </c>
      <c r="B57" s="34">
        <v>1</v>
      </c>
      <c r="C57" s="2" t="s">
        <v>35</v>
      </c>
      <c r="D57" s="2" t="s">
        <v>166</v>
      </c>
      <c r="E57" s="153" t="s">
        <v>41</v>
      </c>
      <c r="F57" s="2" t="s">
        <v>41</v>
      </c>
      <c r="G57" s="2" t="s">
        <v>256</v>
      </c>
      <c r="H57" s="2"/>
      <c r="I57" s="2" t="s">
        <v>167</v>
      </c>
      <c r="J57" s="1" t="s">
        <v>38</v>
      </c>
      <c r="K57" s="26" t="s">
        <v>168</v>
      </c>
      <c r="L57" s="35">
        <v>5504922.1540558962</v>
      </c>
      <c r="M57" s="3">
        <f t="shared" si="17"/>
        <v>5540902.0374157391</v>
      </c>
      <c r="N57" s="3">
        <f>ROUND(M57,0)</f>
        <v>5540902</v>
      </c>
      <c r="O57" s="3">
        <f t="shared" si="2"/>
        <v>5696709</v>
      </c>
      <c r="P57" s="3">
        <f t="shared" si="3"/>
        <v>5779482</v>
      </c>
      <c r="Q57" s="17">
        <f t="shared" si="4"/>
        <v>5852517</v>
      </c>
      <c r="R57" s="17" t="s">
        <v>40</v>
      </c>
      <c r="S57" s="17">
        <f t="shared" si="5"/>
        <v>5876862</v>
      </c>
      <c r="T57" s="17">
        <v>5920000</v>
      </c>
      <c r="U57" s="17">
        <f t="shared" si="16"/>
        <v>6011373</v>
      </c>
      <c r="V57" s="79">
        <v>7309800</v>
      </c>
      <c r="W57" s="119">
        <v>7894584</v>
      </c>
      <c r="X57" s="71"/>
      <c r="Y57" s="99">
        <v>108</v>
      </c>
      <c r="Z57" s="71"/>
      <c r="AA57" s="74"/>
      <c r="AB57" s="120">
        <v>103.5</v>
      </c>
      <c r="AC57" s="134">
        <f t="shared" ref="AC57:AC78" si="19">W57/Y57*AD57</f>
        <v>8749830.5999999996</v>
      </c>
      <c r="AD57" s="105">
        <v>119.7</v>
      </c>
      <c r="AE57" s="109">
        <f t="shared" ref="AE57:AE78" si="20">Z57/AB57*AF57</f>
        <v>0</v>
      </c>
      <c r="AF57" s="120">
        <v>115.1</v>
      </c>
      <c r="AG57" s="128"/>
      <c r="AH57" s="49" t="s">
        <v>41</v>
      </c>
      <c r="AI57" s="142">
        <v>7986000</v>
      </c>
      <c r="AJ57" s="105">
        <v>125.2</v>
      </c>
      <c r="AK57" s="141"/>
      <c r="AL57" s="120">
        <v>123.3</v>
      </c>
      <c r="AM57" s="141"/>
      <c r="AN57" s="49" t="s">
        <v>41</v>
      </c>
      <c r="AO57" s="60" t="s">
        <v>41</v>
      </c>
      <c r="AP57" s="56" t="s">
        <v>245</v>
      </c>
    </row>
    <row r="58" spans="1:42" s="28" customFormat="1">
      <c r="A58" s="9" t="s">
        <v>165</v>
      </c>
      <c r="B58" s="34">
        <v>1</v>
      </c>
      <c r="C58" s="2" t="s">
        <v>35</v>
      </c>
      <c r="D58" s="2" t="s">
        <v>166</v>
      </c>
      <c r="E58" s="153" t="s">
        <v>41</v>
      </c>
      <c r="F58" s="2" t="s">
        <v>41</v>
      </c>
      <c r="G58" s="2" t="s">
        <v>256</v>
      </c>
      <c r="H58" s="2"/>
      <c r="I58" s="2" t="s">
        <v>167</v>
      </c>
      <c r="J58" s="1" t="s">
        <v>38</v>
      </c>
      <c r="K58" s="26" t="s">
        <v>169</v>
      </c>
      <c r="L58" s="35">
        <v>5504922.1540558962</v>
      </c>
      <c r="M58" s="3">
        <f>L58/153*154</f>
        <v>5540902.0374157391</v>
      </c>
      <c r="N58" s="3">
        <f>ROUND(M58,0)</f>
        <v>5540902</v>
      </c>
      <c r="O58" s="3">
        <f>ROUND(N58/113.8*117,0)</f>
        <v>5696709</v>
      </c>
      <c r="P58" s="3">
        <f>ROUND(O58/117*118.7,0)</f>
        <v>5779482</v>
      </c>
      <c r="Q58" s="17">
        <f>ROUND(P58/118.7*120.2,0)</f>
        <v>5852517</v>
      </c>
      <c r="R58" s="17" t="s">
        <v>40</v>
      </c>
      <c r="S58" s="17"/>
      <c r="T58" s="17"/>
      <c r="U58" s="17">
        <f t="shared" si="16"/>
        <v>0</v>
      </c>
      <c r="V58" s="79"/>
      <c r="W58" s="119"/>
      <c r="X58" s="73">
        <f>343397+117520</f>
        <v>460917</v>
      </c>
      <c r="Y58" s="98">
        <v>108</v>
      </c>
      <c r="Z58" s="73">
        <f>343397+117520</f>
        <v>460917</v>
      </c>
      <c r="AA58" s="74"/>
      <c r="AB58" s="120">
        <v>103.5</v>
      </c>
      <c r="AC58" s="134">
        <f t="shared" si="19"/>
        <v>0</v>
      </c>
      <c r="AD58" s="105">
        <v>119.7</v>
      </c>
      <c r="AE58" s="109">
        <f t="shared" si="20"/>
        <v>512575.33043478261</v>
      </c>
      <c r="AF58" s="120">
        <v>115.1</v>
      </c>
      <c r="AG58" s="128"/>
      <c r="AH58" s="49" t="s">
        <v>41</v>
      </c>
      <c r="AI58" s="141"/>
      <c r="AJ58" s="105">
        <v>125.2</v>
      </c>
      <c r="AK58" s="142">
        <v>992200</v>
      </c>
      <c r="AL58" s="120">
        <v>123.3</v>
      </c>
      <c r="AM58" s="141"/>
      <c r="AN58" s="49" t="s">
        <v>41</v>
      </c>
      <c r="AO58" s="60" t="s">
        <v>41</v>
      </c>
      <c r="AP58" s="2" t="s">
        <v>244</v>
      </c>
    </row>
    <row r="59" spans="1:42" s="28" customFormat="1">
      <c r="A59" s="9" t="s">
        <v>165</v>
      </c>
      <c r="B59" s="34">
        <v>1</v>
      </c>
      <c r="C59" s="2" t="s">
        <v>35</v>
      </c>
      <c r="D59" s="2" t="s">
        <v>166</v>
      </c>
      <c r="E59" s="153" t="s">
        <v>41</v>
      </c>
      <c r="F59" s="2" t="s">
        <v>41</v>
      </c>
      <c r="G59" s="2" t="s">
        <v>256</v>
      </c>
      <c r="H59" s="2"/>
      <c r="I59" s="2" t="s">
        <v>167</v>
      </c>
      <c r="J59" s="1" t="s">
        <v>38</v>
      </c>
      <c r="K59" s="26" t="s">
        <v>170</v>
      </c>
      <c r="L59" s="35">
        <v>5504922.1540558962</v>
      </c>
      <c r="M59" s="3">
        <f>L59/153*154</f>
        <v>5540902.0374157391</v>
      </c>
      <c r="N59" s="3">
        <f>ROUND(M59,0)</f>
        <v>5540902</v>
      </c>
      <c r="O59" s="3">
        <f>ROUND(N59/113.8*117,0)</f>
        <v>5696709</v>
      </c>
      <c r="P59" s="3">
        <f>ROUND(O59/117*118.7,0)</f>
        <v>5779482</v>
      </c>
      <c r="Q59" s="17">
        <f>ROUND(P59/118.7*120.2,0)</f>
        <v>5852517</v>
      </c>
      <c r="R59" s="17" t="s">
        <v>40</v>
      </c>
      <c r="S59" s="17"/>
      <c r="T59" s="17"/>
      <c r="U59" s="17">
        <f t="shared" si="16"/>
        <v>0</v>
      </c>
      <c r="V59" s="79"/>
      <c r="W59" s="119"/>
      <c r="X59" s="71">
        <f>514233+140712</f>
        <v>654945</v>
      </c>
      <c r="Y59" s="99">
        <v>108</v>
      </c>
      <c r="Z59" s="71">
        <f>514233+140712</f>
        <v>654945</v>
      </c>
      <c r="AA59" s="74"/>
      <c r="AB59" s="120">
        <v>103.5</v>
      </c>
      <c r="AC59" s="134">
        <f t="shared" si="19"/>
        <v>0</v>
      </c>
      <c r="AD59" s="105">
        <v>119.7</v>
      </c>
      <c r="AE59" s="109">
        <f t="shared" si="20"/>
        <v>728349.46376811597</v>
      </c>
      <c r="AF59" s="120">
        <v>115.1</v>
      </c>
      <c r="AG59" s="128"/>
      <c r="AH59" s="49" t="s">
        <v>41</v>
      </c>
      <c r="AI59" s="141"/>
      <c r="AJ59" s="105">
        <v>125.2</v>
      </c>
      <c r="AK59" s="142">
        <v>1203950</v>
      </c>
      <c r="AL59" s="120">
        <v>123.3</v>
      </c>
      <c r="AM59" s="141"/>
      <c r="AN59" s="49" t="s">
        <v>41</v>
      </c>
      <c r="AO59" s="60" t="s">
        <v>41</v>
      </c>
      <c r="AP59" s="2" t="s">
        <v>244</v>
      </c>
    </row>
    <row r="60" spans="1:42" s="28" customFormat="1">
      <c r="A60" s="9" t="s">
        <v>165</v>
      </c>
      <c r="B60" s="34">
        <v>1</v>
      </c>
      <c r="C60" s="2" t="s">
        <v>35</v>
      </c>
      <c r="D60" s="2" t="s">
        <v>166</v>
      </c>
      <c r="E60" s="153" t="s">
        <v>41</v>
      </c>
      <c r="F60" s="2" t="s">
        <v>41</v>
      </c>
      <c r="G60" s="2" t="s">
        <v>256</v>
      </c>
      <c r="H60" s="2"/>
      <c r="I60" s="2" t="s">
        <v>167</v>
      </c>
      <c r="J60" s="1" t="s">
        <v>38</v>
      </c>
      <c r="K60" s="26" t="s">
        <v>171</v>
      </c>
      <c r="L60" s="35">
        <v>5504922.1540558962</v>
      </c>
      <c r="M60" s="3">
        <f>L60/153*154</f>
        <v>5540902.0374157391</v>
      </c>
      <c r="N60" s="3">
        <f>ROUND(M60,0)</f>
        <v>5540902</v>
      </c>
      <c r="O60" s="3">
        <f>ROUND(N60/113.8*117,0)</f>
        <v>5696709</v>
      </c>
      <c r="P60" s="3">
        <f>ROUND(O60/117*118.7,0)</f>
        <v>5779482</v>
      </c>
      <c r="Q60" s="17">
        <f>ROUND(P60/118.7*120.2,0)</f>
        <v>5852517</v>
      </c>
      <c r="R60" s="17" t="s">
        <v>40</v>
      </c>
      <c r="S60" s="17"/>
      <c r="T60" s="17"/>
      <c r="U60" s="17">
        <f t="shared" si="16"/>
        <v>0</v>
      </c>
      <c r="V60" s="79"/>
      <c r="W60" s="119"/>
      <c r="X60" s="71">
        <f>35200+2500</f>
        <v>37700</v>
      </c>
      <c r="Y60" s="98">
        <v>108</v>
      </c>
      <c r="Z60" s="71">
        <f>35200+2500</f>
        <v>37700</v>
      </c>
      <c r="AA60" s="74"/>
      <c r="AB60" s="120">
        <v>103.5</v>
      </c>
      <c r="AC60" s="134">
        <f t="shared" si="19"/>
        <v>0</v>
      </c>
      <c r="AD60" s="105">
        <v>119.7</v>
      </c>
      <c r="AE60" s="109">
        <f t="shared" si="20"/>
        <v>41925.314009661837</v>
      </c>
      <c r="AF60" s="120">
        <v>115.1</v>
      </c>
      <c r="AG60" s="128"/>
      <c r="AH60" s="49" t="s">
        <v>41</v>
      </c>
      <c r="AI60" s="141"/>
      <c r="AJ60" s="105">
        <v>125.2</v>
      </c>
      <c r="AK60" s="142">
        <v>54450</v>
      </c>
      <c r="AL60" s="120">
        <v>123.3</v>
      </c>
      <c r="AM60" s="141"/>
      <c r="AN60" s="49" t="s">
        <v>41</v>
      </c>
      <c r="AO60" s="60" t="s">
        <v>41</v>
      </c>
      <c r="AP60" s="2" t="s">
        <v>244</v>
      </c>
    </row>
    <row r="61" spans="1:42" s="28" customFormat="1">
      <c r="A61" s="9" t="s">
        <v>172</v>
      </c>
      <c r="B61" s="34">
        <v>1</v>
      </c>
      <c r="C61" s="2" t="s">
        <v>35</v>
      </c>
      <c r="D61" s="2" t="s">
        <v>173</v>
      </c>
      <c r="E61" s="153" t="s">
        <v>41</v>
      </c>
      <c r="F61" s="2" t="s">
        <v>41</v>
      </c>
      <c r="G61" s="2" t="s">
        <v>256</v>
      </c>
      <c r="H61" s="2"/>
      <c r="I61" s="2" t="s">
        <v>120</v>
      </c>
      <c r="J61" s="1" t="s">
        <v>38</v>
      </c>
      <c r="K61" s="26" t="s">
        <v>174</v>
      </c>
      <c r="L61" s="35">
        <v>2296251.533742331</v>
      </c>
      <c r="M61" s="3">
        <f t="shared" si="17"/>
        <v>2311259.7137014312</v>
      </c>
      <c r="N61" s="3">
        <f>ROUND(M61,0)</f>
        <v>2311260</v>
      </c>
      <c r="O61" s="3">
        <f t="shared" si="2"/>
        <v>2376251</v>
      </c>
      <c r="P61" s="3">
        <f t="shared" si="3"/>
        <v>2410778</v>
      </c>
      <c r="Q61" s="17">
        <f t="shared" si="4"/>
        <v>2441243</v>
      </c>
      <c r="R61" s="17" t="s">
        <v>40</v>
      </c>
      <c r="S61" s="17">
        <f t="shared" si="5"/>
        <v>2451398</v>
      </c>
      <c r="T61" s="17">
        <v>2980000</v>
      </c>
      <c r="U61" s="17">
        <f t="shared" si="16"/>
        <v>3025995</v>
      </c>
      <c r="V61" s="79">
        <v>3679600</v>
      </c>
      <c r="W61" s="119">
        <v>3973968</v>
      </c>
      <c r="X61" s="71"/>
      <c r="Y61" s="99">
        <v>108</v>
      </c>
      <c r="Z61" s="71"/>
      <c r="AA61" s="74"/>
      <c r="AB61" s="120">
        <v>103.5</v>
      </c>
      <c r="AC61" s="134">
        <f t="shared" si="19"/>
        <v>4404481.2</v>
      </c>
      <c r="AD61" s="105">
        <v>119.7</v>
      </c>
      <c r="AE61" s="109">
        <f t="shared" si="20"/>
        <v>0</v>
      </c>
      <c r="AF61" s="120">
        <v>115.1</v>
      </c>
      <c r="AG61" s="128"/>
      <c r="AH61" s="49" t="s">
        <v>41</v>
      </c>
      <c r="AI61" s="142">
        <v>3915000</v>
      </c>
      <c r="AJ61" s="105">
        <v>125.2</v>
      </c>
      <c r="AK61" s="141"/>
      <c r="AL61" s="120">
        <v>123.3</v>
      </c>
      <c r="AM61" s="141"/>
      <c r="AN61" s="49" t="s">
        <v>41</v>
      </c>
      <c r="AO61" s="60" t="s">
        <v>41</v>
      </c>
      <c r="AP61" s="56" t="s">
        <v>245</v>
      </c>
    </row>
    <row r="62" spans="1:42" s="28" customFormat="1">
      <c r="A62" s="9" t="s">
        <v>172</v>
      </c>
      <c r="B62" s="34">
        <v>2</v>
      </c>
      <c r="C62" s="2" t="s">
        <v>43</v>
      </c>
      <c r="D62" s="2" t="s">
        <v>173</v>
      </c>
      <c r="E62" s="153" t="s">
        <v>41</v>
      </c>
      <c r="F62" s="2" t="s">
        <v>41</v>
      </c>
      <c r="G62" s="2" t="s">
        <v>256</v>
      </c>
      <c r="H62" s="2"/>
      <c r="I62" s="2" t="s">
        <v>120</v>
      </c>
      <c r="J62" s="1" t="s">
        <v>38</v>
      </c>
      <c r="K62" s="26" t="s">
        <v>174</v>
      </c>
      <c r="L62" s="35">
        <v>358334.96932515339</v>
      </c>
      <c r="M62" s="3">
        <f t="shared" si="17"/>
        <v>360677.0279481936</v>
      </c>
      <c r="N62" s="3"/>
      <c r="O62" s="3">
        <f t="shared" si="2"/>
        <v>0</v>
      </c>
      <c r="P62" s="3">
        <f t="shared" si="3"/>
        <v>0</v>
      </c>
      <c r="Q62" s="17">
        <f t="shared" si="4"/>
        <v>0</v>
      </c>
      <c r="R62" s="17" t="s">
        <v>40</v>
      </c>
      <c r="S62" s="17">
        <f t="shared" si="5"/>
        <v>0</v>
      </c>
      <c r="T62" s="17">
        <f t="shared" si="18"/>
        <v>0</v>
      </c>
      <c r="U62" s="17">
        <f t="shared" si="16"/>
        <v>0</v>
      </c>
      <c r="V62" s="79"/>
      <c r="W62" s="119"/>
      <c r="X62" s="71">
        <f>364815+110491</f>
        <v>475306</v>
      </c>
      <c r="Y62" s="98">
        <v>108</v>
      </c>
      <c r="Z62" s="71">
        <f>364815+110491</f>
        <v>475306</v>
      </c>
      <c r="AA62" s="74"/>
      <c r="AB62" s="120">
        <v>103.5</v>
      </c>
      <c r="AC62" s="134">
        <f t="shared" si="19"/>
        <v>0</v>
      </c>
      <c r="AD62" s="105">
        <v>119.7</v>
      </c>
      <c r="AE62" s="109">
        <f t="shared" si="20"/>
        <v>528577.01062801934</v>
      </c>
      <c r="AF62" s="120">
        <v>115.1</v>
      </c>
      <c r="AG62" s="128"/>
      <c r="AH62" s="49" t="s">
        <v>41</v>
      </c>
      <c r="AI62" s="141"/>
      <c r="AJ62" s="105">
        <v>125.2</v>
      </c>
      <c r="AK62" s="142">
        <v>919600</v>
      </c>
      <c r="AL62" s="120">
        <v>123.3</v>
      </c>
      <c r="AM62" s="141"/>
      <c r="AN62" s="49" t="s">
        <v>41</v>
      </c>
      <c r="AO62" s="60" t="s">
        <v>41</v>
      </c>
      <c r="AP62" s="2" t="s">
        <v>244</v>
      </c>
    </row>
    <row r="63" spans="1:42" s="28" customFormat="1">
      <c r="A63" s="9" t="s">
        <v>175</v>
      </c>
      <c r="B63" s="34">
        <v>1</v>
      </c>
      <c r="C63" s="2" t="s">
        <v>35</v>
      </c>
      <c r="D63" s="2" t="s">
        <v>176</v>
      </c>
      <c r="E63" s="153" t="s">
        <v>41</v>
      </c>
      <c r="F63" s="2" t="s">
        <v>41</v>
      </c>
      <c r="G63" s="2" t="s">
        <v>256</v>
      </c>
      <c r="H63" s="2"/>
      <c r="I63" s="2" t="s">
        <v>177</v>
      </c>
      <c r="J63" s="1" t="s">
        <v>38</v>
      </c>
      <c r="K63" s="26" t="s">
        <v>178</v>
      </c>
      <c r="L63" s="35">
        <v>3170946.1486025904</v>
      </c>
      <c r="M63" s="3">
        <f t="shared" si="17"/>
        <v>3191671.2868287512</v>
      </c>
      <c r="N63" s="3">
        <f>ROUND(M63,0)</f>
        <v>3191671</v>
      </c>
      <c r="O63" s="3">
        <f t="shared" si="2"/>
        <v>3281419</v>
      </c>
      <c r="P63" s="3">
        <f t="shared" si="3"/>
        <v>3329098</v>
      </c>
      <c r="Q63" s="17">
        <f t="shared" si="4"/>
        <v>3371167</v>
      </c>
      <c r="R63" s="17" t="s">
        <v>40</v>
      </c>
      <c r="S63" s="17">
        <f t="shared" si="5"/>
        <v>3385190</v>
      </c>
      <c r="T63" s="17">
        <v>4085000</v>
      </c>
      <c r="U63" s="17">
        <f t="shared" si="16"/>
        <v>4148050</v>
      </c>
      <c r="V63" s="79">
        <v>5044000</v>
      </c>
      <c r="W63" s="119">
        <v>5447520</v>
      </c>
      <c r="X63" s="71"/>
      <c r="Y63" s="99">
        <v>108</v>
      </c>
      <c r="Z63" s="71"/>
      <c r="AA63" s="74"/>
      <c r="AB63" s="120">
        <v>103.5</v>
      </c>
      <c r="AC63" s="134">
        <f t="shared" si="19"/>
        <v>6037668</v>
      </c>
      <c r="AD63" s="105">
        <v>119.7</v>
      </c>
      <c r="AE63" s="109">
        <f t="shared" si="20"/>
        <v>0</v>
      </c>
      <c r="AF63" s="120">
        <v>115.1</v>
      </c>
      <c r="AG63" s="128"/>
      <c r="AH63" s="49" t="s">
        <v>41</v>
      </c>
      <c r="AI63" s="142">
        <v>6510000</v>
      </c>
      <c r="AJ63" s="105">
        <v>125.2</v>
      </c>
      <c r="AK63" s="141"/>
      <c r="AL63" s="120">
        <v>123.3</v>
      </c>
      <c r="AM63" s="141"/>
      <c r="AN63" s="49" t="s">
        <v>41</v>
      </c>
      <c r="AO63" s="60" t="s">
        <v>41</v>
      </c>
      <c r="AP63" s="56" t="s">
        <v>245</v>
      </c>
    </row>
    <row r="64" spans="1:42" s="28" customFormat="1">
      <c r="A64" s="9" t="s">
        <v>175</v>
      </c>
      <c r="B64" s="34"/>
      <c r="C64" s="2"/>
      <c r="D64" s="2" t="s">
        <v>179</v>
      </c>
      <c r="E64" s="2" t="s">
        <v>256</v>
      </c>
      <c r="F64" s="2" t="s">
        <v>256</v>
      </c>
      <c r="G64" s="2" t="s">
        <v>256</v>
      </c>
      <c r="H64" s="2" t="s">
        <v>256</v>
      </c>
      <c r="I64" s="2" t="s">
        <v>177</v>
      </c>
      <c r="J64" s="1" t="s">
        <v>38</v>
      </c>
      <c r="K64" s="26" t="s">
        <v>180</v>
      </c>
      <c r="L64" s="35"/>
      <c r="M64" s="3"/>
      <c r="N64" s="3"/>
      <c r="O64" s="3"/>
      <c r="P64" s="3"/>
      <c r="Q64" s="17"/>
      <c r="R64" s="17" t="s">
        <v>40</v>
      </c>
      <c r="S64" s="17"/>
      <c r="T64" s="17"/>
      <c r="U64" s="17">
        <f t="shared" si="16"/>
        <v>0</v>
      </c>
      <c r="V64" s="79"/>
      <c r="W64" s="119"/>
      <c r="X64" s="71">
        <f>67500+3375</f>
        <v>70875</v>
      </c>
      <c r="Y64" s="98">
        <v>108</v>
      </c>
      <c r="Z64" s="71">
        <f>67500+3375</f>
        <v>70875</v>
      </c>
      <c r="AA64" s="74"/>
      <c r="AB64" s="120">
        <v>103.5</v>
      </c>
      <c r="AC64" s="134">
        <f t="shared" si="19"/>
        <v>0</v>
      </c>
      <c r="AD64" s="105">
        <v>119.7</v>
      </c>
      <c r="AE64" s="109">
        <f t="shared" si="20"/>
        <v>78818.478260869553</v>
      </c>
      <c r="AF64" s="120">
        <v>115.1</v>
      </c>
      <c r="AG64" s="128"/>
      <c r="AH64" s="49" t="s">
        <v>41</v>
      </c>
      <c r="AI64" s="141"/>
      <c r="AJ64" s="105">
        <v>125.2</v>
      </c>
      <c r="AK64" s="142">
        <v>108900</v>
      </c>
      <c r="AL64" s="120">
        <v>123.3</v>
      </c>
      <c r="AM64" s="141"/>
      <c r="AN64" s="49" t="s">
        <v>41</v>
      </c>
      <c r="AO64" s="60" t="s">
        <v>41</v>
      </c>
      <c r="AP64" s="2" t="s">
        <v>244</v>
      </c>
    </row>
    <row r="65" spans="1:42" s="28" customFormat="1">
      <c r="A65" s="9" t="s">
        <v>175</v>
      </c>
      <c r="B65" s="34">
        <v>2</v>
      </c>
      <c r="C65" s="2" t="s">
        <v>43</v>
      </c>
      <c r="D65" s="2" t="s">
        <v>181</v>
      </c>
      <c r="E65" s="153" t="s">
        <v>41</v>
      </c>
      <c r="F65" s="2" t="s">
        <v>259</v>
      </c>
      <c r="G65" s="2" t="s">
        <v>256</v>
      </c>
      <c r="H65" s="2"/>
      <c r="I65" s="2" t="s">
        <v>177</v>
      </c>
      <c r="J65" s="1" t="s">
        <v>38</v>
      </c>
      <c r="K65" s="26" t="s">
        <v>182</v>
      </c>
      <c r="L65" s="35">
        <v>329732.78800272668</v>
      </c>
      <c r="M65" s="3">
        <f t="shared" si="17"/>
        <v>331887.90426418238</v>
      </c>
      <c r="N65" s="3"/>
      <c r="O65" s="3">
        <f t="shared" si="2"/>
        <v>0</v>
      </c>
      <c r="P65" s="3">
        <f t="shared" si="3"/>
        <v>0</v>
      </c>
      <c r="Q65" s="2"/>
      <c r="R65" s="17" t="s">
        <v>40</v>
      </c>
      <c r="S65" s="17">
        <f t="shared" si="5"/>
        <v>0</v>
      </c>
      <c r="T65" s="17">
        <f t="shared" si="18"/>
        <v>0</v>
      </c>
      <c r="U65" s="17">
        <f t="shared" si="16"/>
        <v>0</v>
      </c>
      <c r="V65" s="79"/>
      <c r="W65" s="119"/>
      <c r="X65" s="71">
        <f>477340+107017</f>
        <v>584357</v>
      </c>
      <c r="Y65" s="99">
        <v>108</v>
      </c>
      <c r="Z65" s="71">
        <f>477340+107017</f>
        <v>584357</v>
      </c>
      <c r="AA65" s="74"/>
      <c r="AB65" s="120">
        <v>103.5</v>
      </c>
      <c r="AC65" s="134">
        <f t="shared" si="19"/>
        <v>0</v>
      </c>
      <c r="AD65" s="105">
        <v>119.7</v>
      </c>
      <c r="AE65" s="109">
        <f t="shared" si="20"/>
        <v>649850.15169082116</v>
      </c>
      <c r="AF65" s="120">
        <v>115.1</v>
      </c>
      <c r="AG65" s="128"/>
      <c r="AH65" s="49" t="s">
        <v>41</v>
      </c>
      <c r="AI65" s="141"/>
      <c r="AJ65" s="105">
        <v>125.2</v>
      </c>
      <c r="AK65" s="142">
        <v>768350</v>
      </c>
      <c r="AL65" s="120">
        <v>123.3</v>
      </c>
      <c r="AM65" s="141"/>
      <c r="AN65" s="49" t="s">
        <v>41</v>
      </c>
      <c r="AO65" s="60" t="s">
        <v>41</v>
      </c>
      <c r="AP65" s="2" t="s">
        <v>244</v>
      </c>
    </row>
    <row r="66" spans="1:42" s="28" customFormat="1">
      <c r="A66" s="9" t="s">
        <v>183</v>
      </c>
      <c r="B66" s="34">
        <v>1</v>
      </c>
      <c r="C66" s="2" t="s">
        <v>35</v>
      </c>
      <c r="D66" s="2" t="s">
        <v>184</v>
      </c>
      <c r="E66" s="2" t="s">
        <v>256</v>
      </c>
      <c r="F66" s="2" t="s">
        <v>256</v>
      </c>
      <c r="G66" s="2" t="s">
        <v>256</v>
      </c>
      <c r="H66" s="2" t="s">
        <v>256</v>
      </c>
      <c r="I66" s="2" t="s">
        <v>120</v>
      </c>
      <c r="J66" s="1" t="s">
        <v>38</v>
      </c>
      <c r="K66" s="26" t="s">
        <v>180</v>
      </c>
      <c r="L66" s="35">
        <v>620220.72256305395</v>
      </c>
      <c r="M66" s="3">
        <f t="shared" si="17"/>
        <v>624274.45277588442</v>
      </c>
      <c r="N66" s="3">
        <f>ROUND(M66,0)</f>
        <v>624274</v>
      </c>
      <c r="O66" s="3">
        <f t="shared" si="2"/>
        <v>641828</v>
      </c>
      <c r="P66" s="3">
        <f t="shared" si="3"/>
        <v>651154</v>
      </c>
      <c r="Q66" s="17">
        <f t="shared" si="4"/>
        <v>659383</v>
      </c>
      <c r="R66" s="17" t="s">
        <v>40</v>
      </c>
      <c r="S66" s="17">
        <f t="shared" si="5"/>
        <v>662126</v>
      </c>
      <c r="T66" s="17">
        <v>825000</v>
      </c>
      <c r="U66" s="17">
        <f t="shared" si="16"/>
        <v>837734</v>
      </c>
      <c r="V66" s="79">
        <v>1018700</v>
      </c>
      <c r="W66" s="119">
        <v>1100196</v>
      </c>
      <c r="X66" s="71"/>
      <c r="Y66" s="98">
        <v>108</v>
      </c>
      <c r="Z66" s="71"/>
      <c r="AA66" s="74"/>
      <c r="AB66" s="120">
        <v>103.5</v>
      </c>
      <c r="AC66" s="134">
        <f t="shared" si="19"/>
        <v>1219383.9000000001</v>
      </c>
      <c r="AD66" s="105">
        <v>119.7</v>
      </c>
      <c r="AE66" s="109">
        <f t="shared" si="20"/>
        <v>0</v>
      </c>
      <c r="AF66" s="120">
        <v>115.1</v>
      </c>
      <c r="AG66" s="128"/>
      <c r="AH66" s="49" t="s">
        <v>41</v>
      </c>
      <c r="AI66" s="142">
        <v>890000</v>
      </c>
      <c r="AJ66" s="105">
        <v>125.2</v>
      </c>
      <c r="AK66" s="141"/>
      <c r="AL66" s="120">
        <v>123.3</v>
      </c>
      <c r="AM66" s="141"/>
      <c r="AN66" s="49" t="s">
        <v>41</v>
      </c>
      <c r="AO66" s="60" t="s">
        <v>41</v>
      </c>
      <c r="AP66" s="56" t="s">
        <v>245</v>
      </c>
    </row>
    <row r="67" spans="1:42" s="28" customFormat="1">
      <c r="A67" s="9" t="s">
        <v>183</v>
      </c>
      <c r="B67" s="34">
        <v>2</v>
      </c>
      <c r="C67" s="2" t="s">
        <v>43</v>
      </c>
      <c r="D67" s="2" t="s">
        <v>184</v>
      </c>
      <c r="E67" s="2" t="s">
        <v>256</v>
      </c>
      <c r="F67" s="2" t="s">
        <v>256</v>
      </c>
      <c r="G67" s="2" t="s">
        <v>256</v>
      </c>
      <c r="H67" s="2" t="s">
        <v>256</v>
      </c>
      <c r="I67" s="2" t="s">
        <v>120</v>
      </c>
      <c r="J67" s="1" t="s">
        <v>38</v>
      </c>
      <c r="K67" s="26" t="s">
        <v>189</v>
      </c>
      <c r="L67" s="35">
        <v>56824.267211997278</v>
      </c>
      <c r="M67" s="3">
        <f t="shared" si="17"/>
        <v>57195.667651291376</v>
      </c>
      <c r="N67" s="3"/>
      <c r="O67" s="3">
        <f t="shared" si="2"/>
        <v>0</v>
      </c>
      <c r="P67" s="3">
        <f t="shared" si="3"/>
        <v>0</v>
      </c>
      <c r="Q67" s="17">
        <f t="shared" si="4"/>
        <v>0</v>
      </c>
      <c r="R67" s="17" t="s">
        <v>40</v>
      </c>
      <c r="S67" s="17">
        <f t="shared" si="5"/>
        <v>0</v>
      </c>
      <c r="T67" s="17">
        <f t="shared" si="18"/>
        <v>0</v>
      </c>
      <c r="U67" s="17">
        <f t="shared" si="16"/>
        <v>0</v>
      </c>
      <c r="V67" s="79"/>
      <c r="W67" s="119"/>
      <c r="X67" s="71">
        <v>80010</v>
      </c>
      <c r="Y67" s="99">
        <v>108</v>
      </c>
      <c r="Z67" s="71">
        <v>80010</v>
      </c>
      <c r="AA67" s="74"/>
      <c r="AB67" s="120">
        <v>103.5</v>
      </c>
      <c r="AC67" s="134">
        <f t="shared" si="19"/>
        <v>0</v>
      </c>
      <c r="AD67" s="105">
        <v>119.7</v>
      </c>
      <c r="AE67" s="109">
        <f t="shared" si="20"/>
        <v>88977.304347826095</v>
      </c>
      <c r="AF67" s="120">
        <v>115.1</v>
      </c>
      <c r="AG67" s="128"/>
      <c r="AH67" s="49" t="s">
        <v>41</v>
      </c>
      <c r="AI67" s="141"/>
      <c r="AJ67" s="105">
        <v>125.2</v>
      </c>
      <c r="AK67" s="142">
        <v>108900</v>
      </c>
      <c r="AL67" s="120">
        <v>123.3</v>
      </c>
      <c r="AM67" s="141"/>
      <c r="AN67" s="49" t="s">
        <v>41</v>
      </c>
      <c r="AO67" s="60" t="s">
        <v>41</v>
      </c>
      <c r="AP67" s="2" t="s">
        <v>244</v>
      </c>
    </row>
    <row r="68" spans="1:42" s="28" customFormat="1">
      <c r="A68" s="9" t="s">
        <v>185</v>
      </c>
      <c r="B68" s="34"/>
      <c r="C68" s="2"/>
      <c r="D68" s="2" t="s">
        <v>186</v>
      </c>
      <c r="E68" s="153" t="s">
        <v>255</v>
      </c>
      <c r="F68" s="2" t="s">
        <v>255</v>
      </c>
      <c r="G68" s="168" t="s">
        <v>266</v>
      </c>
      <c r="H68" s="167"/>
      <c r="I68" s="2" t="s">
        <v>187</v>
      </c>
      <c r="J68" s="1" t="s">
        <v>38</v>
      </c>
      <c r="K68" s="26" t="s">
        <v>188</v>
      </c>
      <c r="L68" s="35"/>
      <c r="M68" s="3"/>
      <c r="N68" s="3"/>
      <c r="O68" s="3"/>
      <c r="P68" s="3">
        <v>5600000</v>
      </c>
      <c r="Q68" s="17">
        <f t="shared" si="4"/>
        <v>5670767</v>
      </c>
      <c r="R68" s="17" t="s">
        <v>40</v>
      </c>
      <c r="S68" s="17">
        <f t="shared" si="5"/>
        <v>5694356</v>
      </c>
      <c r="T68" s="17">
        <v>6955000</v>
      </c>
      <c r="U68" s="17">
        <f t="shared" si="16"/>
        <v>7062348</v>
      </c>
      <c r="V68" s="79">
        <v>8587800</v>
      </c>
      <c r="W68" s="119">
        <v>9274824</v>
      </c>
      <c r="X68" s="65"/>
      <c r="Y68" s="98">
        <v>108</v>
      </c>
      <c r="Z68" s="65"/>
      <c r="AA68" s="74"/>
      <c r="AB68" s="120">
        <v>103.5</v>
      </c>
      <c r="AC68" s="134">
        <f t="shared" si="19"/>
        <v>10279596.6</v>
      </c>
      <c r="AD68" s="105">
        <v>119.7</v>
      </c>
      <c r="AE68" s="109">
        <f t="shared" si="20"/>
        <v>0</v>
      </c>
      <c r="AF68" s="120">
        <v>115.1</v>
      </c>
      <c r="AG68" s="128"/>
      <c r="AH68" s="49" t="s">
        <v>41</v>
      </c>
      <c r="AI68" s="142">
        <v>8270000</v>
      </c>
      <c r="AJ68" s="105">
        <v>125.2</v>
      </c>
      <c r="AK68" s="141"/>
      <c r="AL68" s="120">
        <v>123.3</v>
      </c>
      <c r="AM68" s="141"/>
      <c r="AN68" s="49" t="s">
        <v>41</v>
      </c>
      <c r="AO68" s="60" t="s">
        <v>41</v>
      </c>
      <c r="AP68" s="56" t="s">
        <v>245</v>
      </c>
    </row>
    <row r="69" spans="1:42" s="28" customFormat="1">
      <c r="A69" s="9" t="s">
        <v>185</v>
      </c>
      <c r="B69" s="34"/>
      <c r="C69" s="2"/>
      <c r="D69" s="2" t="s">
        <v>186</v>
      </c>
      <c r="E69" s="153" t="s">
        <v>255</v>
      </c>
      <c r="F69" s="2" t="s">
        <v>255</v>
      </c>
      <c r="G69" s="168" t="s">
        <v>267</v>
      </c>
      <c r="H69" s="167"/>
      <c r="I69" s="2" t="s">
        <v>187</v>
      </c>
      <c r="J69" s="1" t="s">
        <v>38</v>
      </c>
      <c r="K69" s="26" t="s">
        <v>188</v>
      </c>
      <c r="L69" s="35"/>
      <c r="M69" s="3"/>
      <c r="N69" s="3"/>
      <c r="O69" s="3"/>
      <c r="P69" s="3"/>
      <c r="Q69" s="17"/>
      <c r="R69" s="17" t="s">
        <v>40</v>
      </c>
      <c r="S69" s="17"/>
      <c r="T69" s="17"/>
      <c r="U69" s="17">
        <f t="shared" si="16"/>
        <v>0</v>
      </c>
      <c r="V69" s="79"/>
      <c r="W69" s="119"/>
      <c r="X69" s="65">
        <f>661926+278346</f>
        <v>940272</v>
      </c>
      <c r="Y69" s="99">
        <v>108</v>
      </c>
      <c r="Z69" s="65">
        <f>661926+278346</f>
        <v>940272</v>
      </c>
      <c r="AA69" s="74"/>
      <c r="AB69" s="120">
        <v>103.5</v>
      </c>
      <c r="AC69" s="134">
        <f t="shared" si="19"/>
        <v>0</v>
      </c>
      <c r="AD69" s="105">
        <v>119.7</v>
      </c>
      <c r="AE69" s="109">
        <f t="shared" si="20"/>
        <v>1045655.1420289854</v>
      </c>
      <c r="AF69" s="120">
        <v>115.1</v>
      </c>
      <c r="AG69" s="128"/>
      <c r="AH69" s="49" t="s">
        <v>41</v>
      </c>
      <c r="AI69" s="141"/>
      <c r="AJ69" s="105">
        <v>125.2</v>
      </c>
      <c r="AK69" s="142">
        <v>1694000</v>
      </c>
      <c r="AL69" s="120">
        <v>123.3</v>
      </c>
      <c r="AM69" s="141"/>
      <c r="AN69" s="49" t="s">
        <v>41</v>
      </c>
      <c r="AO69" s="60" t="s">
        <v>41</v>
      </c>
      <c r="AP69" s="2" t="s">
        <v>244</v>
      </c>
    </row>
    <row r="70" spans="1:42" s="28" customFormat="1">
      <c r="A70" s="9" t="s">
        <v>185</v>
      </c>
      <c r="B70" s="34"/>
      <c r="C70" s="2"/>
      <c r="D70" s="2" t="s">
        <v>186</v>
      </c>
      <c r="E70" s="153" t="s">
        <v>255</v>
      </c>
      <c r="F70" s="2" t="s">
        <v>255</v>
      </c>
      <c r="G70" s="168" t="s">
        <v>267</v>
      </c>
      <c r="H70" s="167"/>
      <c r="I70" s="2" t="s">
        <v>187</v>
      </c>
      <c r="J70" s="1" t="s">
        <v>38</v>
      </c>
      <c r="K70" s="26" t="s">
        <v>189</v>
      </c>
      <c r="L70" s="35"/>
      <c r="M70" s="3"/>
      <c r="N70" s="3"/>
      <c r="O70" s="3"/>
      <c r="P70" s="3"/>
      <c r="Q70" s="17"/>
      <c r="R70" s="17" t="s">
        <v>40</v>
      </c>
      <c r="S70" s="17"/>
      <c r="T70" s="17"/>
      <c r="U70" s="17">
        <f t="shared" si="16"/>
        <v>0</v>
      </c>
      <c r="V70" s="79"/>
      <c r="W70" s="119"/>
      <c r="X70" s="73">
        <f>67500+3375</f>
        <v>70875</v>
      </c>
      <c r="Y70" s="98">
        <v>108</v>
      </c>
      <c r="Z70" s="73">
        <f>67500+3375</f>
        <v>70875</v>
      </c>
      <c r="AA70" s="74"/>
      <c r="AB70" s="120">
        <v>103.5</v>
      </c>
      <c r="AC70" s="134">
        <f t="shared" si="19"/>
        <v>0</v>
      </c>
      <c r="AD70" s="105">
        <v>119.7</v>
      </c>
      <c r="AE70" s="109">
        <f t="shared" si="20"/>
        <v>78818.478260869553</v>
      </c>
      <c r="AF70" s="120">
        <v>115.1</v>
      </c>
      <c r="AG70" s="128"/>
      <c r="AH70" s="49" t="s">
        <v>41</v>
      </c>
      <c r="AI70" s="141"/>
      <c r="AJ70" s="105">
        <v>125.2</v>
      </c>
      <c r="AK70" s="142">
        <v>102850</v>
      </c>
      <c r="AL70" s="120">
        <v>123.3</v>
      </c>
      <c r="AM70" s="141"/>
      <c r="AN70" s="49" t="s">
        <v>41</v>
      </c>
      <c r="AO70" s="60" t="s">
        <v>41</v>
      </c>
      <c r="AP70" s="2" t="s">
        <v>244</v>
      </c>
    </row>
    <row r="71" spans="1:42" s="28" customFormat="1">
      <c r="A71" s="9" t="s">
        <v>190</v>
      </c>
      <c r="B71" s="34"/>
      <c r="C71" s="2"/>
      <c r="D71" s="2" t="s">
        <v>191</v>
      </c>
      <c r="E71" s="153" t="s">
        <v>257</v>
      </c>
      <c r="F71" s="2"/>
      <c r="G71" s="2"/>
      <c r="H71" s="2"/>
      <c r="I71" s="2" t="s">
        <v>192</v>
      </c>
      <c r="J71" s="1" t="s">
        <v>38</v>
      </c>
      <c r="K71" s="26" t="s">
        <v>193</v>
      </c>
      <c r="L71" s="35"/>
      <c r="M71" s="3"/>
      <c r="N71" s="3"/>
      <c r="O71" s="3"/>
      <c r="P71" s="3"/>
      <c r="Q71" s="17"/>
      <c r="R71" s="17" t="s">
        <v>40</v>
      </c>
      <c r="S71" s="17">
        <f>ROUND(Q71/120.2*120.7,0)</f>
        <v>0</v>
      </c>
      <c r="T71" s="17">
        <f>ROUND(S71/120.7*122.4,0)</f>
        <v>0</v>
      </c>
      <c r="U71" s="17">
        <f t="shared" si="16"/>
        <v>0</v>
      </c>
      <c r="V71" s="79"/>
      <c r="W71" s="119"/>
      <c r="X71" s="71">
        <f>117570+10500+30000</f>
        <v>158070</v>
      </c>
      <c r="Y71" s="99">
        <v>108</v>
      </c>
      <c r="Z71" s="71">
        <f>117570+10500+30000</f>
        <v>158070</v>
      </c>
      <c r="AA71" s="74"/>
      <c r="AB71" s="120">
        <v>103.5</v>
      </c>
      <c r="AC71" s="134">
        <f t="shared" si="19"/>
        <v>0</v>
      </c>
      <c r="AD71" s="105">
        <v>119.7</v>
      </c>
      <c r="AE71" s="109">
        <f t="shared" si="20"/>
        <v>175786.0579710145</v>
      </c>
      <c r="AF71" s="120">
        <v>115.1</v>
      </c>
      <c r="AG71" s="128"/>
      <c r="AH71" s="49" t="s">
        <v>41</v>
      </c>
      <c r="AI71" s="141"/>
      <c r="AJ71" s="105">
        <v>125.2</v>
      </c>
      <c r="AK71" s="142">
        <v>195000</v>
      </c>
      <c r="AL71" s="120">
        <v>123.3</v>
      </c>
      <c r="AM71" s="141"/>
      <c r="AN71" s="49" t="s">
        <v>41</v>
      </c>
      <c r="AO71" s="60" t="s">
        <v>41</v>
      </c>
      <c r="AP71" s="2" t="s">
        <v>244</v>
      </c>
    </row>
    <row r="72" spans="1:42" s="28" customFormat="1">
      <c r="A72" s="2"/>
      <c r="B72" s="2"/>
      <c r="C72" s="2"/>
      <c r="D72" s="2" t="s">
        <v>197</v>
      </c>
      <c r="E72" s="153" t="s">
        <v>41</v>
      </c>
      <c r="F72" s="2" t="s">
        <v>41</v>
      </c>
      <c r="G72" s="2" t="s">
        <v>264</v>
      </c>
      <c r="H72" s="2" t="s">
        <v>261</v>
      </c>
      <c r="I72" s="2" t="s">
        <v>198</v>
      </c>
      <c r="J72" s="2" t="s">
        <v>38</v>
      </c>
      <c r="K72" s="45" t="s">
        <v>199</v>
      </c>
      <c r="L72" s="2"/>
      <c r="M72" s="3"/>
      <c r="N72" s="3"/>
      <c r="O72" s="3"/>
      <c r="P72" s="3"/>
      <c r="Q72" s="3"/>
      <c r="R72" s="3" t="s">
        <v>40</v>
      </c>
      <c r="S72" s="3"/>
      <c r="T72" s="3">
        <v>5500000</v>
      </c>
      <c r="U72" s="17">
        <f t="shared" si="16"/>
        <v>5584890</v>
      </c>
      <c r="V72" s="79">
        <v>6791200</v>
      </c>
      <c r="W72" s="119">
        <v>7334496</v>
      </c>
      <c r="X72" s="71"/>
      <c r="Y72" s="99">
        <v>108</v>
      </c>
      <c r="Z72" s="71"/>
      <c r="AA72" s="74"/>
      <c r="AB72" s="120">
        <v>103.5</v>
      </c>
      <c r="AC72" s="134">
        <f t="shared" si="19"/>
        <v>8129066.4000000004</v>
      </c>
      <c r="AD72" s="105">
        <v>119.7</v>
      </c>
      <c r="AE72" s="109">
        <f t="shared" si="20"/>
        <v>0</v>
      </c>
      <c r="AF72" s="120">
        <v>115.1</v>
      </c>
      <c r="AG72" s="128"/>
      <c r="AH72" s="49" t="s">
        <v>41</v>
      </c>
      <c r="AI72" s="142">
        <v>8475000</v>
      </c>
      <c r="AJ72" s="105">
        <v>125.2</v>
      </c>
      <c r="AK72" s="141"/>
      <c r="AL72" s="120">
        <v>123.3</v>
      </c>
      <c r="AM72" s="141"/>
      <c r="AN72" s="49" t="s">
        <v>41</v>
      </c>
      <c r="AO72" s="60" t="s">
        <v>41</v>
      </c>
      <c r="AP72" s="56" t="s">
        <v>245</v>
      </c>
    </row>
    <row r="73" spans="1:42" s="28" customFormat="1">
      <c r="A73" s="2"/>
      <c r="B73" s="2"/>
      <c r="C73" s="2"/>
      <c r="D73" s="2" t="s">
        <v>197</v>
      </c>
      <c r="E73" s="153" t="s">
        <v>41</v>
      </c>
      <c r="F73" s="2" t="s">
        <v>41</v>
      </c>
      <c r="G73" s="2" t="s">
        <v>264</v>
      </c>
      <c r="H73" s="2" t="s">
        <v>261</v>
      </c>
      <c r="I73" s="2" t="s">
        <v>198</v>
      </c>
      <c r="J73" s="2" t="s">
        <v>38</v>
      </c>
      <c r="K73" s="45" t="s">
        <v>199</v>
      </c>
      <c r="L73" s="2"/>
      <c r="M73" s="3"/>
      <c r="N73" s="3"/>
      <c r="O73" s="3"/>
      <c r="P73" s="3"/>
      <c r="Q73" s="3"/>
      <c r="R73" s="3" t="s">
        <v>40</v>
      </c>
      <c r="S73" s="3"/>
      <c r="T73" s="3"/>
      <c r="U73" s="17">
        <f t="shared" si="16"/>
        <v>0</v>
      </c>
      <c r="V73" s="79"/>
      <c r="W73" s="119"/>
      <c r="X73" s="71">
        <f>615410+176021</f>
        <v>791431</v>
      </c>
      <c r="Y73" s="98">
        <v>108</v>
      </c>
      <c r="Z73" s="71">
        <f>615410+176021</f>
        <v>791431</v>
      </c>
      <c r="AA73" s="74"/>
      <c r="AB73" s="120">
        <v>103.5</v>
      </c>
      <c r="AC73" s="134">
        <f t="shared" si="19"/>
        <v>0</v>
      </c>
      <c r="AD73" s="105">
        <v>119.7</v>
      </c>
      <c r="AE73" s="109">
        <f t="shared" si="20"/>
        <v>880132.44541062799</v>
      </c>
      <c r="AF73" s="120">
        <v>115.1</v>
      </c>
      <c r="AG73" s="128"/>
      <c r="AH73" s="49" t="s">
        <v>41</v>
      </c>
      <c r="AI73" s="141"/>
      <c r="AJ73" s="105">
        <v>125.2</v>
      </c>
      <c r="AK73" s="142">
        <v>1343100</v>
      </c>
      <c r="AL73" s="120">
        <v>123.3</v>
      </c>
      <c r="AM73" s="141"/>
      <c r="AN73" s="49" t="s">
        <v>41</v>
      </c>
      <c r="AO73" s="60" t="s">
        <v>41</v>
      </c>
      <c r="AP73" s="2" t="s">
        <v>244</v>
      </c>
    </row>
    <row r="74" spans="1:42" s="28" customFormat="1">
      <c r="A74" s="2"/>
      <c r="B74" s="2"/>
      <c r="C74" s="2"/>
      <c r="D74" s="2" t="s">
        <v>197</v>
      </c>
      <c r="E74" s="153" t="s">
        <v>41</v>
      </c>
      <c r="F74" s="2" t="s">
        <v>41</v>
      </c>
      <c r="G74" s="2" t="s">
        <v>264</v>
      </c>
      <c r="H74" s="2" t="s">
        <v>261</v>
      </c>
      <c r="I74" s="2" t="s">
        <v>198</v>
      </c>
      <c r="J74" s="2" t="s">
        <v>38</v>
      </c>
      <c r="K74" s="45" t="s">
        <v>189</v>
      </c>
      <c r="L74" s="2"/>
      <c r="M74" s="3"/>
      <c r="N74" s="3"/>
      <c r="O74" s="3"/>
      <c r="P74" s="3"/>
      <c r="Q74" s="3"/>
      <c r="R74" s="3" t="s">
        <v>40</v>
      </c>
      <c r="S74" s="3"/>
      <c r="T74" s="3"/>
      <c r="U74" s="17">
        <f t="shared" si="16"/>
        <v>0</v>
      </c>
      <c r="V74" s="79"/>
      <c r="W74" s="119"/>
      <c r="X74" s="71">
        <f>76500+3825</f>
        <v>80325</v>
      </c>
      <c r="Y74" s="99">
        <v>108</v>
      </c>
      <c r="Z74" s="71">
        <f>76500+3825</f>
        <v>80325</v>
      </c>
      <c r="AA74" s="74"/>
      <c r="AB74" s="120">
        <v>103.5</v>
      </c>
      <c r="AC74" s="134">
        <f t="shared" si="19"/>
        <v>0</v>
      </c>
      <c r="AD74" s="105">
        <v>119.7</v>
      </c>
      <c r="AE74" s="109">
        <f t="shared" si="20"/>
        <v>89327.608695652176</v>
      </c>
      <c r="AF74" s="120">
        <v>115.1</v>
      </c>
      <c r="AG74" s="128"/>
      <c r="AH74" s="49" t="s">
        <v>41</v>
      </c>
      <c r="AI74" s="141"/>
      <c r="AJ74" s="105">
        <v>125.2</v>
      </c>
      <c r="AK74" s="142">
        <v>102850</v>
      </c>
      <c r="AL74" s="120">
        <v>123.3</v>
      </c>
      <c r="AM74" s="141"/>
      <c r="AN74" s="49" t="s">
        <v>41</v>
      </c>
      <c r="AO74" s="60" t="s">
        <v>41</v>
      </c>
      <c r="AP74" s="2" t="s">
        <v>244</v>
      </c>
    </row>
    <row r="75" spans="1:42" s="28" customFormat="1">
      <c r="A75" s="2"/>
      <c r="B75" s="2"/>
      <c r="C75" s="2"/>
      <c r="D75" s="2" t="s">
        <v>200</v>
      </c>
      <c r="E75" s="2" t="s">
        <v>255</v>
      </c>
      <c r="F75" s="2" t="s">
        <v>255</v>
      </c>
      <c r="G75" s="2" t="s">
        <v>255</v>
      </c>
      <c r="H75" s="2" t="s">
        <v>255</v>
      </c>
      <c r="I75" s="2" t="s">
        <v>201</v>
      </c>
      <c r="J75" s="2" t="s">
        <v>38</v>
      </c>
      <c r="K75" s="45" t="s">
        <v>221</v>
      </c>
      <c r="L75" s="2"/>
      <c r="M75" s="3"/>
      <c r="N75" s="3"/>
      <c r="O75" s="3"/>
      <c r="P75" s="3"/>
      <c r="Q75" s="3"/>
      <c r="R75" s="3" t="s">
        <v>40</v>
      </c>
      <c r="S75" s="3"/>
      <c r="T75" s="3"/>
      <c r="U75" s="3">
        <f>10305730/121*100</f>
        <v>8517132.2314049583</v>
      </c>
      <c r="V75" s="79">
        <v>10356800</v>
      </c>
      <c r="W75" s="119">
        <f>11185344+50000</f>
        <v>11235344</v>
      </c>
      <c r="X75" s="71"/>
      <c r="Y75" s="98">
        <v>108</v>
      </c>
      <c r="Z75" s="71"/>
      <c r="AA75" s="74"/>
      <c r="AB75" s="120">
        <v>103.5</v>
      </c>
      <c r="AC75" s="134">
        <f t="shared" si="19"/>
        <v>12452506.266666668</v>
      </c>
      <c r="AD75" s="105">
        <v>119.7</v>
      </c>
      <c r="AE75" s="109">
        <f t="shared" si="20"/>
        <v>0</v>
      </c>
      <c r="AF75" s="120">
        <v>115.1</v>
      </c>
      <c r="AG75" s="128"/>
      <c r="AH75" s="49" t="s">
        <v>51</v>
      </c>
      <c r="AI75" s="144">
        <v>11985000</v>
      </c>
      <c r="AJ75" s="105">
        <v>125.2</v>
      </c>
      <c r="AK75" s="141"/>
      <c r="AL75" s="120">
        <v>123.3</v>
      </c>
      <c r="AM75" s="141"/>
      <c r="AN75" s="49" t="s">
        <v>51</v>
      </c>
      <c r="AO75" s="60" t="s">
        <v>51</v>
      </c>
      <c r="AP75" s="56" t="s">
        <v>245</v>
      </c>
    </row>
    <row r="76" spans="1:42" s="28" customFormat="1">
      <c r="A76" s="2"/>
      <c r="B76" s="2"/>
      <c r="C76" s="2"/>
      <c r="D76" s="2" t="s">
        <v>200</v>
      </c>
      <c r="E76" s="2" t="s">
        <v>255</v>
      </c>
      <c r="F76" s="2" t="s">
        <v>255</v>
      </c>
      <c r="G76" s="2" t="s">
        <v>255</v>
      </c>
      <c r="H76" s="2" t="s">
        <v>255</v>
      </c>
      <c r="I76" s="2" t="s">
        <v>201</v>
      </c>
      <c r="J76" s="2" t="s">
        <v>38</v>
      </c>
      <c r="K76" s="45" t="s">
        <v>202</v>
      </c>
      <c r="L76" s="2"/>
      <c r="M76" s="3"/>
      <c r="N76" s="3"/>
      <c r="O76" s="3"/>
      <c r="P76" s="3"/>
      <c r="Q76" s="17"/>
      <c r="R76" s="3" t="s">
        <v>40</v>
      </c>
      <c r="S76" s="17"/>
      <c r="T76" s="17"/>
      <c r="U76" s="17">
        <v>0</v>
      </c>
      <c r="V76" s="79"/>
      <c r="W76" s="119"/>
      <c r="X76" s="71">
        <f>100270/121*100</f>
        <v>82867.768595041314</v>
      </c>
      <c r="Y76" s="99">
        <v>108</v>
      </c>
      <c r="Z76" s="71">
        <f>100270/121*100</f>
        <v>82867.768595041314</v>
      </c>
      <c r="AA76" s="74"/>
      <c r="AB76" s="120">
        <v>103.5</v>
      </c>
      <c r="AC76" s="134">
        <f t="shared" si="19"/>
        <v>0</v>
      </c>
      <c r="AD76" s="105">
        <v>119.7</v>
      </c>
      <c r="AE76" s="109">
        <f t="shared" si="20"/>
        <v>92155.363915838214</v>
      </c>
      <c r="AF76" s="120">
        <v>115.1</v>
      </c>
      <c r="AG76" s="128"/>
      <c r="AH76" s="49" t="s">
        <v>51</v>
      </c>
      <c r="AI76" s="141"/>
      <c r="AJ76" s="105">
        <v>125.2</v>
      </c>
      <c r="AK76" s="142">
        <v>142000</v>
      </c>
      <c r="AL76" s="120">
        <v>123.3</v>
      </c>
      <c r="AM76" s="141"/>
      <c r="AN76" s="49" t="s">
        <v>51</v>
      </c>
      <c r="AO76" s="60" t="s">
        <v>51</v>
      </c>
      <c r="AP76" s="2" t="s">
        <v>244</v>
      </c>
    </row>
    <row r="77" spans="1:42" s="28" customFormat="1">
      <c r="A77" s="9"/>
      <c r="B77" s="34">
        <v>1</v>
      </c>
      <c r="C77" s="2" t="s">
        <v>35</v>
      </c>
      <c r="D77" s="1" t="s">
        <v>204</v>
      </c>
      <c r="E77" s="153" t="s">
        <v>41</v>
      </c>
      <c r="F77" s="1" t="s">
        <v>41</v>
      </c>
      <c r="G77" s="1" t="s">
        <v>260</v>
      </c>
      <c r="H77" s="1" t="s">
        <v>261</v>
      </c>
      <c r="I77" s="1" t="s">
        <v>205</v>
      </c>
      <c r="J77" s="1" t="s">
        <v>38</v>
      </c>
      <c r="K77" s="26" t="s">
        <v>243</v>
      </c>
      <c r="L77" s="35">
        <v>636000</v>
      </c>
      <c r="M77" s="3">
        <v>636000</v>
      </c>
      <c r="N77" s="3">
        <f t="shared" ref="N77" si="21">ROUND(M77,0)</f>
        <v>636000</v>
      </c>
      <c r="O77" s="3">
        <f t="shared" ref="O77" si="22">ROUND(N77/113.8*117,0)</f>
        <v>653884</v>
      </c>
      <c r="P77" s="3">
        <f t="shared" ref="P77" si="23">ROUND(O77/117*118.7,0)</f>
        <v>663385</v>
      </c>
      <c r="Q77" s="17">
        <f t="shared" ref="Q77" si="24">ROUND(P77/118.7*120.2,0)</f>
        <v>671768</v>
      </c>
      <c r="R77" s="17"/>
      <c r="S77" s="17">
        <f t="shared" ref="S77:S78" si="25">ROUND(Q77/120.2*120.7,0)</f>
        <v>674562</v>
      </c>
      <c r="T77" s="17">
        <v>782000</v>
      </c>
      <c r="U77" s="17">
        <v>10165000</v>
      </c>
      <c r="V77" s="79">
        <v>12360600</v>
      </c>
      <c r="W77" s="119">
        <v>13349448</v>
      </c>
      <c r="X77" s="74"/>
      <c r="Y77" s="98">
        <v>108</v>
      </c>
      <c r="Z77" s="74"/>
      <c r="AA77" s="74"/>
      <c r="AB77" s="120">
        <v>103.5</v>
      </c>
      <c r="AC77" s="134">
        <f t="shared" si="19"/>
        <v>14795638.200000001</v>
      </c>
      <c r="AD77" s="105">
        <v>119.7</v>
      </c>
      <c r="AE77" s="109">
        <f t="shared" si="20"/>
        <v>0</v>
      </c>
      <c r="AF77" s="120">
        <v>115.1</v>
      </c>
      <c r="AG77" s="128"/>
      <c r="AH77" s="49" t="s">
        <v>41</v>
      </c>
      <c r="AI77" s="144">
        <v>13050000</v>
      </c>
      <c r="AJ77" s="105">
        <v>125.2</v>
      </c>
      <c r="AK77" s="141"/>
      <c r="AL77" s="120">
        <v>123.3</v>
      </c>
      <c r="AM77" s="141"/>
      <c r="AN77" s="49" t="s">
        <v>41</v>
      </c>
      <c r="AO77" s="60" t="s">
        <v>41</v>
      </c>
      <c r="AP77" s="2" t="s">
        <v>244</v>
      </c>
    </row>
    <row r="78" spans="1:42" s="28" customFormat="1">
      <c r="A78" s="85"/>
      <c r="B78" s="46"/>
      <c r="D78" s="86" t="s">
        <v>204</v>
      </c>
      <c r="E78" s="153" t="s">
        <v>41</v>
      </c>
      <c r="F78" s="1" t="s">
        <v>41</v>
      </c>
      <c r="G78" s="1" t="s">
        <v>260</v>
      </c>
      <c r="H78" s="1" t="s">
        <v>261</v>
      </c>
      <c r="I78" s="86" t="s">
        <v>205</v>
      </c>
      <c r="J78" s="86" t="s">
        <v>38</v>
      </c>
      <c r="K78" s="87" t="s">
        <v>248</v>
      </c>
      <c r="L78" s="47"/>
      <c r="M78" s="33"/>
      <c r="N78" s="33"/>
      <c r="O78" s="33"/>
      <c r="P78" s="33"/>
      <c r="Q78" s="33"/>
      <c r="R78" s="88"/>
      <c r="S78" s="88">
        <f t="shared" si="25"/>
        <v>0</v>
      </c>
      <c r="T78" s="88">
        <v>782000</v>
      </c>
      <c r="U78" s="88">
        <v>0</v>
      </c>
      <c r="V78" s="112"/>
      <c r="W78" s="121"/>
      <c r="X78" s="90">
        <v>1325145</v>
      </c>
      <c r="Y78" s="99">
        <v>108</v>
      </c>
      <c r="Z78" s="90">
        <v>1325145</v>
      </c>
      <c r="AA78" s="91"/>
      <c r="AB78" s="120">
        <v>103.5</v>
      </c>
      <c r="AC78" s="134">
        <f t="shared" si="19"/>
        <v>0</v>
      </c>
      <c r="AD78" s="105">
        <v>119.7</v>
      </c>
      <c r="AE78" s="109">
        <f t="shared" si="20"/>
        <v>1473663.6666666667</v>
      </c>
      <c r="AF78" s="120">
        <v>115.1</v>
      </c>
      <c r="AG78" s="129"/>
      <c r="AH78" s="92" t="s">
        <v>41</v>
      </c>
      <c r="AI78" s="141"/>
      <c r="AJ78" s="105">
        <v>125.2</v>
      </c>
      <c r="AK78" s="142">
        <v>592900</v>
      </c>
      <c r="AL78" s="120">
        <v>123.3</v>
      </c>
      <c r="AM78" s="141"/>
      <c r="AN78" s="92" t="s">
        <v>41</v>
      </c>
      <c r="AO78" s="60" t="s">
        <v>41</v>
      </c>
      <c r="AP78" s="2" t="s">
        <v>244</v>
      </c>
    </row>
    <row r="79" spans="1:42" s="28" customFormat="1">
      <c r="A79" s="85"/>
      <c r="B79" s="46"/>
      <c r="D79" s="86" t="s">
        <v>204</v>
      </c>
      <c r="E79" s="153" t="s">
        <v>41</v>
      </c>
      <c r="F79" s="1" t="s">
        <v>41</v>
      </c>
      <c r="G79" s="1" t="s">
        <v>260</v>
      </c>
      <c r="H79" s="1" t="s">
        <v>261</v>
      </c>
      <c r="I79" s="96" t="s">
        <v>205</v>
      </c>
      <c r="J79" s="86" t="s">
        <v>38</v>
      </c>
      <c r="K79" s="87" t="s">
        <v>249</v>
      </c>
      <c r="L79" s="47"/>
      <c r="M79" s="33"/>
      <c r="N79" s="33"/>
      <c r="O79" s="33"/>
      <c r="P79" s="33"/>
      <c r="Q79" s="33"/>
      <c r="R79" s="88"/>
      <c r="S79" s="88"/>
      <c r="T79" s="88"/>
      <c r="U79" s="88"/>
      <c r="V79" s="112"/>
      <c r="W79" s="121"/>
      <c r="X79" s="90"/>
      <c r="Y79" s="145"/>
      <c r="Z79" s="90"/>
      <c r="AA79" s="91"/>
      <c r="AB79" s="120"/>
      <c r="AC79" s="146"/>
      <c r="AD79" s="147">
        <v>119.7</v>
      </c>
      <c r="AE79" s="109"/>
      <c r="AF79" s="148">
        <v>115.1</v>
      </c>
      <c r="AG79" s="129"/>
      <c r="AH79" s="92" t="s">
        <v>41</v>
      </c>
      <c r="AI79" s="141"/>
      <c r="AJ79" s="105">
        <v>125.2</v>
      </c>
      <c r="AK79" s="142">
        <v>847000</v>
      </c>
      <c r="AL79" s="120">
        <v>123.3</v>
      </c>
      <c r="AM79" s="141"/>
      <c r="AN79" s="92" t="s">
        <v>41</v>
      </c>
      <c r="AO79" s="60" t="s">
        <v>41</v>
      </c>
      <c r="AP79" s="2" t="s">
        <v>244</v>
      </c>
    </row>
    <row r="80" spans="1:42" s="28" customFormat="1">
      <c r="A80" s="85"/>
      <c r="B80" s="46"/>
      <c r="D80" s="86" t="s">
        <v>204</v>
      </c>
      <c r="E80" s="153" t="s">
        <v>41</v>
      </c>
      <c r="F80" s="1" t="s">
        <v>41</v>
      </c>
      <c r="G80" s="1" t="s">
        <v>260</v>
      </c>
      <c r="H80" s="1" t="s">
        <v>261</v>
      </c>
      <c r="I80" s="96" t="s">
        <v>205</v>
      </c>
      <c r="J80" s="86" t="s">
        <v>38</v>
      </c>
      <c r="K80" s="87" t="s">
        <v>250</v>
      </c>
      <c r="L80" s="47"/>
      <c r="M80" s="33"/>
      <c r="N80" s="33"/>
      <c r="O80" s="33"/>
      <c r="P80" s="33"/>
      <c r="Q80" s="33"/>
      <c r="R80" s="88"/>
      <c r="S80" s="88"/>
      <c r="T80" s="88"/>
      <c r="U80" s="88"/>
      <c r="V80" s="112"/>
      <c r="W80" s="121"/>
      <c r="X80" s="90"/>
      <c r="Y80" s="145"/>
      <c r="Z80" s="90"/>
      <c r="AA80" s="91"/>
      <c r="AB80" s="120"/>
      <c r="AC80" s="146"/>
      <c r="AD80" s="147"/>
      <c r="AE80" s="109"/>
      <c r="AF80" s="148"/>
      <c r="AG80" s="129"/>
      <c r="AH80" s="92" t="s">
        <v>41</v>
      </c>
      <c r="AI80" s="141"/>
      <c r="AJ80" s="105">
        <v>125</v>
      </c>
      <c r="AK80" s="142">
        <v>804650</v>
      </c>
      <c r="AL80" s="120">
        <v>123.3</v>
      </c>
      <c r="AM80" s="141"/>
      <c r="AN80" s="92" t="s">
        <v>41</v>
      </c>
      <c r="AO80" s="60" t="s">
        <v>41</v>
      </c>
      <c r="AP80" s="2" t="s">
        <v>244</v>
      </c>
    </row>
    <row r="81" spans="1:42" s="28" customFormat="1" ht="25.5" customHeight="1">
      <c r="A81" s="85"/>
      <c r="B81" s="46"/>
      <c r="D81" s="149" t="s">
        <v>230</v>
      </c>
      <c r="E81" s="165" t="s">
        <v>256</v>
      </c>
      <c r="F81" s="165" t="s">
        <v>256</v>
      </c>
      <c r="G81" s="166" t="s">
        <v>258</v>
      </c>
      <c r="H81" s="165"/>
      <c r="I81" s="150" t="s">
        <v>234</v>
      </c>
      <c r="J81" s="149" t="s">
        <v>38</v>
      </c>
      <c r="K81" s="151" t="s">
        <v>231</v>
      </c>
      <c r="L81" s="47"/>
      <c r="M81" s="33"/>
      <c r="N81" s="33"/>
      <c r="O81" s="33"/>
      <c r="P81" s="33"/>
      <c r="Q81" s="33"/>
      <c r="R81" s="88"/>
      <c r="S81" s="88"/>
      <c r="T81" s="88"/>
      <c r="U81" s="88"/>
      <c r="V81" s="112"/>
      <c r="W81" s="121"/>
      <c r="X81" s="90"/>
      <c r="Y81" s="145"/>
      <c r="Z81" s="90"/>
      <c r="AA81" s="91"/>
      <c r="AB81" s="120"/>
      <c r="AC81" s="146"/>
      <c r="AD81" s="147"/>
      <c r="AE81" s="109"/>
      <c r="AF81" s="148"/>
      <c r="AG81" s="129"/>
      <c r="AH81" s="92" t="s">
        <v>41</v>
      </c>
      <c r="AI81" s="142">
        <v>195000</v>
      </c>
      <c r="AJ81" s="105">
        <v>125.2</v>
      </c>
      <c r="AK81" s="141"/>
      <c r="AL81" s="120"/>
      <c r="AM81" s="141"/>
      <c r="AN81" s="92" t="s">
        <v>41</v>
      </c>
      <c r="AO81" s="60" t="s">
        <v>41</v>
      </c>
      <c r="AP81" s="56" t="s">
        <v>245</v>
      </c>
    </row>
    <row r="82" spans="1:42" s="28" customFormat="1" ht="25.5" customHeight="1">
      <c r="A82" s="85"/>
      <c r="B82" s="46"/>
      <c r="D82" s="149" t="s">
        <v>233</v>
      </c>
      <c r="E82" s="149" t="s">
        <v>256</v>
      </c>
      <c r="F82" s="149" t="s">
        <v>256</v>
      </c>
      <c r="G82" s="149" t="s">
        <v>256</v>
      </c>
      <c r="H82" s="149" t="s">
        <v>256</v>
      </c>
      <c r="I82" s="149"/>
      <c r="J82" s="149" t="s">
        <v>38</v>
      </c>
      <c r="K82" s="151" t="s">
        <v>232</v>
      </c>
      <c r="L82" s="47"/>
      <c r="M82" s="33"/>
      <c r="N82" s="33"/>
      <c r="O82" s="33"/>
      <c r="P82" s="33"/>
      <c r="Q82" s="33"/>
      <c r="R82" s="88"/>
      <c r="S82" s="88"/>
      <c r="T82" s="88"/>
      <c r="U82" s="88"/>
      <c r="V82" s="112"/>
      <c r="W82" s="121"/>
      <c r="X82" s="90"/>
      <c r="Y82" s="145"/>
      <c r="Z82" s="90"/>
      <c r="AA82" s="91"/>
      <c r="AB82" s="120"/>
      <c r="AC82" s="146"/>
      <c r="AD82" s="147"/>
      <c r="AE82" s="109"/>
      <c r="AF82" s="148"/>
      <c r="AG82" s="129"/>
      <c r="AH82" s="92" t="s">
        <v>41</v>
      </c>
      <c r="AI82" s="142">
        <v>55001</v>
      </c>
      <c r="AJ82" s="105">
        <v>125.2</v>
      </c>
      <c r="AK82" s="141"/>
      <c r="AL82" s="120"/>
      <c r="AM82" s="141"/>
      <c r="AN82" s="92" t="s">
        <v>41</v>
      </c>
      <c r="AO82" s="60" t="s">
        <v>41</v>
      </c>
      <c r="AP82" s="56" t="s">
        <v>245</v>
      </c>
    </row>
    <row r="83" spans="1:42" s="28" customFormat="1" ht="25.5" customHeight="1">
      <c r="A83" s="85"/>
      <c r="B83" s="46"/>
      <c r="D83" s="149" t="s">
        <v>235</v>
      </c>
      <c r="E83" s="149" t="s">
        <v>256</v>
      </c>
      <c r="F83" s="149" t="s">
        <v>256</v>
      </c>
      <c r="G83" s="149" t="s">
        <v>256</v>
      </c>
      <c r="H83" s="149" t="s">
        <v>256</v>
      </c>
      <c r="I83" s="149" t="s">
        <v>234</v>
      </c>
      <c r="J83" s="149" t="s">
        <v>38</v>
      </c>
      <c r="K83" s="151" t="s">
        <v>236</v>
      </c>
      <c r="L83" s="47"/>
      <c r="M83" s="33"/>
      <c r="N83" s="33"/>
      <c r="O83" s="33"/>
      <c r="P83" s="33"/>
      <c r="Q83" s="33"/>
      <c r="R83" s="88"/>
      <c r="S83" s="88"/>
      <c r="T83" s="88"/>
      <c r="U83" s="88"/>
      <c r="V83" s="112"/>
      <c r="W83" s="121"/>
      <c r="X83" s="90"/>
      <c r="Y83" s="145"/>
      <c r="Z83" s="90"/>
      <c r="AA83" s="91"/>
      <c r="AB83" s="120"/>
      <c r="AC83" s="146"/>
      <c r="AD83" s="147"/>
      <c r="AE83" s="109"/>
      <c r="AF83" s="148"/>
      <c r="AG83" s="129"/>
      <c r="AH83" s="92" t="s">
        <v>41</v>
      </c>
      <c r="AI83" s="142">
        <v>60000</v>
      </c>
      <c r="AJ83" s="105"/>
      <c r="AK83" s="141"/>
      <c r="AL83" s="120"/>
      <c r="AM83" s="141"/>
      <c r="AN83" s="92" t="s">
        <v>41</v>
      </c>
      <c r="AO83" s="60" t="s">
        <v>41</v>
      </c>
      <c r="AP83" s="56" t="s">
        <v>245</v>
      </c>
    </row>
    <row r="84" spans="1:42" s="28" customFormat="1" ht="12.75" customHeight="1" thickBot="1">
      <c r="A84" s="9"/>
      <c r="B84" s="34"/>
      <c r="C84" s="2"/>
      <c r="D84" s="1" t="s">
        <v>209</v>
      </c>
      <c r="E84" s="1" t="s">
        <v>255</v>
      </c>
      <c r="F84" s="1" t="s">
        <v>255</v>
      </c>
      <c r="G84" s="1" t="s">
        <v>255</v>
      </c>
      <c r="H84" s="1" t="s">
        <v>255</v>
      </c>
      <c r="I84" s="1" t="s">
        <v>201</v>
      </c>
      <c r="J84" s="1" t="s">
        <v>38</v>
      </c>
      <c r="K84" s="94" t="s">
        <v>210</v>
      </c>
      <c r="L84" s="35"/>
      <c r="M84" s="3"/>
      <c r="N84" s="3"/>
      <c r="O84" s="3"/>
      <c r="P84" s="3"/>
      <c r="Q84" s="3"/>
      <c r="R84" s="97" t="s">
        <v>222</v>
      </c>
      <c r="S84" s="3"/>
      <c r="T84" s="3"/>
      <c r="U84" s="3"/>
      <c r="V84" s="74"/>
      <c r="W84" s="122">
        <v>16214000</v>
      </c>
      <c r="X84" s="123"/>
      <c r="Y84" s="124">
        <v>114.3</v>
      </c>
      <c r="Z84" s="123"/>
      <c r="AA84" s="125"/>
      <c r="AB84" s="120">
        <v>103.5</v>
      </c>
      <c r="AC84" s="135">
        <f>W84/Y84*AD84</f>
        <v>16980015.748031497</v>
      </c>
      <c r="AD84" s="136">
        <v>119.7</v>
      </c>
      <c r="AE84" s="109">
        <f>Z84/AB84*AF84</f>
        <v>0</v>
      </c>
      <c r="AF84" s="126">
        <v>115.1</v>
      </c>
      <c r="AG84" s="130"/>
      <c r="AH84" s="49" t="s">
        <v>51</v>
      </c>
      <c r="AI84" s="152">
        <f>CEILING(((AC84)/AD84)*AJ84,100)</f>
        <v>17760300</v>
      </c>
      <c r="AJ84" s="105">
        <v>125.2</v>
      </c>
      <c r="AK84" s="141"/>
      <c r="AL84" s="120">
        <v>123.3</v>
      </c>
      <c r="AM84" s="141"/>
      <c r="AN84" s="2" t="s">
        <v>51</v>
      </c>
      <c r="AO84" s="60" t="s">
        <v>51</v>
      </c>
      <c r="AP84" s="52"/>
    </row>
    <row r="85" spans="1:42">
      <c r="W85" s="83"/>
    </row>
    <row r="86" spans="1:42" ht="13.8" thickBot="1">
      <c r="D86" s="28" t="s">
        <v>211</v>
      </c>
      <c r="E86" s="28"/>
      <c r="F86" s="28"/>
      <c r="G86" s="28"/>
      <c r="H86" s="28"/>
      <c r="M86" s="5">
        <f>SUM(M3:M67)</f>
        <v>91593055.784818709</v>
      </c>
      <c r="N86" s="5">
        <f>SUM(N3:N67)</f>
        <v>84533484</v>
      </c>
      <c r="O86" s="5">
        <f>SUM(O6:O78)</f>
        <v>126314405</v>
      </c>
      <c r="P86" s="5">
        <f>SUM(P6:P78)</f>
        <v>133749744</v>
      </c>
      <c r="Q86" s="5">
        <f>SUM(Q6:Q78)</f>
        <v>135439929</v>
      </c>
      <c r="S86" s="5">
        <f>SUM(S6:S78)</f>
        <v>84962179</v>
      </c>
      <c r="T86" s="5">
        <f>SUM(T6:T78)</f>
        <v>108812507</v>
      </c>
      <c r="U86" s="5">
        <f>SUM(U6:U78)</f>
        <v>122932973.12396693</v>
      </c>
      <c r="V86" s="66">
        <f>SUM(V6:V78)</f>
        <v>149564700</v>
      </c>
      <c r="W86" s="84">
        <f>SUM(W6:W84)</f>
        <v>177484010.176</v>
      </c>
      <c r="X86" s="84">
        <f>SUM(X6:X78)</f>
        <v>16894929.76859504</v>
      </c>
      <c r="Y86" s="104"/>
      <c r="Z86" s="84">
        <f>SUM(Z6:Z84)</f>
        <v>16894929.764545456</v>
      </c>
      <c r="AA86" s="84">
        <f>SUM(AA6:AA78)</f>
        <v>1841510</v>
      </c>
      <c r="AB86" s="104"/>
      <c r="AC86" s="110">
        <f>SUM(AC6:AC85)</f>
        <v>195720943.69309813</v>
      </c>
      <c r="AD86" s="104"/>
      <c r="AE86" s="110">
        <f>SUM(AE6:AE85)</f>
        <v>18788467.786465522</v>
      </c>
      <c r="AF86" s="104"/>
      <c r="AG86" s="84">
        <f>SUM(AG6:AG84)</f>
        <v>1841510</v>
      </c>
      <c r="AI86" s="155">
        <f>SUM(AI6:AI84)</f>
        <v>184851350</v>
      </c>
      <c r="AK86" s="155">
        <f>SUM(AK6:AK84)</f>
        <v>25382500</v>
      </c>
      <c r="AM86" s="155">
        <f>SUM(AM6:AM84)</f>
        <v>1841510</v>
      </c>
    </row>
    <row r="87" spans="1:42" ht="13.8" thickTop="1">
      <c r="D87" s="96" t="s">
        <v>223</v>
      </c>
      <c r="E87" s="96"/>
      <c r="F87" s="96"/>
      <c r="G87" s="96"/>
      <c r="H87" s="96"/>
      <c r="I87" s="96" t="s">
        <v>224</v>
      </c>
    </row>
    <row r="88" spans="1:42">
      <c r="D88" s="96" t="s">
        <v>225</v>
      </c>
      <c r="E88" s="96"/>
      <c r="F88" s="96"/>
      <c r="G88" s="96"/>
      <c r="H88" s="96"/>
      <c r="I88" s="96"/>
    </row>
    <row r="89" spans="1:42">
      <c r="J89">
        <v>2023</v>
      </c>
      <c r="K89" s="27">
        <v>2022</v>
      </c>
      <c r="AC89" s="156" t="s">
        <v>246</v>
      </c>
      <c r="AD89" s="29"/>
    </row>
    <row r="90" spans="1:42">
      <c r="D90" s="67" t="s">
        <v>35</v>
      </c>
      <c r="E90" s="67"/>
      <c r="F90" s="67"/>
      <c r="G90" s="67"/>
      <c r="H90" s="67"/>
      <c r="I90" s="67"/>
      <c r="J90" s="164">
        <f>AI86</f>
        <v>184851350</v>
      </c>
      <c r="K90" s="139">
        <f>AC86</f>
        <v>195720943.69309813</v>
      </c>
      <c r="Z90" s="82"/>
      <c r="AA90" s="80"/>
      <c r="AB90" s="106"/>
      <c r="AC90" s="157">
        <f>AI86</f>
        <v>184851350</v>
      </c>
      <c r="AD90" s="106"/>
      <c r="AE90" s="111"/>
      <c r="AF90" s="106"/>
      <c r="AG90" s="80"/>
      <c r="AI90" s="95"/>
    </row>
    <row r="91" spans="1:42">
      <c r="D91" s="67" t="s">
        <v>212</v>
      </c>
      <c r="E91" s="67"/>
      <c r="F91" s="67"/>
      <c r="G91" s="67"/>
      <c r="H91" s="67"/>
      <c r="I91" s="67"/>
      <c r="J91" s="164">
        <f>AK86</f>
        <v>25382500</v>
      </c>
      <c r="K91" s="139">
        <f>AE86</f>
        <v>18788467.786465522</v>
      </c>
      <c r="Z91" s="82"/>
      <c r="AA91" s="80"/>
      <c r="AB91" s="106"/>
      <c r="AC91" s="157">
        <f>AK86</f>
        <v>25382500</v>
      </c>
      <c r="AD91" s="106"/>
      <c r="AE91" s="111"/>
      <c r="AF91" s="106"/>
      <c r="AG91" s="80"/>
    </row>
    <row r="92" spans="1:42">
      <c r="D92" s="67" t="s">
        <v>213</v>
      </c>
      <c r="E92" s="67"/>
      <c r="F92" s="67"/>
      <c r="G92" s="67"/>
      <c r="H92" s="67"/>
      <c r="I92" s="67"/>
      <c r="J92" s="164">
        <f>AM86</f>
        <v>1841510</v>
      </c>
      <c r="K92" s="139">
        <f>AG86</f>
        <v>1841510</v>
      </c>
      <c r="Z92" s="82"/>
      <c r="AA92" s="80"/>
      <c r="AB92" s="106"/>
      <c r="AC92" s="157">
        <f>AM86</f>
        <v>1841510</v>
      </c>
      <c r="AD92" s="106"/>
      <c r="AE92" s="111"/>
      <c r="AF92" s="106"/>
      <c r="AG92" s="80"/>
    </row>
    <row r="93" spans="1:42">
      <c r="D93" s="67" t="s">
        <v>271</v>
      </c>
      <c r="E93" s="67"/>
      <c r="F93" s="67"/>
      <c r="G93" s="67"/>
      <c r="H93" s="67"/>
      <c r="I93" s="67"/>
      <c r="J93" s="77">
        <v>1000000</v>
      </c>
      <c r="K93" s="139">
        <v>1000000</v>
      </c>
      <c r="AC93" s="158">
        <f>K93</f>
        <v>1000000</v>
      </c>
    </row>
    <row r="94" spans="1:42">
      <c r="D94" s="67" t="s">
        <v>270</v>
      </c>
      <c r="E94" s="67"/>
      <c r="F94" s="67"/>
      <c r="G94" s="67"/>
      <c r="H94" s="67"/>
      <c r="I94" s="67"/>
      <c r="J94" s="77">
        <v>1000000</v>
      </c>
      <c r="K94" s="139">
        <v>1000000</v>
      </c>
      <c r="O94" s="4" t="e">
        <f>O86+X86+#REF!</f>
        <v>#REF!</v>
      </c>
      <c r="Q94" s="4">
        <f>Q86+X86</f>
        <v>152334858.76859504</v>
      </c>
      <c r="AC94" s="158">
        <f>K94</f>
        <v>1000000</v>
      </c>
    </row>
    <row r="95" spans="1:42">
      <c r="D95" s="67" t="s">
        <v>269</v>
      </c>
      <c r="E95" s="67"/>
      <c r="F95" s="67"/>
      <c r="G95" s="67"/>
      <c r="H95" s="67"/>
      <c r="I95" s="67"/>
      <c r="J95" s="77">
        <v>1000000</v>
      </c>
      <c r="K95" s="139">
        <v>1000000</v>
      </c>
      <c r="Q95" s="4">
        <v>4250000</v>
      </c>
      <c r="AC95" s="158">
        <f>K95</f>
        <v>1000000</v>
      </c>
    </row>
    <row r="96" spans="1:42">
      <c r="D96" s="196" t="s">
        <v>16</v>
      </c>
      <c r="E96" s="196"/>
      <c r="F96" s="196"/>
      <c r="G96" s="196"/>
      <c r="H96" s="196"/>
      <c r="I96" s="196"/>
      <c r="J96" s="197">
        <v>1250000</v>
      </c>
      <c r="K96" s="195">
        <v>1250000</v>
      </c>
      <c r="Q96" s="4">
        <f>SUM(Q94:Q95)</f>
        <v>156584858.76859504</v>
      </c>
      <c r="AC96" s="158">
        <f>K96</f>
        <v>1250000</v>
      </c>
    </row>
    <row r="97" spans="1:33">
      <c r="D97" s="67" t="s">
        <v>268</v>
      </c>
      <c r="E97" s="67"/>
      <c r="F97" s="67"/>
      <c r="G97" s="67"/>
      <c r="H97" s="67"/>
      <c r="I97" s="67"/>
      <c r="J97" s="77">
        <v>1000000</v>
      </c>
      <c r="K97" s="139">
        <v>1000000</v>
      </c>
      <c r="AC97" s="158">
        <f>K97</f>
        <v>1000000</v>
      </c>
    </row>
    <row r="98" spans="1:33" ht="13.8" thickBot="1">
      <c r="A98" s="29"/>
      <c r="B98" s="30"/>
      <c r="D98" s="198" t="s">
        <v>217</v>
      </c>
      <c r="E98" s="199"/>
      <c r="F98" s="199"/>
      <c r="G98" s="199"/>
      <c r="H98" s="199"/>
      <c r="I98" s="199"/>
      <c r="J98" s="200">
        <f>SUM(J90:J97)</f>
        <v>217325360</v>
      </c>
      <c r="K98" s="201">
        <f>SUM(K90:K97)</f>
        <v>221600921.47956365</v>
      </c>
      <c r="L98" s="194">
        <f t="shared" ref="L98:AC98" si="26">SUM(L90:L96)</f>
        <v>0</v>
      </c>
      <c r="M98" s="140">
        <f t="shared" si="26"/>
        <v>0</v>
      </c>
      <c r="N98" s="140">
        <f t="shared" si="26"/>
        <v>0</v>
      </c>
      <c r="O98" s="140" t="e">
        <f t="shared" si="26"/>
        <v>#REF!</v>
      </c>
      <c r="P98" s="140">
        <f t="shared" si="26"/>
        <v>0</v>
      </c>
      <c r="Q98" s="140">
        <f t="shared" si="26"/>
        <v>313169717.53719008</v>
      </c>
      <c r="R98" s="140">
        <f t="shared" si="26"/>
        <v>0</v>
      </c>
      <c r="S98" s="140">
        <f t="shared" si="26"/>
        <v>0</v>
      </c>
      <c r="T98" s="140">
        <f t="shared" si="26"/>
        <v>0</v>
      </c>
      <c r="U98" s="140">
        <f t="shared" si="26"/>
        <v>0</v>
      </c>
      <c r="V98" s="140">
        <f t="shared" si="26"/>
        <v>0</v>
      </c>
      <c r="W98" s="140">
        <f t="shared" si="26"/>
        <v>0</v>
      </c>
      <c r="X98" s="140">
        <f t="shared" si="26"/>
        <v>0</v>
      </c>
      <c r="Y98" s="140">
        <f t="shared" si="26"/>
        <v>0</v>
      </c>
      <c r="Z98" s="140">
        <f t="shared" si="26"/>
        <v>0</v>
      </c>
      <c r="AA98" s="140">
        <f t="shared" si="26"/>
        <v>0</v>
      </c>
      <c r="AB98" s="140">
        <f t="shared" si="26"/>
        <v>0</v>
      </c>
      <c r="AC98" s="159">
        <f>SUM(AC90:AC97)</f>
        <v>217325360</v>
      </c>
      <c r="AD98" s="107"/>
      <c r="AE98" s="33"/>
      <c r="AF98" s="107"/>
      <c r="AG98" s="81"/>
    </row>
    <row r="100" spans="1:33">
      <c r="J100" s="188"/>
    </row>
    <row r="101" spans="1:33">
      <c r="J101" s="70"/>
    </row>
  </sheetData>
  <autoFilter ref="A2:AH74" xr:uid="{00000000-0009-0000-0000-000000000000}"/>
  <mergeCells count="5">
    <mergeCell ref="AP2:AP5"/>
    <mergeCell ref="AD3:AD4"/>
    <mergeCell ref="AF3:AF4"/>
    <mergeCell ref="AJ3:AJ4"/>
    <mergeCell ref="AL3:AL4"/>
  </mergeCells>
  <phoneticPr fontId="15" type="noConversion"/>
  <conditionalFormatting sqref="AO6:AO84">
    <cfRule type="cellIs" dxfId="0" priority="1" operator="notEqual">
      <formula>AN6</formula>
    </cfRule>
  </conditionalFormatting>
  <dataValidations count="1">
    <dataValidation type="list" allowBlank="1" showInputMessage="1" showErrorMessage="1" sqref="AH6:AH84 AN6:AO84" xr:uid="{FFA33DD3-AC93-4E52-8853-3D63B516A0F1}">
      <formula1>"Ja, Nee"</formula1>
    </dataValidation>
  </dataValidations>
  <pageMargins left="0.70866141732283472" right="0.70866141732283472" top="1.7716535433070868" bottom="0.9055118110236221" header="0.31496062992125984" footer="0.62992125984251968"/>
  <pageSetup paperSize="9" scale="37" fitToHeight="0" orientation="landscape" r:id="rId1"/>
  <headerFooter>
    <oddFooter>&amp;L&amp;F &amp;A&amp;C&amp;P&amp;R&amp;D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n q P V w Y b K P K l A A A A 9 w A A A B I A H A B D b 2 5 m a W c v U G F j a 2 F n Z S 5 4 b W w g o h g A K K A U A A A A A A A A A A A A A A A A A A A A A A A A A A A A h Y + 9 D o I w H M R f h X S n X z g Y U s r g C s b E x L g 2 p W I j / D G 0 W N 7 N w U f y F c Q o 6 u Z 4 d 7 9 L 7 u 7 X m 8 j H t o k u p n e 2 g w w x T F F k Q H e V h T p D g z / E S 5 R L s V H 6 p G o T T T C 4 d H Q 2 Q 0 f v z y k h I Q Q c E t z 1 N e G U M r I v i 6 0 + m l b F F p x X o A 3 6 t K r / L S T F 7 j V G c s z Y A n P O E 0 w F m V 1 R W v g S f B r 8 T H 9 M s R o a P / R G Q h O v C 0 F m K c j 7 h H w A U E s D B B Q A A g A I A D J 6 j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e o 9 X K I p H u A 4 A A A A R A A A A E w A c A E Z v c m 1 1 b G F z L 1 N l Y 3 R p b 2 4 x L m 0 g o h g A K K A U A A A A A A A A A A A A A A A A A A A A A A A A A A A A K 0 5 N L s n M z 1 M I h t C G 1 g B Q S w E C L Q A U A A I A C A A y e o 9 X B h s o 8 q U A A A D 3 A A A A E g A A A A A A A A A A A A A A A A A A A A A A Q 2 9 u Z m l n L 1 B h Y 2 t h Z 2 U u e G 1 s U E s B A i 0 A F A A C A A g A M n q P V w / K 6 a u k A A A A 6 Q A A A B M A A A A A A A A A A A A A A A A A 8 Q A A A F t D b 2 5 0 Z W 5 0 X 1 R 5 c G V z X S 5 4 b W x Q S w E C L Q A U A A I A C A A y e o 9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8 W b h 6 x 8 R k u 2 t L u F h Q v y J w A A A A A C A A A A A A A Q Z g A A A A E A A C A A A A C Q j m N B 9 e u 0 D U 9 Y u P 1 + x 0 a + j T 4 / R S E h O V i D 3 j y V g b V u e A A A A A A O g A A A A A I A A C A A A A D W v H 4 o s p 2 6 A j s D d D / y F 7 V d i W h B H D X W O g 1 R H N H B b X V D M V A A A A C c 6 I N u h J q A K k o c Z W C W i E v z q T i Y M 9 f H 9 d B k Z n u C N p q A X F H c g F A M n K I E k B V L H 7 8 4 V + K U u t n R Q B e c p n 5 1 6 U V Q S N E 5 4 l I F Y V D j l F Q t V B k x p v Z N Y E A A A A C o m r U 4 + X B v Z Q / C 0 g t + v u O P Z V 8 w P b M E A b r 3 C 9 m J y d b i R u 0 u p W n 4 E g D A C T D 0 E C Q B P H 5 v j L V V n D W a + h + 3 X M i A N j L K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B663D99646F4A89CE699B75E3702E" ma:contentTypeVersion="15" ma:contentTypeDescription="Een nieuw document maken." ma:contentTypeScope="" ma:versionID="d68a2b3d6c2d6322aee730a1ac1a8759">
  <xsd:schema xmlns:xsd="http://www.w3.org/2001/XMLSchema" xmlns:xs="http://www.w3.org/2001/XMLSchema" xmlns:p="http://schemas.microsoft.com/office/2006/metadata/properties" xmlns:ns2="8a15e0a3-bf99-4b17-9e49-69e912ccdc50" xmlns:ns3="4497265c-481d-4f51-b360-06721ab48a0b" targetNamespace="http://schemas.microsoft.com/office/2006/metadata/properties" ma:root="true" ma:fieldsID="18e413b15c79796ed750f163c200d575" ns2:_="" ns3:_="">
    <xsd:import namespace="8a15e0a3-bf99-4b17-9e49-69e912ccdc50"/>
    <xsd:import namespace="4497265c-481d-4f51-b360-06721ab48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5e0a3-bf99-4b17-9e49-69e912ccdc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7265c-481d-4f51-b360-06721ab48a0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e639ff3-50a9-48c1-9d96-820ec33adcb1}" ma:internalName="TaxCatchAll" ma:showField="CatchAllData" ma:web="4497265c-481d-4f51-b360-06721ab48a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55148A-8227-4341-AFC0-42EF54E7567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7860DFA-28C0-4E22-B1EC-C64FDB1D8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FEE21-4644-4F6A-BED3-F855DD9B3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5e0a3-bf99-4b17-9e49-69e912ccdc50"/>
    <ds:schemaRef ds:uri="4497265c-481d-4f51-b360-06721ab48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Polis</vt:lpstr>
      <vt:lpstr>Aanhangsel</vt:lpstr>
      <vt:lpstr>Aanhangsel!Afdruktitels</vt:lpstr>
      <vt:lpstr>Polis!Afdruktitels</vt:lpstr>
    </vt:vector>
  </TitlesOfParts>
  <Manager/>
  <Company>Marsh &amp; McLennan Companies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Cornelisse</dc:creator>
  <cp:keywords/>
  <dc:description/>
  <cp:lastModifiedBy>Huib den Braven</cp:lastModifiedBy>
  <cp:revision/>
  <cp:lastPrinted>2023-12-15T16:39:58Z</cp:lastPrinted>
  <dcterms:created xsi:type="dcterms:W3CDTF">2009-10-22T06:52:39Z</dcterms:created>
  <dcterms:modified xsi:type="dcterms:W3CDTF">2024-09-13T09:56:28Z</dcterms:modified>
  <cp:category/>
  <cp:contentStatus/>
</cp:coreProperties>
</file>