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RjWallinga/De Keten Dropbox/1 Projecten/Flevoland/2024 deel 2/2025 voorbereiding/jH24uH 2024/Nota van Inlichtingen/Aangepaste documenten (N.a.v. NvI 1 2024)/"/>
    </mc:Choice>
  </mc:AlternateContent>
  <xr:revisionPtr revIDLastSave="0" documentId="8_{7129FBA4-9438-5845-8E9F-C5BEAA362DC4}" xr6:coauthVersionLast="47" xr6:coauthVersionMax="47" xr10:uidLastSave="{00000000-0000-0000-0000-000000000000}"/>
  <bookViews>
    <workbookView xWindow="20" yWindow="500" windowWidth="21600" windowHeight="11320" xr2:uid="{CD8B5484-47A7-42D7-8A63-0AEC05382B95}"/>
  </bookViews>
  <sheets>
    <sheet name="Jeugdhulp 24-uurs" sheetId="4" r:id="rId1"/>
    <sheet name="Salaris per functie" sheetId="19" r:id="rId2"/>
    <sheet name="Gezinshuis Generiek" sheetId="34" r:id="rId3"/>
    <sheet name="Gezinshuis Specifiek" sheetId="33" r:id="rId4"/>
    <sheet name="Etmaaltarieven 1-1-2024" sheetId="35" r:id="rId5"/>
  </sheets>
  <definedNames>
    <definedName name="Inschal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35" l="1"/>
  <c r="B4" i="35"/>
  <c r="R21" i="19"/>
  <c r="P21" i="19"/>
  <c r="N21" i="19"/>
  <c r="K21" i="19"/>
  <c r="K20" i="19"/>
  <c r="K19" i="19"/>
  <c r="F56" i="34" l="1"/>
  <c r="F55" i="34"/>
  <c r="F50" i="34"/>
  <c r="F59" i="34" s="1"/>
  <c r="F49" i="34"/>
  <c r="F60" i="34" s="1"/>
  <c r="F55" i="33"/>
  <c r="F54" i="33"/>
  <c r="F50" i="33"/>
  <c r="F49" i="33"/>
  <c r="F59" i="33" s="1"/>
  <c r="F58" i="33" l="1"/>
  <c r="C40" i="34"/>
  <c r="C37" i="34"/>
  <c r="C36" i="34"/>
  <c r="C35" i="34"/>
  <c r="C34" i="34"/>
  <c r="C33" i="34"/>
  <c r="C31" i="34"/>
  <c r="C30" i="34"/>
  <c r="D23" i="34"/>
  <c r="D22" i="34"/>
  <c r="D21" i="34"/>
  <c r="D20" i="34"/>
  <c r="D16" i="34"/>
  <c r="D15" i="34"/>
  <c r="D13" i="34"/>
  <c r="D12" i="34"/>
  <c r="D11" i="34"/>
  <c r="D10" i="34"/>
  <c r="F9" i="34"/>
  <c r="C5" i="34"/>
  <c r="D31" i="34" s="1"/>
  <c r="C32" i="34" l="1"/>
  <c r="D32" i="34" s="1"/>
  <c r="E3" i="34" l="1"/>
  <c r="C39" i="34"/>
  <c r="C38" i="34"/>
  <c r="C41" i="34" s="1"/>
  <c r="C40" i="33"/>
  <c r="C37" i="33"/>
  <c r="C36" i="33"/>
  <c r="C35" i="33"/>
  <c r="C34" i="33"/>
  <c r="C33" i="33"/>
  <c r="C31" i="33"/>
  <c r="C30" i="33"/>
  <c r="D23" i="33"/>
  <c r="D22" i="33"/>
  <c r="D21" i="33"/>
  <c r="D20" i="33"/>
  <c r="D16" i="33"/>
  <c r="D15" i="33"/>
  <c r="D13" i="33"/>
  <c r="D12" i="33"/>
  <c r="D11" i="33"/>
  <c r="D10" i="33"/>
  <c r="F9" i="33"/>
  <c r="C5" i="33"/>
  <c r="C32" i="33" s="1"/>
  <c r="D3" i="34" l="1"/>
  <c r="C42" i="34"/>
  <c r="C43" i="34" s="1"/>
  <c r="D32" i="33"/>
  <c r="E3" i="33"/>
  <c r="D31" i="33"/>
  <c r="C38" i="33"/>
  <c r="C39" i="33"/>
  <c r="E34" i="4" l="1"/>
  <c r="C41" i="33"/>
  <c r="C42" i="33" s="1"/>
  <c r="C43" i="33" s="1"/>
  <c r="F34" i="4" s="1"/>
  <c r="D3" i="33" l="1"/>
  <c r="I30" i="4" l="1"/>
  <c r="J30" i="4" l="1"/>
  <c r="K30" i="4"/>
  <c r="K21" i="4" l="1"/>
  <c r="B24" i="4"/>
  <c r="J21" i="4" l="1"/>
  <c r="B50" i="4" l="1"/>
  <c r="B49" i="4" l="1"/>
  <c r="B51" i="4"/>
  <c r="B53" i="4"/>
  <c r="T20" i="19" l="1"/>
  <c r="T19" i="19"/>
  <c r="J24" i="4" l="1"/>
  <c r="B23" i="4"/>
  <c r="K23" i="4" l="1"/>
  <c r="G23" i="4"/>
  <c r="I23" i="4"/>
  <c r="H24" i="4"/>
  <c r="H23" i="4"/>
  <c r="J23" i="4"/>
  <c r="G24" i="4"/>
  <c r="K24" i="4"/>
  <c r="I24" i="4"/>
  <c r="D24" i="4"/>
  <c r="S33" i="19" l="1"/>
  <c r="U33" i="19" s="1"/>
  <c r="S32" i="19"/>
  <c r="U32" i="19" s="1"/>
  <c r="S31" i="19"/>
  <c r="U31" i="19" s="1"/>
  <c r="S30" i="19"/>
  <c r="U30" i="19" s="1"/>
  <c r="S29" i="19"/>
  <c r="U29" i="19" s="1"/>
  <c r="S28" i="19"/>
  <c r="U28" i="19" s="1"/>
  <c r="I20" i="4" l="1"/>
  <c r="H20" i="4"/>
  <c r="G20" i="4"/>
  <c r="R19" i="19" l="1"/>
  <c r="D47" i="4" l="1"/>
  <c r="G22" i="4" l="1"/>
  <c r="H22" i="4"/>
  <c r="I22" i="4"/>
  <c r="J22" i="4"/>
  <c r="K22" i="4"/>
  <c r="A30" i="19" l="1"/>
  <c r="B56" i="4"/>
  <c r="H7" i="4" l="1"/>
  <c r="I7" i="4"/>
  <c r="J7" i="4"/>
  <c r="K7" i="4"/>
  <c r="I21" i="19" l="1"/>
  <c r="D46" i="4"/>
  <c r="N28" i="19" l="1"/>
  <c r="D2" i="4" s="1"/>
  <c r="N31" i="19"/>
  <c r="N32" i="19"/>
  <c r="N33" i="19"/>
  <c r="N30" i="19"/>
  <c r="N29" i="19"/>
  <c r="A28" i="19"/>
  <c r="D3" i="4" l="1"/>
  <c r="D6" i="4" s="1"/>
  <c r="A33" i="19"/>
  <c r="D44" i="4" l="1"/>
  <c r="K22" i="19"/>
  <c r="A29" i="19" l="1"/>
  <c r="A31" i="19" l="1"/>
  <c r="A32" i="19"/>
  <c r="R20" i="19" l="1"/>
  <c r="R22" i="19" s="1"/>
  <c r="P20" i="19"/>
  <c r="N20" i="19"/>
  <c r="I20" i="19"/>
  <c r="P19" i="19"/>
  <c r="N19" i="19"/>
  <c r="I19" i="19"/>
  <c r="L33" i="19" l="1"/>
  <c r="L31" i="19"/>
  <c r="L32" i="19"/>
  <c r="M29" i="19"/>
  <c r="O29" i="19" s="1"/>
  <c r="G2" i="4" s="1"/>
  <c r="G3" i="4" s="1"/>
  <c r="M32" i="19"/>
  <c r="M33" i="19"/>
  <c r="M30" i="19"/>
  <c r="Q30" i="19" s="1"/>
  <c r="H2" i="4" s="1"/>
  <c r="H3" i="4" s="1"/>
  <c r="M31" i="19"/>
  <c r="T22" i="19"/>
  <c r="N22" i="19"/>
  <c r="I22" i="19"/>
  <c r="P22" i="19"/>
  <c r="K28" i="19" l="1"/>
  <c r="K29" i="19"/>
  <c r="K33" i="19"/>
  <c r="K30" i="19"/>
  <c r="K31" i="19"/>
  <c r="K32" i="19"/>
  <c r="P31" i="19"/>
  <c r="I2" i="4" s="1"/>
  <c r="I3" i="4" s="1"/>
  <c r="P33" i="19"/>
  <c r="P32" i="19"/>
  <c r="J2" i="4" s="1"/>
  <c r="J3" i="4" s="1"/>
  <c r="K2" i="4" l="1"/>
  <c r="K3" i="4" s="1"/>
  <c r="H4" i="4" l="1"/>
  <c r="G4" i="4"/>
  <c r="J6" i="4"/>
  <c r="D4" i="4" l="1"/>
  <c r="H6" i="4"/>
  <c r="I4" i="4"/>
  <c r="I6" i="4"/>
  <c r="J4" i="4"/>
  <c r="K4" i="4"/>
  <c r="K6" i="4"/>
  <c r="G6" i="4"/>
  <c r="H5" i="4"/>
  <c r="J5" i="4"/>
  <c r="G5" i="4"/>
  <c r="I5" i="4"/>
  <c r="D5" i="4"/>
  <c r="D8" i="4" l="1"/>
  <c r="D9" i="4" s="1"/>
  <c r="H8" i="4"/>
  <c r="H9" i="4" s="1"/>
  <c r="I8" i="4"/>
  <c r="I9" i="4" s="1"/>
  <c r="G8" i="4"/>
  <c r="G9" i="4" s="1"/>
  <c r="J8" i="4"/>
  <c r="J9" i="4" s="1"/>
  <c r="K5" i="4" l="1"/>
  <c r="K8" i="4" s="1"/>
  <c r="K9" i="4" s="1"/>
  <c r="W28" i="19" l="1"/>
  <c r="W29" i="19" l="1"/>
  <c r="G10" i="4" s="1"/>
  <c r="G11" i="4" s="1"/>
  <c r="G12" i="4" s="1"/>
  <c r="W32" i="19"/>
  <c r="J10" i="4" s="1"/>
  <c r="J11" i="4" s="1"/>
  <c r="J12" i="4" s="1"/>
  <c r="J13" i="4" s="1"/>
  <c r="W30" i="19"/>
  <c r="H10" i="4" s="1"/>
  <c r="H11" i="4" s="1"/>
  <c r="H12" i="4" s="1"/>
  <c r="W33" i="19"/>
  <c r="K10" i="4" s="1"/>
  <c r="K11" i="4" s="1"/>
  <c r="K12" i="4" s="1"/>
  <c r="K13" i="4" s="1"/>
  <c r="W31" i="19"/>
  <c r="I10" i="4" s="1"/>
  <c r="I11" i="4" s="1"/>
  <c r="I12" i="4" s="1"/>
  <c r="I13" i="4" s="1"/>
  <c r="D10" i="4"/>
  <c r="D11" i="4" s="1"/>
  <c r="D12" i="4" s="1"/>
  <c r="D13" i="4" s="1"/>
  <c r="I14" i="4" l="1"/>
  <c r="I16" i="4" s="1"/>
  <c r="I17" i="4" s="1"/>
  <c r="J14" i="4"/>
  <c r="J16" i="4" s="1"/>
  <c r="J17" i="4" s="1"/>
  <c r="K14" i="4"/>
  <c r="K16" i="4" s="1"/>
  <c r="K17" i="4" s="1"/>
  <c r="D14" i="4"/>
  <c r="H13" i="4"/>
  <c r="G13" i="4"/>
  <c r="H14" i="4" l="1"/>
  <c r="G14" i="4"/>
  <c r="G16" i="4" s="1"/>
  <c r="G17" i="4" s="1"/>
  <c r="G19" i="4" s="1"/>
  <c r="D15" i="4"/>
  <c r="K29" i="4" l="1"/>
  <c r="H16" i="4"/>
  <c r="H17" i="4" s="1"/>
  <c r="H19" i="4" s="1"/>
  <c r="D17" i="4"/>
  <c r="D19" i="4" s="1"/>
  <c r="D45" i="4"/>
  <c r="I19" i="4"/>
  <c r="K19" i="4"/>
  <c r="J19" i="4"/>
  <c r="K34" i="4" l="1"/>
  <c r="B12" i="35" s="1"/>
  <c r="D36" i="4"/>
  <c r="J29" i="4"/>
  <c r="J35" i="4" s="1"/>
  <c r="B11" i="35" s="1"/>
  <c r="J28" i="4"/>
  <c r="J34" i="4" s="1"/>
  <c r="B10" i="35" s="1"/>
  <c r="H25" i="4" l="1"/>
  <c r="H34" i="4" s="1"/>
  <c r="B7" i="35" s="1"/>
  <c r="I26" i="4"/>
  <c r="I34" i="4" s="1"/>
  <c r="B8" i="35" s="1"/>
  <c r="I27" i="4"/>
  <c r="I35" i="4" s="1"/>
  <c r="B9" i="35" s="1"/>
  <c r="D37" i="4"/>
  <c r="D34" i="4" s="1"/>
  <c r="B3" i="35" s="1"/>
  <c r="G25" i="4"/>
  <c r="G34" i="4" l="1"/>
  <c r="B6"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Bakker</author>
  </authors>
  <commentList>
    <comment ref="A37" authorId="0" shapeId="0" xr:uid="{397DA403-CDFE-4132-8D7E-03B4BE24D08E}">
      <text>
        <r>
          <rPr>
            <b/>
            <sz val="9"/>
            <color indexed="81"/>
            <rFont val="Tahoma"/>
            <family val="2"/>
          </rPr>
          <t>Peter Bakker:</t>
        </r>
        <r>
          <rPr>
            <sz val="9"/>
            <color indexed="81"/>
            <rFont val="Tahoma"/>
            <family val="2"/>
          </rPr>
          <t xml:space="preserve">
obv handreiking tarifering pleegzorg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tc={D7A2EBB8-375F-4516-B318-6215DC797B49}</author>
  </authors>
  <commentList>
    <comment ref="N28" authorId="0" shapeId="0" xr:uid="{D7A2EBB8-375F-4516-B318-6215DC797B49}">
      <text>
        <t>[Opmerkingenthread]
U kunt deze opmerkingenthread lezen in uw versie van Excel. Eventuele wijzigingen aan de thread gaan echter verloren als het bestand wordt geopend in een nieuwere versie van Excel. Meer informatie: https://go.microsoft.com/fwlink/?linkid=870924
Opmerking:
    100% schaal 9 bij HBO</t>
      </text>
    </comment>
  </commentList>
</comments>
</file>

<file path=xl/sharedStrings.xml><?xml version="1.0" encoding="utf-8"?>
<sst xmlns="http://schemas.openxmlformats.org/spreadsheetml/2006/main" count="295" uniqueCount="173">
  <si>
    <t>Product</t>
  </si>
  <si>
    <t>Max maandsalaris opleidingsmix</t>
  </si>
  <si>
    <t>Inschaling als % van max</t>
  </si>
  <si>
    <t>ORT</t>
  </si>
  <si>
    <t xml:space="preserve">Vakantiegeld </t>
  </si>
  <si>
    <t>Eindejaarsuitkering</t>
  </si>
  <si>
    <t>Bruto loonkosten</t>
  </si>
  <si>
    <t>Bruto loonkosten incl werkgeverslasten</t>
  </si>
  <si>
    <t>Declarabele uren</t>
  </si>
  <si>
    <t>HBO</t>
  </si>
  <si>
    <t>HBO+</t>
  </si>
  <si>
    <t>WO</t>
  </si>
  <si>
    <t>WO+</t>
  </si>
  <si>
    <t>WO++</t>
  </si>
  <si>
    <t>GGZ</t>
  </si>
  <si>
    <t>Opslag overhead</t>
  </si>
  <si>
    <t>parameterwaarden</t>
  </si>
  <si>
    <t>percentage</t>
  </si>
  <si>
    <t>maximale maandsalarisbedragen per cao</t>
  </si>
  <si>
    <t>GHZ</t>
  </si>
  <si>
    <t>MBO 4</t>
  </si>
  <si>
    <t>FWG40</t>
  </si>
  <si>
    <t>schaal 6</t>
  </si>
  <si>
    <t>FWG45</t>
  </si>
  <si>
    <t>schaal 7</t>
  </si>
  <si>
    <t>FWG50</t>
  </si>
  <si>
    <t>schaal 8</t>
  </si>
  <si>
    <t>FWG55</t>
  </si>
  <si>
    <t>schaal 9</t>
  </si>
  <si>
    <t>ORT evenredig</t>
  </si>
  <si>
    <t>KJP</t>
  </si>
  <si>
    <t>FWG60</t>
  </si>
  <si>
    <t>FWG65</t>
  </si>
  <si>
    <t>FWG70</t>
  </si>
  <si>
    <t>FWG75</t>
  </si>
  <si>
    <t>schaal 10</t>
  </si>
  <si>
    <t>schaal 11</t>
  </si>
  <si>
    <t>schaal 12</t>
  </si>
  <si>
    <t>MS</t>
  </si>
  <si>
    <t>Jeugdzorg</t>
  </si>
  <si>
    <t>MBO4</t>
  </si>
  <si>
    <t>inzet in uren per etmaal</t>
  </si>
  <si>
    <t>PNIL</t>
  </si>
  <si>
    <t>Tarief per etmaal</t>
  </si>
  <si>
    <t>gelijk gewicht</t>
  </si>
  <si>
    <t>Salaris gemiddeld</t>
  </si>
  <si>
    <t>salaris alleen GGZ</t>
  </si>
  <si>
    <t>salaris alleen GHZ</t>
  </si>
  <si>
    <t>salaris alleen JZ</t>
  </si>
  <si>
    <t>Bijzondere kosten pleegzorg</t>
  </si>
  <si>
    <t>salaris 1/2 JZ 1/2 GHZ</t>
  </si>
  <si>
    <t>Inzet in uren per week</t>
  </si>
  <si>
    <t>Extra pleegzorg vergoeding per dag</t>
  </si>
  <si>
    <t>Eindejaarsuitkering gemiddeld</t>
  </si>
  <si>
    <t>Eindejaarsuitkering JZ</t>
  </si>
  <si>
    <t>Eindejaarsuitkering 2/3 JZ</t>
  </si>
  <si>
    <t>Eindejaarsuitkering GGZ / GHZ</t>
  </si>
  <si>
    <t>Eindjaarsuitkering 1/2 JZ</t>
  </si>
  <si>
    <t>Balansbudget GGZ</t>
  </si>
  <si>
    <t>Balansbudget 100% GGZ</t>
  </si>
  <si>
    <t>Balansbudget 1/3 GGZ</t>
  </si>
  <si>
    <t>Segment 1</t>
  </si>
  <si>
    <t>Kamertrainingcentrum/fasehuis</t>
  </si>
  <si>
    <t>Woon- en leefgroep</t>
  </si>
  <si>
    <t>Behandeld wonen</t>
  </si>
  <si>
    <t>Behandeld wonen 3-milieus klimaat</t>
  </si>
  <si>
    <t>Jeugdzorg Plus</t>
  </si>
  <si>
    <t>Pleegzorg</t>
  </si>
  <si>
    <t>salaris 1/3 GGZ 1/3 JZ 1/3 GHZ</t>
  </si>
  <si>
    <t>salaris 2/3 JZ 1/3 GHZ</t>
  </si>
  <si>
    <t>Cao-mix afhankelijk</t>
  </si>
  <si>
    <t>kosten slaapwacht/etmaal MBO4/HBO (1 op 16)</t>
  </si>
  <si>
    <t>opslag kapitaallasten (ZZP1/ZZP2 GGZ B) (etmaal)</t>
  </si>
  <si>
    <t>kosten hotelmatige voorzieningen: GGZ B: 3B/4B (etmaal)</t>
  </si>
  <si>
    <t>Cao</t>
  </si>
  <si>
    <t>Overhead percentage</t>
  </si>
  <si>
    <t>JZ</t>
  </si>
  <si>
    <t>Overhead % obv cao-mix</t>
  </si>
  <si>
    <t>ORT mix evenredig / buiten schooltijden (obv schoolvakanties)</t>
  </si>
  <si>
    <t>Kamertrainingscentrum/fasehuis</t>
  </si>
  <si>
    <t>ORT incidenteel (JH)</t>
  </si>
  <si>
    <t>Bereikbaarheidvergoeding obv 100 clienten</t>
  </si>
  <si>
    <t>Overhead % obv cao-mix incl reiskosten 1,5%</t>
  </si>
  <si>
    <t>pensioenpremie</t>
  </si>
  <si>
    <t>pensioenpremie naar rato cao-mix</t>
  </si>
  <si>
    <t>Risico-opslag AMBULANT</t>
  </si>
  <si>
    <t>Risico-opslag VERBLIJF</t>
  </si>
  <si>
    <t>Behandeld wonen KSW</t>
  </si>
  <si>
    <t>Behandeld wonen 3-milieus klimaat KSW</t>
  </si>
  <si>
    <t>Per 1-1-2024</t>
  </si>
  <si>
    <r>
      <t>maximum premie</t>
    </r>
    <r>
      <rPr>
        <sz val="12"/>
        <rFont val="Calibri"/>
        <family val="2"/>
        <scheme val="minor"/>
      </rPr>
      <t>loon 2024</t>
    </r>
  </si>
  <si>
    <t>Werkgeverspremies (percentage 2024)</t>
  </si>
  <si>
    <t>vergoeding zak- en kleedgeld per etmaal (€ 126 per jeugdige per maand (30 dagen); aanname dat bij 20% van de jeugdigen de ouders niet in zak- en kleedgeld voorzien)</t>
  </si>
  <si>
    <t>UURTARIEF prijspeil 1-1-2024</t>
  </si>
  <si>
    <t>opslag kapitaallasten (LVG4/LVG5) (etmaal)</t>
  </si>
  <si>
    <t>kosten vervoer (2x per week &gt; 40 km)</t>
  </si>
  <si>
    <t>kosten slaapwacht/etmaal MBO4/HBO (1 op7)</t>
  </si>
  <si>
    <t>Pleegzorg vergoeding gemiddeld/dag (prijspeil 2024)</t>
  </si>
  <si>
    <t>TARIEF VOOR DEELTIJDPLEEGZORG IS (105/51=) * TARIEF VOLTIJD PLEEGZORG</t>
  </si>
  <si>
    <t>VERHOUDING DEELTIJD/VOLTIJD IS 5%/95%</t>
  </si>
  <si>
    <t>Tarief voltijd pleegzorg</t>
  </si>
  <si>
    <t>Gegevens over gezinshuis</t>
  </si>
  <si>
    <t>aantal</t>
  </si>
  <si>
    <t>berekend etmaaltarief</t>
  </si>
  <si>
    <t>begeleidingsintensiteit</t>
  </si>
  <si>
    <t>Aantal gezinshuisouders (in fte)*</t>
  </si>
  <si>
    <t>Aantal capaciteitsplaatsen van het gezinshuis</t>
  </si>
  <si>
    <t>Aantal jeugdigen per gezinshuisouder</t>
  </si>
  <si>
    <t>Prijsindex van 2022 naar jaar…</t>
  </si>
  <si>
    <t>jaar</t>
  </si>
  <si>
    <t>(bijv.: 2 indexaties van 2,5% voor 2023 en 2024 is bijvoorbeeld: (1,025*1,025-100% = 5,06%)</t>
  </si>
  <si>
    <t>(Bouwsteen) - Overige gegevens/normen</t>
  </si>
  <si>
    <t>keuzewaarde</t>
  </si>
  <si>
    <t>* Het gaat hier om voltijds beschikbare gezinshuisouders, dus gezinshuisouders zonder inkomen uit andere arbeid.</t>
  </si>
  <si>
    <t>(1) - Normjaarinkomen SKJ-geregistreerde gezinshuisouder</t>
  </si>
  <si>
    <t>(7) - Overheadkosten per gezinshuisouder per jaar</t>
  </si>
  <si>
    <t>(7) - Overheadkosten per gezinshuis per jaar</t>
  </si>
  <si>
    <t>** De standaardwaarde van 1,0 uur per jeugdige per week is voldoende voor de overgrote meerderheid van de gezinshuizen. De beschikbare uren mogen naar behoefte worden verdeeld over de jeugdigen. Bij zeer hoge zorgzwaarte kan hier een hogere waarde worden gekozen.</t>
  </si>
  <si>
    <t>(2) - Gedragswetenschapper (netto uren per jeugdige per week)**</t>
  </si>
  <si>
    <t>(2) - Jaarkosten gedragswetenschapper</t>
  </si>
  <si>
    <t>(2) - Declarabele uren gedragswetenschapper per jaar</t>
  </si>
  <si>
    <t>(3) - Ondersteuning** (netto uren per jeugdige per week)</t>
  </si>
  <si>
    <t>*** De extra opslag zorgzwaarte biedt de mogelijkheid om zorgzwaarte toe te voegen in de vorm van extra geld. Hiermee zouden extra materiële uitgaven voor een jeugdige kunnen worden betaald, waarvan redelijkerwijs niet gesteld kan worden dat deze horen bij de standaardkosten van gezinshuiszorg. Hier weegt óók de specifieke situatie van een gezinshuis mee, zoals de kosten die voor de andere jeugdigen uit een gezinshuis gemaakt moeten worden. Per jeugdige is ongeveer € 30.000-€ 35.000 aan kosten per jaar (dus zonder de bouwsteen 'Inkomen') opgenomen in de norm (afhankelijk van het aantal capaciteitsplaatsen).  Let op: met de bouwsteen 'extra pedagogische onderteuning' kan extra zorgzwaarte worden toegevoegd in de vorm van 'uren'. Hierbij geldt dezelfde redering als bij de opslag in euro's, dat de context van het gezinshuis mede bepaalt of de extra zorgzwaarte zou moeten worden gehonoreerd.</t>
  </si>
  <si>
    <t xml:space="preserve">(3) - Jaarkosten Ondersteuning </t>
  </si>
  <si>
    <t>(3) - Roosterbare uren Ondersteuning per jaar</t>
  </si>
  <si>
    <t>(4) - Kosten vervanging/logeren (€ per jeugdige per dag)</t>
  </si>
  <si>
    <t>(5) - Verzorgingskosten per jeugdige dag</t>
  </si>
  <si>
    <t>(6) - Huisvestingskosten per jeugdige per dag</t>
  </si>
  <si>
    <t>(8) - Gelieerde zorgaanbieder (€ per jeugdige dag)</t>
  </si>
  <si>
    <t>(11) - Extra opslag zorgzwaarte (€)***</t>
  </si>
  <si>
    <t>(9) - Opslag leegstand (%)</t>
  </si>
  <si>
    <t>(10) - Opslag winst/marge (%)</t>
  </si>
  <si>
    <t>(3) - Hogere pedagogische inhuur vanaf begeleidingsintensiteit****</t>
  </si>
  <si>
    <r>
      <t xml:space="preserve">**** Het inkomen van de gezinhuisouders wordt in dit rekenmodel berekend door het normjaarinkomen te delen op het aantal jeugdigen per gezinshuisouder. Per extra </t>
    </r>
    <r>
      <rPr>
        <i/>
        <sz val="9"/>
        <color theme="1"/>
        <rFont val="Calibri"/>
        <family val="2"/>
        <scheme val="minor"/>
      </rPr>
      <t>capaciteitsplaats</t>
    </r>
    <r>
      <rPr>
        <sz val="9"/>
        <color theme="1"/>
        <rFont val="Calibri"/>
        <family val="2"/>
        <scheme val="minor"/>
      </rPr>
      <t xml:space="preserve"> in het gezinshuis, daalt de bijdrage per jeugdige aan het inkomen van de gezinshuisouder. Het inkomen blijft zo altijd op het normjaarinkomen, ongeacht de groepsgrootte. 
Echter, naarmate de gezinshuizen groter worden, zal de pedagogische inhuur stijgen omdat de gezinshuisouders niet genoeg tijd meer aan de jeugdigen kunnen besteden. De hoeveelheid fte per jeugdige (= 'begeleidingsintensiteit') wordt dan eenvoudigweg te klein. In dit model kan worden ingesteld vanaf welke  begeleidingsintensiteit ('fte gezinhuisouders + fte gedragswetenschapper + fte pedagogische ondersteuning/jeugdigen') de pedagogische inhuur toeneemt als de groepsgrootte verder stijgt. Vanaf dan stijgt de inhuur pedagogische ondersteuning met (ongeveer) hetzelfde bedrag als de inkomen gezinshuisouder per jeugdige daalt. Vanaf dan daalt het tarief niet meer als het aantal capaciteitsplaatsen stijgt.</t>
    </r>
  </si>
  <si>
    <t>Tariefsopbouw per bouwsteen</t>
  </si>
  <si>
    <t>euro's</t>
  </si>
  <si>
    <r>
      <t>1.</t>
    </r>
    <r>
      <rPr>
        <sz val="7"/>
        <color theme="1"/>
        <rFont val="Times New Roman"/>
        <family val="1"/>
      </rPr>
      <t xml:space="preserve">       </t>
    </r>
    <r>
      <rPr>
        <sz val="11"/>
        <color theme="1"/>
        <rFont val="Calibri"/>
        <family val="2"/>
        <scheme val="minor"/>
      </rPr>
      <t>Inkomen gezinshuisouders</t>
    </r>
  </si>
  <si>
    <r>
      <t>2.</t>
    </r>
    <r>
      <rPr>
        <sz val="7"/>
        <color theme="1"/>
        <rFont val="Times New Roman"/>
        <family val="1"/>
      </rPr>
      <t xml:space="preserve">       </t>
    </r>
    <r>
      <rPr>
        <sz val="11"/>
        <color theme="1"/>
        <rFont val="Calibri"/>
        <family val="2"/>
        <scheme val="minor"/>
      </rPr>
      <t>Gedragswetenschapper</t>
    </r>
  </si>
  <si>
    <t>3.       Ondersteuning</t>
  </si>
  <si>
    <r>
      <t>4.</t>
    </r>
    <r>
      <rPr>
        <sz val="7"/>
        <color theme="1"/>
        <rFont val="Times New Roman"/>
        <family val="1"/>
      </rPr>
      <t xml:space="preserve">       </t>
    </r>
    <r>
      <rPr>
        <sz val="11"/>
        <color theme="1"/>
        <rFont val="Calibri"/>
        <family val="2"/>
        <scheme val="minor"/>
      </rPr>
      <t>Vervanging/logeren</t>
    </r>
  </si>
  <si>
    <r>
      <t>5.</t>
    </r>
    <r>
      <rPr>
        <sz val="7"/>
        <color theme="1"/>
        <rFont val="Times New Roman"/>
        <family val="1"/>
      </rPr>
      <t xml:space="preserve">       </t>
    </r>
    <r>
      <rPr>
        <sz val="11"/>
        <color theme="1"/>
        <rFont val="Calibri"/>
        <family val="2"/>
        <scheme val="minor"/>
      </rPr>
      <t>Verzorging</t>
    </r>
  </si>
  <si>
    <r>
      <t>6.</t>
    </r>
    <r>
      <rPr>
        <sz val="7"/>
        <color theme="1"/>
        <rFont val="Times New Roman"/>
        <family val="1"/>
      </rPr>
      <t xml:space="preserve">       </t>
    </r>
    <r>
      <rPr>
        <sz val="11"/>
        <color theme="1"/>
        <rFont val="Calibri"/>
        <family val="2"/>
        <scheme val="minor"/>
      </rPr>
      <t>Huisvesting</t>
    </r>
  </si>
  <si>
    <r>
      <t>7.</t>
    </r>
    <r>
      <rPr>
        <sz val="7"/>
        <color theme="1"/>
        <rFont val="Times New Roman"/>
        <family val="1"/>
      </rPr>
      <t xml:space="preserve">       </t>
    </r>
    <r>
      <rPr>
        <sz val="11"/>
        <color theme="1"/>
        <rFont val="Calibri"/>
        <family val="2"/>
        <scheme val="minor"/>
      </rPr>
      <t>Overhead</t>
    </r>
  </si>
  <si>
    <r>
      <t>8.</t>
    </r>
    <r>
      <rPr>
        <sz val="7"/>
        <color theme="1"/>
        <rFont val="Times New Roman"/>
        <family val="1"/>
      </rPr>
      <t xml:space="preserve">       </t>
    </r>
    <r>
      <rPr>
        <sz val="11"/>
        <color theme="1"/>
        <rFont val="Calibri"/>
        <family val="2"/>
        <scheme val="minor"/>
      </rPr>
      <t>Gelieerde zorgaanbieder</t>
    </r>
  </si>
  <si>
    <r>
      <t>9.</t>
    </r>
    <r>
      <rPr>
        <sz val="7"/>
        <color theme="1"/>
        <rFont val="Times New Roman"/>
        <family val="1"/>
      </rPr>
      <t xml:space="preserve">       </t>
    </r>
    <r>
      <rPr>
        <sz val="11"/>
        <color theme="1"/>
        <rFont val="Calibri"/>
        <family val="2"/>
        <scheme val="minor"/>
      </rPr>
      <t>Leegstand</t>
    </r>
  </si>
  <si>
    <r>
      <t>10.</t>
    </r>
    <r>
      <rPr>
        <sz val="7"/>
        <color theme="1"/>
        <rFont val="Times New Roman"/>
        <family val="1"/>
      </rPr>
      <t>    </t>
    </r>
    <r>
      <rPr>
        <sz val="11"/>
        <color theme="1"/>
        <rFont val="Calibri"/>
        <family val="2"/>
        <scheme val="minor"/>
      </rPr>
      <t>Winst/marge</t>
    </r>
  </si>
  <si>
    <r>
      <t>11.</t>
    </r>
    <r>
      <rPr>
        <sz val="7"/>
        <color theme="1"/>
        <rFont val="Times New Roman"/>
        <family val="1"/>
      </rPr>
      <t>    </t>
    </r>
    <r>
      <rPr>
        <sz val="11"/>
        <color theme="1"/>
        <rFont val="Calibri"/>
        <family val="2"/>
        <scheme val="minor"/>
      </rPr>
      <t>Zorgzwaarte</t>
    </r>
  </si>
  <si>
    <t>Gezinshuis Specifiek</t>
  </si>
  <si>
    <t>Gezinshuis Generiek</t>
  </si>
  <si>
    <t>Product (tarieven op prijspeil 1-1-2024)</t>
  </si>
  <si>
    <t>inzet in uren per etmaal bij KSW</t>
  </si>
  <si>
    <t>kosten slaapwacht/etmaal MBO4/HBO (1 op 5) KSW</t>
  </si>
  <si>
    <t>kosten wakende wacht/etmaal HBO (1 op 7)</t>
  </si>
  <si>
    <t xml:space="preserve">kosten wakende wacht/etmaal HBO (1 op 5) </t>
  </si>
  <si>
    <t>Jaar</t>
  </si>
  <si>
    <t>Prijsindexcijfers</t>
  </si>
  <si>
    <t>2024 (voorlopig)</t>
  </si>
  <si>
    <t>Prijsindexcijfers personele kosten (NZa)</t>
  </si>
  <si>
    <t>2023 (aangepast, zie nieuwsbericht)</t>
  </si>
  <si>
    <t>Prijsindexcijfers materiële kosten (NZa)</t>
  </si>
  <si>
    <t xml:space="preserve">aandeel </t>
  </si>
  <si>
    <t>totaal 2023</t>
  </si>
  <si>
    <t>totaal 2024</t>
  </si>
  <si>
    <t>Totaal prijspeil 2022</t>
  </si>
  <si>
    <t>Totaal prijspeil 2023</t>
  </si>
  <si>
    <t>Totaal prijspeil 2024</t>
  </si>
  <si>
    <t xml:space="preserve">Bruto loonkosten incl werkgeverslasten &amp; PNIL </t>
  </si>
  <si>
    <t xml:space="preserve">Totale kosten </t>
  </si>
  <si>
    <r>
      <t>vergoeding bijzondere kosten per etmaal (</t>
    </r>
    <r>
      <rPr>
        <sz val="12"/>
        <rFont val="Calibri"/>
        <family val="2"/>
      </rPr>
      <t>€</t>
    </r>
    <r>
      <rPr>
        <sz val="10.8"/>
        <rFont val="Calibri"/>
        <family val="2"/>
      </rPr>
      <t xml:space="preserve"> 200 per jeugdige per jaar)</t>
    </r>
  </si>
  <si>
    <t xml:space="preserve">Etmaaltarief prijspeil 1-1-2024 </t>
  </si>
  <si>
    <t>Etmaaltarief bij KSW</t>
  </si>
  <si>
    <t>Rekenmodule Handreiking tariefstelling gezinshuiszorg</t>
  </si>
  <si>
    <t>Jeugdhulp 24-uurs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</si>
</sst>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quot;€&quot;\ #,##0.00;[Red]&quot;€&quot;\ \-#,##0.00"/>
    <numFmt numFmtId="165" formatCode="_ &quot;€&quot;\ * #,##0.00_ ;_ &quot;€&quot;\ * \-#,##0.00_ ;_ &quot;€&quot;\ * &quot;-&quot;??_ ;_ @_ "/>
    <numFmt numFmtId="166" formatCode="_ * #,##0.00_ ;_ * \-#,##0.00_ ;_ * &quot;-&quot;??_ ;_ @_ "/>
    <numFmt numFmtId="167" formatCode="_ &quot;€&quot;\ * #,##0_ ;_ &quot;€&quot;\ * \-#,##0_ ;_ &quot;€&quot;\ * &quot;-&quot;??_ ;_ @_ "/>
    <numFmt numFmtId="168" formatCode="0.0"/>
    <numFmt numFmtId="169" formatCode="0.0%"/>
    <numFmt numFmtId="170" formatCode="0.0000"/>
    <numFmt numFmtId="171" formatCode="&quot;€&quot;\ #,##0.00"/>
    <numFmt numFmtId="172" formatCode="#,##0_ ;\-#,##0\ "/>
    <numFmt numFmtId="173" formatCode="_ &quot;€&quot;\ * #,##0.00_ ;_ &quot;€&quot;\ * \-#,##0.00_ ;_ &quot;€&quot;\ * &quot;-&quot;????_ ;_ @_ "/>
    <numFmt numFmtId="174" formatCode="0.000"/>
    <numFmt numFmtId="175" formatCode="0.000%"/>
    <numFmt numFmtId="176" formatCode="&quot;€&quot;\ #,##0.00_-"/>
    <numFmt numFmtId="177" formatCode="&quot;€&quot;\ #,##0"/>
    <numFmt numFmtId="178" formatCode="&quot;€&quot;\ #,##0.0"/>
    <numFmt numFmtId="179" formatCode="0.000000%"/>
  </numFmts>
  <fonts count="4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theme="1"/>
      <name val="Corbel"/>
      <family val="2"/>
    </font>
    <font>
      <sz val="12"/>
      <color rgb="FF000000"/>
      <name val="Calibri"/>
      <family val="2"/>
      <scheme val="minor"/>
    </font>
    <font>
      <b/>
      <sz val="12"/>
      <color rgb="FF000000"/>
      <name val="Calibri"/>
      <family val="2"/>
      <scheme val="minor"/>
    </font>
    <font>
      <sz val="12"/>
      <color theme="0" tint="-0.34998626667073579"/>
      <name val="Calibri"/>
      <family val="2"/>
      <scheme val="minor"/>
    </font>
    <font>
      <b/>
      <sz val="9"/>
      <color rgb="FFFFFFFF"/>
      <name val="Corbel"/>
      <family val="2"/>
    </font>
    <font>
      <b/>
      <sz val="9"/>
      <color rgb="FF000000"/>
      <name val="Corbel"/>
      <family val="2"/>
    </font>
    <font>
      <sz val="9"/>
      <color theme="1"/>
      <name val="Corbel"/>
      <family val="2"/>
    </font>
    <font>
      <sz val="9"/>
      <color rgb="FF000000"/>
      <name val="Corbel"/>
      <family val="2"/>
    </font>
    <font>
      <sz val="12"/>
      <color rgb="FFFF0000"/>
      <name val="Calibri"/>
      <family val="2"/>
      <scheme val="minor"/>
    </font>
    <font>
      <b/>
      <sz val="10"/>
      <color rgb="FF000000"/>
      <name val="Corbel"/>
      <family val="2"/>
    </font>
    <font>
      <sz val="12"/>
      <name val="Calibri"/>
      <family val="2"/>
      <scheme val="minor"/>
    </font>
    <font>
      <b/>
      <sz val="12"/>
      <color theme="0"/>
      <name val="Calibri"/>
      <family val="2"/>
      <scheme val="minor"/>
    </font>
    <font>
      <sz val="8"/>
      <name val="Calibri"/>
      <family val="2"/>
      <scheme val="minor"/>
    </font>
    <font>
      <sz val="11"/>
      <color rgb="FF000000"/>
      <name val="Calibri"/>
      <family val="2"/>
    </font>
    <font>
      <b/>
      <sz val="10"/>
      <name val="Corbel"/>
      <family val="2"/>
    </font>
    <font>
      <b/>
      <sz val="9.5"/>
      <name val="Open Sans Light"/>
      <family val="2"/>
    </font>
    <font>
      <b/>
      <sz val="10"/>
      <color theme="1"/>
      <name val="Open Sans Light"/>
      <family val="2"/>
    </font>
    <font>
      <sz val="11"/>
      <color indexed="8"/>
      <name val="Calibri"/>
      <family val="2"/>
      <scheme val="minor"/>
    </font>
    <font>
      <b/>
      <sz val="12"/>
      <color rgb="FFFF0000"/>
      <name val="Calibri"/>
      <family val="2"/>
      <scheme val="minor"/>
    </font>
    <font>
      <sz val="9"/>
      <color indexed="81"/>
      <name val="Tahoma"/>
      <family val="2"/>
    </font>
    <font>
      <b/>
      <sz val="9"/>
      <color indexed="81"/>
      <name val="Tahoma"/>
      <family val="2"/>
    </font>
    <font>
      <sz val="9"/>
      <color theme="1"/>
      <name val="Calibri"/>
      <family val="2"/>
      <scheme val="minor"/>
    </font>
    <font>
      <b/>
      <sz val="9"/>
      <color rgb="FFFF0000"/>
      <name val="Calibri"/>
      <family val="2"/>
      <scheme val="minor"/>
    </font>
    <font>
      <i/>
      <sz val="9"/>
      <color theme="1"/>
      <name val="Calibri"/>
      <family val="2"/>
      <scheme val="minor"/>
    </font>
    <font>
      <sz val="7"/>
      <color theme="1"/>
      <name val="Times New Roman"/>
      <family val="1"/>
    </font>
    <font>
      <b/>
      <sz val="12"/>
      <name val="Calibri"/>
      <family val="2"/>
      <scheme val="minor"/>
    </font>
    <font>
      <u/>
      <sz val="11"/>
      <color theme="10"/>
      <name val="Calibri"/>
      <family val="2"/>
      <scheme val="minor"/>
    </font>
    <font>
      <b/>
      <sz val="10"/>
      <color rgb="FF000000"/>
      <name val="Verdana"/>
      <family val="2"/>
    </font>
    <font>
      <sz val="10"/>
      <color rgb="FF000000"/>
      <name val="Verdana"/>
      <family val="2"/>
    </font>
    <font>
      <u/>
      <sz val="10"/>
      <color theme="10"/>
      <name val="Calibri"/>
      <family val="2"/>
      <scheme val="minor"/>
    </font>
    <font>
      <sz val="12"/>
      <name val="Calibri"/>
      <family val="2"/>
    </font>
    <font>
      <sz val="10.8"/>
      <name val="Calibri"/>
      <family val="2"/>
    </font>
    <font>
      <sz val="12"/>
      <color theme="0" tint="-0.249977111117893"/>
      <name val="Calibri"/>
      <family val="2"/>
      <scheme val="minor"/>
    </font>
    <font>
      <sz val="11"/>
      <color rgb="FF000000"/>
      <name val="Calibri"/>
      <family val="2"/>
      <scheme val="minor"/>
    </font>
    <font>
      <b/>
      <sz val="11"/>
      <color rgb="FF000000"/>
      <name val="Calibri"/>
      <family val="2"/>
      <scheme val="minor"/>
    </font>
    <font>
      <sz val="11"/>
      <color rgb="FF000000"/>
      <name val="Corbel"/>
      <family val="2"/>
    </font>
    <font>
      <sz val="11"/>
      <name val="Corbel"/>
      <family val="2"/>
    </font>
  </fonts>
  <fills count="2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55934F"/>
        <bgColor indexed="64"/>
      </patternFill>
    </fill>
    <fill>
      <patternFill patternType="solid">
        <fgColor theme="7" tint="0.59999389629810485"/>
        <bgColor indexed="64"/>
      </patternFill>
    </fill>
    <fill>
      <patternFill patternType="solid">
        <fgColor rgb="FFFFFFFF"/>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bgColor indexed="64"/>
      </patternFill>
    </fill>
    <fill>
      <patternFill patternType="solid">
        <fgColor theme="5" tint="0.39997558519241921"/>
        <bgColor indexed="64"/>
      </patternFill>
    </fill>
    <fill>
      <patternFill patternType="solid">
        <fgColor rgb="FFFFCCFF"/>
        <bgColor indexed="64"/>
      </patternFill>
    </fill>
    <fill>
      <patternFill patternType="solid">
        <fgColor theme="4"/>
        <bgColor indexed="64"/>
      </patternFill>
    </fill>
    <fill>
      <patternFill patternType="solid">
        <fgColor theme="0" tint="-4.9989318521683403E-2"/>
        <bgColor indexed="64"/>
      </patternFill>
    </fill>
    <fill>
      <patternFill patternType="solid">
        <fgColor rgb="FFF3F3F3"/>
        <bgColor indexed="64"/>
      </patternFill>
    </fill>
    <fill>
      <patternFill patternType="solid">
        <fgColor rgb="FFE6E6E6"/>
        <bgColor indexed="64"/>
      </patternFill>
    </fill>
    <fill>
      <patternFill patternType="solid">
        <fgColor theme="4" tint="0.79998168889431442"/>
        <bgColor indexed="64"/>
      </patternFill>
    </fill>
    <fill>
      <patternFill patternType="solid">
        <fgColor theme="9" tint="0.79998168889431442"/>
        <bgColor theme="9" tint="0.79998168889431442"/>
      </patternFill>
    </fill>
  </fills>
  <borders count="27">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rgb="FF55934F"/>
      </left>
      <right style="medium">
        <color rgb="FFFFFFFF"/>
      </right>
      <top style="medium">
        <color rgb="FF55934F"/>
      </top>
      <bottom style="medium">
        <color rgb="FF55934F"/>
      </bottom>
      <diagonal/>
    </border>
    <border>
      <left/>
      <right style="medium">
        <color rgb="FFFFFFFF"/>
      </right>
      <top style="medium">
        <color rgb="FF55934F"/>
      </top>
      <bottom style="medium">
        <color rgb="FF55934F"/>
      </bottom>
      <diagonal/>
    </border>
    <border>
      <left/>
      <right style="medium">
        <color rgb="FF55934F"/>
      </right>
      <top style="medium">
        <color rgb="FF55934F"/>
      </top>
      <bottom style="medium">
        <color rgb="FF55934F"/>
      </bottom>
      <diagonal/>
    </border>
    <border>
      <left style="medium">
        <color rgb="FF55934F"/>
      </left>
      <right style="medium">
        <color rgb="FF55934F"/>
      </right>
      <top/>
      <bottom style="medium">
        <color rgb="FF55934F"/>
      </bottom>
      <diagonal/>
    </border>
    <border>
      <left/>
      <right style="medium">
        <color rgb="FF55934F"/>
      </right>
      <top/>
      <bottom style="medium">
        <color rgb="FF55934F"/>
      </bottom>
      <diagonal/>
    </border>
    <border>
      <left style="medium">
        <color rgb="FF55934F"/>
      </left>
      <right style="medium">
        <color rgb="FF55934F"/>
      </right>
      <top style="thin">
        <color theme="9"/>
      </top>
      <bottom style="medium">
        <color rgb="FF55934F"/>
      </bottom>
      <diagonal/>
    </border>
    <border>
      <left style="medium">
        <color rgb="FF55934F"/>
      </left>
      <right/>
      <top/>
      <bottom style="medium">
        <color rgb="FF55934F"/>
      </bottom>
      <diagonal/>
    </border>
    <border>
      <left style="medium">
        <color rgb="FF55934F"/>
      </left>
      <right style="thin">
        <color theme="9"/>
      </right>
      <top style="thin">
        <color theme="9"/>
      </top>
      <bottom style="medium">
        <color rgb="FF55934F"/>
      </bottom>
      <diagonal/>
    </border>
    <border>
      <left/>
      <right style="medium">
        <color rgb="FFFFFFFF"/>
      </right>
      <top/>
      <bottom style="medium">
        <color rgb="FFFFFFFF"/>
      </bottom>
      <diagonal/>
    </border>
    <border>
      <left/>
      <right/>
      <top/>
      <bottom style="medium">
        <color rgb="FFFFFFFF"/>
      </bottom>
      <diagonal/>
    </border>
    <border>
      <left style="thin">
        <color theme="9"/>
      </left>
      <right style="thin">
        <color theme="9"/>
      </right>
      <top style="thin">
        <color theme="9"/>
      </top>
      <bottom style="medium">
        <color rgb="FF55934F"/>
      </bottom>
      <diagonal/>
    </border>
    <border>
      <left style="thin">
        <color theme="9"/>
      </left>
      <right style="thin">
        <color theme="9"/>
      </right>
      <top style="thin">
        <color theme="9"/>
      </top>
      <bottom style="thin">
        <color theme="9"/>
      </bottom>
      <diagonal/>
    </border>
  </borders>
  <cellStyleXfs count="46">
    <xf numFmtId="0" fontId="0" fillId="0" borderId="0"/>
    <xf numFmtId="165"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0" fontId="24" fillId="0" borderId="0"/>
    <xf numFmtId="166" fontId="6" fillId="0" borderId="0" applyFont="0" applyFill="0" applyBorder="0" applyAlignment="0" applyProtection="0"/>
    <xf numFmtId="0" fontId="1" fillId="0" borderId="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0" fontId="28" fillId="0" borderId="0"/>
    <xf numFmtId="0" fontId="37" fillId="0" borderId="0" applyNumberFormat="0" applyFill="0" applyBorder="0" applyAlignment="0" applyProtection="0"/>
  </cellStyleXfs>
  <cellXfs count="255">
    <xf numFmtId="0" fontId="0" fillId="0" borderId="0" xfId="0"/>
    <xf numFmtId="168" fontId="0" fillId="0" borderId="0" xfId="0" applyNumberFormat="1"/>
    <xf numFmtId="9" fontId="0" fillId="0" borderId="0" xfId="0" applyNumberFormat="1"/>
    <xf numFmtId="0" fontId="12" fillId="0" borderId="0" xfId="0" applyFont="1" applyAlignment="1">
      <alignment vertical="center"/>
    </xf>
    <xf numFmtId="167" fontId="10" fillId="4" borderId="0" xfId="1" applyNumberFormat="1" applyFont="1" applyFill="1" applyBorder="1" applyAlignment="1">
      <alignment vertical="center"/>
    </xf>
    <xf numFmtId="0" fontId="5" fillId="0" borderId="0" xfId="0" applyFont="1" applyAlignment="1">
      <alignment vertical="center"/>
    </xf>
    <xf numFmtId="167" fontId="5" fillId="0" borderId="0" xfId="1" applyNumberFormat="1" applyFont="1" applyBorder="1" applyAlignment="1">
      <alignment vertical="center"/>
    </xf>
    <xf numFmtId="167" fontId="10" fillId="0" borderId="0" xfId="1" applyNumberFormat="1" applyFont="1" applyBorder="1" applyAlignment="1">
      <alignment vertical="center"/>
    </xf>
    <xf numFmtId="0" fontId="10" fillId="0" borderId="0" xfId="0" applyFont="1" applyAlignment="1">
      <alignment vertical="center"/>
    </xf>
    <xf numFmtId="9" fontId="10" fillId="0" borderId="0" xfId="0" applyNumberFormat="1" applyFont="1" applyAlignment="1">
      <alignment vertical="center"/>
    </xf>
    <xf numFmtId="10" fontId="10" fillId="0" borderId="0" xfId="0" applyNumberFormat="1" applyFont="1" applyAlignment="1">
      <alignment vertical="center"/>
    </xf>
    <xf numFmtId="165" fontId="10" fillId="3" borderId="0" xfId="1" applyFont="1" applyFill="1" applyBorder="1" applyAlignment="1">
      <alignment vertical="center"/>
    </xf>
    <xf numFmtId="165" fontId="5" fillId="0" borderId="0" xfId="0" applyNumberFormat="1" applyFont="1" applyAlignment="1">
      <alignment vertical="center"/>
    </xf>
    <xf numFmtId="0" fontId="4" fillId="0" borderId="0" xfId="0" applyFont="1" applyAlignment="1">
      <alignment vertical="center"/>
    </xf>
    <xf numFmtId="0" fontId="10" fillId="0" borderId="0" xfId="0" applyFont="1"/>
    <xf numFmtId="165" fontId="4" fillId="0" borderId="0" xfId="0" applyNumberFormat="1" applyFont="1" applyAlignment="1">
      <alignment vertical="center"/>
    </xf>
    <xf numFmtId="165" fontId="4" fillId="0" borderId="0" xfId="1" applyFont="1" applyBorder="1" applyAlignment="1">
      <alignment vertical="center"/>
    </xf>
    <xf numFmtId="0" fontId="10" fillId="2" borderId="0" xfId="0" applyFont="1" applyFill="1" applyAlignment="1">
      <alignment vertical="center"/>
    </xf>
    <xf numFmtId="0" fontId="3" fillId="0" borderId="0" xfId="0" applyFont="1" applyAlignment="1">
      <alignment vertical="center"/>
    </xf>
    <xf numFmtId="10" fontId="0" fillId="0" borderId="0" xfId="0" applyNumberFormat="1"/>
    <xf numFmtId="0" fontId="2" fillId="0" borderId="0" xfId="0" applyFont="1" applyAlignment="1">
      <alignment vertical="center"/>
    </xf>
    <xf numFmtId="0" fontId="2" fillId="0" borderId="0" xfId="0" applyFont="1"/>
    <xf numFmtId="9" fontId="14" fillId="0" borderId="0" xfId="0" applyNumberFormat="1" applyFont="1" applyAlignment="1">
      <alignment vertical="center"/>
    </xf>
    <xf numFmtId="165" fontId="0" fillId="0" borderId="0" xfId="1" applyFont="1"/>
    <xf numFmtId="171" fontId="0" fillId="0" borderId="0" xfId="0" applyNumberFormat="1"/>
    <xf numFmtId="0" fontId="13" fillId="7" borderId="8" xfId="0" applyFont="1" applyFill="1" applyBorder="1" applyAlignment="1">
      <alignment vertical="center"/>
    </xf>
    <xf numFmtId="167" fontId="13" fillId="7" borderId="5" xfId="0" applyNumberFormat="1" applyFont="1" applyFill="1" applyBorder="1" applyAlignment="1">
      <alignment vertical="center"/>
    </xf>
    <xf numFmtId="0" fontId="15" fillId="6" borderId="15" xfId="0" applyFont="1" applyFill="1" applyBorder="1" applyAlignment="1">
      <alignment vertical="center" wrapText="1"/>
    </xf>
    <xf numFmtId="0" fontId="15" fillId="6" borderId="16"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6" fillId="8" borderId="18" xfId="0" applyFont="1" applyFill="1" applyBorder="1" applyAlignment="1">
      <alignment vertical="center" wrapText="1"/>
    </xf>
    <xf numFmtId="169" fontId="4" fillId="0" borderId="0" xfId="2" applyNumberFormat="1" applyFont="1" applyBorder="1" applyAlignment="1">
      <alignment vertical="center"/>
    </xf>
    <xf numFmtId="172" fontId="5" fillId="0" borderId="0" xfId="1" applyNumberFormat="1" applyFont="1" applyBorder="1" applyAlignment="1">
      <alignment vertical="center"/>
    </xf>
    <xf numFmtId="165" fontId="4" fillId="0" borderId="0" xfId="1" applyFont="1" applyFill="1" applyBorder="1" applyAlignment="1">
      <alignment vertical="center"/>
    </xf>
    <xf numFmtId="165" fontId="21" fillId="0" borderId="0" xfId="0" applyNumberFormat="1" applyFont="1" applyAlignment="1">
      <alignment vertical="center"/>
    </xf>
    <xf numFmtId="0" fontId="1" fillId="0" borderId="0" xfId="0" applyFont="1" applyAlignment="1">
      <alignment vertical="center"/>
    </xf>
    <xf numFmtId="0" fontId="1" fillId="0" borderId="0" xfId="0" applyFont="1"/>
    <xf numFmtId="9" fontId="17" fillId="0" borderId="19" xfId="2" applyFont="1" applyBorder="1" applyAlignment="1">
      <alignment horizontal="center" vertical="center" wrapText="1"/>
    </xf>
    <xf numFmtId="14" fontId="12" fillId="0" borderId="0" xfId="0" applyNumberFormat="1" applyFont="1" applyAlignment="1">
      <alignment vertical="center"/>
    </xf>
    <xf numFmtId="0" fontId="12" fillId="0" borderId="10" xfId="0" applyFont="1" applyBorder="1" applyAlignment="1">
      <alignment vertical="center"/>
    </xf>
    <xf numFmtId="165" fontId="12" fillId="0" borderId="11" xfId="0" applyNumberFormat="1" applyFont="1" applyBorder="1" applyAlignment="1">
      <alignment vertical="center"/>
    </xf>
    <xf numFmtId="0" fontId="12" fillId="0" borderId="12" xfId="0" applyFont="1" applyBorder="1" applyAlignment="1">
      <alignment vertical="center"/>
    </xf>
    <xf numFmtId="165" fontId="12" fillId="0" borderId="13" xfId="0" applyNumberFormat="1" applyFont="1" applyBorder="1" applyAlignment="1">
      <alignment vertical="center"/>
    </xf>
    <xf numFmtId="0" fontId="12" fillId="0" borderId="3" xfId="0" applyFont="1" applyBorder="1" applyAlignment="1">
      <alignment vertical="center"/>
    </xf>
    <xf numFmtId="165" fontId="12" fillId="0" borderId="2" xfId="0" applyNumberFormat="1" applyFont="1" applyBorder="1" applyAlignment="1">
      <alignment vertical="center"/>
    </xf>
    <xf numFmtId="0" fontId="12" fillId="7" borderId="0" xfId="0" applyFont="1" applyFill="1" applyAlignment="1">
      <alignment vertical="center"/>
    </xf>
    <xf numFmtId="0" fontId="13" fillId="7" borderId="0" xfId="0" applyFont="1" applyFill="1" applyAlignment="1">
      <alignment vertical="center"/>
    </xf>
    <xf numFmtId="0" fontId="10" fillId="0" borderId="0" xfId="0" applyFont="1" applyAlignment="1">
      <alignment horizontal="right"/>
    </xf>
    <xf numFmtId="9" fontId="1" fillId="0" borderId="0" xfId="0" applyNumberFormat="1" applyFont="1"/>
    <xf numFmtId="167" fontId="13" fillId="7" borderId="7" xfId="0" applyNumberFormat="1" applyFont="1" applyFill="1" applyBorder="1" applyAlignment="1">
      <alignment vertical="center"/>
    </xf>
    <xf numFmtId="0" fontId="11" fillId="0" borderId="0" xfId="0" applyFont="1" applyAlignment="1">
      <alignment vertical="justify" wrapText="1"/>
    </xf>
    <xf numFmtId="167" fontId="10" fillId="4" borderId="0" xfId="3" applyNumberFormat="1" applyFont="1" applyFill="1" applyBorder="1" applyAlignment="1">
      <alignment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9" fontId="18" fillId="8" borderId="19" xfId="2" applyFont="1" applyFill="1" applyBorder="1" applyAlignment="1">
      <alignment vertical="center" wrapText="1"/>
    </xf>
    <xf numFmtId="167" fontId="1" fillId="0" borderId="0" xfId="1" applyNumberFormat="1" applyFont="1" applyBorder="1" applyAlignment="1">
      <alignment vertical="center"/>
    </xf>
    <xf numFmtId="14" fontId="12" fillId="3" borderId="0" xfId="0" applyNumberFormat="1" applyFont="1" applyFill="1" applyAlignment="1">
      <alignment vertical="center"/>
    </xf>
    <xf numFmtId="9" fontId="10" fillId="2" borderId="0" xfId="0" applyNumberFormat="1" applyFont="1" applyFill="1" applyAlignment="1">
      <alignment vertical="center"/>
    </xf>
    <xf numFmtId="10" fontId="10" fillId="2" borderId="0" xfId="0" applyNumberFormat="1" applyFont="1" applyFill="1" applyAlignment="1">
      <alignment vertical="center"/>
    </xf>
    <xf numFmtId="169" fontId="10" fillId="2" borderId="0" xfId="0" applyNumberFormat="1" applyFont="1" applyFill="1" applyAlignment="1">
      <alignment vertical="center"/>
    </xf>
    <xf numFmtId="3" fontId="10" fillId="2" borderId="0" xfId="0" applyNumberFormat="1" applyFont="1" applyFill="1" applyAlignment="1">
      <alignment vertical="center"/>
    </xf>
    <xf numFmtId="165" fontId="2" fillId="2" borderId="0" xfId="1" applyFont="1" applyFill="1" applyAlignment="1">
      <alignment vertical="center"/>
    </xf>
    <xf numFmtId="165" fontId="4" fillId="2" borderId="0" xfId="1" applyFont="1" applyFill="1" applyBorder="1" applyAlignment="1">
      <alignment vertical="center"/>
    </xf>
    <xf numFmtId="165" fontId="21" fillId="2" borderId="0" xfId="1" applyFont="1" applyFill="1" applyBorder="1" applyAlignment="1">
      <alignment vertical="center"/>
    </xf>
    <xf numFmtId="0" fontId="4" fillId="2" borderId="0" xfId="0" applyFont="1" applyFill="1" applyAlignment="1">
      <alignment vertical="center"/>
    </xf>
    <xf numFmtId="169" fontId="4" fillId="2" borderId="0" xfId="2" applyNumberFormat="1" applyFont="1" applyFill="1" applyBorder="1" applyAlignment="1">
      <alignment vertical="center"/>
    </xf>
    <xf numFmtId="169" fontId="4" fillId="2" borderId="0" xfId="0" applyNumberFormat="1" applyFont="1" applyFill="1" applyAlignment="1">
      <alignment vertical="center"/>
    </xf>
    <xf numFmtId="0" fontId="25" fillId="2" borderId="18" xfId="0" applyFont="1" applyFill="1" applyBorder="1" applyAlignment="1">
      <alignment vertical="center" textRotation="90" wrapText="1"/>
    </xf>
    <xf numFmtId="174" fontId="4" fillId="0" borderId="0" xfId="0" applyNumberFormat="1" applyFont="1" applyAlignment="1">
      <alignment vertical="center"/>
    </xf>
    <xf numFmtId="0" fontId="4" fillId="0" borderId="0" xfId="1" applyNumberFormat="1" applyFont="1" applyBorder="1" applyAlignment="1">
      <alignment vertical="center"/>
    </xf>
    <xf numFmtId="0" fontId="1" fillId="7" borderId="0" xfId="0" applyFont="1" applyFill="1" applyAlignment="1">
      <alignment wrapText="1"/>
    </xf>
    <xf numFmtId="0" fontId="2" fillId="9" borderId="0" xfId="0" applyFont="1" applyFill="1"/>
    <xf numFmtId="0" fontId="12" fillId="9" borderId="0" xfId="0" applyFont="1" applyFill="1" applyAlignment="1">
      <alignment vertical="center"/>
    </xf>
    <xf numFmtId="9" fontId="12" fillId="9" borderId="3" xfId="0" applyNumberFormat="1" applyFont="1" applyFill="1" applyBorder="1" applyAlignment="1">
      <alignment vertical="center"/>
    </xf>
    <xf numFmtId="165" fontId="12" fillId="9" borderId="2" xfId="0" applyNumberFormat="1" applyFont="1" applyFill="1" applyBorder="1" applyAlignment="1">
      <alignment vertical="center"/>
    </xf>
    <xf numFmtId="0" fontId="12" fillId="9" borderId="3" xfId="0" applyFont="1" applyFill="1" applyBorder="1" applyAlignment="1">
      <alignment vertical="center"/>
    </xf>
    <xf numFmtId="0" fontId="1" fillId="9" borderId="0" xfId="0" applyFont="1" applyFill="1"/>
    <xf numFmtId="165" fontId="1" fillId="9" borderId="0" xfId="0" applyNumberFormat="1" applyFont="1" applyFill="1"/>
    <xf numFmtId="0" fontId="2" fillId="9" borderId="3" xfId="0" applyFont="1" applyFill="1" applyBorder="1"/>
    <xf numFmtId="0" fontId="2" fillId="11" borderId="0" xfId="0" applyFont="1" applyFill="1"/>
    <xf numFmtId="0" fontId="2" fillId="5" borderId="0" xfId="0" applyFont="1" applyFill="1"/>
    <xf numFmtId="167" fontId="2" fillId="10" borderId="0" xfId="0" applyNumberFormat="1" applyFont="1" applyFill="1"/>
    <xf numFmtId="0" fontId="12" fillId="11" borderId="0" xfId="0" applyFont="1" applyFill="1" applyAlignment="1">
      <alignment vertical="center"/>
    </xf>
    <xf numFmtId="9" fontId="12" fillId="11" borderId="3" xfId="0" applyNumberFormat="1" applyFont="1" applyFill="1" applyBorder="1" applyAlignment="1">
      <alignment vertical="center"/>
    </xf>
    <xf numFmtId="165" fontId="12" fillId="11" borderId="2" xfId="0" applyNumberFormat="1" applyFont="1" applyFill="1" applyBorder="1" applyAlignment="1">
      <alignment vertical="center"/>
    </xf>
    <xf numFmtId="0" fontId="12" fillId="11" borderId="3" xfId="0" applyFont="1" applyFill="1" applyBorder="1" applyAlignment="1">
      <alignment vertical="center"/>
    </xf>
    <xf numFmtId="0" fontId="1" fillId="11" borderId="0" xfId="0" applyFont="1" applyFill="1"/>
    <xf numFmtId="0" fontId="2" fillId="11" borderId="3" xfId="0" applyFont="1" applyFill="1" applyBorder="1"/>
    <xf numFmtId="0" fontId="12" fillId="5" borderId="0" xfId="0" applyFont="1" applyFill="1" applyAlignment="1">
      <alignment vertical="center"/>
    </xf>
    <xf numFmtId="0" fontId="12" fillId="5" borderId="3" xfId="0" applyFont="1" applyFill="1" applyBorder="1" applyAlignment="1">
      <alignment vertical="center"/>
    </xf>
    <xf numFmtId="0" fontId="12" fillId="5" borderId="2" xfId="0" applyFont="1" applyFill="1" applyBorder="1" applyAlignment="1">
      <alignment vertical="center"/>
    </xf>
    <xf numFmtId="165" fontId="12" fillId="5" borderId="2" xfId="0" applyNumberFormat="1" applyFont="1" applyFill="1" applyBorder="1" applyAlignment="1">
      <alignment vertical="center"/>
    </xf>
    <xf numFmtId="0" fontId="1" fillId="5" borderId="0" xfId="0" applyFont="1" applyFill="1"/>
    <xf numFmtId="0" fontId="1" fillId="5" borderId="12" xfId="0" applyFont="1" applyFill="1" applyBorder="1"/>
    <xf numFmtId="0" fontId="2" fillId="5" borderId="3" xfId="0" applyFont="1" applyFill="1" applyBorder="1"/>
    <xf numFmtId="0" fontId="21" fillId="0" borderId="0" xfId="0" applyFont="1" applyAlignment="1">
      <alignment vertical="center"/>
    </xf>
    <xf numFmtId="164" fontId="4" fillId="0" borderId="0" xfId="0" applyNumberFormat="1" applyFont="1" applyAlignment="1">
      <alignment vertical="center"/>
    </xf>
    <xf numFmtId="165" fontId="12" fillId="0" borderId="0" xfId="0" applyNumberFormat="1" applyFont="1" applyAlignment="1">
      <alignment vertical="center"/>
    </xf>
    <xf numFmtId="171" fontId="4" fillId="0" borderId="0" xfId="0" applyNumberFormat="1" applyFont="1" applyAlignment="1">
      <alignment vertical="center"/>
    </xf>
    <xf numFmtId="169" fontId="0" fillId="0" borderId="11" xfId="2" applyNumberFormat="1" applyFont="1" applyBorder="1"/>
    <xf numFmtId="0" fontId="1" fillId="13" borderId="0" xfId="0" applyFont="1" applyFill="1" applyAlignment="1">
      <alignment wrapText="1"/>
    </xf>
    <xf numFmtId="0" fontId="1" fillId="14" borderId="0" xfId="0" applyFont="1" applyFill="1" applyAlignment="1">
      <alignment wrapText="1"/>
    </xf>
    <xf numFmtId="10" fontId="4" fillId="0" borderId="0" xfId="0" applyNumberFormat="1" applyFont="1" applyAlignment="1">
      <alignment vertical="center"/>
    </xf>
    <xf numFmtId="165" fontId="4" fillId="0" borderId="0" xfId="1" applyFont="1" applyAlignment="1">
      <alignment vertical="center"/>
    </xf>
    <xf numFmtId="10" fontId="10" fillId="0" borderId="0" xfId="0" applyNumberFormat="1" applyFont="1" applyAlignment="1">
      <alignment horizontal="right" vertical="center"/>
    </xf>
    <xf numFmtId="165" fontId="1" fillId="0" borderId="0" xfId="0" applyNumberFormat="1" applyFont="1" applyAlignment="1">
      <alignment vertical="center"/>
    </xf>
    <xf numFmtId="0" fontId="20" fillId="10" borderId="18" xfId="0" applyFont="1" applyFill="1" applyBorder="1" applyAlignment="1">
      <alignment vertical="center" wrapText="1"/>
    </xf>
    <xf numFmtId="0" fontId="20" fillId="2" borderId="20" xfId="0" applyFont="1" applyFill="1" applyBorder="1" applyAlignment="1">
      <alignment vertical="center" wrapText="1"/>
    </xf>
    <xf numFmtId="0" fontId="26" fillId="8" borderId="22" xfId="0" applyFont="1" applyFill="1" applyBorder="1" applyAlignment="1">
      <alignment vertical="center" wrapText="1"/>
    </xf>
    <xf numFmtId="167" fontId="2" fillId="0" borderId="0" xfId="0" applyNumberFormat="1" applyFont="1"/>
    <xf numFmtId="169" fontId="17" fillId="0" borderId="19" xfId="2" applyNumberFormat="1" applyFont="1" applyBorder="1" applyAlignment="1">
      <alignment horizontal="center" vertical="center" wrapText="1"/>
    </xf>
    <xf numFmtId="14" fontId="13" fillId="3" borderId="0" xfId="0" applyNumberFormat="1" applyFont="1" applyFill="1" applyAlignment="1">
      <alignment vertical="center"/>
    </xf>
    <xf numFmtId="0" fontId="11" fillId="0" borderId="0" xfId="0" applyFont="1" applyAlignment="1">
      <alignment horizontal="center" vertical="top" wrapText="1"/>
    </xf>
    <xf numFmtId="2" fontId="4" fillId="3" borderId="0" xfId="0" applyNumberFormat="1" applyFont="1" applyFill="1" applyAlignment="1">
      <alignment vertical="center"/>
    </xf>
    <xf numFmtId="165" fontId="1" fillId="3" borderId="0" xfId="0" applyNumberFormat="1" applyFont="1" applyFill="1" applyAlignment="1">
      <alignment vertical="center"/>
    </xf>
    <xf numFmtId="173" fontId="4" fillId="3" borderId="0" xfId="0" applyNumberFormat="1" applyFont="1" applyFill="1" applyAlignment="1">
      <alignment vertical="center"/>
    </xf>
    <xf numFmtId="165" fontId="4" fillId="3" borderId="0" xfId="0" applyNumberFormat="1" applyFont="1" applyFill="1" applyAlignment="1">
      <alignment vertical="center"/>
    </xf>
    <xf numFmtId="0" fontId="1" fillId="9" borderId="0" xfId="0" applyFont="1" applyFill="1" applyAlignment="1">
      <alignment vertical="top" wrapText="1"/>
    </xf>
    <xf numFmtId="0" fontId="1" fillId="11" borderId="0" xfId="0" applyFont="1" applyFill="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13" borderId="0" xfId="0" applyFont="1" applyFill="1" applyAlignment="1">
      <alignment vertical="top" wrapText="1"/>
    </xf>
    <xf numFmtId="0" fontId="1" fillId="14" borderId="0" xfId="0" applyFont="1" applyFill="1" applyAlignment="1">
      <alignment vertical="top" wrapText="1"/>
    </xf>
    <xf numFmtId="167" fontId="1" fillId="5" borderId="14" xfId="0" applyNumberFormat="1" applyFont="1" applyFill="1" applyBorder="1"/>
    <xf numFmtId="167" fontId="2" fillId="10" borderId="14" xfId="0" applyNumberFormat="1" applyFont="1" applyFill="1" applyBorder="1"/>
    <xf numFmtId="167" fontId="1" fillId="14" borderId="14" xfId="0" applyNumberFormat="1" applyFont="1" applyFill="1" applyBorder="1" applyAlignment="1">
      <alignment wrapText="1"/>
    </xf>
    <xf numFmtId="167" fontId="2" fillId="13" borderId="14" xfId="0" applyNumberFormat="1" applyFont="1" applyFill="1" applyBorder="1"/>
    <xf numFmtId="0" fontId="16" fillId="8" borderId="21" xfId="0" applyFont="1" applyFill="1" applyBorder="1" applyAlignment="1">
      <alignment vertical="center" wrapText="1"/>
    </xf>
    <xf numFmtId="0" fontId="1" fillId="0" borderId="0" xfId="0" applyFont="1" applyAlignment="1">
      <alignment vertical="top" wrapText="1"/>
    </xf>
    <xf numFmtId="173" fontId="1" fillId="3" borderId="0" xfId="0" applyNumberFormat="1" applyFont="1" applyFill="1" applyAlignment="1">
      <alignment vertical="center"/>
    </xf>
    <xf numFmtId="172" fontId="19" fillId="0" borderId="0" xfId="1" applyNumberFormat="1" applyFont="1" applyBorder="1" applyAlignment="1">
      <alignment vertical="center"/>
    </xf>
    <xf numFmtId="0" fontId="22" fillId="15" borderId="8" xfId="0" applyFont="1" applyFill="1" applyBorder="1"/>
    <xf numFmtId="0" fontId="22" fillId="15" borderId="5" xfId="0" applyFont="1" applyFill="1" applyBorder="1"/>
    <xf numFmtId="169" fontId="2" fillId="0" borderId="9" xfId="2" applyNumberFormat="1" applyFont="1" applyBorder="1"/>
    <xf numFmtId="169" fontId="2" fillId="0" borderId="4" xfId="2" applyNumberFormat="1" applyFont="1" applyBorder="1"/>
    <xf numFmtId="169" fontId="2" fillId="0" borderId="7" xfId="2" applyNumberFormat="1" applyFont="1" applyBorder="1"/>
    <xf numFmtId="169" fontId="2" fillId="0" borderId="4" xfId="0" applyNumberFormat="1" applyFont="1" applyBorder="1"/>
    <xf numFmtId="169" fontId="2" fillId="0" borderId="7" xfId="0" applyNumberFormat="1" applyFont="1" applyBorder="1"/>
    <xf numFmtId="10" fontId="2" fillId="0" borderId="0" xfId="0" applyNumberFormat="1" applyFont="1"/>
    <xf numFmtId="10" fontId="2" fillId="0" borderId="0" xfId="2" applyNumberFormat="1" applyFont="1"/>
    <xf numFmtId="165" fontId="4" fillId="0" borderId="0" xfId="1" applyFont="1" applyFill="1" applyAlignment="1">
      <alignment vertical="center"/>
    </xf>
    <xf numFmtId="170" fontId="29" fillId="0" borderId="0" xfId="2" applyNumberFormat="1" applyFont="1" applyFill="1" applyBorder="1" applyAlignment="1" applyProtection="1">
      <alignment vertical="center" wrapText="1"/>
      <protection locked="0"/>
    </xf>
    <xf numFmtId="169" fontId="2" fillId="0" borderId="6" xfId="2" applyNumberFormat="1" applyFont="1" applyBorder="1"/>
    <xf numFmtId="173" fontId="1" fillId="0" borderId="0" xfId="0" applyNumberFormat="1" applyFont="1" applyAlignment="1">
      <alignment vertical="center"/>
    </xf>
    <xf numFmtId="173" fontId="4" fillId="0" borderId="0" xfId="0" applyNumberFormat="1" applyFont="1" applyAlignment="1">
      <alignment vertical="center"/>
    </xf>
    <xf numFmtId="173" fontId="19" fillId="0" borderId="0" xfId="0" applyNumberFormat="1" applyFont="1" applyAlignment="1">
      <alignment vertical="center"/>
    </xf>
    <xf numFmtId="175" fontId="4" fillId="0" borderId="0" xfId="0" applyNumberFormat="1" applyFont="1" applyAlignment="1">
      <alignment vertical="center"/>
    </xf>
    <xf numFmtId="0" fontId="1" fillId="2" borderId="0" xfId="0" applyFont="1" applyFill="1" applyAlignment="1">
      <alignment vertical="center"/>
    </xf>
    <xf numFmtId="167" fontId="0" fillId="0" borderId="0" xfId="1" applyNumberFormat="1" applyFont="1"/>
    <xf numFmtId="165" fontId="1" fillId="0" borderId="0" xfId="1" applyFont="1" applyFill="1"/>
    <xf numFmtId="176" fontId="0" fillId="0" borderId="0" xfId="0" applyNumberFormat="1"/>
    <xf numFmtId="171" fontId="12" fillId="0" borderId="0" xfId="0" applyNumberFormat="1" applyFont="1" applyAlignment="1">
      <alignment vertical="center"/>
    </xf>
    <xf numFmtId="169" fontId="12" fillId="0" borderId="0" xfId="2" applyNumberFormat="1" applyFont="1" applyAlignment="1">
      <alignment vertical="center"/>
    </xf>
    <xf numFmtId="0" fontId="8" fillId="0" borderId="6" xfId="0" applyFont="1" applyBorder="1"/>
    <xf numFmtId="0" fontId="8" fillId="0" borderId="6" xfId="0" applyFont="1" applyBorder="1" applyAlignment="1">
      <alignment horizontal="right"/>
    </xf>
    <xf numFmtId="0" fontId="8" fillId="0" borderId="6" xfId="0" applyFont="1" applyBorder="1" applyAlignment="1">
      <alignment horizontal="center" vertical="center"/>
    </xf>
    <xf numFmtId="0" fontId="0" fillId="0" borderId="6" xfId="0" applyBorder="1"/>
    <xf numFmtId="168" fontId="0" fillId="16" borderId="6" xfId="0" applyNumberFormat="1" applyFill="1" applyBorder="1" applyProtection="1">
      <protection locked="0"/>
    </xf>
    <xf numFmtId="168" fontId="0" fillId="0" borderId="6" xfId="0" applyNumberFormat="1" applyBorder="1"/>
    <xf numFmtId="0" fontId="9" fillId="0" borderId="0" xfId="0" applyFont="1" applyAlignment="1">
      <alignment horizontal="center" vertical="center"/>
    </xf>
    <xf numFmtId="2" fontId="9" fillId="0" borderId="0" xfId="0" applyNumberFormat="1" applyFont="1" applyAlignment="1">
      <alignment horizontal="center" vertical="center" wrapText="1"/>
    </xf>
    <xf numFmtId="0" fontId="8" fillId="0" borderId="6" xfId="0" applyFont="1" applyBorder="1" applyAlignment="1">
      <alignment horizontal="center"/>
    </xf>
    <xf numFmtId="0" fontId="9" fillId="0" borderId="6" xfId="0" applyFont="1" applyBorder="1" applyAlignment="1" applyProtection="1">
      <alignment horizontal="center"/>
      <protection locked="0"/>
    </xf>
    <xf numFmtId="0" fontId="32" fillId="0" borderId="0" xfId="0" applyFont="1"/>
    <xf numFmtId="10" fontId="0" fillId="0" borderId="6" xfId="0" applyNumberFormat="1" applyBorder="1" applyAlignment="1" applyProtection="1">
      <alignment horizontal="center"/>
      <protection locked="0"/>
    </xf>
    <xf numFmtId="0" fontId="33" fillId="0" borderId="0" xfId="0" applyFont="1"/>
    <xf numFmtId="0" fontId="8" fillId="0" borderId="9" xfId="0" applyFont="1" applyBorder="1"/>
    <xf numFmtId="177" fontId="0" fillId="16" borderId="5" xfId="0" applyNumberFormat="1" applyFill="1" applyBorder="1" applyProtection="1">
      <protection locked="0"/>
    </xf>
    <xf numFmtId="177" fontId="0" fillId="0" borderId="6" xfId="0" applyNumberFormat="1" applyBorder="1"/>
    <xf numFmtId="177" fontId="0" fillId="16" borderId="6" xfId="0" applyNumberFormat="1" applyFill="1" applyBorder="1" applyProtection="1">
      <protection locked="0"/>
    </xf>
    <xf numFmtId="0" fontId="32" fillId="0" borderId="0" xfId="0" applyFont="1" applyAlignment="1">
      <alignment vertical="top" wrapText="1"/>
    </xf>
    <xf numFmtId="3" fontId="0" fillId="16" borderId="6" xfId="0" applyNumberFormat="1" applyFill="1" applyBorder="1" applyProtection="1">
      <protection locked="0"/>
    </xf>
    <xf numFmtId="3" fontId="0" fillId="0" borderId="6" xfId="0" applyNumberFormat="1" applyBorder="1"/>
    <xf numFmtId="171" fontId="0" fillId="16" borderId="6" xfId="0" applyNumberFormat="1" applyFill="1" applyBorder="1" applyProtection="1">
      <protection locked="0"/>
    </xf>
    <xf numFmtId="171" fontId="0" fillId="0" borderId="6" xfId="0" applyNumberFormat="1" applyBorder="1"/>
    <xf numFmtId="169" fontId="0" fillId="16" borderId="6" xfId="2" applyNumberFormat="1" applyFont="1" applyFill="1" applyBorder="1" applyProtection="1">
      <protection locked="0"/>
    </xf>
    <xf numFmtId="169" fontId="0" fillId="0" borderId="6" xfId="2" applyNumberFormat="1" applyFont="1" applyFill="1" applyBorder="1" applyProtection="1"/>
    <xf numFmtId="0" fontId="0" fillId="16" borderId="6" xfId="0" applyFill="1" applyBorder="1" applyProtection="1">
      <protection locked="0"/>
    </xf>
    <xf numFmtId="177" fontId="0" fillId="0" borderId="0" xfId="0" applyNumberFormat="1"/>
    <xf numFmtId="0" fontId="8" fillId="0" borderId="6" xfId="0" applyFont="1" applyBorder="1" applyAlignment="1">
      <alignment horizontal="left"/>
    </xf>
    <xf numFmtId="0" fontId="0" fillId="0" borderId="6" xfId="0" applyBorder="1" applyAlignment="1">
      <alignment horizontal="left" vertical="center"/>
    </xf>
    <xf numFmtId="178" fontId="0" fillId="0" borderId="0" xfId="0" applyNumberFormat="1"/>
    <xf numFmtId="171" fontId="0" fillId="0" borderId="6" xfId="0" applyNumberFormat="1" applyBorder="1" applyAlignment="1">
      <alignment horizontal="right"/>
    </xf>
    <xf numFmtId="0" fontId="8" fillId="0" borderId="6" xfId="0" applyFont="1" applyBorder="1" applyAlignment="1">
      <alignment horizontal="left" vertical="center"/>
    </xf>
    <xf numFmtId="171" fontId="8" fillId="0" borderId="6" xfId="0" applyNumberFormat="1" applyFont="1" applyBorder="1"/>
    <xf numFmtId="0" fontId="36" fillId="0" borderId="0" xfId="0" applyFont="1" applyAlignment="1">
      <alignment vertical="center" wrapText="1"/>
    </xf>
    <xf numFmtId="2" fontId="4" fillId="0" borderId="0" xfId="0" applyNumberFormat="1" applyFont="1" applyAlignment="1">
      <alignment vertical="center"/>
    </xf>
    <xf numFmtId="165" fontId="21" fillId="0" borderId="0" xfId="1" applyFont="1" applyBorder="1" applyAlignment="1">
      <alignment vertical="center"/>
    </xf>
    <xf numFmtId="0" fontId="38" fillId="18" borderId="23" xfId="0" applyFont="1" applyFill="1" applyBorder="1" applyAlignment="1">
      <alignment horizontal="center" vertical="top" wrapText="1"/>
    </xf>
    <xf numFmtId="0" fontId="38" fillId="18" borderId="24" xfId="0" applyFont="1" applyFill="1" applyBorder="1" applyAlignment="1">
      <alignment horizontal="center" vertical="top" wrapText="1"/>
    </xf>
    <xf numFmtId="173" fontId="36" fillId="0" borderId="0" xfId="0" applyNumberFormat="1" applyFont="1" applyAlignment="1">
      <alignment vertical="center" wrapText="1"/>
    </xf>
    <xf numFmtId="179" fontId="4" fillId="0" borderId="0" xfId="0" applyNumberFormat="1" applyFont="1" applyAlignment="1">
      <alignment vertical="center"/>
    </xf>
    <xf numFmtId="177" fontId="7" fillId="16" borderId="5" xfId="0" applyNumberFormat="1" applyFont="1" applyFill="1" applyBorder="1" applyProtection="1">
      <protection locked="0"/>
    </xf>
    <xf numFmtId="0" fontId="7" fillId="16" borderId="6" xfId="0" applyFont="1" applyFill="1" applyBorder="1" applyProtection="1">
      <protection locked="0"/>
    </xf>
    <xf numFmtId="0" fontId="39" fillId="17" borderId="23" xfId="0" applyFont="1" applyFill="1" applyBorder="1" applyAlignment="1">
      <alignment vertical="top" wrapText="1"/>
    </xf>
    <xf numFmtId="10" fontId="39" fillId="17" borderId="24" xfId="0" applyNumberFormat="1" applyFont="1" applyFill="1" applyBorder="1" applyAlignment="1">
      <alignment vertical="top" wrapText="1"/>
    </xf>
    <xf numFmtId="0" fontId="40" fillId="17" borderId="23" xfId="45" applyFont="1" applyFill="1" applyBorder="1" applyAlignment="1">
      <alignment vertical="top" wrapText="1"/>
    </xf>
    <xf numFmtId="0" fontId="21" fillId="0" borderId="0" xfId="0" applyFont="1" applyAlignment="1">
      <alignment vertical="center" wrapText="1"/>
    </xf>
    <xf numFmtId="165" fontId="10" fillId="0" borderId="0" xfId="1" applyFont="1" applyFill="1" applyBorder="1" applyAlignment="1">
      <alignment vertical="center"/>
    </xf>
    <xf numFmtId="0" fontId="36" fillId="3" borderId="6" xfId="0" applyFont="1" applyFill="1" applyBorder="1" applyAlignment="1">
      <alignment vertical="center" wrapText="1"/>
    </xf>
    <xf numFmtId="167" fontId="43" fillId="7" borderId="0" xfId="0" applyNumberFormat="1" applyFont="1" applyFill="1"/>
    <xf numFmtId="167" fontId="43" fillId="9" borderId="0" xfId="0" applyNumberFormat="1" applyFont="1" applyFill="1"/>
    <xf numFmtId="167" fontId="43" fillId="11" borderId="0" xfId="0" applyNumberFormat="1" applyFont="1" applyFill="1"/>
    <xf numFmtId="167" fontId="43" fillId="5" borderId="0" xfId="0" applyNumberFormat="1" applyFont="1" applyFill="1"/>
    <xf numFmtId="3" fontId="10" fillId="0" borderId="0" xfId="0" applyNumberFormat="1" applyFont="1" applyAlignment="1">
      <alignment vertical="center"/>
    </xf>
    <xf numFmtId="167" fontId="10" fillId="0" borderId="0" xfId="1" applyNumberFormat="1" applyFont="1" applyFill="1" applyBorder="1" applyAlignment="1">
      <alignment vertical="center"/>
    </xf>
    <xf numFmtId="0" fontId="1" fillId="19" borderId="0" xfId="0" applyFont="1" applyFill="1" applyAlignment="1">
      <alignment vertical="center"/>
    </xf>
    <xf numFmtId="165" fontId="4" fillId="19" borderId="0" xfId="0" applyNumberFormat="1" applyFont="1" applyFill="1" applyAlignment="1">
      <alignment vertical="center"/>
    </xf>
    <xf numFmtId="2" fontId="4" fillId="19" borderId="0" xfId="0" applyNumberFormat="1" applyFont="1" applyFill="1" applyAlignment="1">
      <alignment vertical="center"/>
    </xf>
    <xf numFmtId="173" fontId="4" fillId="19" borderId="0" xfId="0" applyNumberFormat="1" applyFont="1" applyFill="1" applyAlignment="1">
      <alignment vertical="center"/>
    </xf>
    <xf numFmtId="169" fontId="4" fillId="0" borderId="0" xfId="0" applyNumberFormat="1" applyFont="1" applyAlignment="1">
      <alignment vertical="center"/>
    </xf>
    <xf numFmtId="169" fontId="4" fillId="0" borderId="0" xfId="2" applyNumberFormat="1" applyFont="1" applyFill="1" applyAlignment="1">
      <alignment vertical="center"/>
    </xf>
    <xf numFmtId="165" fontId="0" fillId="0" borderId="0" xfId="1" applyFont="1" applyFill="1"/>
    <xf numFmtId="165" fontId="0" fillId="0" borderId="0" xfId="0" applyNumberFormat="1"/>
    <xf numFmtId="0" fontId="44" fillId="0" borderId="10" xfId="0" applyFont="1" applyBorder="1" applyAlignment="1">
      <alignment vertical="center"/>
    </xf>
    <xf numFmtId="0" fontId="44" fillId="0" borderId="12" xfId="0" applyFont="1" applyBorder="1" applyAlignment="1">
      <alignment vertical="center"/>
    </xf>
    <xf numFmtId="0" fontId="44" fillId="0" borderId="3" xfId="0" applyFont="1" applyBorder="1" applyAlignment="1">
      <alignment vertical="center"/>
    </xf>
    <xf numFmtId="9" fontId="45" fillId="2" borderId="11" xfId="0" applyNumberFormat="1" applyFont="1" applyFill="1" applyBorder="1" applyAlignment="1">
      <alignment vertical="center"/>
    </xf>
    <xf numFmtId="0" fontId="44" fillId="0" borderId="0" xfId="0" applyFont="1" applyAlignment="1">
      <alignment vertical="center"/>
    </xf>
    <xf numFmtId="9" fontId="44" fillId="0" borderId="13" xfId="0" applyNumberFormat="1" applyFont="1" applyBorder="1" applyAlignment="1">
      <alignment vertical="center"/>
    </xf>
    <xf numFmtId="9" fontId="44" fillId="0" borderId="0" xfId="0" applyNumberFormat="1" applyFont="1" applyAlignment="1">
      <alignment vertical="center"/>
    </xf>
    <xf numFmtId="9" fontId="44" fillId="0" borderId="0" xfId="2" applyFont="1" applyFill="1" applyAlignment="1">
      <alignment vertical="center"/>
    </xf>
    <xf numFmtId="9" fontId="44" fillId="0" borderId="0" xfId="2" applyFont="1" applyAlignment="1">
      <alignment vertical="center"/>
    </xf>
    <xf numFmtId="0" fontId="0" fillId="0" borderId="10" xfId="0" applyBorder="1"/>
    <xf numFmtId="0" fontId="0" fillId="0" borderId="3" xfId="0" applyBorder="1"/>
    <xf numFmtId="169" fontId="0" fillId="0" borderId="2" xfId="2" applyNumberFormat="1" applyFont="1" applyBorder="1"/>
    <xf numFmtId="169" fontId="10" fillId="0" borderId="0" xfId="0" applyNumberFormat="1" applyFont="1" applyAlignment="1">
      <alignment vertical="center"/>
    </xf>
    <xf numFmtId="0" fontId="1" fillId="0" borderId="0" xfId="0" applyFont="1" applyAlignment="1">
      <alignment vertical="center" wrapText="1"/>
    </xf>
    <xf numFmtId="0" fontId="27" fillId="12" borderId="26" xfId="0" applyFont="1" applyFill="1" applyBorder="1" applyAlignment="1">
      <alignment horizontal="left" wrapText="1"/>
    </xf>
    <xf numFmtId="0" fontId="26" fillId="8" borderId="25" xfId="0" applyFont="1" applyFill="1" applyBorder="1" applyAlignment="1">
      <alignment vertical="center" wrapText="1"/>
    </xf>
    <xf numFmtId="0" fontId="46" fillId="2" borderId="20" xfId="0" applyFont="1" applyFill="1" applyBorder="1" applyAlignment="1">
      <alignment vertical="center" wrapText="1"/>
    </xf>
    <xf numFmtId="0" fontId="46" fillId="19" borderId="20" xfId="0" applyFont="1" applyFill="1" applyBorder="1" applyAlignment="1">
      <alignment vertical="center" wrapText="1"/>
    </xf>
    <xf numFmtId="171" fontId="47" fillId="20" borderId="26" xfId="0" applyNumberFormat="1" applyFont="1" applyFill="1" applyBorder="1" applyAlignment="1">
      <alignment horizontal="right"/>
    </xf>
    <xf numFmtId="171" fontId="47" fillId="0" borderId="26" xfId="0" applyNumberFormat="1" applyFont="1" applyBorder="1" applyAlignment="1">
      <alignment horizontal="right"/>
    </xf>
    <xf numFmtId="171" fontId="47" fillId="19" borderId="26" xfId="0" applyNumberFormat="1" applyFont="1" applyFill="1" applyBorder="1" applyAlignment="1">
      <alignment horizontal="right"/>
    </xf>
    <xf numFmtId="170" fontId="29" fillId="0" borderId="9" xfId="2" applyNumberFormat="1" applyFont="1" applyFill="1" applyBorder="1" applyAlignment="1" applyProtection="1">
      <alignment vertical="center" wrapText="1"/>
      <protection locked="0"/>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9" fillId="0" borderId="1" xfId="0" applyFont="1" applyBorder="1" applyAlignment="1">
      <alignment horizontal="center"/>
    </xf>
    <xf numFmtId="0" fontId="0" fillId="17" borderId="0" xfId="0" applyFill="1" applyAlignment="1">
      <alignment horizontal="left" vertical="center"/>
    </xf>
    <xf numFmtId="0" fontId="0" fillId="0" borderId="0" xfId="0"/>
    <xf numFmtId="0" fontId="32" fillId="0" borderId="0" xfId="0" applyFont="1" applyAlignment="1">
      <alignment horizontal="left" vertical="top" wrapText="1"/>
    </xf>
    <xf numFmtId="0" fontId="8" fillId="0" borderId="6" xfId="0" applyFont="1" applyBorder="1" applyAlignment="1">
      <alignment horizontal="center" vertical="center"/>
    </xf>
    <xf numFmtId="171" fontId="9" fillId="0" borderId="6" xfId="0" applyNumberFormat="1" applyFont="1" applyBorder="1" applyAlignment="1">
      <alignment horizontal="center" vertical="center"/>
    </xf>
    <xf numFmtId="0" fontId="9" fillId="0" borderId="6" xfId="0" applyFont="1" applyBorder="1" applyAlignment="1">
      <alignment horizontal="center" vertical="center"/>
    </xf>
    <xf numFmtId="2" fontId="9" fillId="0" borderId="6" xfId="0" applyNumberFormat="1" applyFont="1" applyBorder="1" applyAlignment="1">
      <alignment horizontal="center" vertical="center" wrapText="1"/>
    </xf>
    <xf numFmtId="0" fontId="32" fillId="0" borderId="0" xfId="0" applyFont="1" applyAlignment="1">
      <alignment horizontal="left" vertical="center" wrapText="1"/>
    </xf>
  </cellXfs>
  <cellStyles count="46">
    <cellStyle name="Hyperlink" xfId="45" builtinId="8"/>
    <cellStyle name="Komma 2" xfId="4" xr:uid="{D45839E3-3907-4007-B17D-401E7A7C69B4}"/>
    <cellStyle name="Komma 2 2" xfId="11" xr:uid="{A80E1524-5190-403E-889C-7D86CA62BD4C}"/>
    <cellStyle name="Komma 2 2 2" xfId="21" xr:uid="{70091271-36B8-4E84-9903-C81FEB1632FD}"/>
    <cellStyle name="Komma 2 2 2 2" xfId="41" xr:uid="{009CC50A-CF12-4294-A69B-0B994DFA1610}"/>
    <cellStyle name="Komma 2 2 3" xfId="31" xr:uid="{8AD40BFA-63D9-40C6-A826-3CB208BAB508}"/>
    <cellStyle name="Komma 2 3" xfId="16" xr:uid="{B0FE7C06-DA52-4507-A98B-42FF375AFB8D}"/>
    <cellStyle name="Komma 2 3 2" xfId="36" xr:uid="{A2D5A3D7-B9A3-45DD-A06F-62AD6D081B8C}"/>
    <cellStyle name="Komma 2 4" xfId="26" xr:uid="{0FE37F35-C47D-44D1-BB7C-19FA9755F0DC}"/>
    <cellStyle name="Komma 3" xfId="7" xr:uid="{C9EC6360-E8FA-40E8-A399-55BEC0A58CEF}"/>
    <cellStyle name="Komma 3 2" xfId="13" xr:uid="{84E735DC-17B9-443A-9D90-386C625890ED}"/>
    <cellStyle name="Komma 3 2 2" xfId="23" xr:uid="{E2DBD3DA-0E6B-4D67-9859-2E0504AB121D}"/>
    <cellStyle name="Komma 3 2 2 2" xfId="43" xr:uid="{26B104DD-388A-4970-8144-E8F67A32DD31}"/>
    <cellStyle name="Komma 3 2 3" xfId="33" xr:uid="{21A22C3D-E403-4863-86A6-53B65F77847E}"/>
    <cellStyle name="Komma 3 3" xfId="18" xr:uid="{0CAC9802-3414-4342-A33B-005F4F555957}"/>
    <cellStyle name="Komma 3 3 2" xfId="38" xr:uid="{2BA5874A-E4D7-4D0B-96E8-7AE18EA08EF9}"/>
    <cellStyle name="Komma 3 4" xfId="28" xr:uid="{05F5B6C4-A3E4-424A-8FFD-D0510FE43149}"/>
    <cellStyle name="Procent" xfId="2" builtinId="5"/>
    <cellStyle name="Standaard" xfId="0" builtinId="0"/>
    <cellStyle name="Standaard 10" xfId="44" xr:uid="{F4C7ACDD-B809-4DB3-9A05-494039B91326}"/>
    <cellStyle name="Standaard 2" xfId="6" xr:uid="{ABBD9727-E4EE-469D-997E-C6548EF9AF89}"/>
    <cellStyle name="Standaard 3" xfId="8" xr:uid="{F8CA66F4-1883-45D2-A864-A653656DC7BD}"/>
    <cellStyle name="Valuta" xfId="1" builtinId="4"/>
    <cellStyle name="Valuta 2" xfId="3" xr:uid="{8BFF63CF-AC75-4CA5-9399-6E3515CC7FAF}"/>
    <cellStyle name="Valuta 2 2" xfId="10" xr:uid="{70A0A04D-308A-4002-A882-89E57112CD8B}"/>
    <cellStyle name="Valuta 2 2 2" xfId="20" xr:uid="{9FBF27BF-AF86-40A9-B1EC-8C8027060735}"/>
    <cellStyle name="Valuta 2 2 2 2" xfId="40" xr:uid="{D37D0002-30CC-4E17-92D6-108D6BF6A3B6}"/>
    <cellStyle name="Valuta 2 2 3" xfId="30" xr:uid="{7D67420B-39E5-43EC-B0B1-8D9E67CFBA6A}"/>
    <cellStyle name="Valuta 2 3" xfId="15" xr:uid="{1A6645BD-8C93-4FE0-8169-BA19E294F9A7}"/>
    <cellStyle name="Valuta 2 3 2" xfId="35" xr:uid="{B5E2B747-ADBF-41C4-A8BA-77A91D493147}"/>
    <cellStyle name="Valuta 2 4" xfId="25" xr:uid="{06D4BF4F-F3CE-40B6-AEFA-44B1362D7844}"/>
    <cellStyle name="Valuta 3" xfId="5" xr:uid="{245979A6-4F32-4A42-B6F4-4130BA475431}"/>
    <cellStyle name="Valuta 3 2" xfId="12" xr:uid="{CB7DBFE9-E560-4C7F-9158-DA6E9BA96237}"/>
    <cellStyle name="Valuta 3 2 2" xfId="22" xr:uid="{BA1945D8-CF81-45D5-8464-89B8EEE95D7F}"/>
    <cellStyle name="Valuta 3 2 2 2" xfId="42" xr:uid="{672B844A-5D39-4C29-BE96-41E6E2FD3C3B}"/>
    <cellStyle name="Valuta 3 2 3" xfId="32" xr:uid="{48A3234D-5CA0-4EC7-8F34-B28F6C3814AA}"/>
    <cellStyle name="Valuta 3 3" xfId="17" xr:uid="{F729499C-013C-4FF7-A4FB-CFDD433D1E5F}"/>
    <cellStyle name="Valuta 3 3 2" xfId="37" xr:uid="{B9B631F9-5832-4E39-8639-377323A32E49}"/>
    <cellStyle name="Valuta 3 4" xfId="27" xr:uid="{A8426A8D-9BE5-46F4-8CB2-85C09C92C5FC}"/>
    <cellStyle name="Valuta 4" xfId="9" xr:uid="{E22866DB-E0F6-491E-A93E-F9A4A90F158B}"/>
    <cellStyle name="Valuta 4 2" xfId="19" xr:uid="{E073B1EC-837B-4CFA-95D1-241D5732014E}"/>
    <cellStyle name="Valuta 4 2 2" xfId="39" xr:uid="{DDE603EE-AEBF-43E4-8B21-777EB928338D}"/>
    <cellStyle name="Valuta 4 3" xfId="29" xr:uid="{47B5A272-29BC-47E5-858B-7F72046782CF}"/>
    <cellStyle name="Valuta 5" xfId="14" xr:uid="{C4B3443D-5AA2-4E7C-AA8F-698CBA3DF57C}"/>
    <cellStyle name="Valuta 5 2" xfId="34" xr:uid="{54F6194F-B607-427E-9F66-072B15693097}"/>
    <cellStyle name="Valuta 6" xfId="24" xr:uid="{20FBB587-00A9-4473-8C1A-07A3FC9CF6E4}"/>
  </cellStyles>
  <dxfs count="4">
    <dxf>
      <font>
        <b val="0"/>
        <i val="0"/>
        <color auto="1"/>
      </font>
    </dxf>
    <dxf>
      <font>
        <b val="0"/>
        <i val="0"/>
        <color auto="1"/>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3</xdr:col>
      <xdr:colOff>1813560</xdr:colOff>
      <xdr:row>8</xdr:row>
      <xdr:rowOff>87630</xdr:rowOff>
    </xdr:from>
    <xdr:to>
      <xdr:col>4</xdr:col>
      <xdr:colOff>182880</xdr:colOff>
      <xdr:row>8</xdr:row>
      <xdr:rowOff>91440</xdr:rowOff>
    </xdr:to>
    <xdr:cxnSp macro="">
      <xdr:nvCxnSpPr>
        <xdr:cNvPr id="2" name="Rechte verbindingslijn met pijl 1">
          <a:extLst>
            <a:ext uri="{FF2B5EF4-FFF2-40B4-BE49-F238E27FC236}">
              <a16:creationId xmlns:a16="http://schemas.microsoft.com/office/drawing/2014/main" id="{913DFC3A-4CEC-434A-A23D-BB6C621532DB}"/>
            </a:ext>
          </a:extLst>
        </xdr:cNvPr>
        <xdr:cNvCxnSpPr/>
      </xdr:nvCxnSpPr>
      <xdr:spPr>
        <a:xfrm flipV="1">
          <a:off x="6791325" y="1405890"/>
          <a:ext cx="200025" cy="3810"/>
        </a:xfrm>
        <a:prstGeom prst="straightConnector1">
          <a:avLst/>
        </a:prstGeom>
        <a:ln>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1836420</xdr:colOff>
      <xdr:row>7</xdr:row>
      <xdr:rowOff>110490</xdr:rowOff>
    </xdr:from>
    <xdr:to>
      <xdr:col>4</xdr:col>
      <xdr:colOff>179070</xdr:colOff>
      <xdr:row>7</xdr:row>
      <xdr:rowOff>160020</xdr:rowOff>
    </xdr:to>
    <xdr:cxnSp macro="">
      <xdr:nvCxnSpPr>
        <xdr:cNvPr id="3" name="Rechte verbindingslijn met pijl 2">
          <a:extLst>
            <a:ext uri="{FF2B5EF4-FFF2-40B4-BE49-F238E27FC236}">
              <a16:creationId xmlns:a16="http://schemas.microsoft.com/office/drawing/2014/main" id="{E7CF3084-E96C-4960-A103-3F72D4C6A105}"/>
            </a:ext>
          </a:extLst>
        </xdr:cNvPr>
        <xdr:cNvCxnSpPr/>
      </xdr:nvCxnSpPr>
      <xdr:spPr>
        <a:xfrm>
          <a:off x="6810375" y="1196340"/>
          <a:ext cx="177165" cy="51435"/>
        </a:xfrm>
        <a:prstGeom prst="straightConnector1">
          <a:avLst/>
        </a:prstGeom>
        <a:ln>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1813560</xdr:colOff>
      <xdr:row>8</xdr:row>
      <xdr:rowOff>87630</xdr:rowOff>
    </xdr:from>
    <xdr:to>
      <xdr:col>4</xdr:col>
      <xdr:colOff>182880</xdr:colOff>
      <xdr:row>8</xdr:row>
      <xdr:rowOff>91440</xdr:rowOff>
    </xdr:to>
    <xdr:cxnSp macro="">
      <xdr:nvCxnSpPr>
        <xdr:cNvPr id="2" name="Rechte verbindingslijn met pijl 1">
          <a:extLst>
            <a:ext uri="{FF2B5EF4-FFF2-40B4-BE49-F238E27FC236}">
              <a16:creationId xmlns:a16="http://schemas.microsoft.com/office/drawing/2014/main" id="{F8F25740-FC00-4859-BA77-86F96204E05B}"/>
            </a:ext>
          </a:extLst>
        </xdr:cNvPr>
        <xdr:cNvCxnSpPr/>
      </xdr:nvCxnSpPr>
      <xdr:spPr>
        <a:xfrm flipV="1">
          <a:off x="6791325" y="1405890"/>
          <a:ext cx="200025" cy="3810"/>
        </a:xfrm>
        <a:prstGeom prst="straightConnector1">
          <a:avLst/>
        </a:prstGeom>
        <a:ln>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1836420</xdr:colOff>
      <xdr:row>7</xdr:row>
      <xdr:rowOff>110490</xdr:rowOff>
    </xdr:from>
    <xdr:to>
      <xdr:col>4</xdr:col>
      <xdr:colOff>179070</xdr:colOff>
      <xdr:row>7</xdr:row>
      <xdr:rowOff>160020</xdr:rowOff>
    </xdr:to>
    <xdr:cxnSp macro="">
      <xdr:nvCxnSpPr>
        <xdr:cNvPr id="3" name="Rechte verbindingslijn met pijl 2">
          <a:extLst>
            <a:ext uri="{FF2B5EF4-FFF2-40B4-BE49-F238E27FC236}">
              <a16:creationId xmlns:a16="http://schemas.microsoft.com/office/drawing/2014/main" id="{1FCEA195-7032-44FA-A0CB-7CADB50BDE58}"/>
            </a:ext>
          </a:extLst>
        </xdr:cNvPr>
        <xdr:cNvCxnSpPr/>
      </xdr:nvCxnSpPr>
      <xdr:spPr>
        <a:xfrm>
          <a:off x="6810375" y="1196340"/>
          <a:ext cx="177165" cy="51435"/>
        </a:xfrm>
        <a:prstGeom prst="straightConnector1">
          <a:avLst/>
        </a:prstGeom>
        <a:ln>
          <a:solidFill>
            <a:sysClr val="windowText" lastClr="00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Ilco Toebes" id="{84B03546-408B-4D64-A6CD-51CEF5A35DD2}" userId="S::i.toebes@hhm.nl::5b358364-7b7a-4664-924b-31f7a0f9e3e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28" dT="2023-04-14T12:31:41.43" personId="{84B03546-408B-4D64-A6CD-51CEF5A35DD2}" id="{D7A2EBB8-375F-4516-B318-6215DC797B49}">
    <text>100% schaal 9 bij HBO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za.nl/onderwerpen/prijsindexcijfers/nieuws/2023/06/07/herberekening-tarieven-202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za.nl/onderwerpen/prijsindexcijfers/nieuws/2023/06/07/herberekening-tarieven-202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20064-91D9-4399-8D72-99BEC76479BD}">
  <sheetPr>
    <tabColor rgb="FFC00000"/>
  </sheetPr>
  <dimension ref="A1:O103"/>
  <sheetViews>
    <sheetView tabSelected="1" zoomScale="90" zoomScaleNormal="90" workbookViewId="0">
      <pane xSplit="2" ySplit="1" topLeftCell="C2" activePane="bottomRight" state="frozen"/>
      <selection pane="topRight" activeCell="C1" sqref="C1"/>
      <selection pane="bottomLeft" activeCell="A2" sqref="A2"/>
      <selection pane="bottomRight" activeCell="D1" sqref="D1"/>
    </sheetView>
  </sheetViews>
  <sheetFormatPr baseColWidth="10" defaultColWidth="8.83203125" defaultRowHeight="16" zeroHeight="1" x14ac:dyDescent="0.2"/>
  <cols>
    <col min="1" max="1" width="46.1640625" style="13" customWidth="1"/>
    <col min="2" max="2" width="20.6640625" style="13" customWidth="1"/>
    <col min="3" max="3" width="4.83203125" style="66" customWidth="1"/>
    <col min="4" max="4" width="16.83203125" style="13" customWidth="1"/>
    <col min="5" max="5" width="15.6640625" style="13" customWidth="1"/>
    <col min="6" max="11" width="16.83203125" style="13" customWidth="1"/>
    <col min="12" max="14" width="8.83203125" style="13" customWidth="1"/>
    <col min="15" max="15" width="14.6640625" style="13" customWidth="1"/>
    <col min="16" max="16" width="7.6640625" style="13" customWidth="1"/>
    <col min="17" max="16384" width="8.83203125" style="13"/>
  </cols>
  <sheetData>
    <row r="1" spans="1:15" s="50" customFormat="1" ht="125" customHeight="1" thickBot="1" x14ac:dyDescent="0.25">
      <c r="A1" s="50" t="s">
        <v>0</v>
      </c>
      <c r="B1" s="114" t="s">
        <v>16</v>
      </c>
      <c r="C1" s="69" t="s">
        <v>61</v>
      </c>
      <c r="D1" s="108" t="s">
        <v>67</v>
      </c>
      <c r="E1" s="108" t="s">
        <v>148</v>
      </c>
      <c r="F1" s="108" t="s">
        <v>147</v>
      </c>
      <c r="G1" s="108" t="s">
        <v>79</v>
      </c>
      <c r="H1" s="108" t="s">
        <v>63</v>
      </c>
      <c r="I1" s="108" t="s">
        <v>64</v>
      </c>
      <c r="J1" s="108" t="s">
        <v>65</v>
      </c>
      <c r="K1" s="108" t="s">
        <v>66</v>
      </c>
    </row>
    <row r="2" spans="1:15" x14ac:dyDescent="0.2">
      <c r="A2" s="5" t="s">
        <v>1</v>
      </c>
      <c r="B2" s="8"/>
      <c r="C2" s="17"/>
      <c r="D2" s="4">
        <f>'Salaris per functie'!N28</f>
        <v>4611.8153520000005</v>
      </c>
      <c r="E2" s="207"/>
      <c r="F2" s="207"/>
      <c r="G2" s="51">
        <f>'Salaris per functie'!O29</f>
        <v>4009.7378826666668</v>
      </c>
      <c r="H2" s="51">
        <f>'Salaris per functie'!Q30</f>
        <v>4076.3496180000002</v>
      </c>
      <c r="I2" s="51">
        <f>'Salaris per functie'!P31</f>
        <v>4324.2465271999999</v>
      </c>
      <c r="J2" s="51">
        <f>'Salaris per functie'!P32</f>
        <v>4571.1427813333339</v>
      </c>
      <c r="K2" s="51">
        <f>'Salaris per functie'!P33</f>
        <v>4571.1427813333339</v>
      </c>
    </row>
    <row r="3" spans="1:15" x14ac:dyDescent="0.2">
      <c r="A3" s="5" t="s">
        <v>2</v>
      </c>
      <c r="B3" s="9">
        <v>0.95</v>
      </c>
      <c r="C3" s="59"/>
      <c r="D3" s="6">
        <f>12*D2*$B$3</f>
        <v>52574.695012800003</v>
      </c>
      <c r="E3" s="6"/>
      <c r="F3" s="6"/>
      <c r="G3" s="6">
        <f>12*G2*$B$3</f>
        <v>45711.011862400002</v>
      </c>
      <c r="H3" s="6">
        <f>12*H2*$B$3</f>
        <v>46470.385645200004</v>
      </c>
      <c r="I3" s="6">
        <f>12*I2*$B$3</f>
        <v>49296.410410079996</v>
      </c>
      <c r="J3" s="6">
        <f>12*J2*$B$3</f>
        <v>52111.027707200003</v>
      </c>
      <c r="K3" s="6">
        <f>12*K2*$B$3</f>
        <v>52111.027707200003</v>
      </c>
    </row>
    <row r="4" spans="1:15" x14ac:dyDescent="0.2">
      <c r="A4" s="5" t="s">
        <v>3</v>
      </c>
      <c r="B4" s="9"/>
      <c r="C4" s="59"/>
      <c r="D4" s="6">
        <f>B42*D3</f>
        <v>525.74695012799998</v>
      </c>
      <c r="E4" s="6"/>
      <c r="F4" s="6"/>
      <c r="G4" s="6">
        <f>G3*$B$41</f>
        <v>8058.5751681240899</v>
      </c>
      <c r="H4" s="6">
        <f>H3*$B$41</f>
        <v>8192.4481772759646</v>
      </c>
      <c r="I4" s="6">
        <f>I3*$B$40</f>
        <v>7957.8491090557718</v>
      </c>
      <c r="J4" s="6">
        <f>J3*$B$40</f>
        <v>8412.2087584480014</v>
      </c>
      <c r="K4" s="6">
        <f>K3*$B$40</f>
        <v>8412.2087584480014</v>
      </c>
    </row>
    <row r="5" spans="1:15" x14ac:dyDescent="0.2">
      <c r="A5" s="5" t="s">
        <v>4</v>
      </c>
      <c r="B5" s="9">
        <v>0.08</v>
      </c>
      <c r="C5" s="59"/>
      <c r="D5" s="6">
        <f t="shared" ref="D5" si="0">$B$5*D3</f>
        <v>4205.9756010239998</v>
      </c>
      <c r="E5" s="6"/>
      <c r="F5" s="6"/>
      <c r="G5" s="6">
        <f t="shared" ref="G5" si="1">$B$5*G3</f>
        <v>3656.8809489920004</v>
      </c>
      <c r="H5" s="6">
        <f t="shared" ref="H5" si="2">$B$5*H3</f>
        <v>3717.6308516160002</v>
      </c>
      <c r="I5" s="6">
        <f t="shared" ref="I5" si="3">$B$5*I3</f>
        <v>3943.7128328063995</v>
      </c>
      <c r="J5" s="6">
        <f>$B$5*J3</f>
        <v>4168.8822165760002</v>
      </c>
      <c r="K5" s="6">
        <f>$B$5*K3</f>
        <v>4168.8822165760002</v>
      </c>
    </row>
    <row r="6" spans="1:15" x14ac:dyDescent="0.2">
      <c r="A6" s="5" t="s">
        <v>5</v>
      </c>
      <c r="B6" s="106" t="s">
        <v>70</v>
      </c>
      <c r="C6" s="60"/>
      <c r="D6" s="6">
        <f>$B$50*D3</f>
        <v>4712.7956609473931</v>
      </c>
      <c r="E6" s="6"/>
      <c r="F6" s="6"/>
      <c r="G6" s="6">
        <f>$B$51*G3</f>
        <v>4000.9324982763314</v>
      </c>
      <c r="H6" s="6">
        <f>$B$53*H3</f>
        <v>4018.2942467404446</v>
      </c>
      <c r="I6" s="6">
        <f>$B$49*I3</f>
        <v>4210.570734492966</v>
      </c>
      <c r="J6" s="6">
        <f>$B$49*J3</f>
        <v>4450.9765798976432</v>
      </c>
      <c r="K6" s="6">
        <f>$B$49*K3</f>
        <v>4450.9765798976432</v>
      </c>
    </row>
    <row r="7" spans="1:15" x14ac:dyDescent="0.2">
      <c r="A7" s="35" t="s">
        <v>58</v>
      </c>
      <c r="B7" s="10"/>
      <c r="C7" s="60"/>
      <c r="D7" s="6"/>
      <c r="E7" s="6"/>
      <c r="F7" s="6"/>
      <c r="G7" s="6"/>
      <c r="H7" s="6">
        <f>$B$56</f>
        <v>166.66666666666666</v>
      </c>
      <c r="I7" s="6">
        <f>$B$56</f>
        <v>166.66666666666666</v>
      </c>
      <c r="J7" s="6">
        <f>$B$56</f>
        <v>166.66666666666666</v>
      </c>
      <c r="K7" s="6">
        <f>$B$56</f>
        <v>166.66666666666666</v>
      </c>
    </row>
    <row r="8" spans="1:15" s="8" customFormat="1" x14ac:dyDescent="0.2">
      <c r="A8" s="8" t="s">
        <v>6</v>
      </c>
      <c r="B8" s="9"/>
      <c r="C8" s="59"/>
      <c r="D8" s="7">
        <f>SUM(D3:D7)</f>
        <v>62019.213224899395</v>
      </c>
      <c r="E8" s="7"/>
      <c r="F8" s="7"/>
      <c r="G8" s="7">
        <f t="shared" ref="G8" si="4">SUM(G3:G7)</f>
        <v>61427.40047779242</v>
      </c>
      <c r="H8" s="7">
        <f t="shared" ref="H8" si="5">SUM(H3:H7)</f>
        <v>62565.42558749907</v>
      </c>
      <c r="I8" s="7">
        <f>SUM(I3:I7)</f>
        <v>65575.209753101808</v>
      </c>
      <c r="J8" s="7">
        <f t="shared" ref="J8:K8" si="6">SUM(J3:J7)</f>
        <v>69309.761928788314</v>
      </c>
      <c r="K8" s="7">
        <f t="shared" si="6"/>
        <v>69309.761928788314</v>
      </c>
    </row>
    <row r="9" spans="1:15" x14ac:dyDescent="0.2">
      <c r="A9" s="97" t="s">
        <v>91</v>
      </c>
      <c r="B9" s="10">
        <v>0.19224999998610001</v>
      </c>
      <c r="C9" s="60"/>
      <c r="D9" s="57">
        <f>IF(D8&lt;$B$58,'Jeugdhulp 24-uurs'!D8*'Jeugdhulp 24-uurs'!$B$9,$B$58*'Jeugdhulp 24-uurs'!$B$9)</f>
        <v>11923.193741624842</v>
      </c>
      <c r="E9" s="57"/>
      <c r="F9" s="57"/>
      <c r="G9" s="57">
        <f>IF(G8&lt;$B$58,'Jeugdhulp 24-uurs'!G8*'Jeugdhulp 24-uurs'!$B$9,$B$58*'Jeugdhulp 24-uurs'!$B$9)</f>
        <v>11809.417741001753</v>
      </c>
      <c r="H9" s="57">
        <f>IF(H8&lt;$B$58,'Jeugdhulp 24-uurs'!H8*'Jeugdhulp 24-uurs'!$B$9,$B$58*'Jeugdhulp 24-uurs'!$B$9)</f>
        <v>12028.203068327037</v>
      </c>
      <c r="I9" s="57">
        <f>IF(I8&lt;$B$58,'Jeugdhulp 24-uurs'!I8*'Jeugdhulp 24-uurs'!$B$9,$B$58*'Jeugdhulp 24-uurs'!$B$9)</f>
        <v>12606.834074122327</v>
      </c>
      <c r="J9" s="57">
        <f>IF(J8&lt;$B$58,'Jeugdhulp 24-uurs'!J8*'Jeugdhulp 24-uurs'!$B$9,$B$58*'Jeugdhulp 24-uurs'!$B$9)</f>
        <v>13324.801729846149</v>
      </c>
      <c r="K9" s="57">
        <f>IF(K8&lt;$B$58,'Jeugdhulp 24-uurs'!K8*'Jeugdhulp 24-uurs'!$B$9,$B$58*'Jeugdhulp 24-uurs'!$B$9)</f>
        <v>13324.801729846149</v>
      </c>
      <c r="O9" s="15"/>
    </row>
    <row r="10" spans="1:15" x14ac:dyDescent="0.2">
      <c r="A10" s="35" t="s">
        <v>84</v>
      </c>
      <c r="B10" s="106" t="s">
        <v>70</v>
      </c>
      <c r="C10" s="60"/>
      <c r="D10" s="57">
        <f>'Salaris per functie'!$W$28*D8</f>
        <v>6803.8294774101851</v>
      </c>
      <c r="E10" s="57"/>
      <c r="F10" s="57"/>
      <c r="G10" s="57">
        <f>'Salaris per functie'!$W$29*G8</f>
        <v>6609.128191603867</v>
      </c>
      <c r="H10" s="57">
        <f>'Salaris per functie'!$W$30*H8</f>
        <v>6665.4808503571066</v>
      </c>
      <c r="I10" s="57">
        <f>'Salaris per functie'!$W$31*I8</f>
        <v>6916.8620570739049</v>
      </c>
      <c r="J10" s="57">
        <f>'Salaris per functie'!$W$32*J8</f>
        <v>7310.781990253332</v>
      </c>
      <c r="K10" s="57">
        <f>'Salaris per functie'!$W$33*K8</f>
        <v>7310.781990253332</v>
      </c>
    </row>
    <row r="11" spans="1:15" x14ac:dyDescent="0.2">
      <c r="A11" s="8" t="s">
        <v>7</v>
      </c>
      <c r="B11" s="9"/>
      <c r="C11" s="59"/>
      <c r="D11" s="7">
        <f t="shared" ref="D11:K11" si="7">SUM(D8:D10)</f>
        <v>80746.236443934424</v>
      </c>
      <c r="E11" s="7"/>
      <c r="F11" s="7"/>
      <c r="G11" s="7">
        <f t="shared" si="7"/>
        <v>79845.946410398043</v>
      </c>
      <c r="H11" s="7">
        <f t="shared" si="7"/>
        <v>81259.109506183217</v>
      </c>
      <c r="I11" s="7">
        <f t="shared" si="7"/>
        <v>85098.90588429803</v>
      </c>
      <c r="J11" s="7">
        <f t="shared" si="7"/>
        <v>89945.3456488878</v>
      </c>
      <c r="K11" s="7">
        <f t="shared" si="7"/>
        <v>89945.3456488878</v>
      </c>
    </row>
    <row r="12" spans="1:15" x14ac:dyDescent="0.2">
      <c r="A12" s="35" t="s">
        <v>42</v>
      </c>
      <c r="B12" s="228">
        <v>0.02</v>
      </c>
      <c r="C12" s="61"/>
      <c r="D12" s="57">
        <f t="shared" ref="D12:G12" si="8">D11*$B$12</f>
        <v>1614.9247288786885</v>
      </c>
      <c r="E12" s="57"/>
      <c r="F12" s="57"/>
      <c r="G12" s="57">
        <f t="shared" si="8"/>
        <v>1596.9189282079608</v>
      </c>
      <c r="H12" s="57">
        <f t="shared" ref="H12" si="9">H11*$B$12</f>
        <v>1625.1821901236644</v>
      </c>
      <c r="I12" s="57">
        <f>I11*$B$12</f>
        <v>1701.9781176859606</v>
      </c>
      <c r="J12" s="57">
        <f t="shared" ref="J12" si="10">J11*$B$12</f>
        <v>1798.9069129777561</v>
      </c>
      <c r="K12" s="57">
        <f>K11*$B$12</f>
        <v>1798.9069129777561</v>
      </c>
    </row>
    <row r="13" spans="1:15" x14ac:dyDescent="0.2">
      <c r="A13" s="8" t="s">
        <v>166</v>
      </c>
      <c r="B13" s="9"/>
      <c r="C13" s="59"/>
      <c r="D13" s="7">
        <f t="shared" ref="D13:K13" si="11">SUM(D11:D12)</f>
        <v>82361.16117281311</v>
      </c>
      <c r="E13" s="7"/>
      <c r="F13" s="7"/>
      <c r="G13" s="7">
        <f t="shared" si="11"/>
        <v>81442.865338606003</v>
      </c>
      <c r="H13" s="7">
        <f t="shared" si="11"/>
        <v>82884.291696306886</v>
      </c>
      <c r="I13" s="7">
        <f t="shared" si="11"/>
        <v>86800.884001983984</v>
      </c>
      <c r="J13" s="7">
        <f t="shared" si="11"/>
        <v>91744.252561865549</v>
      </c>
      <c r="K13" s="7">
        <f t="shared" si="11"/>
        <v>91744.252561865549</v>
      </c>
    </row>
    <row r="14" spans="1:15" x14ac:dyDescent="0.2">
      <c r="A14" s="35" t="s">
        <v>15</v>
      </c>
      <c r="B14" s="106" t="s">
        <v>70</v>
      </c>
      <c r="C14" s="59"/>
      <c r="D14" s="6">
        <f>'Salaris per functie'!U28*D13</f>
        <v>30967.79660097773</v>
      </c>
      <c r="E14" s="6"/>
      <c r="F14" s="6"/>
      <c r="G14" s="6">
        <f>'Salaris per functie'!U29*G13</f>
        <v>28260.674272496286</v>
      </c>
      <c r="H14" s="6">
        <f>'Salaris per functie'!U30*H13</f>
        <v>27559.026989022041</v>
      </c>
      <c r="I14" s="6">
        <f>'Salaris per functie'!U31*I13</f>
        <v>30119.906748688445</v>
      </c>
      <c r="J14" s="6">
        <f>'Salaris per functie'!U32*J13</f>
        <v>31835.255638967348</v>
      </c>
      <c r="K14" s="6">
        <f>'Salaris per functie'!U33*K13</f>
        <v>31835.255638967348</v>
      </c>
    </row>
    <row r="15" spans="1:15" x14ac:dyDescent="0.2">
      <c r="A15" s="35" t="s">
        <v>85</v>
      </c>
      <c r="B15" s="9">
        <v>0.02</v>
      </c>
      <c r="C15" s="59"/>
      <c r="D15" s="6">
        <f t="shared" ref="D15" si="12">$B$15*(D13+D14)</f>
        <v>2266.5791554758171</v>
      </c>
      <c r="E15" s="6"/>
      <c r="F15" s="6"/>
      <c r="G15" s="6"/>
      <c r="H15" s="6"/>
      <c r="I15" s="6"/>
      <c r="J15" s="6"/>
      <c r="K15" s="6"/>
    </row>
    <row r="16" spans="1:15" x14ac:dyDescent="0.2">
      <c r="A16" s="35" t="s">
        <v>86</v>
      </c>
      <c r="B16" s="9">
        <v>0.03</v>
      </c>
      <c r="C16" s="59"/>
      <c r="D16" s="6"/>
      <c r="E16" s="6"/>
      <c r="F16" s="6"/>
      <c r="G16" s="6">
        <f t="shared" ref="G16:K16" si="13">$B$16*(G13+G14)</f>
        <v>3291.1061883330685</v>
      </c>
      <c r="H16" s="6">
        <f t="shared" si="13"/>
        <v>3313.2995605598676</v>
      </c>
      <c r="I16" s="6">
        <f t="shared" si="13"/>
        <v>3507.6237225201726</v>
      </c>
      <c r="J16" s="6">
        <f t="shared" si="13"/>
        <v>3707.3852460249868</v>
      </c>
      <c r="K16" s="6">
        <f t="shared" si="13"/>
        <v>3707.3852460249868</v>
      </c>
    </row>
    <row r="17" spans="1:11" x14ac:dyDescent="0.2">
      <c r="A17" s="8" t="s">
        <v>167</v>
      </c>
      <c r="B17" s="9"/>
      <c r="C17" s="59"/>
      <c r="D17" s="7">
        <f t="shared" ref="D17:K17" si="14">SUM(D13:D16)</f>
        <v>115595.53692926666</v>
      </c>
      <c r="E17" s="7"/>
      <c r="F17" s="7"/>
      <c r="G17" s="7">
        <f t="shared" si="14"/>
        <v>112994.64579943536</v>
      </c>
      <c r="H17" s="7">
        <f t="shared" si="14"/>
        <v>113756.61824588879</v>
      </c>
      <c r="I17" s="7">
        <f t="shared" si="14"/>
        <v>120428.41447319261</v>
      </c>
      <c r="J17" s="7">
        <f t="shared" si="14"/>
        <v>127286.8934468579</v>
      </c>
      <c r="K17" s="7">
        <f t="shared" si="14"/>
        <v>127286.8934468579</v>
      </c>
    </row>
    <row r="18" spans="1:11" x14ac:dyDescent="0.2">
      <c r="A18" s="5" t="s">
        <v>8</v>
      </c>
      <c r="B18" s="206"/>
      <c r="C18" s="62"/>
      <c r="D18" s="32">
        <v>1227</v>
      </c>
      <c r="E18" s="132"/>
      <c r="F18" s="32"/>
      <c r="G18" s="32">
        <v>1227</v>
      </c>
      <c r="H18" s="32">
        <v>1227</v>
      </c>
      <c r="I18" s="32">
        <v>1227</v>
      </c>
      <c r="J18" s="32">
        <v>1227</v>
      </c>
      <c r="K18" s="32">
        <v>1227</v>
      </c>
    </row>
    <row r="19" spans="1:11" s="8" customFormat="1" x14ac:dyDescent="0.2">
      <c r="A19" s="8" t="s">
        <v>93</v>
      </c>
      <c r="C19" s="17"/>
      <c r="D19" s="11">
        <f t="shared" ref="D19:G19" si="15">D17/D18</f>
        <v>94.209891547894586</v>
      </c>
      <c r="E19" s="200"/>
      <c r="F19" s="200"/>
      <c r="G19" s="11">
        <f t="shared" si="15"/>
        <v>92.090175875660435</v>
      </c>
      <c r="H19" s="11">
        <f t="shared" ref="H19" si="16">H17/H18</f>
        <v>92.711180314497796</v>
      </c>
      <c r="I19" s="11">
        <f>I17/I18</f>
        <v>98.148667052316711</v>
      </c>
      <c r="J19" s="11">
        <f>J17/J18</f>
        <v>103.73829946769185</v>
      </c>
      <c r="K19" s="11">
        <f>K17/K18</f>
        <v>103.73829946769185</v>
      </c>
    </row>
    <row r="20" spans="1:11" x14ac:dyDescent="0.2">
      <c r="A20" s="35" t="s">
        <v>72</v>
      </c>
      <c r="B20" s="16">
        <v>22</v>
      </c>
      <c r="C20" s="63"/>
      <c r="D20" s="5"/>
      <c r="E20" s="12"/>
      <c r="F20" s="12"/>
      <c r="G20" s="12">
        <f>B20</f>
        <v>22</v>
      </c>
      <c r="H20" s="12">
        <f>B20</f>
        <v>22</v>
      </c>
      <c r="I20" s="12">
        <f>B20</f>
        <v>22</v>
      </c>
      <c r="J20" s="5"/>
      <c r="K20" s="12"/>
    </row>
    <row r="21" spans="1:11" x14ac:dyDescent="0.2">
      <c r="A21" s="35" t="s">
        <v>94</v>
      </c>
      <c r="B21" s="189">
        <v>53</v>
      </c>
      <c r="C21" s="64"/>
      <c r="I21" s="15"/>
      <c r="J21" s="34">
        <f>B21</f>
        <v>53</v>
      </c>
      <c r="K21" s="15">
        <f>B21</f>
        <v>53</v>
      </c>
    </row>
    <row r="22" spans="1:11" x14ac:dyDescent="0.2">
      <c r="A22" s="35" t="s">
        <v>73</v>
      </c>
      <c r="B22" s="16">
        <v>28.5</v>
      </c>
      <c r="C22" s="64"/>
      <c r="D22" s="15"/>
      <c r="E22" s="15"/>
      <c r="F22" s="15"/>
      <c r="G22" s="15">
        <f>$B$22</f>
        <v>28.5</v>
      </c>
      <c r="H22" s="15">
        <f>$B$22</f>
        <v>28.5</v>
      </c>
      <c r="I22" s="15">
        <f>$B$22</f>
        <v>28.5</v>
      </c>
      <c r="J22" s="15">
        <f>$B$22</f>
        <v>28.5</v>
      </c>
      <c r="K22" s="15">
        <f>$B$22</f>
        <v>28.5</v>
      </c>
    </row>
    <row r="23" spans="1:11" ht="33" x14ac:dyDescent="0.2">
      <c r="A23" s="199" t="s">
        <v>168</v>
      </c>
      <c r="B23" s="189">
        <f>200/365</f>
        <v>0.54794520547945202</v>
      </c>
      <c r="C23" s="65"/>
      <c r="D23" s="34"/>
      <c r="E23" s="34"/>
      <c r="F23" s="34"/>
      <c r="G23" s="34">
        <f>$B$23</f>
        <v>0.54794520547945202</v>
      </c>
      <c r="H23" s="34">
        <f t="shared" ref="H23:K23" si="17">$B$23</f>
        <v>0.54794520547945202</v>
      </c>
      <c r="I23" s="34">
        <f t="shared" si="17"/>
        <v>0.54794520547945202</v>
      </c>
      <c r="J23" s="34">
        <f t="shared" si="17"/>
        <v>0.54794520547945202</v>
      </c>
      <c r="K23" s="34">
        <f t="shared" si="17"/>
        <v>0.54794520547945202</v>
      </c>
    </row>
    <row r="24" spans="1:11" ht="68" x14ac:dyDescent="0.2">
      <c r="A24" s="199" t="s">
        <v>92</v>
      </c>
      <c r="B24" s="189">
        <f>126/30*20%</f>
        <v>0.84000000000000008</v>
      </c>
      <c r="C24" s="65"/>
      <c r="D24" s="34">
        <f>$B$24</f>
        <v>0.84000000000000008</v>
      </c>
      <c r="E24" s="34"/>
      <c r="F24" s="34"/>
      <c r="G24" s="34">
        <f>$B$24</f>
        <v>0.84000000000000008</v>
      </c>
      <c r="H24" s="34">
        <f t="shared" ref="H24:K24" si="18">$B$24</f>
        <v>0.84000000000000008</v>
      </c>
      <c r="I24" s="34">
        <f t="shared" si="18"/>
        <v>0.84000000000000008</v>
      </c>
      <c r="J24" s="34">
        <f t="shared" si="18"/>
        <v>0.84000000000000008</v>
      </c>
      <c r="K24" s="34">
        <f t="shared" si="18"/>
        <v>0.84000000000000008</v>
      </c>
    </row>
    <row r="25" spans="1:11" x14ac:dyDescent="0.2">
      <c r="A25" s="35" t="s">
        <v>71</v>
      </c>
      <c r="B25" s="16">
        <v>26.704299025295263</v>
      </c>
      <c r="C25" s="64"/>
      <c r="G25" s="15">
        <f>B25</f>
        <v>26.704299025295263</v>
      </c>
      <c r="H25" s="15">
        <f>B25</f>
        <v>26.704299025295263</v>
      </c>
    </row>
    <row r="26" spans="1:11" x14ac:dyDescent="0.2">
      <c r="A26" s="35" t="s">
        <v>96</v>
      </c>
      <c r="B26" s="16">
        <v>61.038397772103458</v>
      </c>
      <c r="C26" s="64"/>
      <c r="G26" s="15"/>
      <c r="H26" s="15"/>
      <c r="I26" s="34">
        <f>B26</f>
        <v>61.038397772103458</v>
      </c>
    </row>
    <row r="27" spans="1:11" x14ac:dyDescent="0.2">
      <c r="A27" s="208" t="s">
        <v>151</v>
      </c>
      <c r="B27" s="16">
        <v>85.453756880944837</v>
      </c>
      <c r="C27" s="64"/>
      <c r="G27" s="15"/>
      <c r="H27" s="15"/>
      <c r="I27" s="209">
        <f>B27</f>
        <v>85.453756880944837</v>
      </c>
    </row>
    <row r="28" spans="1:11" x14ac:dyDescent="0.2">
      <c r="A28" s="35" t="s">
        <v>152</v>
      </c>
      <c r="B28" s="33">
        <v>130.81897548464286</v>
      </c>
      <c r="C28" s="64"/>
      <c r="G28" s="15"/>
      <c r="H28" s="15"/>
      <c r="I28" s="15"/>
      <c r="J28" s="15">
        <f>B28</f>
        <v>130.81897548464286</v>
      </c>
    </row>
    <row r="29" spans="1:11" x14ac:dyDescent="0.2">
      <c r="A29" s="208" t="s">
        <v>153</v>
      </c>
      <c r="B29" s="15">
        <v>183.14656567850002</v>
      </c>
      <c r="C29" s="65"/>
      <c r="I29" s="15"/>
      <c r="J29" s="209">
        <f>B29</f>
        <v>183.14656567850002</v>
      </c>
      <c r="K29" s="34">
        <f>B29</f>
        <v>183.14656567850002</v>
      </c>
    </row>
    <row r="30" spans="1:11" x14ac:dyDescent="0.2">
      <c r="A30" s="35" t="s">
        <v>95</v>
      </c>
      <c r="B30" s="142">
        <v>21.977142857142859</v>
      </c>
      <c r="C30" s="64"/>
      <c r="I30" s="15">
        <f>$B$30</f>
        <v>21.977142857142859</v>
      </c>
      <c r="J30" s="15">
        <f>$B$30</f>
        <v>21.977142857142859</v>
      </c>
      <c r="K30" s="15">
        <f>$B$30</f>
        <v>21.977142857142859</v>
      </c>
    </row>
    <row r="31" spans="1:11" x14ac:dyDescent="0.2">
      <c r="A31" s="35" t="s">
        <v>51</v>
      </c>
      <c r="B31" s="71"/>
      <c r="C31" s="64"/>
      <c r="D31" s="13">
        <v>1.75</v>
      </c>
      <c r="H31" s="13">
        <v>3.33</v>
      </c>
    </row>
    <row r="32" spans="1:11" x14ac:dyDescent="0.2">
      <c r="A32" s="20" t="s">
        <v>41</v>
      </c>
      <c r="F32" s="70"/>
      <c r="G32" s="188">
        <v>0.9375</v>
      </c>
      <c r="H32" s="188">
        <v>2.2100456621004567</v>
      </c>
      <c r="I32" s="188">
        <v>3.8806262230919764</v>
      </c>
      <c r="J32" s="188">
        <v>4.7769080234833661</v>
      </c>
      <c r="K32" s="188">
        <v>6.5162426614481417</v>
      </c>
    </row>
    <row r="33" spans="1:11" x14ac:dyDescent="0.2">
      <c r="A33" s="208" t="s">
        <v>150</v>
      </c>
      <c r="F33" s="70"/>
      <c r="H33" s="188"/>
      <c r="I33" s="210">
        <v>5.2614481409001961</v>
      </c>
      <c r="J33" s="210">
        <v>6.5162426614481417</v>
      </c>
      <c r="K33" s="188"/>
    </row>
    <row r="34" spans="1:11" ht="17" x14ac:dyDescent="0.2">
      <c r="A34" s="201" t="s">
        <v>169</v>
      </c>
      <c r="B34" s="237"/>
      <c r="D34" s="131">
        <f>(95%*D36)+(5%*D37)</f>
        <v>56.403818937620372</v>
      </c>
      <c r="E34" s="131">
        <f>'Gezinshuis Generiek'!C43</f>
        <v>162.32665839906872</v>
      </c>
      <c r="F34" s="131">
        <f>'Gezinshuis Specifiek'!C43</f>
        <v>203.42662247737985</v>
      </c>
      <c r="G34" s="116">
        <f>(G19*G32)+G25+G22+G20+G23+G24</f>
        <v>164.92678411420638</v>
      </c>
      <c r="H34" s="118">
        <f>(H19*(H32+(H31/7))+H25+H22+H20+H23+H24)</f>
        <v>327.59221903408343</v>
      </c>
      <c r="I34" s="117">
        <f>(I19*I32)+I26+I22+I20+I23+I24+I30</f>
        <v>515.78177695946943</v>
      </c>
      <c r="J34" s="117">
        <f>(J19*J32)+J28+J22+J21+J23+J24+J30</f>
        <v>731.23237861700261</v>
      </c>
      <c r="K34" s="115">
        <f>(K19*K32)+K29+K22+K21+K23+K24+K30</f>
        <v>963.99558635857898</v>
      </c>
    </row>
    <row r="35" spans="1:11" ht="17" x14ac:dyDescent="0.2">
      <c r="A35" s="187" t="s">
        <v>170</v>
      </c>
      <c r="B35" s="143"/>
      <c r="D35" s="145"/>
      <c r="E35" s="192"/>
      <c r="F35" s="192"/>
      <c r="G35" s="107"/>
      <c r="H35" s="146"/>
      <c r="I35" s="211">
        <f>(I33*I19)+I20+I22+I23+I24+I27+I30</f>
        <v>675.72296673781136</v>
      </c>
      <c r="J35" s="211">
        <f>(J33*J19)+J21+J22+J23+J24+J29+J30</f>
        <v>963.99558635857898</v>
      </c>
      <c r="K35" s="188"/>
    </row>
    <row r="36" spans="1:11" ht="17" x14ac:dyDescent="0.2">
      <c r="A36" s="199" t="s">
        <v>100</v>
      </c>
      <c r="B36" s="143"/>
      <c r="D36" s="145">
        <f>(D31/7*D19)+D24+D44+D45+D46+D47</f>
        <v>53.56787273405287</v>
      </c>
      <c r="E36" s="147"/>
      <c r="F36" s="146"/>
      <c r="G36" s="107"/>
      <c r="H36" s="15"/>
      <c r="I36" s="146"/>
      <c r="J36" s="146"/>
      <c r="K36" s="188"/>
    </row>
    <row r="37" spans="1:11" s="35" customFormat="1" ht="34" x14ac:dyDescent="0.2">
      <c r="A37" s="229" t="s">
        <v>98</v>
      </c>
      <c r="C37" s="149"/>
      <c r="D37" s="107">
        <f>(105/51)*D36</f>
        <v>110.28679680540296</v>
      </c>
      <c r="G37" s="107"/>
      <c r="H37" s="107"/>
      <c r="I37" s="107"/>
    </row>
    <row r="38" spans="1:11" x14ac:dyDescent="0.2">
      <c r="A38" s="35" t="s">
        <v>99</v>
      </c>
      <c r="B38" s="31"/>
      <c r="C38" s="67"/>
    </row>
    <row r="39" spans="1:11" x14ac:dyDescent="0.2">
      <c r="A39" s="35"/>
      <c r="B39" s="31"/>
      <c r="C39" s="67"/>
    </row>
    <row r="40" spans="1:11" x14ac:dyDescent="0.2">
      <c r="A40" s="35" t="s">
        <v>29</v>
      </c>
      <c r="B40" s="212">
        <v>0.16142857142857145</v>
      </c>
      <c r="C40" s="68"/>
    </row>
    <row r="41" spans="1:11" x14ac:dyDescent="0.2">
      <c r="A41" s="35" t="s">
        <v>78</v>
      </c>
      <c r="B41" s="213">
        <v>0.17629395718436813</v>
      </c>
    </row>
    <row r="42" spans="1:11" x14ac:dyDescent="0.2">
      <c r="A42" s="35" t="s">
        <v>80</v>
      </c>
      <c r="B42" s="213">
        <v>0.01</v>
      </c>
    </row>
    <row r="43" spans="1:11" x14ac:dyDescent="0.2">
      <c r="A43" s="18"/>
    </row>
    <row r="44" spans="1:11" x14ac:dyDescent="0.2">
      <c r="A44" s="35" t="s">
        <v>97</v>
      </c>
      <c r="B44" s="98">
        <v>25.957999999999998</v>
      </c>
      <c r="D44" s="98">
        <f>B44</f>
        <v>25.957999999999998</v>
      </c>
      <c r="E44" s="98"/>
      <c r="F44" s="98"/>
    </row>
    <row r="45" spans="1:11" x14ac:dyDescent="0.2">
      <c r="A45" s="35" t="s">
        <v>81</v>
      </c>
      <c r="B45" s="15">
        <v>1.504899847079221</v>
      </c>
      <c r="D45" s="15">
        <f>B45</f>
        <v>1.504899847079221</v>
      </c>
      <c r="E45" s="98"/>
      <c r="F45" s="15"/>
    </row>
    <row r="46" spans="1:11" x14ac:dyDescent="0.2">
      <c r="A46" s="35" t="s">
        <v>52</v>
      </c>
      <c r="B46" s="100">
        <v>1.1625000000000001</v>
      </c>
      <c r="D46" s="98">
        <f t="shared" ref="D46:D47" si="19">B46</f>
        <v>1.1625000000000001</v>
      </c>
      <c r="E46" s="100"/>
      <c r="F46" s="100"/>
    </row>
    <row r="47" spans="1:11" x14ac:dyDescent="0.2">
      <c r="A47" s="35" t="s">
        <v>49</v>
      </c>
      <c r="B47" s="100">
        <v>0.55000000000000004</v>
      </c>
      <c r="D47" s="98">
        <f t="shared" si="19"/>
        <v>0.55000000000000004</v>
      </c>
      <c r="E47" s="100"/>
      <c r="F47" s="100"/>
    </row>
    <row r="48" spans="1:11" x14ac:dyDescent="0.2"/>
    <row r="49" spans="1:6" x14ac:dyDescent="0.2">
      <c r="A49" s="35" t="s">
        <v>53</v>
      </c>
      <c r="B49" s="104">
        <f>(B50+B52+B52)/3</f>
        <v>8.5413333333333341E-2</v>
      </c>
    </row>
    <row r="50" spans="1:6" x14ac:dyDescent="0.2">
      <c r="A50" s="35" t="s">
        <v>54</v>
      </c>
      <c r="B50" s="104">
        <f>1.08*0.083</f>
        <v>8.9640000000000011E-2</v>
      </c>
      <c r="D50" s="193"/>
    </row>
    <row r="51" spans="1:6" x14ac:dyDescent="0.2">
      <c r="A51" s="35" t="s">
        <v>55</v>
      </c>
      <c r="B51" s="104">
        <f>(B50+B50+B52)/3</f>
        <v>8.7526666666666683E-2</v>
      </c>
    </row>
    <row r="52" spans="1:6" x14ac:dyDescent="0.2">
      <c r="A52" s="35" t="s">
        <v>56</v>
      </c>
      <c r="B52" s="104">
        <v>8.3299999999999999E-2</v>
      </c>
    </row>
    <row r="53" spans="1:6" x14ac:dyDescent="0.2">
      <c r="A53" s="35" t="s">
        <v>57</v>
      </c>
      <c r="B53" s="104">
        <f>(B52+B50)/2</f>
        <v>8.6470000000000005E-2</v>
      </c>
      <c r="F53" s="148"/>
    </row>
    <row r="54" spans="1:6" x14ac:dyDescent="0.2"/>
    <row r="55" spans="1:6" x14ac:dyDescent="0.2">
      <c r="A55" s="35" t="s">
        <v>59</v>
      </c>
      <c r="B55" s="105">
        <v>500</v>
      </c>
    </row>
    <row r="56" spans="1:6" x14ac:dyDescent="0.2">
      <c r="A56" s="35" t="s">
        <v>60</v>
      </c>
      <c r="B56" s="15">
        <f>(1/3)*B55</f>
        <v>166.66666666666666</v>
      </c>
    </row>
    <row r="57" spans="1:6" x14ac:dyDescent="0.2"/>
    <row r="58" spans="1:6" x14ac:dyDescent="0.2">
      <c r="A58" s="36" t="s">
        <v>90</v>
      </c>
      <c r="B58" s="151">
        <v>71628</v>
      </c>
    </row>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sheetData>
  <sheetProtection algorithmName="SHA-512" hashValue="K8ArfrafyI063weaN20trfAN5GF1CXNfR/83Csmfk+exdlnR8uWqPbryGDTBgf0Q7aDTAr2qHrbyk0BkVOLO5w==" saltValue="pNE+7zZimxQaMeQJN6hEyw==" spinCount="100000" sheet="1" objects="1" scenarios="1"/>
  <phoneticPr fontId="23"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4AA5D-B091-7643-9F6D-4D2EBD5C18FA}">
  <sheetPr>
    <tabColor theme="7" tint="-0.499984740745262"/>
  </sheetPr>
  <dimension ref="A1:Z44"/>
  <sheetViews>
    <sheetView workbookViewId="0">
      <selection activeCell="M15" sqref="M15"/>
    </sheetView>
  </sheetViews>
  <sheetFormatPr baseColWidth="10" defaultColWidth="10.83203125" defaultRowHeight="16" x14ac:dyDescent="0.2"/>
  <cols>
    <col min="1" max="1" width="7.83203125" style="21" customWidth="1"/>
    <col min="2" max="2" width="46.1640625" style="21" customWidth="1"/>
    <col min="3" max="3" width="8.83203125" style="21" customWidth="1"/>
    <col min="4" max="4" width="9.83203125" style="21" customWidth="1"/>
    <col min="5" max="5" width="18" style="21" bestFit="1" customWidth="1"/>
    <col min="6" max="6" width="9.83203125" style="21" customWidth="1"/>
    <col min="7" max="7" width="12.83203125" style="21" customWidth="1"/>
    <col min="8" max="8" width="9.83203125" style="21" customWidth="1"/>
    <col min="9" max="9" width="12.1640625" style="21" customWidth="1"/>
    <col min="10" max="10" width="9.83203125" style="21" customWidth="1"/>
    <col min="11" max="11" width="15.83203125" style="21" customWidth="1"/>
    <col min="12" max="12" width="12.6640625" style="21" customWidth="1"/>
    <col min="13" max="13" width="13.83203125" style="21" bestFit="1" customWidth="1"/>
    <col min="14" max="14" width="14.5" style="21" customWidth="1"/>
    <col min="15" max="15" width="10.83203125" style="21"/>
    <col min="16" max="16" width="12.83203125" style="21" customWidth="1"/>
    <col min="17" max="17" width="10.83203125" style="21"/>
    <col min="18" max="18" width="13.83203125" style="21" customWidth="1"/>
    <col min="19" max="19" width="13" style="21" customWidth="1"/>
    <col min="20" max="20" width="12.1640625" style="21" bestFit="1" customWidth="1"/>
    <col min="21" max="21" width="15.5" style="21" customWidth="1"/>
    <col min="22" max="22" width="13.83203125" style="21" customWidth="1"/>
    <col min="23" max="23" width="10.83203125" style="21"/>
    <col min="24" max="24" width="12.1640625" style="21" customWidth="1"/>
    <col min="25" max="25" width="10.83203125" style="21"/>
    <col min="26" max="26" width="13.5" style="21" customWidth="1"/>
    <col min="27" max="16384" width="10.83203125" style="21"/>
  </cols>
  <sheetData>
    <row r="1" spans="1:26" x14ac:dyDescent="0.2">
      <c r="A1" s="3"/>
      <c r="B1" s="3" t="s">
        <v>18</v>
      </c>
      <c r="C1" s="3"/>
      <c r="D1" s="36"/>
      <c r="E1" s="38"/>
      <c r="F1" s="3"/>
      <c r="G1" s="58">
        <v>45292</v>
      </c>
      <c r="H1" s="3"/>
      <c r="I1" s="58">
        <v>45261</v>
      </c>
      <c r="J1" s="3"/>
      <c r="K1" s="38"/>
      <c r="L1" s="3"/>
      <c r="M1" s="3"/>
      <c r="N1" s="58">
        <v>45292</v>
      </c>
      <c r="O1" s="3"/>
      <c r="P1" s="3"/>
      <c r="Q1" s="38"/>
      <c r="R1" s="3"/>
      <c r="S1" s="38"/>
      <c r="T1" s="3"/>
      <c r="U1" s="38"/>
      <c r="V1" s="36"/>
      <c r="W1" s="3"/>
      <c r="X1" s="38"/>
      <c r="Y1" s="3"/>
      <c r="Z1" s="38"/>
    </row>
    <row r="2" spans="1:26" x14ac:dyDescent="0.2">
      <c r="A2" s="3"/>
      <c r="B2" s="113" t="s">
        <v>89</v>
      </c>
      <c r="C2" s="38"/>
      <c r="D2" s="241"/>
      <c r="E2" s="242"/>
      <c r="F2" s="241" t="s">
        <v>14</v>
      </c>
      <c r="G2" s="242"/>
      <c r="H2" s="241" t="s">
        <v>19</v>
      </c>
      <c r="I2" s="242"/>
      <c r="J2" s="241"/>
      <c r="K2" s="242"/>
      <c r="L2" s="3"/>
      <c r="M2" s="241" t="s">
        <v>39</v>
      </c>
      <c r="N2" s="242"/>
      <c r="O2" s="3"/>
      <c r="P2" s="3"/>
      <c r="Q2" s="3"/>
      <c r="R2" s="245"/>
      <c r="S2" s="245"/>
      <c r="T2" s="245"/>
      <c r="U2" s="245"/>
      <c r="V2" s="36"/>
      <c r="W2" s="245"/>
      <c r="X2" s="245"/>
      <c r="Y2" s="245"/>
      <c r="Z2" s="245"/>
    </row>
    <row r="3" spans="1:26" x14ac:dyDescent="0.2">
      <c r="A3" s="3"/>
      <c r="B3" s="238" t="s">
        <v>20</v>
      </c>
      <c r="C3" s="52"/>
      <c r="D3" s="39"/>
      <c r="E3" s="40"/>
      <c r="F3" s="216" t="s">
        <v>21</v>
      </c>
      <c r="G3" s="215">
        <v>3541</v>
      </c>
      <c r="H3" s="216" t="s">
        <v>21</v>
      </c>
      <c r="I3" s="150">
        <v>3535</v>
      </c>
      <c r="J3" s="39"/>
      <c r="K3" s="40"/>
      <c r="L3" s="222"/>
      <c r="M3" s="216" t="s">
        <v>22</v>
      </c>
      <c r="N3" s="214">
        <v>3549.15</v>
      </c>
      <c r="O3" s="220"/>
      <c r="P3" s="3"/>
      <c r="Q3" s="3"/>
      <c r="R3" s="38"/>
      <c r="S3" s="38"/>
      <c r="T3" s="3"/>
      <c r="U3" s="99"/>
      <c r="V3" s="36"/>
      <c r="W3" s="3"/>
      <c r="X3" s="99"/>
      <c r="Y3" s="3"/>
      <c r="Z3" s="99"/>
    </row>
    <row r="4" spans="1:26" x14ac:dyDescent="0.2">
      <c r="A4" s="3"/>
      <c r="B4" s="239"/>
      <c r="C4" s="54"/>
      <c r="D4" s="43"/>
      <c r="E4" s="44"/>
      <c r="F4" s="218" t="s">
        <v>23</v>
      </c>
      <c r="G4" s="215">
        <v>3863</v>
      </c>
      <c r="H4" s="218" t="s">
        <v>23</v>
      </c>
      <c r="I4" s="150">
        <v>3861</v>
      </c>
      <c r="J4" s="43"/>
      <c r="K4" s="44"/>
      <c r="L4" s="222"/>
      <c r="M4" s="218" t="s">
        <v>24</v>
      </c>
      <c r="N4" s="214">
        <v>3839.7456000000006</v>
      </c>
      <c r="O4" s="220"/>
      <c r="P4" s="3"/>
      <c r="Q4" s="3"/>
      <c r="R4" s="3"/>
      <c r="S4" s="99"/>
      <c r="T4" s="3"/>
      <c r="U4" s="99"/>
      <c r="V4" s="36"/>
      <c r="W4" s="3"/>
      <c r="X4" s="99"/>
      <c r="Y4" s="3"/>
      <c r="Z4" s="99"/>
    </row>
    <row r="5" spans="1:26" x14ac:dyDescent="0.2">
      <c r="A5" s="3"/>
      <c r="B5" s="238" t="s">
        <v>9</v>
      </c>
      <c r="C5" s="52"/>
      <c r="D5" s="39"/>
      <c r="E5" s="40"/>
      <c r="F5" s="216" t="s">
        <v>25</v>
      </c>
      <c r="G5" s="215">
        <v>4263</v>
      </c>
      <c r="H5" s="216" t="s">
        <v>25</v>
      </c>
      <c r="I5" s="150">
        <v>4264</v>
      </c>
      <c r="J5" s="39"/>
      <c r="K5" s="40"/>
      <c r="L5" s="219">
        <v>0.8</v>
      </c>
      <c r="M5" s="216" t="s">
        <v>26</v>
      </c>
      <c r="N5" s="214">
        <v>4171.0248000000001</v>
      </c>
      <c r="O5" s="222">
        <v>0.8</v>
      </c>
      <c r="P5" s="3"/>
      <c r="Q5" s="152"/>
      <c r="R5" s="153"/>
      <c r="S5" s="99"/>
      <c r="T5" s="3"/>
      <c r="U5" s="99"/>
      <c r="V5" s="36"/>
      <c r="W5" s="3"/>
      <c r="X5" s="99"/>
      <c r="Y5" s="3"/>
      <c r="Z5" s="99"/>
    </row>
    <row r="6" spans="1:26" x14ac:dyDescent="0.2">
      <c r="A6" s="3"/>
      <c r="B6" s="240"/>
      <c r="C6" s="53"/>
      <c r="D6" s="41"/>
      <c r="E6" s="42"/>
      <c r="F6" s="217" t="s">
        <v>27</v>
      </c>
      <c r="G6" s="215">
        <v>4785</v>
      </c>
      <c r="H6" s="217" t="s">
        <v>27</v>
      </c>
      <c r="I6" s="150">
        <v>4712</v>
      </c>
      <c r="J6" s="41"/>
      <c r="K6" s="42"/>
      <c r="L6" s="221">
        <v>0.2</v>
      </c>
      <c r="M6" s="217" t="s">
        <v>28</v>
      </c>
      <c r="N6" s="214">
        <v>4544.5104000000001</v>
      </c>
      <c r="O6" s="222">
        <v>0.2</v>
      </c>
      <c r="P6" s="3"/>
      <c r="Q6" s="152"/>
      <c r="R6" s="3"/>
      <c r="S6" s="154"/>
      <c r="T6" s="3"/>
      <c r="U6" s="99"/>
      <c r="V6" s="36"/>
      <c r="W6" s="3"/>
      <c r="X6" s="99"/>
      <c r="Y6" s="3"/>
      <c r="Z6" s="99"/>
    </row>
    <row r="7" spans="1:26" x14ac:dyDescent="0.2">
      <c r="A7" s="3"/>
      <c r="B7" s="238" t="s">
        <v>10</v>
      </c>
      <c r="C7" s="52"/>
      <c r="D7" s="39"/>
      <c r="E7" s="40"/>
      <c r="F7" s="216" t="s">
        <v>27</v>
      </c>
      <c r="G7" s="215">
        <v>4785</v>
      </c>
      <c r="H7" s="216" t="s">
        <v>27</v>
      </c>
      <c r="I7" s="150">
        <v>4712</v>
      </c>
      <c r="J7" s="41"/>
      <c r="K7" s="42"/>
      <c r="L7" s="220"/>
      <c r="M7" s="217" t="s">
        <v>28</v>
      </c>
      <c r="N7" s="214">
        <v>4544.5104000000001</v>
      </c>
      <c r="O7" s="223">
        <v>0.2</v>
      </c>
      <c r="P7" s="3"/>
      <c r="Q7" s="3"/>
      <c r="R7" s="3"/>
      <c r="S7" s="99"/>
      <c r="T7" s="3"/>
      <c r="U7" s="99"/>
      <c r="V7" s="36"/>
      <c r="W7" s="3"/>
      <c r="X7" s="99"/>
      <c r="Y7" s="3"/>
      <c r="Z7" s="99"/>
    </row>
    <row r="8" spans="1:26" x14ac:dyDescent="0.2">
      <c r="A8" s="3"/>
      <c r="B8" s="240"/>
      <c r="C8" s="53"/>
      <c r="D8" s="41"/>
      <c r="E8" s="42"/>
      <c r="F8" s="217" t="s">
        <v>31</v>
      </c>
      <c r="G8" s="215">
        <v>5335</v>
      </c>
      <c r="H8" s="217" t="s">
        <v>31</v>
      </c>
      <c r="I8" s="150">
        <v>5370</v>
      </c>
      <c r="J8" s="38"/>
      <c r="K8" s="3"/>
      <c r="L8" s="220"/>
      <c r="M8" s="217" t="s">
        <v>35</v>
      </c>
      <c r="N8" s="214">
        <v>4973.8860000000004</v>
      </c>
      <c r="O8" s="223">
        <v>0.8</v>
      </c>
      <c r="P8" s="3"/>
      <c r="Q8" s="3"/>
      <c r="R8" s="3"/>
      <c r="S8" s="99"/>
      <c r="T8" s="3"/>
      <c r="U8" s="99"/>
      <c r="V8" s="36"/>
      <c r="W8" s="3"/>
      <c r="X8" s="99"/>
      <c r="Y8" s="3"/>
      <c r="Z8" s="99"/>
    </row>
    <row r="9" spans="1:26" x14ac:dyDescent="0.2">
      <c r="A9" s="3"/>
      <c r="B9" s="238" t="s">
        <v>11</v>
      </c>
      <c r="C9" s="52"/>
      <c r="D9" s="39"/>
      <c r="E9" s="40"/>
      <c r="F9" s="216" t="s">
        <v>31</v>
      </c>
      <c r="G9" s="215">
        <v>5335</v>
      </c>
      <c r="H9" s="216" t="s">
        <v>31</v>
      </c>
      <c r="I9" s="150">
        <v>5370</v>
      </c>
      <c r="J9" s="39"/>
      <c r="K9" s="40"/>
      <c r="L9" s="222"/>
      <c r="M9" s="216" t="s">
        <v>36</v>
      </c>
      <c r="N9" s="214">
        <v>5722.1964000000007</v>
      </c>
      <c r="O9" s="222">
        <v>0.8</v>
      </c>
      <c r="P9" s="3"/>
      <c r="Q9" s="3"/>
      <c r="R9" s="3"/>
      <c r="S9" s="99"/>
      <c r="T9" s="3"/>
      <c r="U9" s="99"/>
      <c r="V9" s="36"/>
      <c r="W9" s="3"/>
      <c r="X9" s="99"/>
      <c r="Y9" s="3"/>
      <c r="Z9" s="99"/>
    </row>
    <row r="10" spans="1:26" x14ac:dyDescent="0.2">
      <c r="A10" s="3"/>
      <c r="B10" s="240"/>
      <c r="C10" s="53"/>
      <c r="D10" s="41"/>
      <c r="E10" s="42"/>
      <c r="F10" s="217" t="s">
        <v>32</v>
      </c>
      <c r="G10" s="215">
        <v>6264</v>
      </c>
      <c r="H10" s="217" t="s">
        <v>32</v>
      </c>
      <c r="I10" s="150">
        <v>6320</v>
      </c>
      <c r="J10" s="41"/>
      <c r="K10" s="42"/>
      <c r="L10" s="222"/>
      <c r="M10" s="217" t="s">
        <v>37</v>
      </c>
      <c r="N10" s="214">
        <v>6564.2616000000007</v>
      </c>
      <c r="O10" s="222">
        <v>0.2</v>
      </c>
      <c r="P10" s="3"/>
      <c r="Q10" s="3"/>
      <c r="R10" s="3"/>
      <c r="S10" s="99"/>
      <c r="T10" s="3"/>
      <c r="U10" s="99"/>
      <c r="V10" s="36"/>
      <c r="W10" s="3"/>
      <c r="X10" s="99"/>
      <c r="Y10" s="3"/>
      <c r="Z10" s="99"/>
    </row>
    <row r="11" spans="1:26" x14ac:dyDescent="0.2">
      <c r="A11" s="3"/>
      <c r="B11" s="238" t="s">
        <v>12</v>
      </c>
      <c r="C11" s="52"/>
      <c r="D11" s="39"/>
      <c r="E11" s="40"/>
      <c r="F11" s="216" t="s">
        <v>32</v>
      </c>
      <c r="G11" s="215">
        <v>6264</v>
      </c>
      <c r="H11" s="216" t="s">
        <v>32</v>
      </c>
      <c r="I11" s="150">
        <v>6320</v>
      </c>
      <c r="J11" s="3"/>
      <c r="K11" s="3"/>
      <c r="L11" s="220"/>
      <c r="M11" s="218" t="s">
        <v>36</v>
      </c>
      <c r="N11" s="214">
        <v>5722.1964000000007</v>
      </c>
      <c r="O11" s="224">
        <v>0</v>
      </c>
      <c r="P11" s="3"/>
      <c r="Q11" s="3"/>
      <c r="R11" s="3"/>
      <c r="S11" s="99"/>
      <c r="T11" s="3"/>
      <c r="U11" s="99"/>
      <c r="V11" s="36"/>
      <c r="W11" s="3"/>
      <c r="X11" s="99"/>
      <c r="Y11" s="3"/>
      <c r="Z11" s="99"/>
    </row>
    <row r="12" spans="1:26" x14ac:dyDescent="0.2">
      <c r="A12" s="3"/>
      <c r="B12" s="240"/>
      <c r="C12" s="53"/>
      <c r="D12" s="41"/>
      <c r="E12" s="42"/>
      <c r="F12" s="217" t="s">
        <v>33</v>
      </c>
      <c r="G12" s="23">
        <v>7419</v>
      </c>
      <c r="H12" s="217" t="s">
        <v>33</v>
      </c>
      <c r="I12" s="150">
        <v>7632</v>
      </c>
      <c r="J12" s="3"/>
      <c r="K12" s="3"/>
      <c r="L12" s="220"/>
      <c r="M12" s="217" t="s">
        <v>37</v>
      </c>
      <c r="N12" s="214">
        <v>6564.2616000000007</v>
      </c>
      <c r="O12" s="224">
        <v>1</v>
      </c>
      <c r="P12" s="3"/>
      <c r="Q12" s="3"/>
      <c r="R12" s="3"/>
      <c r="S12" s="99"/>
      <c r="T12" s="3"/>
      <c r="U12" s="99"/>
      <c r="V12" s="36"/>
      <c r="W12" s="3"/>
      <c r="X12" s="99"/>
      <c r="Y12" s="3"/>
      <c r="Z12" s="99"/>
    </row>
    <row r="13" spans="1:26" x14ac:dyDescent="0.2">
      <c r="A13" s="3"/>
      <c r="B13" s="238" t="s">
        <v>13</v>
      </c>
      <c r="C13" s="52"/>
      <c r="D13" s="39"/>
      <c r="E13" s="40"/>
      <c r="F13" s="216" t="s">
        <v>33</v>
      </c>
      <c r="G13" s="23">
        <v>7419</v>
      </c>
      <c r="H13" s="216" t="s">
        <v>33</v>
      </c>
      <c r="I13" s="150">
        <v>7632</v>
      </c>
      <c r="J13" s="3"/>
      <c r="K13" s="3"/>
      <c r="L13" s="222">
        <v>0.25</v>
      </c>
      <c r="M13" s="220"/>
      <c r="N13" s="220"/>
      <c r="O13" s="220"/>
      <c r="P13" s="3"/>
      <c r="Q13" s="3"/>
      <c r="R13" s="3"/>
      <c r="S13" s="99"/>
      <c r="T13" s="3"/>
      <c r="U13" s="99"/>
      <c r="V13" s="36"/>
      <c r="W13" s="3"/>
      <c r="X13" s="99"/>
      <c r="Y13" s="3"/>
      <c r="Z13" s="99"/>
    </row>
    <row r="14" spans="1:26" x14ac:dyDescent="0.2">
      <c r="A14" s="3"/>
      <c r="B14" s="240"/>
      <c r="C14" s="53"/>
      <c r="D14" s="41"/>
      <c r="E14" s="42"/>
      <c r="F14" s="217" t="s">
        <v>34</v>
      </c>
      <c r="G14" s="23">
        <v>8903</v>
      </c>
      <c r="H14" s="217" t="s">
        <v>34</v>
      </c>
      <c r="I14" s="150">
        <v>9238</v>
      </c>
      <c r="J14" s="3"/>
      <c r="K14" s="3"/>
      <c r="L14" s="222">
        <v>0.75</v>
      </c>
      <c r="M14" s="220"/>
      <c r="N14" s="220"/>
      <c r="O14" s="220"/>
      <c r="P14" s="3"/>
      <c r="Q14" s="3"/>
      <c r="R14" s="3"/>
      <c r="S14" s="99"/>
      <c r="T14" s="3"/>
      <c r="U14" s="99"/>
      <c r="V14" s="36"/>
      <c r="W14" s="3"/>
      <c r="X14" s="99"/>
      <c r="Y14" s="3"/>
      <c r="Z14" s="99"/>
    </row>
    <row r="15" spans="1:26" x14ac:dyDescent="0.2">
      <c r="A15" s="3"/>
      <c r="B15" s="238" t="s">
        <v>30</v>
      </c>
      <c r="C15" s="55"/>
      <c r="D15" s="3"/>
      <c r="E15" s="3"/>
      <c r="F15" s="216" t="s">
        <v>38</v>
      </c>
      <c r="G15" s="23">
        <v>10358</v>
      </c>
      <c r="H15"/>
      <c r="I15" s="36"/>
      <c r="J15" s="3"/>
      <c r="K15" s="3"/>
      <c r="L15" s="3"/>
      <c r="M15" s="3"/>
      <c r="N15" s="3"/>
      <c r="O15" s="3"/>
      <c r="P15" s="3"/>
      <c r="Q15" s="3"/>
      <c r="R15" s="3"/>
      <c r="S15" s="99"/>
      <c r="T15" s="36"/>
      <c r="U15" s="36"/>
      <c r="V15" s="36"/>
      <c r="W15" s="3"/>
      <c r="X15" s="99"/>
      <c r="Y15" s="3"/>
      <c r="Z15" s="3"/>
    </row>
    <row r="16" spans="1:26" x14ac:dyDescent="0.2">
      <c r="A16" s="3"/>
      <c r="B16" s="240"/>
      <c r="C16" s="55"/>
      <c r="D16" s="3"/>
      <c r="E16" s="3"/>
      <c r="F16" s="41"/>
      <c r="G16" s="42"/>
      <c r="H16" s="36"/>
      <c r="I16" s="36"/>
      <c r="J16" s="3"/>
      <c r="K16" s="3"/>
      <c r="L16" s="3"/>
      <c r="M16" s="3"/>
      <c r="N16" s="3"/>
      <c r="O16" s="3"/>
      <c r="P16" s="3"/>
      <c r="Q16" s="3"/>
      <c r="R16" s="3"/>
      <c r="S16" s="99"/>
      <c r="T16" s="36"/>
      <c r="U16" s="36"/>
      <c r="V16" s="36"/>
      <c r="W16" s="3"/>
      <c r="X16" s="99"/>
      <c r="Y16" s="3"/>
      <c r="Z16" s="3"/>
    </row>
    <row r="17" spans="1:23" x14ac:dyDescent="0.2">
      <c r="A17" s="3"/>
      <c r="B17" s="3"/>
      <c r="C17" s="3"/>
      <c r="D17" s="3"/>
      <c r="E17" s="3"/>
      <c r="F17" s="3"/>
      <c r="G17" s="3"/>
      <c r="H17" s="3"/>
      <c r="I17" s="3"/>
      <c r="J17" s="3"/>
      <c r="K17" s="3"/>
      <c r="L17" s="3"/>
      <c r="M17" s="3"/>
      <c r="N17" s="3"/>
      <c r="O17" s="3"/>
      <c r="P17" s="3"/>
      <c r="Q17" s="3"/>
      <c r="R17" s="36"/>
      <c r="S17" s="36"/>
      <c r="T17" s="36"/>
      <c r="U17" s="36"/>
      <c r="V17" s="36"/>
    </row>
    <row r="18" spans="1:23" x14ac:dyDescent="0.2">
      <c r="A18" s="3"/>
      <c r="B18" s="3"/>
      <c r="C18" s="3"/>
      <c r="D18" s="243"/>
      <c r="E18" s="244"/>
      <c r="F18" s="243"/>
      <c r="G18" s="244"/>
      <c r="H18" s="243" t="s">
        <v>20</v>
      </c>
      <c r="I18" s="244"/>
      <c r="J18" s="243" t="s">
        <v>9</v>
      </c>
      <c r="K18" s="244"/>
      <c r="L18" s="3"/>
      <c r="M18" s="243" t="s">
        <v>10</v>
      </c>
      <c r="N18" s="244"/>
      <c r="O18" s="243" t="s">
        <v>11</v>
      </c>
      <c r="P18" s="244"/>
      <c r="Q18" s="243" t="s">
        <v>12</v>
      </c>
      <c r="R18" s="244"/>
      <c r="S18" s="243" t="s">
        <v>13</v>
      </c>
      <c r="T18" s="244"/>
      <c r="U18" s="243"/>
      <c r="V18" s="244"/>
    </row>
    <row r="19" spans="1:23" s="73" customFormat="1" x14ac:dyDescent="0.2">
      <c r="A19" s="74"/>
      <c r="B19" s="74" t="s">
        <v>14</v>
      </c>
      <c r="C19" s="74"/>
      <c r="D19" s="75"/>
      <c r="E19" s="76"/>
      <c r="F19" s="75"/>
      <c r="G19" s="76"/>
      <c r="H19" s="77"/>
      <c r="I19" s="76">
        <f>AVERAGE(G3:G4)</f>
        <v>3702</v>
      </c>
      <c r="J19" s="77"/>
      <c r="K19" s="76">
        <f>($L5*G5)+($L6*G6)</f>
        <v>4367.3999999999996</v>
      </c>
      <c r="L19" s="74"/>
      <c r="M19" s="77"/>
      <c r="N19" s="76">
        <f>AVERAGE(G7:G8)</f>
        <v>5060</v>
      </c>
      <c r="O19" s="77"/>
      <c r="P19" s="76">
        <f>AVERAGE(G9:G10)</f>
        <v>5799.5</v>
      </c>
      <c r="Q19" s="77"/>
      <c r="R19" s="76">
        <f>AVERAGE(G11:G12)</f>
        <v>6841.5</v>
      </c>
      <c r="S19" s="78"/>
      <c r="T19" s="76">
        <f>(G13*L13)+(G14*L14)</f>
        <v>8532</v>
      </c>
      <c r="U19" s="78"/>
      <c r="V19" s="79"/>
      <c r="W19" s="80"/>
    </row>
    <row r="20" spans="1:23" s="81" customFormat="1" x14ac:dyDescent="0.2">
      <c r="A20" s="84"/>
      <c r="B20" s="81" t="s">
        <v>19</v>
      </c>
      <c r="C20" s="84"/>
      <c r="D20" s="85"/>
      <c r="E20" s="86"/>
      <c r="F20" s="85"/>
      <c r="G20" s="76"/>
      <c r="H20" s="87"/>
      <c r="I20" s="86">
        <f>AVERAGE(I3:I4)</f>
        <v>3698</v>
      </c>
      <c r="J20" s="87"/>
      <c r="K20" s="86">
        <f>($L5*I5)+($L6*I6)</f>
        <v>4353.6000000000004</v>
      </c>
      <c r="L20" s="84"/>
      <c r="M20" s="87"/>
      <c r="N20" s="86">
        <f>AVERAGE(I7:I8)</f>
        <v>5041</v>
      </c>
      <c r="O20" s="87"/>
      <c r="P20" s="86">
        <f>AVERAGE(I9:I10)</f>
        <v>5845</v>
      </c>
      <c r="Q20" s="87"/>
      <c r="R20" s="86">
        <f>AVERAGE(I11:I12)</f>
        <v>6976</v>
      </c>
      <c r="S20" s="88"/>
      <c r="T20" s="86">
        <f>(I13*L13)+(I14*L14)</f>
        <v>8836.5</v>
      </c>
      <c r="U20" s="88"/>
      <c r="V20" s="88"/>
      <c r="W20" s="89"/>
    </row>
    <row r="21" spans="1:23" s="82" customFormat="1" x14ac:dyDescent="0.2">
      <c r="A21" s="90"/>
      <c r="B21" s="90" t="s">
        <v>39</v>
      </c>
      <c r="C21" s="90"/>
      <c r="D21" s="91"/>
      <c r="E21" s="92"/>
      <c r="F21" s="91"/>
      <c r="G21" s="93"/>
      <c r="H21" s="91"/>
      <c r="I21" s="86">
        <f>AVERAGE(N3:N4)</f>
        <v>3694.4478000000004</v>
      </c>
      <c r="J21" s="91"/>
      <c r="K21" s="93">
        <f>(N5*O5)+(N6*O6)</f>
        <v>4245.72192</v>
      </c>
      <c r="L21" s="90"/>
      <c r="M21" s="91"/>
      <c r="N21" s="93">
        <f>(N7*O7)+(N8*O8)</f>
        <v>4888.0108800000007</v>
      </c>
      <c r="O21" s="91"/>
      <c r="P21" s="93">
        <f>(N9*O9)+(N10*O10)</f>
        <v>5890.6094400000011</v>
      </c>
      <c r="Q21" s="91"/>
      <c r="R21" s="93">
        <f>(N11*O11)+(N12*O12)</f>
        <v>6564.2616000000007</v>
      </c>
      <c r="S21" s="94"/>
      <c r="T21" s="94"/>
      <c r="U21" s="95"/>
      <c r="V21" s="94"/>
      <c r="W21" s="96"/>
    </row>
    <row r="22" spans="1:23" x14ac:dyDescent="0.2">
      <c r="A22" s="3"/>
      <c r="B22" s="46" t="s">
        <v>44</v>
      </c>
      <c r="C22" s="46"/>
      <c r="D22" s="25"/>
      <c r="E22" s="26"/>
      <c r="F22" s="26"/>
      <c r="G22" s="26"/>
      <c r="H22" s="26"/>
      <c r="I22" s="26">
        <f>AVERAGE(I19:I21)</f>
        <v>3698.1492666666668</v>
      </c>
      <c r="J22" s="26"/>
      <c r="K22" s="26">
        <f>AVERAGE(K19:K21)</f>
        <v>4322.24064</v>
      </c>
      <c r="L22" s="45"/>
      <c r="M22" s="49"/>
      <c r="N22" s="26">
        <f>AVERAGE(N19:N21)</f>
        <v>4996.3369600000005</v>
      </c>
      <c r="O22" s="26"/>
      <c r="P22" s="26">
        <f>AVERAGE(P19:P21)</f>
        <v>5845.0364799999998</v>
      </c>
      <c r="Q22" s="26"/>
      <c r="R22" s="26">
        <f>AVERAGE(R19:R21)</f>
        <v>6793.9205333333339</v>
      </c>
      <c r="S22" s="26"/>
      <c r="T22" s="26">
        <f>AVERAGE(T19:T21)</f>
        <v>8684.25</v>
      </c>
      <c r="U22" s="26"/>
      <c r="V22" s="26"/>
    </row>
    <row r="23" spans="1:23" x14ac:dyDescent="0.2">
      <c r="A23" s="3"/>
      <c r="B23" s="3"/>
      <c r="C23" s="3"/>
      <c r="D23" s="3"/>
      <c r="E23" s="3"/>
      <c r="F23" s="3"/>
      <c r="G23" s="3"/>
      <c r="H23" s="3"/>
      <c r="I23" s="3"/>
      <c r="J23" s="3"/>
      <c r="K23" s="3"/>
      <c r="L23" s="3"/>
      <c r="M23" s="3"/>
      <c r="N23" s="3"/>
      <c r="O23" s="3"/>
      <c r="P23" s="3"/>
      <c r="Q23" s="3"/>
      <c r="R23" s="36"/>
      <c r="S23" s="36"/>
      <c r="T23" s="36"/>
      <c r="U23" s="36"/>
      <c r="V23" s="36"/>
    </row>
    <row r="24" spans="1:23" x14ac:dyDescent="0.2">
      <c r="A24"/>
      <c r="B24" s="47"/>
      <c r="C24" s="47"/>
      <c r="D24" s="36"/>
      <c r="E24" s="48"/>
      <c r="F24" s="48"/>
      <c r="G24" s="36"/>
      <c r="H24"/>
      <c r="I24" s="36"/>
      <c r="J24" s="36"/>
      <c r="K24" s="36"/>
      <c r="L24" s="36"/>
      <c r="M24" s="36"/>
      <c r="N24" s="36"/>
      <c r="O24" s="36"/>
      <c r="P24" s="36"/>
      <c r="Q24" s="36"/>
      <c r="R24" s="36"/>
      <c r="S24" s="36"/>
      <c r="T24" s="36"/>
      <c r="U24" s="36"/>
      <c r="V24" s="36"/>
    </row>
    <row r="25" spans="1:23" ht="17" thickBot="1" x14ac:dyDescent="0.25">
      <c r="A25"/>
      <c r="B25" s="47"/>
      <c r="C25" s="47"/>
      <c r="D25" s="36"/>
      <c r="E25" s="48"/>
      <c r="F25" s="48"/>
      <c r="G25" s="36"/>
      <c r="H25"/>
      <c r="I25" s="36"/>
      <c r="J25" s="36"/>
      <c r="K25" s="36"/>
      <c r="L25" s="36"/>
      <c r="M25" s="36"/>
      <c r="N25" s="36"/>
      <c r="O25" s="36"/>
      <c r="P25" s="36"/>
      <c r="Q25" s="36"/>
      <c r="R25" s="36"/>
      <c r="S25" s="36"/>
      <c r="T25" s="36"/>
      <c r="U25" s="36"/>
      <c r="V25" s="36"/>
    </row>
    <row r="26" spans="1:23" ht="52" thickBot="1" x14ac:dyDescent="0.25">
      <c r="B26" s="27" t="s">
        <v>0</v>
      </c>
      <c r="C26" s="28"/>
      <c r="D26" s="28" t="s">
        <v>40</v>
      </c>
      <c r="E26" s="28" t="s">
        <v>9</v>
      </c>
      <c r="F26" s="28" t="s">
        <v>10</v>
      </c>
      <c r="G26" s="28" t="s">
        <v>11</v>
      </c>
      <c r="H26" s="29" t="s">
        <v>12</v>
      </c>
      <c r="I26" s="29" t="s">
        <v>13</v>
      </c>
      <c r="J26" s="29"/>
      <c r="K26" s="72" t="s">
        <v>45</v>
      </c>
      <c r="L26" s="119" t="s">
        <v>46</v>
      </c>
      <c r="M26" s="120" t="s">
        <v>47</v>
      </c>
      <c r="N26" s="121" t="s">
        <v>48</v>
      </c>
      <c r="O26" s="122" t="s">
        <v>69</v>
      </c>
      <c r="P26" s="123" t="s">
        <v>68</v>
      </c>
      <c r="Q26" s="124" t="s">
        <v>50</v>
      </c>
      <c r="R26" s="130"/>
      <c r="S26" s="14" t="s">
        <v>77</v>
      </c>
      <c r="U26" s="14" t="s">
        <v>82</v>
      </c>
    </row>
    <row r="27" spans="1:23" ht="17" thickBot="1" x14ac:dyDescent="0.25">
      <c r="A27" s="30"/>
      <c r="B27" s="110" t="s">
        <v>61</v>
      </c>
      <c r="C27" s="30"/>
      <c r="D27" s="30"/>
      <c r="E27" s="30"/>
      <c r="F27" s="30"/>
      <c r="G27" s="30"/>
      <c r="H27" s="30"/>
      <c r="I27" s="30"/>
      <c r="J27" s="30"/>
      <c r="K27" s="30"/>
      <c r="L27" s="30"/>
      <c r="M27" s="30"/>
      <c r="N27" s="30"/>
      <c r="O27" s="30"/>
      <c r="P27" s="30"/>
      <c r="Q27" s="129"/>
      <c r="U27" s="144">
        <v>1.4999999999999999E-2</v>
      </c>
      <c r="W27" s="36" t="s">
        <v>83</v>
      </c>
    </row>
    <row r="28" spans="1:23" ht="17" thickBot="1" x14ac:dyDescent="0.25">
      <c r="A28" s="22">
        <f t="shared" ref="A28:A33" si="0">SUM(C28:J28)</f>
        <v>1</v>
      </c>
      <c r="B28" s="109" t="s">
        <v>67</v>
      </c>
      <c r="C28" s="56"/>
      <c r="D28" s="37"/>
      <c r="E28" s="37">
        <v>0.95</v>
      </c>
      <c r="F28" s="37"/>
      <c r="G28" s="37">
        <v>0.05</v>
      </c>
      <c r="H28" s="37"/>
      <c r="I28" s="37"/>
      <c r="J28" s="37"/>
      <c r="K28" s="202">
        <f t="shared" ref="K28:K33" si="1">(C28*$G$22)+(D28*$I$22)+(E28*$K$22)+(F28*$N$22)+(G28*$P$22)+(H28*$R$22)+(I28*$T$22)+(J28*$V$22*100/93)</f>
        <v>4398.3804319999999</v>
      </c>
      <c r="L28" s="203"/>
      <c r="M28" s="204"/>
      <c r="N28" s="125">
        <f>(C28*$G$21)+(D28*$I$21)+(E28*N6)+(F28*$N$21)+(G28*$P$21)+(H28*$R$21)+(I28*$T$21)+(J28*$V$21*100/93)</f>
        <v>4611.8153520000005</v>
      </c>
      <c r="O28" s="83"/>
      <c r="P28" s="102"/>
      <c r="Q28" s="103"/>
      <c r="S28" s="135">
        <f>B39</f>
        <v>0.36099999999999999</v>
      </c>
      <c r="U28" s="138">
        <f t="shared" ref="U28:U33" si="2">S28+$U$27</f>
        <v>0.376</v>
      </c>
      <c r="W28" s="140">
        <f>$B$44</f>
        <v>0.10970518849920838</v>
      </c>
    </row>
    <row r="29" spans="1:23" ht="17" thickBot="1" x14ac:dyDescent="0.25">
      <c r="A29" s="22">
        <f t="shared" si="0"/>
        <v>1</v>
      </c>
      <c r="B29" s="109" t="s">
        <v>62</v>
      </c>
      <c r="C29" s="56"/>
      <c r="D29" s="37">
        <v>0.6</v>
      </c>
      <c r="E29" s="37">
        <v>0.35</v>
      </c>
      <c r="F29" s="37"/>
      <c r="G29" s="37">
        <v>0.05</v>
      </c>
      <c r="H29" s="37"/>
      <c r="I29" s="37"/>
      <c r="J29" s="37"/>
      <c r="K29" s="202">
        <f t="shared" si="1"/>
        <v>4023.925608</v>
      </c>
      <c r="L29" s="203"/>
      <c r="M29" s="204">
        <f>(C29*$G$20)+(D29*$I$20)+(E29*$K$20)+(F29*$N$20)+(G29*$P$20)+(H29*$R$20)+(I29*$T$20)+(J29*$V$20*100/93)</f>
        <v>4034.8099999999995</v>
      </c>
      <c r="N29" s="205">
        <f>(C29*$G$21)+(D29*$I$21)+(E29*$K$21)+(F29*$N$21)+(G29*$P$21)+(H29*$R$21)+(I29*$T$21)+(J29*$V$21*100/93)</f>
        <v>3997.2018240000002</v>
      </c>
      <c r="O29" s="126">
        <f>(N29+N29+M29)/3</f>
        <v>4009.7378826666668</v>
      </c>
      <c r="P29" s="102"/>
      <c r="Q29" s="103"/>
      <c r="S29" s="136">
        <f>(B39+B39+B37)/3</f>
        <v>0.33200000000000002</v>
      </c>
      <c r="U29" s="138">
        <f t="shared" si="2"/>
        <v>0.34700000000000003</v>
      </c>
      <c r="W29" s="141">
        <f>($B$44+$B$44+$B$43)/3</f>
        <v>0.10759250986037146</v>
      </c>
    </row>
    <row r="30" spans="1:23" ht="17" thickBot="1" x14ac:dyDescent="0.25">
      <c r="A30" s="22">
        <f t="shared" si="0"/>
        <v>1</v>
      </c>
      <c r="B30" s="109" t="s">
        <v>63</v>
      </c>
      <c r="C30" s="56"/>
      <c r="D30" s="37">
        <v>0.5</v>
      </c>
      <c r="E30" s="37">
        <v>0.45</v>
      </c>
      <c r="F30" s="37"/>
      <c r="G30" s="37">
        <v>0.05</v>
      </c>
      <c r="H30" s="37"/>
      <c r="I30" s="37"/>
      <c r="J30" s="37"/>
      <c r="K30" s="202">
        <f t="shared" si="1"/>
        <v>4086.3347453333336</v>
      </c>
      <c r="L30" s="203"/>
      <c r="M30" s="204">
        <f>(C30*$G$20)+(D30*$I$20)+(E30*$K$20)+(F30*$N$20)+(G30*$P$20)+(H30*$R$20)+(I30*$T$20)+(J30*$V$20*100/93)</f>
        <v>4100.37</v>
      </c>
      <c r="N30" s="205">
        <f>(C30*$G$21)+(D30*$I$21)+(E30*$K$21)+(F30*$N$21)+(G30*$P$21)+(H30*$R$21)+(I30*$T$21)+(J30*$V$21*100/93)</f>
        <v>4052.329236</v>
      </c>
      <c r="O30" s="83"/>
      <c r="P30" s="102"/>
      <c r="Q30" s="127">
        <f>(M30+N30)/2</f>
        <v>4076.3496180000002</v>
      </c>
      <c r="S30" s="136">
        <f>(B39+B37)/2</f>
        <v>0.3175</v>
      </c>
      <c r="U30" s="138">
        <f t="shared" si="2"/>
        <v>0.33250000000000002</v>
      </c>
      <c r="W30" s="141">
        <f>($B$42+$B$44)/2</f>
        <v>0.10653617054095302</v>
      </c>
    </row>
    <row r="31" spans="1:23" ht="17" thickBot="1" x14ac:dyDescent="0.25">
      <c r="A31" s="22">
        <f t="shared" ref="A31" si="3">SUM(C31:J31)</f>
        <v>1</v>
      </c>
      <c r="B31" s="109" t="s">
        <v>64</v>
      </c>
      <c r="C31" s="56"/>
      <c r="D31" s="37">
        <v>0.3</v>
      </c>
      <c r="E31" s="112">
        <v>0.52</v>
      </c>
      <c r="F31" s="112">
        <v>0.1</v>
      </c>
      <c r="G31" s="112">
        <v>0.08</v>
      </c>
      <c r="H31" s="37"/>
      <c r="I31" s="37"/>
      <c r="J31" s="37"/>
      <c r="K31" s="202">
        <f t="shared" si="1"/>
        <v>4324.2465271999999</v>
      </c>
      <c r="L31" s="203">
        <f>(C31*$G$19)+(D31*$I$19)+(E31*$K$19)+(F31*$N$19)+(G31*$P$19)+(H31*$R$19)+(I31*$T$19)+(J31*$V$19*100/93)</f>
        <v>4351.6080000000002</v>
      </c>
      <c r="M31" s="204">
        <f>(C31*$G$20)+(D31*$I$20)+(E31*$K$20)+(F31*$N$20)+(G31*$P$20)+(H31*$R$20)+(I31*$T$20)+(J31*$V$20*100/93)</f>
        <v>4344.9719999999998</v>
      </c>
      <c r="N31" s="205">
        <f>(C31*$G$21)+(D31*$I$21)+(E31*$K$21)+(F31*$N$21)+(G31*$P$21)+(H31*$R$21)+(I31*$T$21)+(J31*$V$21*100/93)</f>
        <v>4276.1595816000008</v>
      </c>
      <c r="O31" s="83"/>
      <c r="P31" s="128">
        <f>(L31+M31+N31)/3</f>
        <v>4324.2465271999999</v>
      </c>
      <c r="Q31" s="103"/>
      <c r="R31" s="111"/>
      <c r="S31" s="136">
        <f>(B38+B39+B37)/3</f>
        <v>0.33200000000000002</v>
      </c>
      <c r="U31" s="138">
        <f t="shared" si="2"/>
        <v>0.34700000000000003</v>
      </c>
      <c r="W31" s="141">
        <f>($B$42+$B$43+$B$44)/3</f>
        <v>0.10547983122153455</v>
      </c>
    </row>
    <row r="32" spans="1:23" ht="17" thickBot="1" x14ac:dyDescent="0.25">
      <c r="A32" s="22">
        <f t="shared" si="0"/>
        <v>1</v>
      </c>
      <c r="B32" s="109" t="s">
        <v>65</v>
      </c>
      <c r="C32" s="56"/>
      <c r="D32" s="37">
        <v>0.3</v>
      </c>
      <c r="E32" s="112">
        <v>0.27500000000000002</v>
      </c>
      <c r="F32" s="112">
        <v>0.27500000000000002</v>
      </c>
      <c r="G32" s="37">
        <v>0.1</v>
      </c>
      <c r="H32" s="112">
        <v>2.5000000000000001E-2</v>
      </c>
      <c r="I32" s="112">
        <v>2.5000000000000001E-2</v>
      </c>
      <c r="J32" s="37"/>
      <c r="K32" s="202">
        <f t="shared" si="1"/>
        <v>4643.5115313333336</v>
      </c>
      <c r="L32" s="203">
        <f>(C32*$G$19)+(D32*$I$19)+(E32*$K$19)+(F32*$N$19)+(G32*$P$19)+(H32*$R$19)+(I32*$T$19)+(J32*$V$19*100/93)</f>
        <v>4667.4225000000006</v>
      </c>
      <c r="M32" s="204">
        <f>(C32*$G$20)+(D32*$I$20)+(E32*$K$20)+(F32*$N$20)+(G32*$P$20)+(H32*$R$20)+(I32*$T$20)+(J32*$V$20*100/93)</f>
        <v>4672.7275000000009</v>
      </c>
      <c r="N32" s="205">
        <f>(C32*$G$21)+(D32*$I$21)+(E32*$K$21)+(F32*$N$21)+(G32*$P$21)+(H32*$R$21)+(I32*$T$21)+(J32*$V$21*100/93)</f>
        <v>4373.2783440000003</v>
      </c>
      <c r="O32" s="83"/>
      <c r="P32" s="128">
        <f>(L32+M32+N32)/3</f>
        <v>4571.1427813333339</v>
      </c>
      <c r="Q32" s="103"/>
      <c r="R32" s="111"/>
      <c r="S32" s="136">
        <f>(B38+B39+B37)/3</f>
        <v>0.33200000000000002</v>
      </c>
      <c r="U32" s="138">
        <f t="shared" si="2"/>
        <v>0.34700000000000003</v>
      </c>
      <c r="W32" s="141">
        <f>($B$42+$B$43+$B$44)/3</f>
        <v>0.10547983122153455</v>
      </c>
    </row>
    <row r="33" spans="1:23" ht="17" thickBot="1" x14ac:dyDescent="0.25">
      <c r="A33" s="22">
        <f t="shared" si="0"/>
        <v>1</v>
      </c>
      <c r="B33" s="109" t="s">
        <v>66</v>
      </c>
      <c r="C33" s="56"/>
      <c r="D33" s="37">
        <v>0.3</v>
      </c>
      <c r="E33" s="112">
        <v>0.27500000000000002</v>
      </c>
      <c r="F33" s="112">
        <v>0.27500000000000002</v>
      </c>
      <c r="G33" s="37">
        <v>0.1</v>
      </c>
      <c r="H33" s="112">
        <v>2.5000000000000001E-2</v>
      </c>
      <c r="I33" s="112">
        <v>2.5000000000000001E-2</v>
      </c>
      <c r="J33" s="37"/>
      <c r="K33" s="202">
        <f t="shared" si="1"/>
        <v>4643.5115313333336</v>
      </c>
      <c r="L33" s="203">
        <f>(C33*$G$19)+(D33*$I$19)+(E33*$K$19)+(F33*$N$19)+(G33*$P$19)+(H33*$R$19)+(I33*$T$19)+(J33*$V$19*100/93)</f>
        <v>4667.4225000000006</v>
      </c>
      <c r="M33" s="204">
        <f>(C33*$G$20)+(D33*$I$20)+(E33*$K$20)+(F33*$N$20)+(G33*$P$20)+(H33*$R$20)+(I33*$T$20)+(J33*$V$20*100/93)</f>
        <v>4672.7275000000009</v>
      </c>
      <c r="N33" s="205">
        <f>(C33*$G$21)+(D33*$I$21)+(E33*$K$21)+(F33*$N$21)+(G33*$P$21)+(H33*$R$21)+(I33*$T$21)+(J33*$V$21*100/93)</f>
        <v>4373.2783440000003</v>
      </c>
      <c r="O33" s="83"/>
      <c r="P33" s="128">
        <f>(L33+M33+N33)/3</f>
        <v>4571.1427813333339</v>
      </c>
      <c r="Q33" s="103"/>
      <c r="R33" s="111"/>
      <c r="S33" s="137">
        <f>(B38+B39+B37)/3</f>
        <v>0.33200000000000002</v>
      </c>
      <c r="U33" s="139">
        <f t="shared" si="2"/>
        <v>0.34700000000000003</v>
      </c>
      <c r="W33" s="141">
        <f>($B$42+$B$43+$B$44)/3</f>
        <v>0.10547983122153455</v>
      </c>
    </row>
    <row r="36" spans="1:23" x14ac:dyDescent="0.2">
      <c r="A36" s="133" t="s">
        <v>74</v>
      </c>
      <c r="B36" s="134" t="s">
        <v>75</v>
      </c>
    </row>
    <row r="37" spans="1:23" x14ac:dyDescent="0.2">
      <c r="A37" s="225" t="s">
        <v>19</v>
      </c>
      <c r="B37" s="101">
        <v>0.27400000000000002</v>
      </c>
    </row>
    <row r="38" spans="1:23" x14ac:dyDescent="0.2">
      <c r="A38" s="226" t="s">
        <v>14</v>
      </c>
      <c r="B38" s="227">
        <v>0.36099999999999999</v>
      </c>
    </row>
    <row r="39" spans="1:23" x14ac:dyDescent="0.2">
      <c r="A39" s="226" t="s">
        <v>76</v>
      </c>
      <c r="B39" s="227">
        <v>0.36099999999999999</v>
      </c>
    </row>
    <row r="40" spans="1:23" x14ac:dyDescent="0.2">
      <c r="A40"/>
      <c r="B40"/>
    </row>
    <row r="41" spans="1:23" x14ac:dyDescent="0.2">
      <c r="A41" t="s">
        <v>83</v>
      </c>
      <c r="B41"/>
    </row>
    <row r="42" spans="1:23" x14ac:dyDescent="0.2">
      <c r="A42" s="225" t="s">
        <v>19</v>
      </c>
      <c r="B42" s="19">
        <v>0.10336715258269764</v>
      </c>
    </row>
    <row r="43" spans="1:23" x14ac:dyDescent="0.2">
      <c r="A43" s="226" t="s">
        <v>14</v>
      </c>
      <c r="B43" s="19">
        <v>0.10336715258269764</v>
      </c>
    </row>
    <row r="44" spans="1:23" x14ac:dyDescent="0.2">
      <c r="A44" s="226" t="s">
        <v>76</v>
      </c>
      <c r="B44" s="19">
        <v>0.10970518849920838</v>
      </c>
    </row>
  </sheetData>
  <sheetProtection algorithmName="SHA-512" hashValue="J4iirY4hgMhSQi2cupL9pGZxXRTpMhWYTVgHVOs5srNbx/OSkqTvqbcqIEbpjBp85E5kt+fVJUTwe3DzISxYZw==" saltValue="LNKiIfZqiKpkEN860zwstA==" spinCount="100000" sheet="1" objects="1" scenarios="1"/>
  <mergeCells count="25">
    <mergeCell ref="W2:X2"/>
    <mergeCell ref="Y2:Z2"/>
    <mergeCell ref="B5:B6"/>
    <mergeCell ref="D18:E18"/>
    <mergeCell ref="F18:G18"/>
    <mergeCell ref="H18:I18"/>
    <mergeCell ref="B13:B14"/>
    <mergeCell ref="B15:B16"/>
    <mergeCell ref="B9:B10"/>
    <mergeCell ref="F2:G2"/>
    <mergeCell ref="H2:I2"/>
    <mergeCell ref="S18:T18"/>
    <mergeCell ref="R2:S2"/>
    <mergeCell ref="T2:U2"/>
    <mergeCell ref="M2:N2"/>
    <mergeCell ref="J2:K2"/>
    <mergeCell ref="B3:B4"/>
    <mergeCell ref="B11:B12"/>
    <mergeCell ref="B7:B8"/>
    <mergeCell ref="D2:E2"/>
    <mergeCell ref="U18:V18"/>
    <mergeCell ref="J18:K18"/>
    <mergeCell ref="Q18:R18"/>
    <mergeCell ref="O18:P18"/>
    <mergeCell ref="M18:N18"/>
  </mergeCells>
  <phoneticPr fontId="23" type="noConversion"/>
  <conditionalFormatting sqref="A28:A33">
    <cfRule type="cellIs" dxfId="3" priority="19" operator="notEqual">
      <formula>1</formula>
    </cfRule>
    <cfRule type="cellIs" dxfId="2" priority="20" operator="equal">
      <formula>1</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638E-F6DB-4A8A-A556-95BD5F4A40CE}">
  <dimension ref="B1:G60"/>
  <sheetViews>
    <sheetView workbookViewId="0">
      <selection activeCell="B6" sqref="B6"/>
    </sheetView>
  </sheetViews>
  <sheetFormatPr baseColWidth="10" defaultColWidth="8.83203125" defaultRowHeight="15" x14ac:dyDescent="0.2"/>
  <cols>
    <col min="1" max="1" width="2.6640625" bestFit="1" customWidth="1"/>
    <col min="2" max="2" width="57.83203125" customWidth="1"/>
    <col min="3" max="3" width="12.1640625" customWidth="1"/>
    <col min="4" max="4" width="26.6640625" customWidth="1"/>
    <col min="5" max="5" width="3" customWidth="1"/>
    <col min="6" max="6" width="22" customWidth="1"/>
    <col min="7" max="7" width="39.6640625" customWidth="1"/>
    <col min="8" max="8" width="15.6640625" customWidth="1"/>
  </cols>
  <sheetData>
    <row r="1" spans="2:7" ht="19" x14ac:dyDescent="0.25">
      <c r="B1" s="246" t="s">
        <v>171</v>
      </c>
      <c r="C1" s="246"/>
      <c r="D1" s="246"/>
      <c r="E1" s="246"/>
      <c r="F1" s="246"/>
    </row>
    <row r="2" spans="2:7" x14ac:dyDescent="0.2">
      <c r="B2" s="155" t="s">
        <v>101</v>
      </c>
      <c r="C2" s="156" t="s">
        <v>102</v>
      </c>
      <c r="D2" s="157" t="s">
        <v>103</v>
      </c>
      <c r="E2" s="250" t="s">
        <v>104</v>
      </c>
      <c r="F2" s="250"/>
    </row>
    <row r="3" spans="2:7" ht="14.5" customHeight="1" x14ac:dyDescent="0.2">
      <c r="B3" s="158" t="s">
        <v>105</v>
      </c>
      <c r="C3" s="159">
        <v>1</v>
      </c>
      <c r="D3" s="251">
        <f>IF(OR(SUM(C3:C3)=0,C4=0),"",C41)</f>
        <v>145.68266295348488</v>
      </c>
      <c r="E3" s="253" t="str">
        <f>IFERROR(TEXT(C32*7/(C18/(365/7))+C14/C16*1878/36+1/C5,"0,00")&amp;" fte per jeugdige","")</f>
        <v>0,35 fte per jeugdige</v>
      </c>
      <c r="F3" s="253"/>
    </row>
    <row r="4" spans="2:7" ht="14.5" customHeight="1" x14ac:dyDescent="0.2">
      <c r="B4" s="158" t="s">
        <v>106</v>
      </c>
      <c r="C4" s="159">
        <v>4</v>
      </c>
      <c r="D4" s="252"/>
      <c r="E4" s="253"/>
      <c r="F4" s="253"/>
    </row>
    <row r="5" spans="2:7" ht="14.5" customHeight="1" x14ac:dyDescent="0.2">
      <c r="B5" s="158" t="s">
        <v>107</v>
      </c>
      <c r="C5" s="160">
        <f>IFERROR(C4/C3,0)</f>
        <v>4</v>
      </c>
      <c r="D5" s="252"/>
      <c r="E5" s="253"/>
      <c r="F5" s="253"/>
    </row>
    <row r="6" spans="2:7" ht="19" x14ac:dyDescent="0.2">
      <c r="C6" s="1"/>
      <c r="D6" s="161"/>
      <c r="E6" s="162"/>
      <c r="F6" s="162"/>
    </row>
    <row r="7" spans="2:7" x14ac:dyDescent="0.2">
      <c r="D7" s="163" t="s">
        <v>108</v>
      </c>
      <c r="F7" s="19"/>
    </row>
    <row r="8" spans="2:7" ht="19" x14ac:dyDescent="0.25">
      <c r="C8" s="156" t="s">
        <v>109</v>
      </c>
      <c r="D8" s="164"/>
      <c r="F8" s="165" t="s">
        <v>110</v>
      </c>
    </row>
    <row r="9" spans="2:7" x14ac:dyDescent="0.2">
      <c r="C9" s="156" t="s">
        <v>17</v>
      </c>
      <c r="D9" s="166"/>
      <c r="F9" s="167" t="str">
        <f>IF(OR(D8="",D9=""),"Vul in geval van indexatie zowel 'jaar' in als 'percentage'",IF(D9&lt;&gt;"","Let op! De indexatie verandert uitsluitend de standaardwaarden, niet kolom C!",""))</f>
        <v>Vul in geval van indexatie zowel 'jaar' in als 'percentage'</v>
      </c>
    </row>
    <row r="10" spans="2:7" x14ac:dyDescent="0.2">
      <c r="B10" s="168" t="s">
        <v>111</v>
      </c>
      <c r="C10" s="156" t="s">
        <v>112</v>
      </c>
      <c r="D10" s="156" t="str">
        <f>"(standaardwaarde pp"&amp;IF(OR(D8="",D9=""),2022,D8)&amp;")"</f>
        <v>(standaardwaarde pp2022)</v>
      </c>
      <c r="F10" s="254" t="s">
        <v>113</v>
      </c>
      <c r="G10" s="254"/>
    </row>
    <row r="11" spans="2:7" ht="14.5" customHeight="1" x14ac:dyDescent="0.2">
      <c r="B11" s="158" t="s">
        <v>114</v>
      </c>
      <c r="C11" s="169">
        <v>72000</v>
      </c>
      <c r="D11" s="170">
        <f>(1+D9)*72000</f>
        <v>72000</v>
      </c>
      <c r="F11" s="254"/>
      <c r="G11" s="254"/>
    </row>
    <row r="12" spans="2:7" x14ac:dyDescent="0.2">
      <c r="B12" s="158" t="s">
        <v>115</v>
      </c>
      <c r="C12" s="171">
        <v>12000</v>
      </c>
      <c r="D12" s="170">
        <f>(1+D9)*12000</f>
        <v>12000</v>
      </c>
      <c r="F12" s="172"/>
      <c r="G12" s="172"/>
    </row>
    <row r="13" spans="2:7" ht="14.5" customHeight="1" x14ac:dyDescent="0.2">
      <c r="B13" s="158" t="s">
        <v>116</v>
      </c>
      <c r="C13" s="171">
        <v>17400</v>
      </c>
      <c r="D13" s="170">
        <f>(1+D9)*17400</f>
        <v>17400</v>
      </c>
      <c r="F13" s="249" t="s">
        <v>117</v>
      </c>
      <c r="G13" s="249"/>
    </row>
    <row r="14" spans="2:7" ht="14.5" customHeight="1" x14ac:dyDescent="0.2">
      <c r="B14" s="158" t="s">
        <v>118</v>
      </c>
      <c r="C14" s="159">
        <v>1</v>
      </c>
      <c r="D14" s="160">
        <v>1</v>
      </c>
      <c r="F14" s="249"/>
      <c r="G14" s="249"/>
    </row>
    <row r="15" spans="2:7" ht="14.5" customHeight="1" x14ac:dyDescent="0.2">
      <c r="B15" s="158" t="s">
        <v>119</v>
      </c>
      <c r="C15" s="171">
        <v>111000</v>
      </c>
      <c r="D15" s="170">
        <f>(1+D9)*111000</f>
        <v>111000</v>
      </c>
      <c r="F15" s="249"/>
      <c r="G15" s="249"/>
    </row>
    <row r="16" spans="2:7" x14ac:dyDescent="0.2">
      <c r="B16" s="158" t="s">
        <v>120</v>
      </c>
      <c r="C16" s="173">
        <v>1300</v>
      </c>
      <c r="D16" s="174">
        <f>(1+D9)*1300</f>
        <v>1300</v>
      </c>
      <c r="F16" s="249"/>
      <c r="G16" s="249"/>
    </row>
    <row r="17" spans="2:7" ht="14.5" customHeight="1" x14ac:dyDescent="0.2">
      <c r="B17" s="158" t="s">
        <v>121</v>
      </c>
      <c r="C17" s="159">
        <v>1</v>
      </c>
      <c r="D17" s="160">
        <v>1</v>
      </c>
      <c r="F17" s="249" t="s">
        <v>122</v>
      </c>
      <c r="G17" s="249"/>
    </row>
    <row r="18" spans="2:7" ht="14.5" customHeight="1" x14ac:dyDescent="0.2">
      <c r="B18" s="158" t="s">
        <v>123</v>
      </c>
      <c r="C18" s="171">
        <v>81000</v>
      </c>
      <c r="D18" s="170">
        <v>81000</v>
      </c>
      <c r="F18" s="249"/>
      <c r="G18" s="249"/>
    </row>
    <row r="19" spans="2:7" ht="14.5" customHeight="1" x14ac:dyDescent="0.2">
      <c r="B19" s="158" t="s">
        <v>124</v>
      </c>
      <c r="C19" s="173">
        <v>1400</v>
      </c>
      <c r="D19" s="174">
        <v>1400</v>
      </c>
      <c r="F19" s="249"/>
      <c r="G19" s="249"/>
    </row>
    <row r="20" spans="2:7" ht="14.5" customHeight="1" x14ac:dyDescent="0.2">
      <c r="B20" s="158" t="s">
        <v>125</v>
      </c>
      <c r="C20" s="175">
        <v>12</v>
      </c>
      <c r="D20" s="176">
        <f>(1+D9)*12</f>
        <v>12</v>
      </c>
      <c r="F20" s="249"/>
      <c r="G20" s="249"/>
    </row>
    <row r="21" spans="2:7" x14ac:dyDescent="0.2">
      <c r="B21" s="158" t="s">
        <v>126</v>
      </c>
      <c r="C21" s="175">
        <v>15.5</v>
      </c>
      <c r="D21" s="176">
        <f>(1+D9)*15.5</f>
        <v>15.5</v>
      </c>
      <c r="F21" s="249"/>
      <c r="G21" s="249"/>
    </row>
    <row r="22" spans="2:7" x14ac:dyDescent="0.2">
      <c r="B22" s="158" t="s">
        <v>127</v>
      </c>
      <c r="C22" s="175">
        <v>15</v>
      </c>
      <c r="D22" s="176">
        <f>(1+D9)*15</f>
        <v>15</v>
      </c>
      <c r="F22" s="249"/>
      <c r="G22" s="249"/>
    </row>
    <row r="23" spans="2:7" x14ac:dyDescent="0.2">
      <c r="B23" s="158" t="s">
        <v>128</v>
      </c>
      <c r="C23" s="175">
        <v>0</v>
      </c>
      <c r="D23" s="176">
        <f>(1+D9)*0</f>
        <v>0</v>
      </c>
      <c r="F23" s="249"/>
      <c r="G23" s="249"/>
    </row>
    <row r="24" spans="2:7" x14ac:dyDescent="0.2">
      <c r="B24" s="158" t="s">
        <v>129</v>
      </c>
      <c r="C24" s="175">
        <v>0</v>
      </c>
      <c r="D24" s="176"/>
      <c r="F24" s="249"/>
      <c r="G24" s="249"/>
    </row>
    <row r="25" spans="2:7" x14ac:dyDescent="0.2">
      <c r="B25" s="158" t="s">
        <v>130</v>
      </c>
      <c r="C25" s="177">
        <v>0.03</v>
      </c>
      <c r="D25" s="178">
        <v>0.03</v>
      </c>
      <c r="F25" s="249"/>
      <c r="G25" s="249"/>
    </row>
    <row r="26" spans="2:7" ht="14.5" customHeight="1" x14ac:dyDescent="0.2">
      <c r="B26" s="158" t="s">
        <v>131</v>
      </c>
      <c r="C26" s="177">
        <v>0.03</v>
      </c>
      <c r="D26" s="178">
        <v>0.03</v>
      </c>
      <c r="F26" s="249"/>
      <c r="G26" s="249"/>
    </row>
    <row r="27" spans="2:7" ht="14.5" customHeight="1" x14ac:dyDescent="0.2">
      <c r="B27" s="158" t="s">
        <v>132</v>
      </c>
      <c r="C27" s="179">
        <v>0.35</v>
      </c>
      <c r="D27" s="158">
        <v>0.35</v>
      </c>
    </row>
    <row r="28" spans="2:7" ht="14.5" customHeight="1" x14ac:dyDescent="0.2">
      <c r="C28" s="180"/>
      <c r="D28" s="24"/>
      <c r="F28" s="249" t="s">
        <v>133</v>
      </c>
      <c r="G28" s="249"/>
    </row>
    <row r="29" spans="2:7" ht="14.5" customHeight="1" x14ac:dyDescent="0.2">
      <c r="B29" s="181" t="s">
        <v>134</v>
      </c>
      <c r="C29" s="156" t="s">
        <v>135</v>
      </c>
      <c r="D29" s="24"/>
      <c r="F29" s="249"/>
      <c r="G29" s="249"/>
    </row>
    <row r="30" spans="2:7" x14ac:dyDescent="0.2">
      <c r="B30" s="182" t="s">
        <v>136</v>
      </c>
      <c r="C30" s="176">
        <f>IFERROR(C3*C11/C4/365,"")</f>
        <v>49.315068493150683</v>
      </c>
      <c r="D30" s="24"/>
      <c r="F30" s="249"/>
      <c r="G30" s="249"/>
    </row>
    <row r="31" spans="2:7" x14ac:dyDescent="0.2">
      <c r="B31" s="182" t="s">
        <v>137</v>
      </c>
      <c r="C31" s="176">
        <f>C15/C16*C14/7</f>
        <v>12.197802197802199</v>
      </c>
      <c r="D31" s="1" t="str">
        <f>IF(C5&lt;&gt;0," (is "&amp;TEXT(7*C31/(C15/C16),"0,0")&amp;" uur per jeugdige week)","")</f>
        <v xml:space="preserve"> (is 1,0 uur per jeugdige week)</v>
      </c>
      <c r="F31" s="249"/>
      <c r="G31" s="249"/>
    </row>
    <row r="32" spans="2:7" x14ac:dyDescent="0.2">
      <c r="B32" s="182" t="s">
        <v>138</v>
      </c>
      <c r="C32" s="176">
        <f>IFERROR(C17/C19*1878/36*C18/365+IF((1/C5+C14/C16*1878/36+C17/C19*1878/36)&lt;C27,(C27-(1/C5+C14/C16*1878/36+C17/C19*1878/36))*C18/365,0),"")</f>
        <v>13.286617492096934</v>
      </c>
      <c r="D32" s="1" t="str">
        <f>IFERROR(" (is "&amp;TEXT(7*C32/(C18/C19),"0,0")&amp;" uur per jeugdige week)","")</f>
        <v xml:space="preserve"> (is 1,6 uur per jeugdige week)</v>
      </c>
      <c r="F32" s="249"/>
      <c r="G32" s="249"/>
    </row>
    <row r="33" spans="2:7" x14ac:dyDescent="0.2">
      <c r="B33" s="182" t="s">
        <v>139</v>
      </c>
      <c r="C33" s="176">
        <f>C20</f>
        <v>12</v>
      </c>
      <c r="D33" s="183"/>
      <c r="F33" s="249"/>
      <c r="G33" s="249"/>
    </row>
    <row r="34" spans="2:7" x14ac:dyDescent="0.2">
      <c r="B34" s="182" t="s">
        <v>140</v>
      </c>
      <c r="C34" s="176">
        <f t="shared" ref="C34:C35" si="0">C21</f>
        <v>15.5</v>
      </c>
      <c r="D34" s="183"/>
      <c r="F34" s="249"/>
      <c r="G34" s="249"/>
    </row>
    <row r="35" spans="2:7" x14ac:dyDescent="0.2">
      <c r="B35" s="182" t="s">
        <v>141</v>
      </c>
      <c r="C35" s="176">
        <f t="shared" si="0"/>
        <v>15</v>
      </c>
      <c r="D35" s="183"/>
      <c r="F35" s="249"/>
      <c r="G35" s="249"/>
    </row>
    <row r="36" spans="2:7" x14ac:dyDescent="0.2">
      <c r="B36" s="182" t="s">
        <v>142</v>
      </c>
      <c r="C36" s="176">
        <f>IFERROR((C12*C3+C13)/C4/365,"")</f>
        <v>20.136986301369863</v>
      </c>
      <c r="D36" s="183"/>
      <c r="F36" s="249"/>
      <c r="G36" s="249"/>
    </row>
    <row r="37" spans="2:7" x14ac:dyDescent="0.2">
      <c r="B37" s="182" t="s">
        <v>143</v>
      </c>
      <c r="C37" s="176">
        <f>C23</f>
        <v>0</v>
      </c>
      <c r="D37" s="183"/>
      <c r="F37" s="249"/>
      <c r="G37" s="249"/>
    </row>
    <row r="38" spans="2:7" x14ac:dyDescent="0.2">
      <c r="B38" s="182" t="s">
        <v>144</v>
      </c>
      <c r="C38" s="176">
        <f>SUM(C30:C37)*C25</f>
        <v>4.1230942345325898</v>
      </c>
      <c r="D38" s="183"/>
      <c r="F38" s="249"/>
      <c r="G38" s="249"/>
    </row>
    <row r="39" spans="2:7" x14ac:dyDescent="0.2">
      <c r="B39" s="182" t="s">
        <v>145</v>
      </c>
      <c r="C39" s="176">
        <f>SUM(C30:C37)*C26</f>
        <v>4.1230942345325898</v>
      </c>
      <c r="D39" s="183"/>
      <c r="F39" s="249"/>
      <c r="G39" s="249"/>
    </row>
    <row r="40" spans="2:7" x14ac:dyDescent="0.2">
      <c r="B40" s="182" t="s">
        <v>146</v>
      </c>
      <c r="C40" s="184">
        <f>C24</f>
        <v>0</v>
      </c>
      <c r="D40" s="183"/>
      <c r="F40" s="249"/>
      <c r="G40" s="249"/>
    </row>
    <row r="41" spans="2:7" x14ac:dyDescent="0.2">
      <c r="B41" s="185" t="s">
        <v>163</v>
      </c>
      <c r="C41" s="186">
        <f>IF(OR(SUM(C3:C3)=0,C4=0),"",SUM(C30:C40))</f>
        <v>145.68266295348488</v>
      </c>
      <c r="F41" s="249"/>
      <c r="G41" s="249"/>
    </row>
    <row r="42" spans="2:7" x14ac:dyDescent="0.2">
      <c r="B42" s="185" t="s">
        <v>164</v>
      </c>
      <c r="C42" s="24">
        <f>C41+(C41*F59)</f>
        <v>155.04423087487581</v>
      </c>
    </row>
    <row r="43" spans="2:7" x14ac:dyDescent="0.2">
      <c r="B43" s="185" t="s">
        <v>165</v>
      </c>
      <c r="C43" s="24">
        <f>C42+(C42*F60)</f>
        <v>162.32665839906872</v>
      </c>
    </row>
    <row r="46" spans="2:7" x14ac:dyDescent="0.2">
      <c r="D46" t="s">
        <v>160</v>
      </c>
    </row>
    <row r="47" spans="2:7" x14ac:dyDescent="0.2">
      <c r="B47" s="247" t="s">
        <v>157</v>
      </c>
      <c r="C47" s="248"/>
    </row>
    <row r="48" spans="2:7" ht="29" thickBot="1" x14ac:dyDescent="0.25">
      <c r="B48" s="190" t="s">
        <v>154</v>
      </c>
      <c r="C48" s="191" t="s">
        <v>155</v>
      </c>
    </row>
    <row r="49" spans="2:6" ht="16" thickBot="1" x14ac:dyDescent="0.25">
      <c r="B49" s="196" t="s">
        <v>156</v>
      </c>
      <c r="C49" s="197">
        <v>4.9399999999999999E-2</v>
      </c>
      <c r="D49" s="2">
        <v>0.9</v>
      </c>
      <c r="F49" s="19">
        <f>C49*D49</f>
        <v>4.446E-2</v>
      </c>
    </row>
    <row r="50" spans="2:6" ht="16" thickBot="1" x14ac:dyDescent="0.25">
      <c r="B50" s="196">
        <v>2023</v>
      </c>
      <c r="C50" s="197">
        <v>6.3600000000000004E-2</v>
      </c>
      <c r="D50" s="2">
        <v>0.9</v>
      </c>
      <c r="F50" s="19">
        <f>C50*D50</f>
        <v>5.7240000000000006E-2</v>
      </c>
    </row>
    <row r="53" spans="2:6" x14ac:dyDescent="0.2">
      <c r="B53" s="247" t="s">
        <v>159</v>
      </c>
      <c r="C53" s="248"/>
    </row>
    <row r="54" spans="2:6" ht="29" thickBot="1" x14ac:dyDescent="0.25">
      <c r="B54" s="190" t="s">
        <v>154</v>
      </c>
      <c r="C54" s="191" t="s">
        <v>155</v>
      </c>
    </row>
    <row r="55" spans="2:6" ht="16" thickBot="1" x14ac:dyDescent="0.25">
      <c r="B55" s="196" t="s">
        <v>156</v>
      </c>
      <c r="C55" s="197">
        <v>2.5100000000000001E-2</v>
      </c>
      <c r="D55" s="2">
        <v>0.1</v>
      </c>
      <c r="F55" s="19">
        <f>C55*D55</f>
        <v>2.5100000000000001E-3</v>
      </c>
    </row>
    <row r="56" spans="2:6" ht="16" thickBot="1" x14ac:dyDescent="0.25">
      <c r="B56" s="198" t="s">
        <v>158</v>
      </c>
      <c r="C56" s="197">
        <v>7.0199999999999999E-2</v>
      </c>
      <c r="D56" s="2">
        <v>0.1</v>
      </c>
      <c r="F56" s="19">
        <f>C56*D56</f>
        <v>7.0200000000000002E-3</v>
      </c>
    </row>
    <row r="59" spans="2:6" x14ac:dyDescent="0.2">
      <c r="D59" t="s">
        <v>161</v>
      </c>
      <c r="F59" s="19">
        <f>F50+F56</f>
        <v>6.4260000000000012E-2</v>
      </c>
    </row>
    <row r="60" spans="2:6" x14ac:dyDescent="0.2">
      <c r="D60" t="s">
        <v>162</v>
      </c>
      <c r="F60" s="19">
        <f>F49+F55</f>
        <v>4.6969999999999998E-2</v>
      </c>
    </row>
  </sheetData>
  <sheetProtection algorithmName="SHA-512" hashValue="KStVx6CWKOWwq63qQyisZpMKucTiNCy0p+1mQXtNudOYiW39Un98O6NVzV9jQ8V3M9NEyFGA6VcuKIshxLw3AA==" saltValue="bbyIbA/wWQJYDS4hE9rlrw==" spinCount="100000" sheet="1" objects="1" scenarios="1"/>
  <mergeCells count="10">
    <mergeCell ref="B1:F1"/>
    <mergeCell ref="B47:C47"/>
    <mergeCell ref="B53:C53"/>
    <mergeCell ref="F28:G41"/>
    <mergeCell ref="E2:F2"/>
    <mergeCell ref="D3:D5"/>
    <mergeCell ref="E3:F5"/>
    <mergeCell ref="F10:G11"/>
    <mergeCell ref="F13:G16"/>
    <mergeCell ref="F17:G26"/>
  </mergeCells>
  <conditionalFormatting sqref="F9">
    <cfRule type="expression" dxfId="1" priority="1">
      <formula>F9="Vul in geval van indexatie zowel 'jaar' in als 'percentage'"</formula>
    </cfRule>
  </conditionalFormatting>
  <hyperlinks>
    <hyperlink ref="B56" r:id="rId1" display="https://www.nza.nl/onderwerpen/prijsindexcijfers/nieuws/2023/06/07/herberekening-tarieven-2024" xr:uid="{D7FD10CF-12F1-460A-B086-CEFFFCB2040F}"/>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055CB-FB0B-44A1-B012-EDA049D47851}">
  <dimension ref="B1:G59"/>
  <sheetViews>
    <sheetView workbookViewId="0">
      <selection activeCell="D6" sqref="D6"/>
    </sheetView>
  </sheetViews>
  <sheetFormatPr baseColWidth="10" defaultColWidth="8.83203125" defaultRowHeight="15" x14ac:dyDescent="0.2"/>
  <cols>
    <col min="1" max="1" width="2.6640625" bestFit="1" customWidth="1"/>
    <col min="2" max="2" width="57.83203125" customWidth="1"/>
    <col min="3" max="3" width="12.1640625" customWidth="1"/>
    <col min="4" max="4" width="26.6640625" customWidth="1"/>
    <col min="5" max="5" width="3" customWidth="1"/>
    <col min="6" max="6" width="22" customWidth="1"/>
    <col min="7" max="7" width="39.6640625" customWidth="1"/>
    <col min="8" max="8" width="15.6640625" customWidth="1"/>
  </cols>
  <sheetData>
    <row r="1" spans="2:7" ht="19" x14ac:dyDescent="0.25">
      <c r="B1" s="246" t="s">
        <v>171</v>
      </c>
      <c r="C1" s="246"/>
      <c r="D1" s="246"/>
      <c r="E1" s="246"/>
      <c r="F1" s="246"/>
    </row>
    <row r="2" spans="2:7" x14ac:dyDescent="0.2">
      <c r="B2" s="155" t="s">
        <v>101</v>
      </c>
      <c r="C2" s="156" t="s">
        <v>102</v>
      </c>
      <c r="D2" s="157" t="s">
        <v>103</v>
      </c>
      <c r="E2" s="250" t="s">
        <v>104</v>
      </c>
      <c r="F2" s="250"/>
    </row>
    <row r="3" spans="2:7" ht="14.5" customHeight="1" x14ac:dyDescent="0.2">
      <c r="B3" s="158" t="s">
        <v>105</v>
      </c>
      <c r="C3" s="159">
        <v>1</v>
      </c>
      <c r="D3" s="251">
        <f>IF(OR(SUM(C3:C3)=0,C4=0),"",C41)</f>
        <v>182.56848487129309</v>
      </c>
      <c r="E3" s="253" t="str">
        <f>IFERROR(TEXT(C32*7/(C18/(365/7))+C14/C16*1878/36+1/C5,"0,00")&amp;" fte per jeugdige","")</f>
        <v>0,50 fte per jeugdige</v>
      </c>
      <c r="F3" s="253"/>
    </row>
    <row r="4" spans="2:7" ht="14.5" customHeight="1" x14ac:dyDescent="0.2">
      <c r="B4" s="158" t="s">
        <v>106</v>
      </c>
      <c r="C4" s="159">
        <v>4</v>
      </c>
      <c r="D4" s="252"/>
      <c r="E4" s="253"/>
      <c r="F4" s="253"/>
    </row>
    <row r="5" spans="2:7" ht="14.5" customHeight="1" x14ac:dyDescent="0.2">
      <c r="B5" s="158" t="s">
        <v>107</v>
      </c>
      <c r="C5" s="160">
        <f>IFERROR(C4/C3,0)</f>
        <v>4</v>
      </c>
      <c r="D5" s="252"/>
      <c r="E5" s="253"/>
      <c r="F5" s="253"/>
    </row>
    <row r="6" spans="2:7" ht="19" x14ac:dyDescent="0.2">
      <c r="C6" s="1"/>
      <c r="D6" s="161"/>
      <c r="E6" s="162"/>
      <c r="F6" s="162"/>
    </row>
    <row r="7" spans="2:7" x14ac:dyDescent="0.2">
      <c r="D7" s="163" t="s">
        <v>108</v>
      </c>
      <c r="F7" s="19"/>
    </row>
    <row r="8" spans="2:7" ht="19" x14ac:dyDescent="0.25">
      <c r="C8" s="156" t="s">
        <v>109</v>
      </c>
      <c r="D8" s="164"/>
      <c r="F8" s="165" t="s">
        <v>110</v>
      </c>
    </row>
    <row r="9" spans="2:7" x14ac:dyDescent="0.2">
      <c r="C9" s="156" t="s">
        <v>17</v>
      </c>
      <c r="D9" s="166"/>
      <c r="F9" s="167" t="str">
        <f>IF(OR(D8="",D9=""),"Vul in geval van indexatie zowel 'jaar' in als 'percentage'",IF(D9&lt;&gt;"","Let op! De indexatie verandert uitsluitend de standaardwaarden, niet kolom C!",""))</f>
        <v>Vul in geval van indexatie zowel 'jaar' in als 'percentage'</v>
      </c>
    </row>
    <row r="10" spans="2:7" x14ac:dyDescent="0.2">
      <c r="B10" s="168" t="s">
        <v>111</v>
      </c>
      <c r="C10" s="156" t="s">
        <v>112</v>
      </c>
      <c r="D10" s="156" t="str">
        <f>"(standaardwaarde pp"&amp;IF(OR(D8="",D9=""),2022,D8)&amp;")"</f>
        <v>(standaardwaarde pp2022)</v>
      </c>
      <c r="F10" s="254" t="s">
        <v>113</v>
      </c>
      <c r="G10" s="254"/>
    </row>
    <row r="11" spans="2:7" ht="14.5" customHeight="1" x14ac:dyDescent="0.2">
      <c r="B11" s="158" t="s">
        <v>114</v>
      </c>
      <c r="C11" s="194">
        <v>74205</v>
      </c>
      <c r="D11" s="170">
        <f>(1+D9)*72000</f>
        <v>72000</v>
      </c>
      <c r="F11" s="254"/>
      <c r="G11" s="254"/>
    </row>
    <row r="12" spans="2:7" x14ac:dyDescent="0.2">
      <c r="B12" s="158" t="s">
        <v>115</v>
      </c>
      <c r="C12" s="171">
        <v>12000</v>
      </c>
      <c r="D12" s="170">
        <f>(1+D9)*12000</f>
        <v>12000</v>
      </c>
      <c r="F12" s="172"/>
      <c r="G12" s="172"/>
    </row>
    <row r="13" spans="2:7" ht="14.5" customHeight="1" x14ac:dyDescent="0.2">
      <c r="B13" s="158" t="s">
        <v>116</v>
      </c>
      <c r="C13" s="171">
        <v>17400</v>
      </c>
      <c r="D13" s="170">
        <f>(1+D9)*17400</f>
        <v>17400</v>
      </c>
      <c r="F13" s="249" t="s">
        <v>117</v>
      </c>
      <c r="G13" s="249"/>
    </row>
    <row r="14" spans="2:7" ht="14.5" customHeight="1" x14ac:dyDescent="0.2">
      <c r="B14" s="158" t="s">
        <v>118</v>
      </c>
      <c r="C14" s="159">
        <v>1</v>
      </c>
      <c r="D14" s="160">
        <v>1</v>
      </c>
      <c r="F14" s="249"/>
      <c r="G14" s="249"/>
    </row>
    <row r="15" spans="2:7" ht="14.5" customHeight="1" x14ac:dyDescent="0.2">
      <c r="B15" s="158" t="s">
        <v>119</v>
      </c>
      <c r="C15" s="171">
        <v>111000</v>
      </c>
      <c r="D15" s="170">
        <f>(1+D9)*111000</f>
        <v>111000</v>
      </c>
      <c r="F15" s="249"/>
      <c r="G15" s="249"/>
    </row>
    <row r="16" spans="2:7" x14ac:dyDescent="0.2">
      <c r="B16" s="158" t="s">
        <v>120</v>
      </c>
      <c r="C16" s="173">
        <v>1300</v>
      </c>
      <c r="D16" s="174">
        <f>(1+D9)*1300</f>
        <v>1300</v>
      </c>
      <c r="F16" s="249"/>
      <c r="G16" s="249"/>
    </row>
    <row r="17" spans="2:7" ht="14.5" customHeight="1" x14ac:dyDescent="0.2">
      <c r="B17" s="158" t="s">
        <v>121</v>
      </c>
      <c r="C17" s="159">
        <v>1</v>
      </c>
      <c r="D17" s="160">
        <v>1</v>
      </c>
      <c r="F17" s="249" t="s">
        <v>122</v>
      </c>
      <c r="G17" s="249"/>
    </row>
    <row r="18" spans="2:7" ht="14.5" customHeight="1" x14ac:dyDescent="0.2">
      <c r="B18" s="158" t="s">
        <v>123</v>
      </c>
      <c r="C18" s="171">
        <v>81000</v>
      </c>
      <c r="D18" s="170">
        <v>81000</v>
      </c>
      <c r="F18" s="249"/>
      <c r="G18" s="249"/>
    </row>
    <row r="19" spans="2:7" ht="14.5" customHeight="1" x14ac:dyDescent="0.2">
      <c r="B19" s="158" t="s">
        <v>124</v>
      </c>
      <c r="C19" s="173">
        <v>1400</v>
      </c>
      <c r="D19" s="174">
        <v>1400</v>
      </c>
      <c r="F19" s="249"/>
      <c r="G19" s="249"/>
    </row>
    <row r="20" spans="2:7" ht="14.5" customHeight="1" x14ac:dyDescent="0.2">
      <c r="B20" s="158" t="s">
        <v>125</v>
      </c>
      <c r="C20" s="175">
        <v>12</v>
      </c>
      <c r="D20" s="176">
        <f>(1+D9)*12</f>
        <v>12</v>
      </c>
      <c r="F20" s="249"/>
      <c r="G20" s="249"/>
    </row>
    <row r="21" spans="2:7" x14ac:dyDescent="0.2">
      <c r="B21" s="158" t="s">
        <v>126</v>
      </c>
      <c r="C21" s="175">
        <v>15.5</v>
      </c>
      <c r="D21" s="176">
        <f>(1+D9)*15.5</f>
        <v>15.5</v>
      </c>
      <c r="F21" s="249"/>
      <c r="G21" s="249"/>
    </row>
    <row r="22" spans="2:7" x14ac:dyDescent="0.2">
      <c r="B22" s="158" t="s">
        <v>127</v>
      </c>
      <c r="C22" s="175">
        <v>15</v>
      </c>
      <c r="D22" s="176">
        <f>(1+D9)*15</f>
        <v>15</v>
      </c>
      <c r="F22" s="249"/>
      <c r="G22" s="249"/>
    </row>
    <row r="23" spans="2:7" x14ac:dyDescent="0.2">
      <c r="B23" s="158" t="s">
        <v>128</v>
      </c>
      <c r="C23" s="175">
        <v>0</v>
      </c>
      <c r="D23" s="176">
        <f>(1+D9)*0</f>
        <v>0</v>
      </c>
      <c r="F23" s="249"/>
      <c r="G23" s="249"/>
    </row>
    <row r="24" spans="2:7" x14ac:dyDescent="0.2">
      <c r="B24" s="158" t="s">
        <v>129</v>
      </c>
      <c r="C24" s="175">
        <v>0</v>
      </c>
      <c r="D24" s="176"/>
      <c r="F24" s="249"/>
      <c r="G24" s="249"/>
    </row>
    <row r="25" spans="2:7" x14ac:dyDescent="0.2">
      <c r="B25" s="158" t="s">
        <v>130</v>
      </c>
      <c r="C25" s="177">
        <v>0.03</v>
      </c>
      <c r="D25" s="178">
        <v>0.03</v>
      </c>
      <c r="F25" s="249"/>
      <c r="G25" s="249"/>
    </row>
    <row r="26" spans="2:7" ht="14.5" customHeight="1" x14ac:dyDescent="0.2">
      <c r="B26" s="158" t="s">
        <v>131</v>
      </c>
      <c r="C26" s="177">
        <v>0.03</v>
      </c>
      <c r="D26" s="178">
        <v>0.03</v>
      </c>
      <c r="F26" s="249"/>
      <c r="G26" s="249"/>
    </row>
    <row r="27" spans="2:7" ht="14.5" customHeight="1" x14ac:dyDescent="0.2">
      <c r="B27" s="158" t="s">
        <v>132</v>
      </c>
      <c r="C27" s="195">
        <v>0.5</v>
      </c>
      <c r="D27" s="158">
        <v>0.35</v>
      </c>
    </row>
    <row r="28" spans="2:7" ht="14.5" customHeight="1" x14ac:dyDescent="0.2">
      <c r="C28" s="180"/>
      <c r="D28" s="24"/>
      <c r="F28" s="249" t="s">
        <v>133</v>
      </c>
      <c r="G28" s="249"/>
    </row>
    <row r="29" spans="2:7" ht="14.5" customHeight="1" x14ac:dyDescent="0.2">
      <c r="B29" s="181" t="s">
        <v>134</v>
      </c>
      <c r="C29" s="156" t="s">
        <v>135</v>
      </c>
      <c r="D29" s="24"/>
      <c r="F29" s="249"/>
      <c r="G29" s="249"/>
    </row>
    <row r="30" spans="2:7" x14ac:dyDescent="0.2">
      <c r="B30" s="182" t="s">
        <v>136</v>
      </c>
      <c r="C30" s="176">
        <f>IFERROR(C3*C11/C4/365,"")</f>
        <v>50.825342465753423</v>
      </c>
      <c r="D30" s="24"/>
      <c r="F30" s="249"/>
      <c r="G30" s="249"/>
    </row>
    <row r="31" spans="2:7" x14ac:dyDescent="0.2">
      <c r="B31" s="182" t="s">
        <v>137</v>
      </c>
      <c r="C31" s="176">
        <f>C15/C16*C14/7</f>
        <v>12.197802197802199</v>
      </c>
      <c r="D31" s="1" t="str">
        <f>IF(C5&lt;&gt;0," (is "&amp;TEXT(7*C31/(C15/C16),"0,0")&amp;" uur per jeugdige week)","")</f>
        <v xml:space="preserve"> (is 1,0 uur per jeugdige week)</v>
      </c>
      <c r="F31" s="249"/>
      <c r="G31" s="249"/>
    </row>
    <row r="32" spans="2:7" x14ac:dyDescent="0.2">
      <c r="B32" s="182" t="s">
        <v>138</v>
      </c>
      <c r="C32" s="176">
        <f>IFERROR(C17/C19*1878/36*C18/365+IF((1/C5+C14/C16*1878/36+C17/C19*1878/36)&lt;C27,(C27-(1/C5+C14/C16*1878/36+C17/C19*1878/36))*C18/365,0),"")</f>
        <v>46.574288724973648</v>
      </c>
      <c r="D32" s="1" t="str">
        <f>IFERROR(" (is "&amp;TEXT(7*C32/(C18/C19),"0,0")&amp;" uur per jeugdige week)","")</f>
        <v xml:space="preserve"> (is 5,6 uur per jeugdige week)</v>
      </c>
      <c r="F32" s="249"/>
      <c r="G32" s="249"/>
    </row>
    <row r="33" spans="2:7" x14ac:dyDescent="0.2">
      <c r="B33" s="182" t="s">
        <v>139</v>
      </c>
      <c r="C33" s="176">
        <f>C20</f>
        <v>12</v>
      </c>
      <c r="D33" s="183"/>
      <c r="F33" s="249"/>
      <c r="G33" s="249"/>
    </row>
    <row r="34" spans="2:7" x14ac:dyDescent="0.2">
      <c r="B34" s="182" t="s">
        <v>140</v>
      </c>
      <c r="C34" s="176">
        <f t="shared" ref="C34:C35" si="0">C21</f>
        <v>15.5</v>
      </c>
      <c r="D34" s="183"/>
      <c r="F34" s="249"/>
      <c r="G34" s="249"/>
    </row>
    <row r="35" spans="2:7" x14ac:dyDescent="0.2">
      <c r="B35" s="182" t="s">
        <v>141</v>
      </c>
      <c r="C35" s="176">
        <f t="shared" si="0"/>
        <v>15</v>
      </c>
      <c r="D35" s="183"/>
      <c r="F35" s="249"/>
      <c r="G35" s="249"/>
    </row>
    <row r="36" spans="2:7" x14ac:dyDescent="0.2">
      <c r="B36" s="182" t="s">
        <v>142</v>
      </c>
      <c r="C36" s="176">
        <f>IFERROR((C12*C3+C13)/C4/365,"")</f>
        <v>20.136986301369863</v>
      </c>
      <c r="D36" s="183"/>
      <c r="F36" s="249"/>
      <c r="G36" s="249"/>
    </row>
    <row r="37" spans="2:7" x14ac:dyDescent="0.2">
      <c r="B37" s="182" t="s">
        <v>143</v>
      </c>
      <c r="C37" s="176">
        <f>C23</f>
        <v>0</v>
      </c>
      <c r="D37" s="183"/>
      <c r="F37" s="249"/>
      <c r="G37" s="249"/>
    </row>
    <row r="38" spans="2:7" x14ac:dyDescent="0.2">
      <c r="B38" s="182" t="s">
        <v>144</v>
      </c>
      <c r="C38" s="176">
        <f>SUM(C30:C37)*C25</f>
        <v>5.1670325906969738</v>
      </c>
      <c r="D38" s="183"/>
      <c r="F38" s="249"/>
      <c r="G38" s="249"/>
    </row>
    <row r="39" spans="2:7" x14ac:dyDescent="0.2">
      <c r="B39" s="182" t="s">
        <v>145</v>
      </c>
      <c r="C39" s="176">
        <f>SUM(C30:C37)*C26</f>
        <v>5.1670325906969738</v>
      </c>
      <c r="D39" s="183"/>
      <c r="F39" s="249"/>
      <c r="G39" s="249"/>
    </row>
    <row r="40" spans="2:7" x14ac:dyDescent="0.2">
      <c r="B40" s="182" t="s">
        <v>146</v>
      </c>
      <c r="C40" s="184">
        <f>C24</f>
        <v>0</v>
      </c>
      <c r="D40" s="183"/>
      <c r="F40" s="249"/>
      <c r="G40" s="249"/>
    </row>
    <row r="41" spans="2:7" x14ac:dyDescent="0.2">
      <c r="B41" s="185" t="s">
        <v>163</v>
      </c>
      <c r="C41" s="186">
        <f>IF(OR(SUM(C3:C3)=0,C4=0),"",SUM(C30:C40))</f>
        <v>182.56848487129309</v>
      </c>
      <c r="F41" s="249"/>
      <c r="G41" s="249"/>
    </row>
    <row r="42" spans="2:7" x14ac:dyDescent="0.2">
      <c r="B42" s="185" t="s">
        <v>164</v>
      </c>
      <c r="C42" s="24">
        <f>C41+(C41*F58)</f>
        <v>194.30033570912238</v>
      </c>
    </row>
    <row r="43" spans="2:7" x14ac:dyDescent="0.2">
      <c r="B43" s="185" t="s">
        <v>165</v>
      </c>
      <c r="C43" s="24">
        <f>C42+(C42*F59)</f>
        <v>203.42662247737985</v>
      </c>
    </row>
    <row r="46" spans="2:7" x14ac:dyDescent="0.2">
      <c r="D46" t="s">
        <v>160</v>
      </c>
    </row>
    <row r="47" spans="2:7" x14ac:dyDescent="0.2">
      <c r="B47" s="247" t="s">
        <v>157</v>
      </c>
      <c r="C47" s="248"/>
    </row>
    <row r="48" spans="2:7" ht="29" thickBot="1" x14ac:dyDescent="0.25">
      <c r="B48" s="190" t="s">
        <v>154</v>
      </c>
      <c r="C48" s="191" t="s">
        <v>155</v>
      </c>
    </row>
    <row r="49" spans="2:6" ht="16" thickBot="1" x14ac:dyDescent="0.25">
      <c r="B49" s="196" t="s">
        <v>156</v>
      </c>
      <c r="C49" s="197">
        <v>4.9399999999999999E-2</v>
      </c>
      <c r="D49" s="2">
        <v>0.9</v>
      </c>
      <c r="F49" s="19">
        <f>C49*D49</f>
        <v>4.446E-2</v>
      </c>
    </row>
    <row r="50" spans="2:6" ht="16" thickBot="1" x14ac:dyDescent="0.25">
      <c r="B50" s="196">
        <v>2023</v>
      </c>
      <c r="C50" s="197">
        <v>6.3600000000000004E-2</v>
      </c>
      <c r="D50" s="2">
        <v>0.9</v>
      </c>
      <c r="F50" s="19">
        <f>C50*D50</f>
        <v>5.7240000000000006E-2</v>
      </c>
    </row>
    <row r="52" spans="2:6" x14ac:dyDescent="0.2">
      <c r="B52" s="247" t="s">
        <v>159</v>
      </c>
      <c r="C52" s="248"/>
    </row>
    <row r="53" spans="2:6" ht="29" thickBot="1" x14ac:dyDescent="0.25">
      <c r="B53" s="190" t="s">
        <v>154</v>
      </c>
      <c r="C53" s="191" t="s">
        <v>155</v>
      </c>
    </row>
    <row r="54" spans="2:6" ht="16" thickBot="1" x14ac:dyDescent="0.25">
      <c r="B54" s="196" t="s">
        <v>156</v>
      </c>
      <c r="C54" s="197">
        <v>2.5100000000000001E-2</v>
      </c>
      <c r="D54" s="2">
        <v>0.1</v>
      </c>
      <c r="F54" s="19">
        <f>C54*D54</f>
        <v>2.5100000000000001E-3</v>
      </c>
    </row>
    <row r="55" spans="2:6" ht="16" thickBot="1" x14ac:dyDescent="0.25">
      <c r="B55" s="198" t="s">
        <v>158</v>
      </c>
      <c r="C55" s="197">
        <v>7.0199999999999999E-2</v>
      </c>
      <c r="D55" s="2">
        <v>0.1</v>
      </c>
      <c r="F55" s="19">
        <f>C55*D55</f>
        <v>7.0200000000000002E-3</v>
      </c>
    </row>
    <row r="58" spans="2:6" x14ac:dyDescent="0.2">
      <c r="D58" t="s">
        <v>161</v>
      </c>
      <c r="F58" s="19">
        <f>F50+F55</f>
        <v>6.4260000000000012E-2</v>
      </c>
    </row>
    <row r="59" spans="2:6" x14ac:dyDescent="0.2">
      <c r="D59" t="s">
        <v>162</v>
      </c>
      <c r="F59" s="19">
        <f>F49+F54</f>
        <v>4.6969999999999998E-2</v>
      </c>
    </row>
  </sheetData>
  <sheetProtection algorithmName="SHA-512" hashValue="6MLIy3+aUDtq16TOGMfaSAillu5Ri5BvJl2DP/sF0fQsDAdyc+8RfjLo0BO1nfFWBEd0C0hoiFC/03epgX2l2w==" saltValue="pqdYEVqXMRkI/FE1bmZMJQ==" spinCount="100000" sheet="1" objects="1" scenarios="1"/>
  <mergeCells count="10">
    <mergeCell ref="B1:F1"/>
    <mergeCell ref="B47:C47"/>
    <mergeCell ref="B52:C52"/>
    <mergeCell ref="F28:G41"/>
    <mergeCell ref="E2:F2"/>
    <mergeCell ref="D3:D5"/>
    <mergeCell ref="E3:F5"/>
    <mergeCell ref="F10:G11"/>
    <mergeCell ref="F13:G16"/>
    <mergeCell ref="F17:G26"/>
  </mergeCells>
  <conditionalFormatting sqref="F9">
    <cfRule type="expression" dxfId="0" priority="1">
      <formula>F9="Vul in geval van indexatie zowel 'jaar' in als 'percentage'"</formula>
    </cfRule>
  </conditionalFormatting>
  <hyperlinks>
    <hyperlink ref="B55" r:id="rId1" display="https://www.nza.nl/onderwerpen/prijsindexcijfers/nieuws/2023/06/07/herberekening-tarieven-2024" xr:uid="{0CFAFAEE-16D2-403B-B129-EA1251AD0C98}"/>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513B-B4DB-4539-A515-312C89663C37}">
  <sheetPr>
    <tabColor theme="9" tint="-0.249977111117893"/>
  </sheetPr>
  <dimension ref="A1:B12"/>
  <sheetViews>
    <sheetView workbookViewId="0">
      <selection activeCell="B20" sqref="B20"/>
    </sheetView>
  </sheetViews>
  <sheetFormatPr baseColWidth="10" defaultColWidth="8.83203125" defaultRowHeight="15" x14ac:dyDescent="0.2"/>
  <cols>
    <col min="1" max="1" width="53.83203125" customWidth="1"/>
    <col min="2" max="3" width="21.33203125" customWidth="1"/>
  </cols>
  <sheetData>
    <row r="1" spans="1:2" ht="21" customHeight="1" x14ac:dyDescent="0.2">
      <c r="A1" s="230" t="s">
        <v>149</v>
      </c>
      <c r="B1" s="230" t="s">
        <v>43</v>
      </c>
    </row>
    <row r="2" spans="1:2" ht="16" thickBot="1" x14ac:dyDescent="0.25">
      <c r="A2" s="110" t="s">
        <v>172</v>
      </c>
      <c r="B2" s="231"/>
    </row>
    <row r="3" spans="1:2" ht="17" thickBot="1" x14ac:dyDescent="0.25">
      <c r="A3" s="232" t="s">
        <v>67</v>
      </c>
      <c r="B3" s="234">
        <f>'Jeugdhulp 24-uurs'!D34</f>
        <v>56.403818937620372</v>
      </c>
    </row>
    <row r="4" spans="1:2" ht="17" thickBot="1" x14ac:dyDescent="0.25">
      <c r="A4" s="232" t="s">
        <v>148</v>
      </c>
      <c r="B4" s="235">
        <f>'Gezinshuis Generiek'!C43</f>
        <v>162.32665839906872</v>
      </c>
    </row>
    <row r="5" spans="1:2" ht="17" thickBot="1" x14ac:dyDescent="0.25">
      <c r="A5" s="232" t="s">
        <v>147</v>
      </c>
      <c r="B5" s="234">
        <f>'Jeugdhulp 24-uurs'!F34</f>
        <v>203.42662247737985</v>
      </c>
    </row>
    <row r="6" spans="1:2" ht="17" thickBot="1" x14ac:dyDescent="0.25">
      <c r="A6" s="232" t="s">
        <v>79</v>
      </c>
      <c r="B6" s="235">
        <f>'Jeugdhulp 24-uurs'!G34</f>
        <v>164.92678411420638</v>
      </c>
    </row>
    <row r="7" spans="1:2" ht="17" thickBot="1" x14ac:dyDescent="0.25">
      <c r="A7" s="232" t="s">
        <v>63</v>
      </c>
      <c r="B7" s="234">
        <f>'Jeugdhulp 24-uurs'!H34</f>
        <v>327.59221903408343</v>
      </c>
    </row>
    <row r="8" spans="1:2" ht="17" thickBot="1" x14ac:dyDescent="0.25">
      <c r="A8" s="232" t="s">
        <v>64</v>
      </c>
      <c r="B8" s="235">
        <f>'Jeugdhulp 24-uurs'!I34</f>
        <v>515.78177695946943</v>
      </c>
    </row>
    <row r="9" spans="1:2" ht="17" thickBot="1" x14ac:dyDescent="0.25">
      <c r="A9" s="233" t="s">
        <v>87</v>
      </c>
      <c r="B9" s="236">
        <f>'Jeugdhulp 24-uurs'!I35</f>
        <v>675.72296673781136</v>
      </c>
    </row>
    <row r="10" spans="1:2" ht="17" thickBot="1" x14ac:dyDescent="0.25">
      <c r="A10" s="232" t="s">
        <v>65</v>
      </c>
      <c r="B10" s="235">
        <f>'Jeugdhulp 24-uurs'!J34</f>
        <v>731.23237861700261</v>
      </c>
    </row>
    <row r="11" spans="1:2" ht="17" thickBot="1" x14ac:dyDescent="0.25">
      <c r="A11" s="233" t="s">
        <v>88</v>
      </c>
      <c r="B11" s="236">
        <f>'Jeugdhulp 24-uurs'!J35</f>
        <v>963.99558635857898</v>
      </c>
    </row>
    <row r="12" spans="1:2" ht="17" thickBot="1" x14ac:dyDescent="0.25">
      <c r="A12" s="232" t="s">
        <v>66</v>
      </c>
      <c r="B12" s="235">
        <f>'Jeugdhulp 24-uurs'!K34</f>
        <v>963.99558635857898</v>
      </c>
    </row>
  </sheetData>
  <sheetProtection algorithmName="SHA-512" hashValue="yfy1OW2uCq1/mHujhDfjLiRZcGWHxAVchDBWePRVxXHk24szRchnxnOoZZ9FGFvEuuiEXa2MZtP2euPoog2hTQ==" saltValue="uyZfE5Yo7BEB8i3eFVMbo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Jeugdhulp 24-uurs</vt:lpstr>
      <vt:lpstr>Salaris per functie</vt:lpstr>
      <vt:lpstr>Gezinshuis Generiek</vt:lpstr>
      <vt:lpstr>Gezinshuis Specifiek</vt:lpstr>
      <vt:lpstr>Etmaaltarieven 1-1-2024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van der Veen</dc:creator>
  <cp:lastModifiedBy>Rutger  Wallinga</cp:lastModifiedBy>
  <cp:lastPrinted>2024-02-25T19:05:45Z</cp:lastPrinted>
  <dcterms:created xsi:type="dcterms:W3CDTF">2020-02-17T07:47:17Z</dcterms:created>
  <dcterms:modified xsi:type="dcterms:W3CDTF">2024-04-30T18:25:07Z</dcterms:modified>
</cp:coreProperties>
</file>