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Pc.belastingdienst.nl\edf\SSO-CFD\UG_HKT_Inkoop-UNIT\83-INKOOPDOSSIER- INKOOP\IUC23\IUC23-714 Draagbare Gasdetectiemid\03 - EU DOCUMENTEN\DEF\"/>
    </mc:Choice>
  </mc:AlternateContent>
  <xr:revisionPtr revIDLastSave="0" documentId="13_ncr:1_{8B6D338F-AD21-4EE7-978C-A768C7A2F518}" xr6:coauthVersionLast="47" xr6:coauthVersionMax="47" xr10:uidLastSave="{00000000-0000-0000-0000-000000000000}"/>
  <bookViews>
    <workbookView xWindow="-28920" yWindow="-45" windowWidth="29040" windowHeight="15840" tabRatio="723" firstSheet="1" activeTab="1" xr2:uid="{00000000-000D-0000-FFFF-FFFF00000000}"/>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Kengetallen!$H$37</definedName>
    <definedName name="CurrentRatioN">Kengetallen!$D$37</definedName>
    <definedName name="CurrentRatioNmin1">Kengetallen!$E$37</definedName>
    <definedName name="CurrentRatioNmin2">Kengetallen!$F$37</definedName>
    <definedName name="EigenVermogenN">Kengetallen!$D$24</definedName>
    <definedName name="EigenVermogenNmin1">Kengetallen!$E$24</definedName>
    <definedName name="EigenVermogenNmin2">Kengetallen!$F$24</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Kengetallen!$D$20</definedName>
    <definedName name="LiquideMiddelenNmin1">Kengetallen!$E$20</definedName>
    <definedName name="LiquideMiddelenNmin2">Kengetallen!$F$20</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Kengetallen!$D$30</definedName>
    <definedName name="NettoResultaatNmin1">Kengetallen!$E$30</definedName>
    <definedName name="NettoResultaatNmin2">Kengetallen!$F$30</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Kengetallen!$H$36</definedName>
    <definedName name="RentabiliteitN">Kengetallen!$D$36</definedName>
    <definedName name="RentabiliteitNmin1">Kengetallen!$E$36</definedName>
    <definedName name="RentabiliteitNmin2">Kengetallen!$F$36</definedName>
    <definedName name="RentabiliteitTVN">Kengetallen!$F$36</definedName>
    <definedName name="SolvabiliteitGemiddeld">Kengetallen!$H$35</definedName>
    <definedName name="SolvabiliteitN">Kengetallen!$D$35</definedName>
    <definedName name="SolvabiliteitNmin1">Kengetallen!$E$35</definedName>
    <definedName name="SolvabiliteitNmin2">Kengetallen!$F$35</definedName>
    <definedName name="TotaalVermogenN">Kengetallen!$D$16</definedName>
    <definedName name="TotaalVermogenNmin1">Kengetallen!$E$16</definedName>
    <definedName name="TotaalVermogenNmin2">Kengetallen!$F$16</definedName>
    <definedName name="VasteActivaN">Kengetallen!$D$18</definedName>
    <definedName name="VasteActivaNmin1">Kengetallen!$E$18</definedName>
    <definedName name="VasteActivaNmin2">Kengetallen!$F$18</definedName>
    <definedName name="VlottendeActivaN">Kengetallen!$D$21</definedName>
    <definedName name="VlottendeActivaNmin1">Kengetallen!$E$21</definedName>
    <definedName name="VlottendeActivaNmin2">Kengetallen!$F$21</definedName>
    <definedName name="VreemdVermogenKortN">Kengetallen!$D$26</definedName>
    <definedName name="VreemdVermogenKortNmin1">Kengetallen!$E$26</definedName>
    <definedName name="VreemdVermogenKortNmin2">Kengetallen!$F$26</definedName>
    <definedName name="VreemdVermogenLangN">Kengetallen!$D$25</definedName>
    <definedName name="VreemdVermogenLangNmin1">Kengetallen!$E$25</definedName>
    <definedName name="VreemdVermogenLangNmin2">Kengetallen!$F$25</definedName>
    <definedName name="VreemdVermogenN">Kengetallen!$D$27</definedName>
    <definedName name="VreemdVermogenNmin1">Kengetallen!$E$27</definedName>
    <definedName name="VreemdVermogenNmin2">Kengetallen!$F$27</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3" i="11" l="1"/>
  <c r="D8" i="14" l="1"/>
  <c r="D9" i="14" s="1"/>
  <c r="D19" i="14" l="1"/>
  <c r="B14" i="15" s="1"/>
  <c r="C45" i="11" l="1"/>
  <c r="C47"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49" i="11"/>
  <c r="G47" i="11"/>
  <c r="C49" i="11"/>
  <c r="F28" i="14" l="1"/>
  <c r="G28" i="14" s="1"/>
  <c r="H28" i="14" s="1"/>
  <c r="I28" i="14" s="1"/>
  <c r="J28" i="14" s="1"/>
  <c r="K28" i="14" s="1"/>
  <c r="B60" i="15"/>
  <c r="B64" i="15"/>
  <c r="G45" i="11"/>
  <c r="B55" i="11" s="1"/>
  <c r="C20" i="15"/>
  <c r="E25" i="15"/>
  <c r="E15" i="11" l="1"/>
  <c r="F15" i="11" s="1"/>
  <c r="D19" i="11"/>
  <c r="D21" i="11" s="1"/>
  <c r="D22" i="11" s="1"/>
  <c r="E19" i="11"/>
  <c r="E21" i="11" s="1"/>
  <c r="F19" i="11"/>
  <c r="F21" i="11"/>
  <c r="F22" i="11" s="1"/>
  <c r="D26" i="11"/>
  <c r="E26" i="11"/>
  <c r="F26" i="11"/>
  <c r="D27" i="11"/>
  <c r="E27" i="11"/>
  <c r="F27" i="11"/>
  <c r="D33" i="11"/>
  <c r="E33" i="11"/>
  <c r="F33" i="11"/>
  <c r="D35" i="11"/>
  <c r="E35" i="11"/>
  <c r="F35" i="11"/>
  <c r="G35" i="11"/>
  <c r="D36" i="11"/>
  <c r="E36" i="11"/>
  <c r="F36" i="11"/>
  <c r="E45" i="11"/>
  <c r="F45" i="11" s="1"/>
  <c r="F46" i="11"/>
  <c r="E47" i="11"/>
  <c r="F47" i="11" s="1"/>
  <c r="F48" i="11"/>
  <c r="D49" i="11"/>
  <c r="E49" i="11"/>
  <c r="F49" i="11" s="1"/>
  <c r="F50" i="11"/>
  <c r="H35" i="11" l="1"/>
  <c r="H36" i="11"/>
  <c r="B61" i="11"/>
  <c r="B62" i="11"/>
  <c r="E32" i="11"/>
  <c r="D37" i="11"/>
  <c r="E22" i="11"/>
  <c r="E37" i="11"/>
  <c r="F28" i="11"/>
  <c r="F37" i="11"/>
  <c r="E28" i="11"/>
  <c r="D28" i="11"/>
  <c r="G37" i="11"/>
  <c r="F32" i="11"/>
  <c r="G36" i="11"/>
  <c r="J36" i="11" l="1"/>
  <c r="G8" i="14" s="1"/>
  <c r="H37" i="11"/>
  <c r="J37" i="11" s="1"/>
  <c r="J35" i="11"/>
  <c r="G7" i="14" s="1"/>
  <c r="B60" i="11"/>
  <c r="G9" i="14" l="1"/>
  <c r="J39" i="11"/>
</calcChain>
</file>

<file path=xl/sharedStrings.xml><?xml version="1.0" encoding="utf-8"?>
<sst xmlns="http://schemas.openxmlformats.org/spreadsheetml/2006/main" count="154" uniqueCount="129">
  <si>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</si>
  <si>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</si>
  <si>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</si>
  <si>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</si>
  <si>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</si>
  <si>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</si>
  <si>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</si>
  <si>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</si>
  <si>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</si>
  <si>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</si>
  <si>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</si>
  <si>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</si>
  <si>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</si>
  <si>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</si>
  <si>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</si>
  <si>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</si>
  <si>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</si>
  <si>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</si>
  <si>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</si>
  <si>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</si>
  <si>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</si>
  <si>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</si>
  <si>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</si>
  <si>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Totale score</t>
  </si>
  <si>
    <t>Score per norm</t>
  </si>
  <si>
    <t>EUR</t>
  </si>
  <si>
    <t>GBP</t>
  </si>
  <si>
    <t>USD</t>
  </si>
  <si>
    <t>Gewogen gem.</t>
  </si>
  <si>
    <t>Valuta</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</si>
  <si>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</si>
  <si>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</si>
  <si>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</si>
  <si>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</si>
  <si>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</si>
  <si>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</si>
  <si>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</si>
  <si>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</si>
  <si>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</si>
  <si>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</si>
  <si>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</si>
  <si>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</si>
  <si>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</si>
  <si>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</si>
  <si>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</si>
  <si>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</si>
  <si>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</si>
  <si>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</si>
  <si>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</si>
  <si>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</si>
  <si>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</si>
  <si>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</si>
  <si>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</si>
  <si>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</si>
  <si>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</si>
  <si>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</si>
  <si>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</si>
  <si>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</si>
  <si>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</si>
  <si>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</si>
  <si>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</si>
  <si>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</si>
  <si>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</si>
  <si>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</si>
  <si>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</si>
  <si>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</si>
  <si>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</si>
  <si>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</si>
  <si>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</si>
  <si>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</si>
  <si>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</si>
  <si>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</si>
  <si>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</si>
  <si>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</si>
  <si>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</si>
  <si>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</si>
  <si>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</si>
  <si>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</si>
  <si>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</si>
  <si>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</si>
  <si>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</si>
  <si>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</si>
  <si>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</si>
  <si>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</si>
  <si>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</si>
  <si>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</si>
  <si>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</si>
  <si>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</si>
  <si>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</si>
  <si>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</si>
  <si>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</si>
  <si>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</si>
  <si>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</si>
  <si>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</si>
  <si>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</si>
  <si>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</si>
  <si>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</si>
  <si>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</si>
  <si>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</si>
  <si>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</si>
  <si>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</si>
  <si>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</si>
  <si>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</si>
  <si>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</si>
  <si>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</si>
  <si>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</si>
  <si>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</si>
  <si>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</si>
  <si>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</si>
  <si>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</si>
  <si>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</si>
  <si>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</si>
  <si>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</si>
  <si>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</si>
  <si>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</si>
  <si>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</si>
  <si>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</si>
  <si>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</si>
  <si>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</si>
  <si>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</si>
  <si>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</si>
  <si>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</si>
  <si>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t>Kengetal solvabiliteit</t>
  </si>
  <si>
    <t>&lt;Naam aanbesteding&gt;</t>
  </si>
  <si>
    <t>"in valuta van het jaarverslag"</t>
  </si>
  <si>
    <t>● Er dient een minimale score van 1,0 punt op solvabiliteit behaald te worden;</t>
  </si>
  <si>
    <t xml:space="preserve">2) De waardering vindt plaats op basis van het gewogen gemiddelde cijfer van de laatste 3 boekjaren per kengetal, waar de volgende wegingsfactoren 
    worden toegepast: </t>
  </si>
  <si>
    <t>Draagbare Gasdetectiemiddelen, IUC23-714</t>
  </si>
  <si>
    <t>Bijlage 11 - Financieel Economische Draagkracht 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</si>
</sst>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5"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i/>
      <sz val="11"/>
      <color indexed="8"/>
      <name val="Verdana"/>
      <family val="2"/>
    </font>
    <font>
      <b/>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0"/>
      <color theme="1"/>
      <name val="Verdana"/>
      <family val="2"/>
    </font>
    <font>
      <i/>
      <sz val="10"/>
      <color theme="1"/>
      <name val="Verdana"/>
      <family val="2"/>
    </font>
    <font>
      <b/>
      <i/>
      <sz val="14"/>
      <color theme="1"/>
      <name val="Arial"/>
      <family val="2"/>
    </font>
    <font>
      <b/>
      <i/>
      <sz val="14"/>
      <color theme="0"/>
      <name val="Arial"/>
      <family val="2"/>
    </font>
    <font>
      <b/>
      <i/>
      <sz val="12"/>
      <color theme="1"/>
      <name val="Verdana"/>
      <family val="2"/>
    </font>
    <font>
      <b/>
      <i/>
      <sz val="10"/>
      <name val="Verdana"/>
      <family val="2"/>
    </font>
    <font>
      <b/>
      <sz val="10"/>
      <name val="Verdana"/>
      <family val="2"/>
    </font>
    <font>
      <i/>
      <sz val="10"/>
      <name val="Verdana"/>
      <family val="2"/>
    </font>
    <font>
      <sz val="9"/>
      <name val="Verdana"/>
      <family val="2"/>
    </font>
    <font>
      <b/>
      <i/>
      <sz val="9"/>
      <name val="Verdana"/>
      <family val="2"/>
    </font>
    <font>
      <i/>
      <sz val="9"/>
      <name val="Verdana"/>
      <family val="2"/>
    </font>
    <font>
      <i/>
      <sz val="9"/>
      <color indexed="10"/>
      <name val="Verdana"/>
      <family val="2"/>
    </font>
    <font>
      <sz val="9"/>
      <color rgb="FF000000"/>
      <name val="Verdana"/>
      <family val="2"/>
    </font>
    <font>
      <b/>
      <sz val="9"/>
      <name val="Verdana"/>
      <family val="2"/>
    </font>
    <font>
      <sz val="9"/>
      <color indexed="9"/>
      <name val="Verdana"/>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0"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66">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6" fillId="0" borderId="0" xfId="1" applyFont="1" applyProtection="1">
      <protection hidden="1"/>
    </xf>
    <xf numFmtId="0" fontId="15" fillId="0" borderId="0" xfId="1" applyFont="1" applyProtection="1">
      <protection hidden="1"/>
    </xf>
    <xf numFmtId="0" fontId="15" fillId="0" borderId="0" xfId="1" applyFont="1" applyAlignment="1" applyProtection="1">
      <alignment horizontal="center" wrapText="1"/>
      <protection hidden="1"/>
    </xf>
    <xf numFmtId="0" fontId="12" fillId="0" borderId="0" xfId="1" applyFont="1" applyBorder="1" applyProtection="1">
      <protection hidden="1"/>
    </xf>
    <xf numFmtId="0" fontId="12" fillId="0" borderId="8" xfId="1" applyFont="1" applyBorder="1" applyProtection="1">
      <protection hidden="1"/>
    </xf>
    <xf numFmtId="0" fontId="12" fillId="0" borderId="17"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20" fillId="0" borderId="0" xfId="1" applyFont="1" applyProtection="1">
      <protection hidden="1"/>
    </xf>
    <xf numFmtId="0" fontId="20" fillId="0" borderId="0" xfId="1" applyFont="1" applyAlignment="1" applyProtection="1">
      <alignment horizontal="center"/>
      <protection hidden="1"/>
    </xf>
    <xf numFmtId="0" fontId="21" fillId="0" borderId="0" xfId="1" applyFont="1" applyProtection="1">
      <protection hidden="1"/>
    </xf>
    <xf numFmtId="4" fontId="12" fillId="0" borderId="0" xfId="1" applyNumberFormat="1" applyFont="1" applyFill="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5" fillId="0" borderId="0" xfId="1" applyFont="1" applyFill="1" applyBorder="1" applyAlignment="1" applyProtection="1">
      <alignment horizontal="center"/>
      <protection hidden="1"/>
    </xf>
    <xf numFmtId="0" fontId="12" fillId="0" borderId="13" xfId="1" applyFont="1" applyBorder="1" applyProtection="1">
      <protection hidden="1"/>
    </xf>
    <xf numFmtId="0" fontId="12" fillId="0" borderId="9" xfId="1" applyFont="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Border="1" applyProtection="1">
      <protection hidden="1"/>
    </xf>
    <xf numFmtId="0" fontId="12" fillId="0" borderId="0" xfId="7" applyFont="1"/>
    <xf numFmtId="0" fontId="22"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1" fillId="0" borderId="3" xfId="1" applyFont="1" applyBorder="1" applyProtection="1">
      <protection hidden="1"/>
    </xf>
    <xf numFmtId="3" fontId="12" fillId="0" borderId="3" xfId="1" applyNumberFormat="1" applyFont="1" applyBorder="1" applyAlignment="1" applyProtection="1">
      <alignment horizontal="right"/>
      <protection hidden="1"/>
    </xf>
    <xf numFmtId="0" fontId="23"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1"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5"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4" fillId="0" borderId="0" xfId="1" applyFont="1" applyProtection="1">
      <protection hidden="1"/>
    </xf>
    <xf numFmtId="0" fontId="12" fillId="7" borderId="40" xfId="7" applyFont="1" applyFill="1" applyBorder="1" applyAlignment="1">
      <alignment horizontal="right"/>
    </xf>
    <xf numFmtId="0" fontId="12" fillId="7" borderId="41" xfId="7" applyFont="1" applyFill="1" applyBorder="1" applyAlignment="1">
      <alignment horizontal="right"/>
    </xf>
    <xf numFmtId="0" fontId="11" fillId="0" borderId="0" xfId="7" applyFont="1" applyAlignment="1" applyProtection="1">
      <alignment horizontal="left"/>
      <protection hidden="1"/>
    </xf>
    <xf numFmtId="0" fontId="27" fillId="0" borderId="0" xfId="7" applyFont="1" applyAlignment="1" applyProtection="1">
      <alignment horizontal="left"/>
      <protection hidden="1"/>
    </xf>
    <xf numFmtId="9" fontId="11" fillId="0" borderId="0" xfId="7" applyNumberFormat="1" applyFont="1" applyProtection="1">
      <protection hidden="1"/>
    </xf>
    <xf numFmtId="0" fontId="27"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28" fillId="0" borderId="0" xfId="0" applyFont="1"/>
    <xf numFmtId="172" fontId="29" fillId="8" borderId="0" xfId="0" applyNumberFormat="1" applyFont="1" applyFill="1" applyBorder="1" applyAlignment="1" applyProtection="1">
      <alignment horizontal="right"/>
      <protection hidden="1"/>
    </xf>
    <xf numFmtId="0" fontId="18" fillId="8" borderId="36" xfId="1" applyFont="1" applyFill="1" applyBorder="1" applyProtection="1">
      <protection hidden="1"/>
    </xf>
    <xf numFmtId="0" fontId="18" fillId="8" borderId="21" xfId="1" applyFont="1" applyFill="1" applyBorder="1" applyProtection="1">
      <protection hidden="1"/>
    </xf>
    <xf numFmtId="0" fontId="18" fillId="8" borderId="37" xfId="1" applyFont="1" applyFill="1" applyBorder="1" applyProtection="1">
      <protection hidden="1"/>
    </xf>
    <xf numFmtId="0" fontId="18" fillId="8" borderId="38" xfId="1" applyFont="1" applyFill="1" applyBorder="1" applyProtection="1">
      <protection hidden="1"/>
    </xf>
    <xf numFmtId="0" fontId="18" fillId="8" borderId="15" xfId="1" applyFont="1" applyFill="1" applyBorder="1" applyProtection="1">
      <protection hidden="1"/>
    </xf>
    <xf numFmtId="0" fontId="18" fillId="8" borderId="39" xfId="1" applyFont="1" applyFill="1" applyBorder="1" applyProtection="1">
      <protection hidden="1"/>
    </xf>
    <xf numFmtId="169" fontId="19" fillId="8" borderId="3" xfId="2" applyNumberFormat="1" applyFont="1" applyFill="1" applyBorder="1" applyProtection="1">
      <protection hidden="1"/>
    </xf>
    <xf numFmtId="0" fontId="18" fillId="8" borderId="36" xfId="1" applyFont="1" applyFill="1" applyBorder="1" applyAlignment="1" applyProtection="1">
      <alignment horizontal="left" vertical="top"/>
      <protection hidden="1"/>
    </xf>
    <xf numFmtId="0" fontId="18" fillId="8" borderId="21" xfId="1" applyFont="1" applyFill="1" applyBorder="1" applyAlignment="1" applyProtection="1">
      <alignment horizontal="right"/>
      <protection hidden="1"/>
    </xf>
    <xf numFmtId="0" fontId="18" fillId="8" borderId="15" xfId="1" applyFont="1" applyFill="1" applyBorder="1" applyAlignment="1" applyProtection="1">
      <alignment horizontal="right"/>
      <protection hidden="1"/>
    </xf>
    <xf numFmtId="172" fontId="30" fillId="8" borderId="7" xfId="0" applyNumberFormat="1" applyFont="1" applyFill="1" applyBorder="1" applyAlignment="1" applyProtection="1">
      <alignment horizontal="right"/>
      <protection hidden="1"/>
    </xf>
    <xf numFmtId="172" fontId="30" fillId="8" borderId="13" xfId="0" applyNumberFormat="1" applyFont="1" applyFill="1" applyBorder="1" applyAlignment="1" applyProtection="1">
      <alignment horizontal="right"/>
      <protection hidden="1"/>
    </xf>
    <xf numFmtId="172" fontId="17" fillId="8" borderId="9" xfId="0" applyNumberFormat="1" applyFont="1" applyFill="1" applyBorder="1" applyAlignment="1" applyProtection="1">
      <alignment horizontal="left"/>
      <protection hidden="1"/>
    </xf>
    <xf numFmtId="172" fontId="30" fillId="8" borderId="0" xfId="0" applyNumberFormat="1" applyFont="1" applyFill="1" applyBorder="1" applyAlignment="1" applyProtection="1">
      <alignment horizontal="right"/>
      <protection hidden="1"/>
    </xf>
    <xf numFmtId="172" fontId="30" fillId="8" borderId="8" xfId="0" applyNumberFormat="1" applyFont="1" applyFill="1" applyBorder="1" applyAlignment="1" applyProtection="1">
      <alignment horizontal="right"/>
      <protection hidden="1"/>
    </xf>
    <xf numFmtId="172" fontId="30" fillId="8" borderId="9" xfId="0" applyNumberFormat="1" applyFont="1" applyFill="1" applyBorder="1" applyAlignment="1" applyProtection="1">
      <alignment horizontal="right"/>
      <protection hidden="1"/>
    </xf>
    <xf numFmtId="172" fontId="30" fillId="8" borderId="10" xfId="0" applyNumberFormat="1" applyFont="1" applyFill="1" applyBorder="1" applyAlignment="1" applyProtection="1">
      <alignment horizontal="right"/>
      <protection hidden="1"/>
    </xf>
    <xf numFmtId="172" fontId="30" fillId="8" borderId="20" xfId="0" applyNumberFormat="1" applyFont="1" applyFill="1" applyBorder="1" applyAlignment="1" applyProtection="1">
      <alignment horizontal="right"/>
      <protection hidden="1"/>
    </xf>
    <xf numFmtId="172" fontId="30" fillId="8" borderId="43" xfId="0" applyNumberFormat="1" applyFont="1" applyFill="1" applyBorder="1" applyAlignment="1" applyProtection="1">
      <alignment horizontal="right"/>
      <protection hidden="1"/>
    </xf>
    <xf numFmtId="172" fontId="31" fillId="8" borderId="0" xfId="0" applyNumberFormat="1" applyFont="1" applyFill="1" applyBorder="1" applyAlignment="1" applyProtection="1">
      <alignment horizontal="left"/>
      <protection hidden="1"/>
    </xf>
    <xf numFmtId="172" fontId="30" fillId="8" borderId="42" xfId="0" applyNumberFormat="1" applyFont="1" applyFill="1" applyBorder="1" applyAlignment="1" applyProtection="1">
      <alignment horizontal="left"/>
      <protection hidden="1"/>
    </xf>
    <xf numFmtId="172" fontId="29" fillId="8" borderId="7" xfId="0" applyNumberFormat="1" applyFont="1" applyFill="1" applyBorder="1" applyAlignment="1" applyProtection="1">
      <alignment horizontal="right"/>
      <protection hidden="1"/>
    </xf>
    <xf numFmtId="172" fontId="29" fillId="8" borderId="13" xfId="0" applyNumberFormat="1" applyFont="1" applyFill="1" applyBorder="1" applyAlignment="1" applyProtection="1">
      <alignment horizontal="right"/>
      <protection hidden="1"/>
    </xf>
    <xf numFmtId="172" fontId="29" fillId="8" borderId="8"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5" fillId="5" borderId="4" xfId="1" applyFont="1" applyFill="1" applyBorder="1" applyAlignment="1" applyProtection="1">
      <alignment horizontal="center" vertical="center"/>
      <protection locked="0"/>
    </xf>
    <xf numFmtId="0" fontId="15" fillId="5" borderId="5" xfId="1" applyFont="1" applyFill="1" applyBorder="1" applyAlignment="1" applyProtection="1">
      <alignment horizontal="center" vertical="center"/>
      <protection locked="0"/>
    </xf>
    <xf numFmtId="172" fontId="32" fillId="8" borderId="0" xfId="0" applyNumberFormat="1" applyFont="1" applyFill="1" applyBorder="1" applyAlignment="1" applyProtection="1">
      <alignment horizontal="left"/>
      <protection hidden="1"/>
    </xf>
    <xf numFmtId="172" fontId="33" fillId="8" borderId="0" xfId="0" applyNumberFormat="1" applyFont="1" applyFill="1" applyBorder="1" applyAlignment="1" applyProtection="1">
      <alignment horizontal="left"/>
      <protection hidden="1"/>
    </xf>
    <xf numFmtId="172" fontId="30" fillId="8" borderId="6" xfId="0" applyNumberFormat="1" applyFont="1" applyFill="1" applyBorder="1" applyAlignment="1" applyProtection="1">
      <alignment horizontal="left"/>
      <protection hidden="1"/>
    </xf>
    <xf numFmtId="172" fontId="30" fillId="8" borderId="9" xfId="0" applyNumberFormat="1" applyFont="1" applyFill="1" applyBorder="1" applyAlignment="1" applyProtection="1">
      <alignment horizontal="left"/>
      <protection hidden="1"/>
    </xf>
    <xf numFmtId="172" fontId="34" fillId="8" borderId="6" xfId="0" applyNumberFormat="1" applyFont="1" applyFill="1" applyBorder="1" applyAlignment="1" applyProtection="1">
      <alignment horizontal="left"/>
      <protection hidden="1"/>
    </xf>
    <xf numFmtId="172" fontId="17" fillId="8" borderId="9" xfId="0" applyNumberFormat="1" applyFont="1" applyFill="1" applyBorder="1" applyAlignment="1" applyProtection="1">
      <alignment horizontal="left" vertical="center"/>
      <protection hidden="1"/>
    </xf>
    <xf numFmtId="172" fontId="30" fillId="8" borderId="11" xfId="0" applyNumberFormat="1" applyFont="1" applyFill="1" applyBorder="1" applyAlignment="1" applyProtection="1">
      <alignment horizontal="right"/>
      <protection hidden="1"/>
    </xf>
    <xf numFmtId="172" fontId="30" fillId="8" borderId="12" xfId="0" applyNumberFormat="1" applyFont="1" applyFill="1" applyBorder="1" applyAlignment="1" applyProtection="1">
      <alignment horizontal="right"/>
      <protection hidden="1"/>
    </xf>
    <xf numFmtId="172" fontId="31" fillId="8" borderId="0" xfId="0" applyNumberFormat="1" applyFont="1" applyFill="1" applyBorder="1" applyAlignment="1" applyProtection="1">
      <alignment horizontal="right" vertical="center" wrapText="1"/>
      <protection hidden="1"/>
    </xf>
    <xf numFmtId="172" fontId="31" fillId="8" borderId="0" xfId="0" applyNumberFormat="1" applyFont="1" applyFill="1" applyBorder="1" applyAlignment="1" applyProtection="1">
      <alignment horizontal="right"/>
      <protection hidden="1"/>
    </xf>
    <xf numFmtId="5" fontId="35" fillId="5" borderId="3" xfId="4" applyNumberFormat="1" applyFont="1" applyFill="1" applyBorder="1" applyAlignment="1" applyProtection="1">
      <alignment horizontal="right"/>
      <protection locked="0"/>
    </xf>
    <xf numFmtId="172" fontId="31" fillId="8" borderId="11" xfId="0" applyNumberFormat="1" applyFont="1" applyFill="1" applyBorder="1" applyAlignment="1" applyProtection="1">
      <alignment horizontal="right"/>
      <protection hidden="1"/>
    </xf>
    <xf numFmtId="167" fontId="37" fillId="5" borderId="2" xfId="1" applyNumberFormat="1" applyFont="1" applyFill="1" applyBorder="1" applyAlignment="1" applyProtection="1">
      <alignment horizontal="right"/>
      <protection locked="0"/>
    </xf>
    <xf numFmtId="167" fontId="37" fillId="4" borderId="2" xfId="1" applyNumberFormat="1" applyFont="1" applyFill="1" applyBorder="1" applyAlignment="1" applyProtection="1">
      <alignment horizontal="right"/>
      <protection hidden="1"/>
    </xf>
    <xf numFmtId="0" fontId="38" fillId="0" borderId="14" xfId="1" applyFont="1" applyBorder="1" applyAlignment="1" applyProtection="1">
      <alignment horizontal="left"/>
      <protection hidden="1"/>
    </xf>
    <xf numFmtId="0" fontId="38" fillId="0" borderId="15" xfId="1" applyFont="1" applyBorder="1" applyProtection="1">
      <protection hidden="1"/>
    </xf>
    <xf numFmtId="3" fontId="38" fillId="5" borderId="41" xfId="1" applyNumberFormat="1" applyFont="1" applyFill="1" applyBorder="1" applyProtection="1">
      <protection locked="0"/>
    </xf>
    <xf numFmtId="0" fontId="38" fillId="0" borderId="0" xfId="1" applyFont="1" applyBorder="1" applyProtection="1">
      <protection hidden="1"/>
    </xf>
    <xf numFmtId="0" fontId="38" fillId="0" borderId="8" xfId="1" applyFont="1" applyBorder="1" applyProtection="1">
      <protection hidden="1"/>
    </xf>
    <xf numFmtId="0" fontId="39" fillId="0" borderId="14" xfId="1" applyFont="1" applyBorder="1" applyProtection="1">
      <protection hidden="1"/>
    </xf>
    <xf numFmtId="3" fontId="38" fillId="0" borderId="3" xfId="1" applyNumberFormat="1" applyFont="1" applyFill="1" applyBorder="1" applyProtection="1">
      <protection hidden="1"/>
    </xf>
    <xf numFmtId="0" fontId="38" fillId="0" borderId="16" xfId="1" applyFont="1" applyBorder="1" applyAlignment="1" applyProtection="1">
      <alignment horizontal="left" indent="1"/>
      <protection hidden="1"/>
    </xf>
    <xf numFmtId="0" fontId="38" fillId="0" borderId="17" xfId="1" applyFont="1" applyBorder="1" applyProtection="1">
      <protection hidden="1"/>
    </xf>
    <xf numFmtId="3" fontId="38" fillId="5" borderId="3" xfId="1" applyNumberFormat="1" applyFont="1" applyFill="1" applyBorder="1" applyProtection="1">
      <protection locked="0"/>
    </xf>
    <xf numFmtId="0" fontId="40" fillId="0" borderId="0" xfId="1" quotePrefix="1" applyFont="1" applyBorder="1" applyProtection="1">
      <protection hidden="1"/>
    </xf>
    <xf numFmtId="0" fontId="38" fillId="0" borderId="9" xfId="1" applyFont="1" applyBorder="1" applyAlignment="1" applyProtection="1">
      <alignment horizontal="left" indent="1"/>
      <protection hidden="1"/>
    </xf>
    <xf numFmtId="3" fontId="38" fillId="4" borderId="3" xfId="1" applyNumberFormat="1" applyFont="1" applyFill="1" applyBorder="1" applyProtection="1">
      <protection hidden="1"/>
    </xf>
    <xf numFmtId="0" fontId="40" fillId="0" borderId="0" xfId="1" applyFont="1" applyBorder="1" applyProtection="1">
      <protection hidden="1"/>
    </xf>
    <xf numFmtId="0" fontId="40" fillId="0" borderId="9" xfId="1" applyFont="1" applyBorder="1" applyAlignment="1" applyProtection="1">
      <alignment horizontal="right"/>
      <protection hidden="1"/>
    </xf>
    <xf numFmtId="0" fontId="40" fillId="0" borderId="0" xfId="1" applyFont="1" applyBorder="1" applyAlignment="1" applyProtection="1">
      <alignment horizontal="right"/>
      <protection hidden="1"/>
    </xf>
    <xf numFmtId="3" fontId="38" fillId="0" borderId="3" xfId="1" applyNumberFormat="1" applyFont="1" applyBorder="1" applyProtection="1">
      <protection hidden="1"/>
    </xf>
    <xf numFmtId="0" fontId="38" fillId="0" borderId="14" xfId="1" applyFont="1" applyBorder="1" applyProtection="1">
      <protection hidden="1"/>
    </xf>
    <xf numFmtId="0" fontId="40" fillId="0" borderId="15" xfId="1" applyFont="1" applyBorder="1" applyAlignment="1" applyProtection="1">
      <alignment horizontal="right"/>
      <protection hidden="1"/>
    </xf>
    <xf numFmtId="0" fontId="41" fillId="0" borderId="0" xfId="1" applyFont="1" applyBorder="1" applyProtection="1">
      <protection hidden="1"/>
    </xf>
    <xf numFmtId="0" fontId="42" fillId="0" borderId="16" xfId="1" applyFont="1" applyBorder="1" applyAlignment="1" applyProtection="1">
      <alignment horizontal="left" indent="1"/>
      <protection hidden="1"/>
    </xf>
    <xf numFmtId="0" fontId="38" fillId="0" borderId="18" xfId="1" applyFont="1" applyBorder="1" applyProtection="1">
      <protection hidden="1"/>
    </xf>
    <xf numFmtId="0" fontId="40" fillId="0" borderId="21" xfId="1" applyFont="1" applyBorder="1" applyAlignment="1" applyProtection="1">
      <alignment horizontal="right"/>
      <protection hidden="1"/>
    </xf>
    <xf numFmtId="0" fontId="38" fillId="0" borderId="0" xfId="1" quotePrefix="1" applyFont="1" applyBorder="1" applyProtection="1">
      <protection hidden="1"/>
    </xf>
    <xf numFmtId="0" fontId="39" fillId="0" borderId="16" xfId="1" applyFont="1" applyBorder="1" applyProtection="1">
      <protection hidden="1"/>
    </xf>
    <xf numFmtId="0" fontId="38" fillId="0" borderId="19" xfId="1" applyFont="1" applyBorder="1" applyAlignment="1" applyProtection="1">
      <alignment horizontal="left" indent="1"/>
      <protection hidden="1"/>
    </xf>
    <xf numFmtId="0" fontId="38" fillId="0" borderId="20" xfId="1" applyFont="1" applyBorder="1" applyProtection="1">
      <protection hidden="1"/>
    </xf>
    <xf numFmtId="3" fontId="38" fillId="5" borderId="2" xfId="1" applyNumberFormat="1" applyFont="1" applyFill="1" applyBorder="1" applyProtection="1">
      <protection locked="0"/>
    </xf>
    <xf numFmtId="0" fontId="38" fillId="0" borderId="11" xfId="1" applyFont="1" applyBorder="1" applyProtection="1">
      <protection hidden="1"/>
    </xf>
    <xf numFmtId="0" fontId="38" fillId="0" borderId="12" xfId="1" applyFont="1" applyBorder="1" applyProtection="1">
      <protection hidden="1"/>
    </xf>
    <xf numFmtId="0" fontId="30" fillId="8" borderId="23" xfId="1" applyFont="1" applyFill="1" applyBorder="1" applyAlignment="1" applyProtection="1">
      <alignment horizontal="left" wrapText="1"/>
      <protection hidden="1"/>
    </xf>
    <xf numFmtId="0" fontId="30" fillId="8" borderId="27" xfId="1" applyFont="1" applyFill="1" applyBorder="1" applyAlignment="1" applyProtection="1">
      <alignment horizontal="left" wrapText="1"/>
      <protection hidden="1"/>
    </xf>
    <xf numFmtId="0" fontId="30" fillId="8" borderId="27" xfId="1" applyFont="1" applyFill="1" applyBorder="1" applyAlignment="1" applyProtection="1">
      <alignment horizontal="right" wrapText="1"/>
      <protection hidden="1"/>
    </xf>
    <xf numFmtId="0" fontId="30" fillId="8" borderId="31" xfId="1" applyFont="1" applyFill="1" applyBorder="1" applyAlignment="1" applyProtection="1">
      <alignment horizontal="right" wrapText="1"/>
      <protection hidden="1"/>
    </xf>
    <xf numFmtId="0" fontId="30" fillId="8" borderId="29" xfId="1" applyFont="1" applyFill="1" applyBorder="1" applyAlignment="1" applyProtection="1">
      <alignment horizontal="center" wrapText="1"/>
      <protection hidden="1"/>
    </xf>
    <xf numFmtId="0" fontId="43" fillId="0" borderId="0" xfId="1" applyFont="1" applyFill="1" applyBorder="1" applyAlignment="1" applyProtection="1">
      <alignment horizontal="center" wrapText="1"/>
      <protection hidden="1"/>
    </xf>
    <xf numFmtId="0" fontId="38" fillId="0" borderId="9" xfId="1" applyFont="1" applyBorder="1" applyAlignment="1" applyProtection="1">
      <alignment horizontal="left"/>
      <protection hidden="1"/>
    </xf>
    <xf numFmtId="0" fontId="40" fillId="0" borderId="3" xfId="1" applyFont="1" applyBorder="1" applyAlignment="1" applyProtection="1">
      <alignment horizontal="left" vertical="center"/>
      <protection hidden="1"/>
    </xf>
    <xf numFmtId="3" fontId="38" fillId="0" borderId="3" xfId="1" applyNumberFormat="1" applyFont="1" applyFill="1" applyBorder="1" applyAlignment="1" applyProtection="1">
      <alignment horizontal="right"/>
      <protection hidden="1"/>
    </xf>
    <xf numFmtId="2" fontId="43" fillId="0" borderId="0" xfId="1" applyNumberFormat="1" applyFont="1" applyBorder="1" applyAlignment="1" applyProtection="1">
      <alignment horizontal="right"/>
      <protection hidden="1"/>
    </xf>
    <xf numFmtId="4" fontId="38" fillId="0" borderId="8" xfId="1" applyNumberFormat="1" applyFont="1" applyFill="1" applyBorder="1" applyAlignment="1" applyProtection="1">
      <alignment horizontal="right"/>
      <protection hidden="1"/>
    </xf>
    <xf numFmtId="0" fontId="38" fillId="0" borderId="17" xfId="1" applyFont="1" applyBorder="1" applyAlignment="1" applyProtection="1">
      <alignment horizontal="center"/>
      <protection hidden="1"/>
    </xf>
    <xf numFmtId="9" fontId="38" fillId="0" borderId="21" xfId="3" applyFont="1" applyFill="1" applyBorder="1" applyAlignment="1" applyProtection="1">
      <alignment horizontal="right"/>
      <protection hidden="1"/>
    </xf>
    <xf numFmtId="168" fontId="38" fillId="0" borderId="21" xfId="3" applyNumberFormat="1" applyFont="1" applyFill="1" applyBorder="1" applyAlignment="1" applyProtection="1">
      <alignment horizontal="right"/>
      <protection hidden="1"/>
    </xf>
    <xf numFmtId="168" fontId="43" fillId="0" borderId="0" xfId="1" applyNumberFormat="1" applyFont="1" applyBorder="1" applyAlignment="1" applyProtection="1">
      <alignment horizontal="right"/>
      <protection hidden="1"/>
    </xf>
    <xf numFmtId="10" fontId="38" fillId="0" borderId="8" xfId="3" applyNumberFormat="1" applyFont="1" applyFill="1" applyBorder="1" applyAlignment="1" applyProtection="1">
      <alignment horizontal="right"/>
      <protection hidden="1"/>
    </xf>
    <xf numFmtId="0" fontId="43" fillId="0" borderId="22" xfId="1" applyFont="1" applyBorder="1" applyAlignment="1" applyProtection="1">
      <alignment horizontal="left"/>
      <protection hidden="1"/>
    </xf>
    <xf numFmtId="168" fontId="38" fillId="2" borderId="3" xfId="3" applyNumberFormat="1" applyFont="1" applyFill="1" applyBorder="1" applyAlignment="1" applyProtection="1">
      <alignment horizontal="right"/>
      <protection hidden="1"/>
    </xf>
    <xf numFmtId="168" fontId="38" fillId="2" borderId="25" xfId="3" applyNumberFormat="1" applyFont="1" applyFill="1" applyBorder="1" applyAlignment="1" applyProtection="1">
      <alignment horizontal="right"/>
      <protection hidden="1"/>
    </xf>
    <xf numFmtId="166" fontId="38" fillId="2" borderId="28" xfId="1" applyNumberFormat="1" applyFont="1" applyFill="1" applyBorder="1" applyAlignment="1" applyProtection="1">
      <alignment horizontal="center"/>
      <protection hidden="1"/>
    </xf>
    <xf numFmtId="168" fontId="43" fillId="0" borderId="3" xfId="1" applyNumberFormat="1" applyFont="1" applyFill="1" applyBorder="1" applyAlignment="1" applyProtection="1">
      <alignment horizontal="right"/>
      <protection hidden="1"/>
    </xf>
    <xf numFmtId="166" fontId="38" fillId="2" borderId="26" xfId="1" applyNumberFormat="1" applyFont="1" applyFill="1" applyBorder="1" applyAlignment="1" applyProtection="1">
      <alignment horizontal="center"/>
      <protection hidden="1"/>
    </xf>
    <xf numFmtId="166" fontId="38" fillId="2" borderId="35" xfId="1" applyNumberFormat="1" applyFont="1" applyFill="1" applyBorder="1" applyAlignment="1" applyProtection="1">
      <alignment horizontal="center"/>
      <protection hidden="1"/>
    </xf>
    <xf numFmtId="0" fontId="40" fillId="0" borderId="0" xfId="1" applyFont="1" applyFill="1" applyBorder="1" applyAlignment="1" applyProtection="1">
      <alignment horizontal="center"/>
      <protection hidden="1"/>
    </xf>
    <xf numFmtId="4" fontId="38" fillId="0" borderId="0" xfId="1" applyNumberFormat="1" applyFont="1" applyFill="1" applyBorder="1" applyAlignment="1" applyProtection="1">
      <alignment horizontal="center"/>
      <protection hidden="1"/>
    </xf>
    <xf numFmtId="2" fontId="43" fillId="0" borderId="0" xfId="1" applyNumberFormat="1" applyFont="1" applyFill="1" applyBorder="1" applyAlignment="1" applyProtection="1">
      <alignment horizontal="center"/>
      <protection hidden="1"/>
    </xf>
    <xf numFmtId="166" fontId="43" fillId="0" borderId="29" xfId="1" applyNumberFormat="1" applyFont="1" applyBorder="1" applyAlignment="1" applyProtection="1">
      <alignment horizontal="center"/>
      <protection hidden="1"/>
    </xf>
    <xf numFmtId="0" fontId="43" fillId="0" borderId="33" xfId="1" applyFont="1" applyBorder="1" applyAlignment="1" applyProtection="1">
      <alignment horizontal="left"/>
      <protection hidden="1"/>
    </xf>
    <xf numFmtId="0" fontId="40" fillId="0" borderId="2" xfId="1" applyFont="1" applyBorder="1" applyAlignment="1" applyProtection="1">
      <alignment horizontal="left" vertical="center"/>
      <protection hidden="1"/>
    </xf>
    <xf numFmtId="166" fontId="38" fillId="2" borderId="2" xfId="3" applyNumberFormat="1" applyFont="1" applyFill="1" applyBorder="1" applyAlignment="1" applyProtection="1">
      <alignment horizontal="right"/>
      <protection hidden="1"/>
    </xf>
    <xf numFmtId="166" fontId="38" fillId="2" borderId="34" xfId="3" applyNumberFormat="1" applyFont="1" applyFill="1" applyBorder="1" applyAlignment="1" applyProtection="1">
      <alignment horizontal="right"/>
      <protection hidden="1"/>
    </xf>
    <xf numFmtId="168" fontId="43" fillId="0" borderId="3" xfId="3" applyNumberFormat="1" applyFont="1" applyFill="1" applyBorder="1" applyAlignment="1" applyProtection="1">
      <alignment horizontal="right"/>
      <protection hidden="1"/>
    </xf>
    <xf numFmtId="166" fontId="43" fillId="0" borderId="2" xfId="1" applyNumberFormat="1" applyFont="1" applyFill="1" applyBorder="1" applyAlignment="1" applyProtection="1">
      <alignment horizontal="right"/>
      <protection hidden="1"/>
    </xf>
    <xf numFmtId="0" fontId="38" fillId="0" borderId="8" xfId="1" applyFont="1" applyBorder="1" applyAlignment="1" applyProtection="1">
      <alignment horizontal="center"/>
      <protection hidden="1"/>
    </xf>
    <xf numFmtId="0" fontId="30" fillId="8" borderId="6" xfId="1" applyFont="1" applyFill="1" applyBorder="1" applyAlignment="1" applyProtection="1">
      <alignment horizontal="left"/>
      <protection hidden="1"/>
    </xf>
    <xf numFmtId="0" fontId="31" fillId="8" borderId="7" xfId="1" applyFont="1" applyFill="1" applyBorder="1" applyProtection="1">
      <protection hidden="1"/>
    </xf>
    <xf numFmtId="0" fontId="31" fillId="8" borderId="13" xfId="1" applyFont="1" applyFill="1" applyBorder="1" applyProtection="1">
      <protection hidden="1"/>
    </xf>
    <xf numFmtId="0" fontId="31" fillId="8" borderId="9" xfId="1" applyFont="1" applyFill="1" applyBorder="1" applyProtection="1">
      <protection hidden="1"/>
    </xf>
    <xf numFmtId="0" fontId="31" fillId="8" borderId="0" xfId="1" applyFont="1" applyFill="1" applyBorder="1" applyProtection="1">
      <protection hidden="1"/>
    </xf>
    <xf numFmtId="0" fontId="30" fillId="8" borderId="10" xfId="1" applyFont="1" applyFill="1" applyBorder="1" applyAlignment="1" applyProtection="1">
      <alignment horizontal="left" wrapText="1"/>
      <protection hidden="1"/>
    </xf>
    <xf numFmtId="0" fontId="30" fillId="8" borderId="11" xfId="1" applyFont="1" applyFill="1" applyBorder="1" applyAlignment="1" applyProtection="1">
      <alignment horizontal="center" wrapText="1"/>
      <protection hidden="1"/>
    </xf>
    <xf numFmtId="0" fontId="38" fillId="0" borderId="9" xfId="1" applyFont="1" applyBorder="1" applyProtection="1">
      <protection hidden="1"/>
    </xf>
    <xf numFmtId="49" fontId="38" fillId="0" borderId="0" xfId="1" applyNumberFormat="1" applyFont="1" applyFill="1" applyBorder="1" applyProtection="1">
      <protection hidden="1"/>
    </xf>
    <xf numFmtId="0" fontId="38" fillId="0" borderId="0" xfId="1" applyFont="1" applyFill="1" applyBorder="1" applyProtection="1">
      <protection hidden="1"/>
    </xf>
    <xf numFmtId="169" fontId="38" fillId="0" borderId="0" xfId="2" applyNumberFormat="1" applyFont="1" applyFill="1" applyBorder="1" applyProtection="1">
      <protection hidden="1"/>
    </xf>
    <xf numFmtId="0" fontId="38" fillId="3" borderId="24" xfId="1" applyFont="1" applyFill="1" applyBorder="1" applyAlignment="1" applyProtection="1">
      <alignment horizontal="left"/>
      <protection hidden="1"/>
    </xf>
    <xf numFmtId="0" fontId="40" fillId="2" borderId="1" xfId="1" applyFont="1" applyFill="1" applyBorder="1" applyAlignment="1" applyProtection="1">
      <alignment horizontal="center"/>
      <protection hidden="1"/>
    </xf>
    <xf numFmtId="0" fontId="38" fillId="2" borderId="1" xfId="1" applyFont="1" applyFill="1" applyBorder="1" applyAlignment="1" applyProtection="1">
      <alignment horizontal="center"/>
      <protection hidden="1"/>
    </xf>
    <xf numFmtId="0" fontId="38" fillId="0" borderId="22" xfId="1" applyFont="1" applyBorder="1" applyAlignment="1" applyProtection="1">
      <alignment horizontal="left"/>
      <protection hidden="1"/>
    </xf>
    <xf numFmtId="0" fontId="43" fillId="0" borderId="3" xfId="1" applyFont="1" applyBorder="1" applyAlignment="1" applyProtection="1">
      <alignment horizontal="center"/>
      <protection hidden="1"/>
    </xf>
    <xf numFmtId="0" fontId="40" fillId="0" borderId="3" xfId="1" applyFont="1" applyBorder="1" applyAlignment="1" applyProtection="1">
      <alignment horizontal="center"/>
      <protection hidden="1"/>
    </xf>
    <xf numFmtId="0" fontId="43" fillId="0" borderId="3" xfId="1" applyNumberFormat="1" applyFont="1" applyBorder="1" applyAlignment="1" applyProtection="1">
      <alignment horizontal="center"/>
      <protection hidden="1"/>
    </xf>
    <xf numFmtId="0" fontId="38" fillId="3" borderId="22" xfId="1" applyFont="1" applyFill="1" applyBorder="1" applyAlignment="1" applyProtection="1">
      <alignment horizontal="left"/>
      <protection hidden="1"/>
    </xf>
    <xf numFmtId="0" fontId="40" fillId="2" borderId="3" xfId="1" applyFont="1" applyFill="1" applyBorder="1" applyAlignment="1" applyProtection="1">
      <alignment horizontal="center"/>
      <protection hidden="1"/>
    </xf>
    <xf numFmtId="0" fontId="38" fillId="2" borderId="3" xfId="1" applyFont="1" applyFill="1" applyBorder="1" applyAlignment="1" applyProtection="1">
      <alignment horizontal="center"/>
      <protection hidden="1"/>
    </xf>
    <xf numFmtId="166" fontId="43" fillId="2" borderId="3" xfId="1" applyNumberFormat="1" applyFont="1" applyFill="1" applyBorder="1" applyAlignment="1" applyProtection="1">
      <alignment horizontal="center"/>
      <protection hidden="1"/>
    </xf>
    <xf numFmtId="0" fontId="38" fillId="0" borderId="33" xfId="1" applyFont="1" applyBorder="1" applyAlignment="1" applyProtection="1">
      <alignment horizontal="left"/>
      <protection hidden="1"/>
    </xf>
    <xf numFmtId="0" fontId="42" fillId="0" borderId="2" xfId="1" applyFont="1" applyBorder="1" applyAlignment="1" applyProtection="1">
      <alignment horizontal="center"/>
      <protection hidden="1"/>
    </xf>
    <xf numFmtId="0" fontId="40" fillId="0" borderId="2" xfId="1" applyFont="1" applyBorder="1" applyAlignment="1" applyProtection="1">
      <alignment horizontal="center"/>
      <protection hidden="1"/>
    </xf>
    <xf numFmtId="0" fontId="43" fillId="0" borderId="2" xfId="1" applyNumberFormat="1" applyFont="1" applyBorder="1" applyAlignment="1" applyProtection="1">
      <alignment horizontal="center"/>
      <protection hidden="1"/>
    </xf>
    <xf numFmtId="168" fontId="38" fillId="2" borderId="3" xfId="1" applyNumberFormat="1" applyFont="1" applyFill="1" applyBorder="1" applyAlignment="1" applyProtection="1">
      <alignment horizontal="center"/>
      <protection hidden="1"/>
    </xf>
    <xf numFmtId="168" fontId="43" fillId="0" borderId="3" xfId="1" applyNumberFormat="1" applyFont="1" applyBorder="1" applyAlignment="1" applyProtection="1">
      <alignment horizontal="center"/>
      <protection hidden="1"/>
    </xf>
    <xf numFmtId="168" fontId="38" fillId="2" borderId="1" xfId="3" applyNumberFormat="1" applyFont="1" applyFill="1" applyBorder="1" applyAlignment="1" applyProtection="1">
      <alignment horizontal="center"/>
      <protection hidden="1"/>
    </xf>
    <xf numFmtId="168" fontId="43" fillId="0" borderId="2" xfId="1" applyNumberFormat="1" applyFont="1" applyBorder="1" applyAlignment="1" applyProtection="1">
      <alignment horizontal="center"/>
      <protection hidden="1"/>
    </xf>
    <xf numFmtId="168" fontId="43" fillId="2" borderId="1" xfId="3" applyNumberFormat="1" applyFont="1" applyFill="1" applyBorder="1" applyAlignment="1" applyProtection="1">
      <alignment horizontal="center"/>
      <protection hidden="1"/>
    </xf>
    <xf numFmtId="168" fontId="43" fillId="2" borderId="3" xfId="1" applyNumberFormat="1" applyFont="1" applyFill="1" applyBorder="1" applyAlignment="1" applyProtection="1">
      <alignment horizontal="center"/>
      <protection hidden="1"/>
    </xf>
    <xf numFmtId="0" fontId="43" fillId="0" borderId="9" xfId="1" applyFont="1" applyBorder="1" applyProtection="1">
      <protection hidden="1"/>
    </xf>
    <xf numFmtId="0" fontId="43" fillId="0" borderId="0" xfId="1" applyFont="1" applyBorder="1" applyProtection="1">
      <protection hidden="1"/>
    </xf>
    <xf numFmtId="49" fontId="38" fillId="0" borderId="9" xfId="1" applyNumberFormat="1" applyFont="1" applyBorder="1" applyProtection="1">
      <protection hidden="1"/>
    </xf>
    <xf numFmtId="49" fontId="38" fillId="0" borderId="0" xfId="1" applyNumberFormat="1" applyFont="1" applyBorder="1" applyProtection="1">
      <protection hidden="1"/>
    </xf>
    <xf numFmtId="0" fontId="38" fillId="0" borderId="9" xfId="1" applyNumberFormat="1" applyFont="1" applyBorder="1" applyProtection="1">
      <protection hidden="1"/>
    </xf>
    <xf numFmtId="0" fontId="38" fillId="0" borderId="11" xfId="1" applyFont="1" applyFill="1" applyBorder="1" applyProtection="1">
      <protection hidden="1"/>
    </xf>
    <xf numFmtId="0" fontId="12" fillId="0" borderId="11" xfId="1" applyFont="1" applyFill="1" applyBorder="1" applyProtection="1">
      <protection hidden="1"/>
    </xf>
    <xf numFmtId="0" fontId="36" fillId="0" borderId="7" xfId="1" applyFont="1" applyFill="1" applyBorder="1" applyAlignment="1" applyProtection="1">
      <alignment horizontal="center" wrapText="1"/>
      <protection hidden="1"/>
    </xf>
    <xf numFmtId="0" fontId="43" fillId="0" borderId="9" xfId="1" applyFont="1" applyFill="1" applyBorder="1" applyAlignment="1" applyProtection="1">
      <alignment horizontal="left"/>
      <protection hidden="1"/>
    </xf>
    <xf numFmtId="0" fontId="43" fillId="0" borderId="10" xfId="1" applyFont="1" applyFill="1" applyBorder="1" applyAlignment="1" applyProtection="1">
      <alignment horizontal="left"/>
      <protection hidden="1"/>
    </xf>
    <xf numFmtId="0" fontId="40" fillId="0" borderId="11" xfId="1" applyFont="1" applyFill="1" applyBorder="1" applyAlignment="1" applyProtection="1">
      <alignment horizontal="center"/>
      <protection hidden="1"/>
    </xf>
    <xf numFmtId="4" fontId="38" fillId="0" borderId="11" xfId="1" applyNumberFormat="1" applyFont="1" applyFill="1" applyBorder="1" applyAlignment="1" applyProtection="1">
      <alignment horizontal="center"/>
      <protection hidden="1"/>
    </xf>
    <xf numFmtId="0" fontId="44" fillId="0" borderId="11" xfId="1" applyFont="1" applyBorder="1" applyProtection="1">
      <protection hidden="1"/>
    </xf>
    <xf numFmtId="2" fontId="43" fillId="0" borderId="11" xfId="1" applyNumberFormat="1" applyFont="1" applyFill="1" applyBorder="1" applyAlignment="1" applyProtection="1">
      <alignment horizontal="center"/>
      <protection hidden="1"/>
    </xf>
    <xf numFmtId="4" fontId="43" fillId="0" borderId="11" xfId="1" applyNumberFormat="1" applyFont="1" applyFill="1" applyBorder="1" applyAlignment="1" applyProtection="1">
      <alignment horizontal="center"/>
      <protection hidden="1"/>
    </xf>
    <xf numFmtId="0" fontId="12" fillId="0" borderId="7" xfId="1" applyFont="1" applyBorder="1" applyProtection="1">
      <protection hidden="1"/>
    </xf>
    <xf numFmtId="0" fontId="31" fillId="0" borderId="0" xfId="1" applyFont="1" applyFill="1" applyBorder="1" applyProtection="1">
      <protection hidden="1"/>
    </xf>
    <xf numFmtId="0" fontId="30" fillId="0" borderId="0" xfId="1" applyFont="1" applyFill="1" applyBorder="1" applyAlignment="1" applyProtection="1">
      <alignment horizontal="center" wrapText="1"/>
      <protection hidden="1"/>
    </xf>
    <xf numFmtId="9" fontId="38" fillId="0" borderId="0" xfId="3" applyFont="1" applyFill="1" applyBorder="1" applyAlignment="1" applyProtection="1">
      <alignment horizontal="center"/>
      <protection hidden="1"/>
    </xf>
    <xf numFmtId="0" fontId="43" fillId="0" borderId="0" xfId="1" applyFont="1" applyFill="1" applyBorder="1" applyAlignment="1" applyProtection="1">
      <alignment horizontal="center"/>
      <protection hidden="1"/>
    </xf>
    <xf numFmtId="0" fontId="38" fillId="0" borderId="0" xfId="1" applyFont="1" applyFill="1" applyBorder="1" applyAlignment="1" applyProtection="1">
      <alignment horizontal="center"/>
      <protection hidden="1"/>
    </xf>
    <xf numFmtId="169" fontId="38" fillId="0" borderId="8" xfId="2" applyNumberFormat="1" applyFont="1" applyFill="1" applyBorder="1" applyProtection="1">
      <protection hidden="1"/>
    </xf>
    <xf numFmtId="168" fontId="38" fillId="2" borderId="32" xfId="3" applyNumberFormat="1" applyFont="1" applyFill="1" applyBorder="1" applyAlignment="1" applyProtection="1">
      <alignment horizontal="center"/>
      <protection hidden="1"/>
    </xf>
    <xf numFmtId="168" fontId="43" fillId="0" borderId="25" xfId="1" applyNumberFormat="1" applyFont="1" applyBorder="1" applyAlignment="1" applyProtection="1">
      <alignment horizontal="center"/>
      <protection hidden="1"/>
    </xf>
    <xf numFmtId="168" fontId="38" fillId="2" borderId="25" xfId="1" applyNumberFormat="1" applyFont="1" applyFill="1" applyBorder="1" applyAlignment="1" applyProtection="1">
      <alignment horizontal="center"/>
      <protection hidden="1"/>
    </xf>
    <xf numFmtId="166" fontId="38" fillId="2" borderId="25" xfId="1" applyNumberFormat="1" applyFont="1" applyFill="1" applyBorder="1" applyAlignment="1" applyProtection="1">
      <alignment horizontal="center"/>
      <protection hidden="1"/>
    </xf>
    <xf numFmtId="166" fontId="43" fillId="0" borderId="34" xfId="1" applyNumberFormat="1" applyFont="1" applyBorder="1" applyAlignment="1" applyProtection="1">
      <alignment horizontal="center"/>
      <protection hidden="1"/>
    </xf>
    <xf numFmtId="0" fontId="31" fillId="0" borderId="7" xfId="1" applyFont="1" applyFill="1" applyBorder="1" applyProtection="1">
      <protection hidden="1"/>
    </xf>
    <xf numFmtId="0" fontId="38" fillId="0" borderId="0" xfId="1" quotePrefix="1" applyFont="1" applyBorder="1" applyAlignment="1" applyProtection="1">
      <protection hidden="1"/>
    </xf>
    <xf numFmtId="49" fontId="38" fillId="0" borderId="0" xfId="1" applyNumberFormat="1" applyFont="1" applyBorder="1" applyAlignment="1" applyProtection="1">
      <alignment wrapText="1"/>
      <protection hidden="1"/>
    </xf>
    <xf numFmtId="0" fontId="38" fillId="0" borderId="0" xfId="1" applyNumberFormat="1" applyFont="1" applyBorder="1" applyAlignment="1" applyProtection="1">
      <alignment wrapText="1"/>
      <protection hidden="1"/>
    </xf>
    <xf numFmtId="0" fontId="35" fillId="8" borderId="0" xfId="0" applyNumberFormat="1" applyFont="1" applyFill="1" applyBorder="1" applyAlignment="1" applyProtection="1">
      <alignment horizontal="right"/>
      <protection hidden="1"/>
    </xf>
    <xf numFmtId="0" fontId="35" fillId="8" borderId="27" xfId="1" applyFont="1" applyFill="1" applyBorder="1" applyAlignment="1" applyProtection="1">
      <alignment horizontal="right" wrapText="1"/>
      <protection hidden="1"/>
    </xf>
    <xf numFmtId="49" fontId="38" fillId="0" borderId="10" xfId="1" applyNumberFormat="1" applyFont="1" applyBorder="1" applyAlignment="1" applyProtection="1">
      <alignment vertical="center"/>
      <protection hidden="1"/>
    </xf>
    <xf numFmtId="0" fontId="35" fillId="5" borderId="3" xfId="1" applyFont="1" applyFill="1" applyBorder="1" applyAlignment="1" applyProtection="1">
      <alignment horizontal="right"/>
      <protection locked="0"/>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0" fontId="38" fillId="0" borderId="9" xfId="1" quotePrefix="1" applyFont="1" applyBorder="1" applyAlignment="1" applyProtection="1">
      <alignment horizontal="left" wrapText="1"/>
      <protection hidden="1"/>
    </xf>
    <xf numFmtId="0" fontId="38" fillId="0" borderId="0" xfId="1" quotePrefix="1" applyFont="1" applyBorder="1" applyAlignment="1" applyProtection="1">
      <alignment horizontal="left" wrapText="1"/>
      <protection hidden="1"/>
    </xf>
    <xf numFmtId="0" fontId="30" fillId="8" borderId="8" xfId="1" applyFont="1" applyFill="1" applyBorder="1" applyAlignment="1" applyProtection="1">
      <alignment horizontal="center" wrapText="1"/>
      <protection hidden="1"/>
    </xf>
    <xf numFmtId="0" fontId="30" fillId="8" borderId="12" xfId="1" applyFont="1" applyFill="1" applyBorder="1" applyAlignment="1" applyProtection="1">
      <alignment horizontal="center" wrapText="1"/>
      <protection hidden="1"/>
    </xf>
    <xf numFmtId="0" fontId="30" fillId="8" borderId="0" xfId="1" applyFont="1" applyFill="1" applyBorder="1" applyAlignment="1" applyProtection="1">
      <alignment horizontal="center" wrapText="1"/>
      <protection hidden="1"/>
    </xf>
    <xf numFmtId="0" fontId="30" fillId="8" borderId="11" xfId="1" applyFont="1" applyFill="1" applyBorder="1" applyAlignment="1" applyProtection="1">
      <alignment horizontal="center" wrapText="1"/>
      <protection hidden="1"/>
    </xf>
    <xf numFmtId="0" fontId="36" fillId="5" borderId="4" xfId="1" applyFont="1" applyFill="1" applyBorder="1" applyAlignment="1" applyProtection="1">
      <alignment horizontal="left" vertical="center"/>
      <protection locked="0"/>
    </xf>
    <xf numFmtId="0" fontId="36" fillId="5" borderId="17" xfId="1" applyFont="1" applyFill="1" applyBorder="1" applyAlignment="1" applyProtection="1">
      <alignment horizontal="left" vertical="center"/>
      <protection locked="0"/>
    </xf>
    <xf numFmtId="0" fontId="36" fillId="5" borderId="5" xfId="1" applyFont="1" applyFill="1" applyBorder="1" applyAlignment="1" applyProtection="1">
      <alignment horizontal="left" vertical="center"/>
      <protection locked="0"/>
    </xf>
    <xf numFmtId="0" fontId="40" fillId="0" borderId="44" xfId="1" quotePrefix="1" applyFont="1" applyBorder="1" applyAlignment="1" applyProtection="1">
      <alignment horizontal="left"/>
      <protection hidden="1"/>
    </xf>
    <xf numFmtId="0" fontId="40" fillId="0" borderId="0" xfId="1" quotePrefix="1" applyFont="1" applyBorder="1" applyAlignment="1" applyProtection="1">
      <alignment horizontal="left"/>
      <protection hidden="1"/>
    </xf>
    <xf numFmtId="0" fontId="40" fillId="0" borderId="8" xfId="1" quotePrefix="1" applyFont="1" applyBorder="1" applyAlignment="1" applyProtection="1">
      <alignment horizontal="left"/>
      <protection hidden="1"/>
    </xf>
    <xf numFmtId="0" fontId="38" fillId="0" borderId="9" xfId="1" quotePrefix="1" applyFont="1" applyBorder="1" applyAlignment="1" applyProtection="1">
      <alignment horizontal="left"/>
      <protection hidden="1"/>
    </xf>
    <xf numFmtId="0" fontId="38" fillId="0" borderId="0" xfId="1" quotePrefix="1" applyFont="1" applyBorder="1" applyAlignment="1" applyProtection="1">
      <alignment horizontal="left"/>
      <protection hidden="1"/>
    </xf>
    <xf numFmtId="49" fontId="38" fillId="0" borderId="9" xfId="1" applyNumberFormat="1" applyFont="1" applyBorder="1" applyAlignment="1" applyProtection="1">
      <alignment horizontal="left" wrapText="1" indent="3"/>
      <protection hidden="1"/>
    </xf>
    <xf numFmtId="49" fontId="38" fillId="0" borderId="0" xfId="1" applyNumberFormat="1" applyFont="1" applyBorder="1" applyAlignment="1" applyProtection="1">
      <alignment horizontal="left" wrapText="1" indent="3"/>
      <protection hidden="1"/>
    </xf>
    <xf numFmtId="0" fontId="38" fillId="0" borderId="9" xfId="1" applyNumberFormat="1" applyFont="1" applyBorder="1" applyAlignment="1" applyProtection="1">
      <alignment horizontal="left" wrapText="1" indent="3"/>
      <protection hidden="1"/>
    </xf>
    <xf numFmtId="0" fontId="38" fillId="0" borderId="0" xfId="1" applyNumberFormat="1" applyFont="1" applyBorder="1" applyAlignment="1" applyProtection="1">
      <alignment horizontal="left" wrapText="1" indent="3"/>
      <protection hidden="1"/>
    </xf>
    <xf numFmtId="0" fontId="40" fillId="0" borderId="44" xfId="1" quotePrefix="1" applyFont="1" applyBorder="1" applyAlignment="1" applyProtection="1">
      <alignment horizontal="left" wrapText="1"/>
      <protection hidden="1"/>
    </xf>
    <xf numFmtId="0" fontId="40" fillId="0" borderId="0" xfId="1" quotePrefix="1" applyFont="1" applyBorder="1" applyAlignment="1" applyProtection="1">
      <alignment horizontal="left" wrapText="1"/>
      <protection hidden="1"/>
    </xf>
    <xf numFmtId="0" fontId="40" fillId="0" borderId="8" xfId="1" quotePrefix="1" applyFont="1" applyBorder="1" applyAlignment="1" applyProtection="1">
      <alignment horizontal="left" wrapText="1"/>
      <protection hidden="1"/>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DF04-4E39-B59E-199A096CC82C}"/>
            </c:ext>
          </c:extLst>
        </c:ser>
        <c:dLbls>
          <c:showLegendKey val="0"/>
          <c:showVal val="0"/>
          <c:showCatName val="0"/>
          <c:showSerName val="0"/>
          <c:showPercent val="0"/>
          <c:showBubbleSize val="0"/>
        </c:dLbls>
        <c:axId val="121762880"/>
        <c:axId val="95747408"/>
      </c:areaChart>
      <c:catAx>
        <c:axId val="12176288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95747408"/>
        <c:crosses val="autoZero"/>
        <c:auto val="1"/>
        <c:lblAlgn val="ctr"/>
        <c:lblOffset val="100"/>
        <c:tickLblSkip val="1"/>
        <c:tickMarkSkip val="1"/>
        <c:noMultiLvlLbl val="0"/>
      </c:catAx>
      <c:valAx>
        <c:axId val="957474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217628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A773-453C-A3D8-8F3909249418}"/>
            </c:ext>
          </c:extLst>
        </c:ser>
        <c:dLbls>
          <c:showLegendKey val="0"/>
          <c:showVal val="0"/>
          <c:showCatName val="0"/>
          <c:showSerName val="0"/>
          <c:showPercent val="0"/>
          <c:showBubbleSize val="0"/>
        </c:dLbls>
        <c:axId val="95741528"/>
        <c:axId val="95746624"/>
      </c:areaChart>
      <c:catAx>
        <c:axId val="9574152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5746624"/>
        <c:crosses val="autoZero"/>
        <c:auto val="1"/>
        <c:lblAlgn val="ctr"/>
        <c:lblOffset val="100"/>
        <c:tickLblSkip val="1"/>
        <c:tickMarkSkip val="1"/>
        <c:noMultiLvlLbl val="0"/>
      </c:catAx>
      <c:valAx>
        <c:axId val="957466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152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0.9</c:v>
                </c:pt>
                <c:pt idx="1">
                  <c:v>1</c:v>
                </c:pt>
                <c:pt idx="2">
                  <c:v>1.1000000000000001</c:v>
                </c:pt>
                <c:pt idx="3">
                  <c:v>1.2</c:v>
                </c:pt>
                <c:pt idx="4">
                  <c:v>1.3</c:v>
                </c:pt>
                <c:pt idx="5">
                  <c:v>1.4</c:v>
                </c:pt>
                <c:pt idx="6">
                  <c:v>2</c:v>
                </c:pt>
                <c:pt idx="7">
                  <c:v>3</c:v>
                </c:pt>
                <c:pt idx="8">
                  <c:v>3</c:v>
                </c:pt>
              </c:numCache>
            </c:numRef>
          </c:cat>
          <c:val>
            <c:numRef>
              <c:f>HULP!$C$95:$K$95</c:f>
              <c:numCache>
                <c:formatCode>0.0</c:formatCode>
                <c:ptCount val="9"/>
                <c:pt idx="0" formatCode="General">
                  <c:v>1</c:v>
                </c:pt>
                <c:pt idx="1">
                  <c:v>1.4</c:v>
                </c:pt>
                <c:pt idx="2">
                  <c:v>1.8000000000000003</c:v>
                </c:pt>
                <c:pt idx="3">
                  <c:v>2.1999999999999997</c:v>
                </c:pt>
                <c:pt idx="4">
                  <c:v>2.6</c:v>
                </c:pt>
                <c:pt idx="5">
                  <c:v>2.9999999999999996</c:v>
                </c:pt>
                <c:pt idx="6">
                  <c:v>3</c:v>
                </c:pt>
                <c:pt idx="7" formatCode="General">
                  <c:v>3</c:v>
                </c:pt>
                <c:pt idx="8" formatCode="General">
                  <c:v>3</c:v>
                </c:pt>
              </c:numCache>
            </c:numRef>
          </c:val>
          <c:extLst>
            <c:ext xmlns:c16="http://schemas.microsoft.com/office/drawing/2014/chart" uri="{C3380CC4-5D6E-409C-BE32-E72D297353CC}">
              <c16:uniqueId val="{00000000-32C9-4B51-859F-A9B70BDA85AF}"/>
            </c:ext>
          </c:extLst>
        </c:ser>
        <c:dLbls>
          <c:showLegendKey val="0"/>
          <c:showVal val="0"/>
          <c:showCatName val="0"/>
          <c:showSerName val="0"/>
          <c:showPercent val="0"/>
          <c:showBubbleSize val="0"/>
        </c:dLbls>
        <c:axId val="95748976"/>
        <c:axId val="95745840"/>
      </c:areaChart>
      <c:catAx>
        <c:axId val="957489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95745840"/>
        <c:crosses val="autoZero"/>
        <c:auto val="1"/>
        <c:lblAlgn val="ctr"/>
        <c:lblOffset val="100"/>
        <c:tickLblSkip val="1"/>
        <c:tickMarkSkip val="1"/>
        <c:noMultiLvlLbl val="0"/>
      </c:catAx>
      <c:valAx>
        <c:axId val="957458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89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01B2-497F-A951-3EBABF6E35B7}"/>
            </c:ext>
          </c:extLst>
        </c:ser>
        <c:dLbls>
          <c:showLegendKey val="0"/>
          <c:showVal val="0"/>
          <c:showCatName val="0"/>
          <c:showSerName val="0"/>
          <c:showPercent val="0"/>
          <c:showBubbleSize val="0"/>
        </c:dLbls>
        <c:axId val="95743880"/>
        <c:axId val="95745056"/>
      </c:areaChart>
      <c:catAx>
        <c:axId val="9574388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95745056"/>
        <c:crosses val="autoZero"/>
        <c:auto val="1"/>
        <c:lblAlgn val="ctr"/>
        <c:lblOffset val="100"/>
        <c:tickLblSkip val="1"/>
        <c:tickMarkSkip val="1"/>
        <c:noMultiLvlLbl val="0"/>
      </c:catAx>
      <c:valAx>
        <c:axId val="957450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38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7573-4D9F-8FF3-B8A01D737B2A}"/>
            </c:ext>
          </c:extLst>
        </c:ser>
        <c:dLbls>
          <c:showLegendKey val="0"/>
          <c:showVal val="0"/>
          <c:showCatName val="0"/>
          <c:showSerName val="0"/>
          <c:showPercent val="0"/>
          <c:showBubbleSize val="0"/>
        </c:dLbls>
        <c:axId val="95745448"/>
        <c:axId val="95742312"/>
      </c:areaChart>
      <c:catAx>
        <c:axId val="9574544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5742312"/>
        <c:crosses val="autoZero"/>
        <c:auto val="1"/>
        <c:lblAlgn val="ctr"/>
        <c:lblOffset val="100"/>
        <c:tickLblSkip val="1"/>
        <c:tickMarkSkip val="1"/>
        <c:noMultiLvlLbl val="0"/>
      </c:catAx>
      <c:valAx>
        <c:axId val="9574231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544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0.9</c:v>
                </c:pt>
                <c:pt idx="1">
                  <c:v>1</c:v>
                </c:pt>
                <c:pt idx="2">
                  <c:v>1.1000000000000001</c:v>
                </c:pt>
                <c:pt idx="3">
                  <c:v>1.2</c:v>
                </c:pt>
                <c:pt idx="4">
                  <c:v>1.3</c:v>
                </c:pt>
                <c:pt idx="5">
                  <c:v>1.4</c:v>
                </c:pt>
                <c:pt idx="6">
                  <c:v>2</c:v>
                </c:pt>
                <c:pt idx="7">
                  <c:v>3</c:v>
                </c:pt>
                <c:pt idx="8">
                  <c:v>3</c:v>
                </c:pt>
              </c:numCache>
            </c:numRef>
          </c:cat>
          <c:val>
            <c:numRef>
              <c:f>HULP!$C$95:$K$95</c:f>
              <c:numCache>
                <c:formatCode>0.0</c:formatCode>
                <c:ptCount val="9"/>
                <c:pt idx="0" formatCode="General">
                  <c:v>1</c:v>
                </c:pt>
                <c:pt idx="1">
                  <c:v>1.4</c:v>
                </c:pt>
                <c:pt idx="2">
                  <c:v>1.8000000000000003</c:v>
                </c:pt>
                <c:pt idx="3">
                  <c:v>2.1999999999999997</c:v>
                </c:pt>
                <c:pt idx="4">
                  <c:v>2.6</c:v>
                </c:pt>
                <c:pt idx="5">
                  <c:v>2.9999999999999996</c:v>
                </c:pt>
                <c:pt idx="6">
                  <c:v>3</c:v>
                </c:pt>
                <c:pt idx="7" formatCode="General">
                  <c:v>3</c:v>
                </c:pt>
                <c:pt idx="8" formatCode="General">
                  <c:v>3</c:v>
                </c:pt>
              </c:numCache>
            </c:numRef>
          </c:val>
          <c:extLst>
            <c:ext xmlns:c16="http://schemas.microsoft.com/office/drawing/2014/chart" uri="{C3380CC4-5D6E-409C-BE32-E72D297353CC}">
              <c16:uniqueId val="{00000000-7666-44DF-8E0D-61043B06E8EA}"/>
            </c:ext>
          </c:extLst>
        </c:ser>
        <c:dLbls>
          <c:showLegendKey val="0"/>
          <c:showVal val="0"/>
          <c:showCatName val="0"/>
          <c:showSerName val="0"/>
          <c:showPercent val="0"/>
          <c:showBubbleSize val="0"/>
        </c:dLbls>
        <c:axId val="95747016"/>
        <c:axId val="95743488"/>
      </c:areaChart>
      <c:catAx>
        <c:axId val="9574701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95743488"/>
        <c:crosses val="autoZero"/>
        <c:auto val="1"/>
        <c:lblAlgn val="ctr"/>
        <c:lblOffset val="100"/>
        <c:tickLblSkip val="1"/>
        <c:tickMarkSkip val="1"/>
        <c:noMultiLvlLbl val="0"/>
      </c:catAx>
      <c:valAx>
        <c:axId val="957434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701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57150</xdr:colOff>
          <xdr:row>25</xdr:row>
          <xdr:rowOff>57150</xdr:rowOff>
        </xdr:from>
        <xdr:to>
          <xdr:col>8</xdr:col>
          <xdr:colOff>190500</xdr:colOff>
          <xdr:row>27</xdr:row>
          <xdr:rowOff>180975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95250</xdr:colOff>
          <xdr:row>65</xdr:row>
          <xdr:rowOff>57150</xdr:rowOff>
        </xdr:from>
        <xdr:to>
          <xdr:col>8</xdr:col>
          <xdr:colOff>238125</xdr:colOff>
          <xdr:row>67</xdr:row>
          <xdr:rowOff>161925</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102</xdr:row>
          <xdr:rowOff>76200</xdr:rowOff>
        </xdr:from>
        <xdr:to>
          <xdr:col>7</xdr:col>
          <xdr:colOff>561975</xdr:colOff>
          <xdr:row>104</xdr:row>
          <xdr:rowOff>171450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4</xdr:row>
      <xdr:rowOff>47625</xdr:rowOff>
    </xdr:from>
    <xdr:to>
      <xdr:col>9</xdr:col>
      <xdr:colOff>742788</xdr:colOff>
      <xdr:row>6</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3" sqref="B3"/>
    </sheetView>
  </sheetViews>
  <sheetFormatPr defaultColWidth="0" defaultRowHeight="15" customHeight="1" zeroHeight="1" x14ac:dyDescent="0.2"/>
  <cols>
    <col min="1" max="1" width="3.7109375" style="4" customWidth="1"/>
    <col min="2" max="2" width="16.7109375" style="4" customWidth="1"/>
    <col min="3" max="3" width="6.5703125" style="4" bestFit="1" customWidth="1"/>
    <col min="4" max="4" width="5.5703125" style="4" customWidth="1"/>
    <col min="5" max="5" width="6.42578125" style="4" bestFit="1" customWidth="1"/>
    <col min="6" max="17" width="9.140625" style="4" customWidth="1"/>
    <col min="18" max="18" width="3.7109375" style="4" customWidth="1"/>
    <col min="19" max="16384" width="9.140625" style="4" hidden="1"/>
  </cols>
  <sheetData>
    <row r="1" spans="2:17" ht="15" customHeight="1" x14ac:dyDescent="0.2"/>
    <row r="2" spans="2:17" ht="15" customHeight="1" x14ac:dyDescent="0.2">
      <c r="B2" s="68"/>
      <c r="C2" s="68"/>
      <c r="D2" s="68"/>
      <c r="E2" s="68"/>
      <c r="F2" s="68"/>
      <c r="G2" s="68"/>
      <c r="H2" s="68"/>
      <c r="I2" s="68"/>
      <c r="J2" s="68"/>
      <c r="K2" s="68"/>
      <c r="L2" s="68"/>
      <c r="M2" s="68"/>
      <c r="N2" s="68"/>
      <c r="O2" s="68"/>
      <c r="P2" s="68"/>
      <c r="Q2" s="68"/>
    </row>
    <row r="3" spans="2:17" s="67" customFormat="1" ht="18.75" x14ac:dyDescent="0.3">
      <c r="B3" s="98" t="s">
        <v>123</v>
      </c>
      <c r="C3" s="68"/>
      <c r="D3" s="68"/>
      <c r="E3" s="68"/>
      <c r="F3" s="68"/>
      <c r="G3" s="68"/>
      <c r="H3" s="68"/>
      <c r="I3" s="68"/>
      <c r="J3" s="68"/>
      <c r="K3" s="68"/>
      <c r="L3" s="68"/>
      <c r="M3" s="68"/>
      <c r="N3" s="68"/>
      <c r="O3" s="68"/>
      <c r="P3" s="68"/>
      <c r="Q3" s="68"/>
    </row>
    <row r="4" spans="2:17" ht="18.75" x14ac:dyDescent="0.3">
      <c r="B4" s="98" t="s">
        <v>121</v>
      </c>
      <c r="C4" s="68"/>
      <c r="D4" s="68"/>
      <c r="E4" s="68"/>
      <c r="F4" s="68"/>
      <c r="G4" s="68"/>
      <c r="H4" s="68"/>
      <c r="I4" s="68"/>
      <c r="J4" s="68"/>
      <c r="K4" s="68"/>
      <c r="L4" s="68"/>
      <c r="M4" s="68"/>
      <c r="N4" s="68"/>
      <c r="O4" s="68"/>
      <c r="P4" s="68"/>
      <c r="Q4" s="68"/>
    </row>
    <row r="5" spans="2:17" s="67" customFormat="1" ht="18.75" x14ac:dyDescent="0.3">
      <c r="B5" s="99" t="s">
        <v>72</v>
      </c>
      <c r="C5" s="68"/>
      <c r="D5" s="68"/>
      <c r="E5" s="68"/>
      <c r="F5" s="68"/>
      <c r="G5" s="68"/>
      <c r="H5" s="68"/>
      <c r="I5" s="68"/>
      <c r="J5" s="68"/>
      <c r="K5" s="68"/>
      <c r="L5" s="68"/>
      <c r="M5" s="68"/>
      <c r="N5" s="68"/>
      <c r="O5" s="68"/>
      <c r="P5" s="68"/>
      <c r="Q5" s="68"/>
    </row>
    <row r="6" spans="2:17" ht="15" customHeight="1" x14ac:dyDescent="0.2">
      <c r="B6" s="68"/>
      <c r="C6" s="68"/>
      <c r="D6" s="68"/>
      <c r="E6" s="68"/>
      <c r="F6" s="68"/>
      <c r="G6" s="68"/>
      <c r="H6" s="68"/>
      <c r="I6" s="68"/>
      <c r="J6" s="68"/>
      <c r="K6" s="68"/>
      <c r="L6" s="68"/>
      <c r="M6" s="68"/>
      <c r="N6" s="68"/>
      <c r="O6" s="68"/>
      <c r="P6" s="68"/>
      <c r="Q6" s="68"/>
    </row>
    <row r="7" spans="2:17" ht="15" customHeight="1" x14ac:dyDescent="0.2"/>
    <row r="8" spans="2:17" ht="15" customHeight="1" x14ac:dyDescent="0.2">
      <c r="B8" s="1" t="s">
        <v>48</v>
      </c>
      <c r="C8" s="64"/>
      <c r="D8" s="64"/>
      <c r="E8" s="64"/>
      <c r="F8" s="64"/>
      <c r="G8" s="64"/>
      <c r="H8" s="64"/>
      <c r="I8" s="64"/>
      <c r="J8" s="64"/>
      <c r="K8" s="64"/>
      <c r="L8" s="64"/>
      <c r="M8" s="64"/>
      <c r="N8" s="64"/>
      <c r="O8" s="64"/>
      <c r="P8" s="64"/>
      <c r="Q8" s="64"/>
    </row>
    <row r="9" spans="2:17" ht="31.5" customHeight="1" x14ac:dyDescent="0.2">
      <c r="B9" s="243" t="s">
        <v>49</v>
      </c>
      <c r="C9" s="243"/>
      <c r="D9" s="243"/>
      <c r="E9" s="243"/>
      <c r="F9" s="243"/>
      <c r="G9" s="243"/>
      <c r="H9" s="243"/>
      <c r="I9" s="243"/>
      <c r="J9" s="243"/>
      <c r="K9" s="243"/>
      <c r="L9" s="243"/>
      <c r="M9" s="243"/>
      <c r="N9" s="243"/>
      <c r="O9" s="243"/>
      <c r="P9" s="243"/>
      <c r="Q9" s="243"/>
    </row>
    <row r="10" spans="2:17" ht="15" customHeight="1" x14ac:dyDescent="0.2">
      <c r="B10" s="2" t="s">
        <v>67</v>
      </c>
      <c r="C10" s="64"/>
      <c r="D10" s="64"/>
      <c r="E10" s="64"/>
      <c r="F10" s="64"/>
      <c r="G10" s="64"/>
      <c r="H10" s="64"/>
      <c r="I10" s="64"/>
      <c r="J10" s="64"/>
      <c r="K10" s="64"/>
      <c r="L10" s="64"/>
      <c r="M10" s="64"/>
      <c r="N10" s="64"/>
      <c r="O10" s="64"/>
      <c r="P10" s="64"/>
      <c r="Q10" s="64"/>
    </row>
    <row r="11" spans="2:17" ht="15" customHeight="1" x14ac:dyDescent="0.2">
      <c r="B11" s="2" t="s">
        <v>66</v>
      </c>
      <c r="C11" s="64"/>
      <c r="D11" s="64"/>
      <c r="E11" s="64"/>
      <c r="F11" s="64"/>
      <c r="G11" s="64"/>
      <c r="H11" s="64"/>
      <c r="I11" s="64"/>
      <c r="J11" s="64"/>
      <c r="K11" s="64"/>
      <c r="L11" s="64"/>
      <c r="M11" s="64"/>
      <c r="N11" s="64"/>
      <c r="O11" s="64"/>
      <c r="P11" s="64"/>
      <c r="Q11" s="64"/>
    </row>
    <row r="12" spans="2:17" ht="15" customHeight="1" x14ac:dyDescent="0.2">
      <c r="B12" s="3" t="s">
        <v>65</v>
      </c>
      <c r="C12" s="64"/>
      <c r="D12" s="64"/>
      <c r="E12" s="64"/>
      <c r="F12" s="64"/>
      <c r="G12" s="64"/>
      <c r="H12" s="64"/>
      <c r="I12" s="64"/>
      <c r="J12" s="64"/>
      <c r="K12" s="64"/>
      <c r="L12" s="64"/>
      <c r="M12" s="64"/>
      <c r="N12" s="64"/>
      <c r="O12" s="64"/>
      <c r="P12" s="64"/>
      <c r="Q12" s="64"/>
    </row>
    <row r="13" spans="2:17" ht="15" customHeight="1" x14ac:dyDescent="0.2"/>
    <row r="14" spans="2:17" ht="72" customHeight="1" x14ac:dyDescent="0.2">
      <c r="B14" s="244"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2; X - 1 = 1 ; X - 2 = 1 (X = laatst beschikbare boekjaar). Indien het 2023 nog niet beschikbaar is, nog niet gepubliceerd en/of gedeponeerd bij Kamer van Koophandel, kan volstaan worden met minimaal het boekjaar 2022 als meest recent. Ondernemingen die in hun jaarrekening een gebroken boekjaar hanteren moeten in deze situatie het boekjaar 2021/2022 als het meest recent afgesloten boekjaar beschouwen.</v>
      </c>
      <c r="C14" s="244"/>
      <c r="D14" s="244"/>
      <c r="E14" s="244"/>
      <c r="F14" s="244"/>
      <c r="G14" s="244"/>
      <c r="H14" s="244"/>
      <c r="I14" s="244"/>
      <c r="J14" s="244"/>
      <c r="K14" s="244"/>
      <c r="L14" s="244"/>
      <c r="M14" s="244"/>
      <c r="N14" s="244"/>
      <c r="O14" s="244"/>
      <c r="P14" s="244"/>
      <c r="Q14" s="244"/>
    </row>
    <row r="15" spans="2:17" ht="15" customHeight="1" x14ac:dyDescent="0.2">
      <c r="B15" s="5"/>
      <c r="C15" s="5"/>
      <c r="D15" s="5"/>
      <c r="E15" s="5"/>
      <c r="F15" s="5"/>
      <c r="G15" s="5"/>
      <c r="H15" s="5"/>
      <c r="I15" s="5"/>
      <c r="J15" s="5"/>
      <c r="K15" s="5"/>
      <c r="L15" s="5"/>
      <c r="M15" s="5"/>
      <c r="N15" s="5"/>
      <c r="O15" s="5"/>
      <c r="P15" s="5"/>
      <c r="Q15" s="5"/>
    </row>
    <row r="16" spans="2:17" ht="15" customHeight="1" x14ac:dyDescent="0.25">
      <c r="B16" s="6" t="s">
        <v>122</v>
      </c>
      <c r="C16" s="5"/>
      <c r="D16" s="5"/>
      <c r="E16" s="5"/>
      <c r="F16" s="5"/>
      <c r="G16" s="5"/>
      <c r="H16" s="5"/>
      <c r="I16" s="5"/>
      <c r="J16" s="5"/>
      <c r="K16" s="5"/>
      <c r="L16" s="5"/>
      <c r="M16" s="5"/>
      <c r="N16" s="5"/>
      <c r="O16" s="5"/>
      <c r="P16" s="5"/>
      <c r="Q16" s="5"/>
    </row>
    <row r="17" spans="2:17" ht="15" customHeight="1" x14ac:dyDescent="0.2">
      <c r="B17" s="2" t="s">
        <v>99</v>
      </c>
      <c r="C17" s="5"/>
      <c r="D17" s="5"/>
      <c r="E17" s="5"/>
      <c r="F17" s="5"/>
      <c r="G17" s="5"/>
      <c r="H17" s="5"/>
      <c r="I17" s="5"/>
      <c r="J17" s="5"/>
      <c r="K17" s="5"/>
      <c r="L17" s="5"/>
      <c r="M17" s="5"/>
      <c r="N17" s="5"/>
      <c r="O17" s="5"/>
      <c r="P17" s="5"/>
      <c r="Q17" s="5"/>
    </row>
    <row r="18" spans="2:17" ht="15" customHeight="1" x14ac:dyDescent="0.2">
      <c r="B18" s="5"/>
      <c r="C18" s="5"/>
      <c r="D18" s="5"/>
      <c r="E18" s="5"/>
      <c r="F18" s="5"/>
      <c r="G18" s="5"/>
      <c r="H18" s="5"/>
      <c r="I18" s="5"/>
      <c r="J18" s="5"/>
      <c r="K18" s="5"/>
      <c r="L18" s="5"/>
      <c r="M18" s="5"/>
      <c r="N18" s="5"/>
      <c r="O18" s="5"/>
      <c r="P18" s="5"/>
      <c r="Q18" s="5"/>
    </row>
    <row r="19" spans="2:17" ht="15" customHeight="1" x14ac:dyDescent="0.3">
      <c r="B19" s="2" t="s">
        <v>50</v>
      </c>
      <c r="C19" s="65">
        <f>+HULP!D15</f>
        <v>0.2</v>
      </c>
      <c r="D19" s="3" t="s">
        <v>117</v>
      </c>
    </row>
    <row r="20" spans="2:17" ht="15" customHeight="1" x14ac:dyDescent="0.3">
      <c r="B20" s="2" t="s">
        <v>51</v>
      </c>
      <c r="C20" s="65">
        <f>+HULP!E15</f>
        <v>0.5</v>
      </c>
      <c r="D20" s="3" t="s">
        <v>107</v>
      </c>
    </row>
    <row r="21" spans="2:17" ht="15" customHeight="1" x14ac:dyDescent="0.3">
      <c r="B21" s="60" t="s">
        <v>108</v>
      </c>
      <c r="D21" s="2" t="s">
        <v>109</v>
      </c>
    </row>
    <row r="22" spans="2:17" ht="15" customHeight="1" x14ac:dyDescent="0.2">
      <c r="B22" s="2"/>
    </row>
    <row r="23" spans="2:17" ht="15" customHeight="1" x14ac:dyDescent="0.2">
      <c r="B23" s="2" t="s">
        <v>68</v>
      </c>
    </row>
    <row r="24" spans="2:17" ht="15" customHeight="1" x14ac:dyDescent="0.2">
      <c r="B24" s="2" t="s">
        <v>95</v>
      </c>
      <c r="C24" s="65">
        <f>+HULP!D15</f>
        <v>0.2</v>
      </c>
      <c r="D24" s="3" t="s">
        <v>96</v>
      </c>
    </row>
    <row r="25" spans="2:17" ht="15" customHeight="1" x14ac:dyDescent="0.2">
      <c r="B25" s="2" t="str">
        <f>"● Solvabiliteit &gt; = "</f>
        <v xml:space="preserve">● Solvabiliteit &gt; = </v>
      </c>
      <c r="C25" s="65">
        <f>+HULP!D15</f>
        <v>0.2</v>
      </c>
      <c r="D25" s="2" t="str">
        <f>" en &lt; "</f>
        <v xml:space="preserve"> en &lt; </v>
      </c>
      <c r="E25" s="65">
        <f>+HULP!E15</f>
        <v>0.5</v>
      </c>
      <c r="F25" s="2"/>
    </row>
    <row r="26" spans="2:17" ht="15" customHeight="1" x14ac:dyDescent="0.2"/>
    <row r="27" spans="2:17" ht="15" customHeight="1" x14ac:dyDescent="0.2"/>
    <row r="28" spans="2:17" ht="15" customHeight="1" x14ac:dyDescent="0.2"/>
    <row r="29" spans="2:17" ht="15" customHeight="1" x14ac:dyDescent="0.2">
      <c r="B29" s="2" t="s">
        <v>97</v>
      </c>
      <c r="C29" s="65">
        <f>+HULP!E15</f>
        <v>0.5</v>
      </c>
      <c r="D29" s="2" t="s">
        <v>98</v>
      </c>
    </row>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17" ht="15" customHeight="1" x14ac:dyDescent="0.2"/>
    <row r="50" spans="2:17" ht="15" customHeight="1" x14ac:dyDescent="0.2">
      <c r="B50" s="61" t="s">
        <v>52</v>
      </c>
    </row>
    <row r="51" spans="2:17" ht="15" customHeight="1" x14ac:dyDescent="0.2"/>
    <row r="52" spans="2:17" ht="18" x14ac:dyDescent="0.25">
      <c r="B52" s="6" t="s">
        <v>69</v>
      </c>
      <c r="C52" s="64"/>
      <c r="D52" s="64"/>
      <c r="E52" s="64"/>
      <c r="F52" s="64"/>
      <c r="G52" s="64"/>
      <c r="H52" s="64"/>
      <c r="I52" s="64"/>
      <c r="J52" s="64"/>
    </row>
    <row r="53" spans="2:17" ht="15" customHeight="1" x14ac:dyDescent="0.2">
      <c r="B53" s="2" t="s">
        <v>53</v>
      </c>
      <c r="C53" s="64"/>
      <c r="D53" s="64"/>
      <c r="E53" s="64"/>
      <c r="F53" s="64"/>
      <c r="G53" s="64"/>
      <c r="H53" s="64"/>
      <c r="I53" s="64"/>
      <c r="J53" s="64"/>
    </row>
    <row r="54" spans="2:17" ht="15" customHeight="1" x14ac:dyDescent="0.2">
      <c r="B54" s="2" t="s">
        <v>54</v>
      </c>
      <c r="C54" s="64"/>
      <c r="D54" s="64"/>
      <c r="E54" s="64"/>
      <c r="F54" s="64"/>
      <c r="G54" s="64"/>
      <c r="H54" s="64"/>
      <c r="I54" s="64"/>
      <c r="J54" s="64"/>
    </row>
    <row r="55" spans="2:17" ht="15" customHeight="1" x14ac:dyDescent="0.2">
      <c r="B55" s="2"/>
      <c r="C55" s="64"/>
      <c r="D55" s="64"/>
      <c r="E55" s="64"/>
      <c r="F55" s="64"/>
      <c r="G55" s="64"/>
      <c r="H55" s="64"/>
      <c r="I55" s="64"/>
      <c r="J55" s="64"/>
    </row>
    <row r="56" spans="2:17" ht="15" customHeight="1" x14ac:dyDescent="0.3">
      <c r="B56" s="2" t="s">
        <v>50</v>
      </c>
      <c r="C56" s="62">
        <f>HULP!$D$16</f>
        <v>0</v>
      </c>
      <c r="D56" s="3" t="s">
        <v>118</v>
      </c>
      <c r="E56" s="64"/>
      <c r="F56" s="64"/>
      <c r="G56" s="64"/>
      <c r="H56" s="64"/>
      <c r="I56" s="64"/>
      <c r="J56" s="64"/>
    </row>
    <row r="57" spans="2:17" ht="15" customHeight="1" x14ac:dyDescent="0.3">
      <c r="B57" s="2" t="s">
        <v>55</v>
      </c>
      <c r="C57" s="62">
        <f>+HULP!$E$16</f>
        <v>0.1</v>
      </c>
      <c r="D57" s="3" t="s">
        <v>110</v>
      </c>
      <c r="E57" s="64"/>
      <c r="F57" s="64"/>
      <c r="G57" s="64"/>
      <c r="H57" s="64"/>
      <c r="I57" s="64"/>
      <c r="J57" s="64"/>
    </row>
    <row r="58" spans="2:17" ht="15" customHeight="1" x14ac:dyDescent="0.3">
      <c r="B58" s="2" t="s">
        <v>108</v>
      </c>
      <c r="C58" s="2" t="s">
        <v>111</v>
      </c>
      <c r="D58" s="64"/>
      <c r="E58" s="64"/>
      <c r="F58" s="64"/>
      <c r="G58" s="64"/>
      <c r="H58" s="64"/>
      <c r="I58" s="64"/>
      <c r="J58" s="64"/>
    </row>
    <row r="59" spans="2:17" ht="15" customHeight="1" x14ac:dyDescent="0.2">
      <c r="B59" s="2"/>
      <c r="C59" s="64"/>
      <c r="D59" s="64"/>
      <c r="E59" s="64"/>
      <c r="F59" s="64"/>
      <c r="G59" s="64"/>
      <c r="H59" s="64"/>
      <c r="I59" s="64"/>
      <c r="J59" s="64"/>
    </row>
    <row r="60" spans="2:17" ht="33" customHeight="1" x14ac:dyDescent="0.2">
      <c r="B60" s="243"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43"/>
      <c r="D60" s="243"/>
      <c r="E60" s="243"/>
      <c r="F60" s="243"/>
      <c r="G60" s="243"/>
      <c r="H60" s="243"/>
      <c r="I60" s="243"/>
      <c r="J60" s="243"/>
      <c r="K60" s="243"/>
      <c r="L60" s="243"/>
      <c r="M60" s="243"/>
      <c r="N60" s="243"/>
      <c r="O60" s="243"/>
      <c r="P60" s="243"/>
      <c r="Q60" s="243"/>
    </row>
    <row r="61" spans="2:17" ht="15" customHeight="1" x14ac:dyDescent="0.2">
      <c r="B61" s="2"/>
      <c r="C61" s="64"/>
      <c r="D61" s="64"/>
      <c r="E61" s="64"/>
      <c r="F61" s="64"/>
      <c r="G61" s="64"/>
      <c r="H61" s="64"/>
      <c r="I61" s="64"/>
      <c r="J61" s="64"/>
    </row>
    <row r="62" spans="2:17" ht="15" customHeight="1" x14ac:dyDescent="0.2">
      <c r="B62" s="2" t="s">
        <v>56</v>
      </c>
      <c r="C62" s="64"/>
      <c r="D62" s="64"/>
      <c r="E62" s="64"/>
      <c r="F62" s="64"/>
      <c r="G62" s="64"/>
      <c r="H62" s="64"/>
      <c r="I62" s="64"/>
      <c r="J62" s="64"/>
    </row>
    <row r="63" spans="2:17" ht="15" customHeight="1" x14ac:dyDescent="0.2">
      <c r="B63" s="2" t="str">
        <f>"● RTV &lt; "&amp;HULP!D16*100&amp;"% en solvabiliteit &lt; "&amp;HULP!E16*100&amp;"%: knockout"</f>
        <v>● RTV &lt; 0% en solvabiliteit &lt; 10%: knockout</v>
      </c>
      <c r="C63" s="64"/>
      <c r="D63" s="2"/>
      <c r="E63" s="64"/>
      <c r="F63" s="64"/>
      <c r="G63" s="64"/>
      <c r="H63" s="64"/>
      <c r="I63" s="2"/>
      <c r="J63" s="64"/>
    </row>
    <row r="64" spans="2:17" ht="15" customHeight="1" x14ac:dyDescent="0.2">
      <c r="B64" s="2" t="str">
        <f>"● RTV &lt; "&amp;HULP!D16*100&amp;"% en solvabiliteit &gt;= "&amp;HULP!E28*100&amp;"%: aantal punten is 0, alleen knockout voor RTV vervalt!"</f>
        <v>● RTV &lt; 0% en solvabiliteit &gt;= 40%: aantal punten is 0, alleen knockout voor RTV vervalt!</v>
      </c>
      <c r="C64" s="64"/>
      <c r="D64" s="64"/>
      <c r="E64" s="64"/>
      <c r="F64" s="64"/>
      <c r="G64" s="64"/>
      <c r="H64" s="64"/>
      <c r="I64" s="64"/>
      <c r="J64" s="64"/>
    </row>
    <row r="65" spans="2:10" ht="15" customHeight="1" x14ac:dyDescent="0.2">
      <c r="B65" s="2" t="str">
        <f>"● RTV &gt;= "&amp;HULP!D16*100&amp;"% en &lt; "&amp;HULP!E16*100&amp;"%."</f>
        <v>● RTV &gt;= 0% en &lt; 10%.</v>
      </c>
      <c r="C65" s="64"/>
      <c r="D65" s="64"/>
      <c r="E65" s="64"/>
      <c r="F65" s="64"/>
      <c r="G65" s="64"/>
      <c r="H65" s="64"/>
      <c r="I65" s="64"/>
      <c r="J65" s="64"/>
    </row>
    <row r="66" spans="2:10" ht="15" customHeight="1" x14ac:dyDescent="0.2">
      <c r="B66" s="2"/>
      <c r="C66" s="64"/>
      <c r="D66" s="64"/>
      <c r="E66" s="64"/>
      <c r="F66" s="64"/>
      <c r="G66" s="64"/>
      <c r="H66" s="64"/>
      <c r="I66" s="64"/>
      <c r="J66" s="64"/>
    </row>
    <row r="67" spans="2:10" ht="15" customHeight="1" x14ac:dyDescent="0.2">
      <c r="B67" s="2"/>
      <c r="C67" s="64"/>
      <c r="D67" s="64"/>
      <c r="E67" s="64"/>
      <c r="F67" s="64"/>
      <c r="G67" s="64"/>
      <c r="H67" s="64"/>
      <c r="I67" s="64"/>
      <c r="J67" s="64"/>
    </row>
    <row r="68" spans="2:10" ht="15" customHeight="1" x14ac:dyDescent="0.2">
      <c r="B68" s="2"/>
      <c r="C68" s="64"/>
      <c r="D68" s="64"/>
      <c r="E68" s="64"/>
      <c r="F68" s="64"/>
      <c r="G68" s="64"/>
      <c r="H68" s="64"/>
      <c r="I68" s="64"/>
      <c r="J68" s="64"/>
    </row>
    <row r="69" spans="2:10" ht="15" customHeight="1" x14ac:dyDescent="0.2">
      <c r="B69" s="2" t="str">
        <f>"● RTV &gt;= "&amp;HULP!E16*100&amp;"%: aantal punten is 2."</f>
        <v>● RTV &gt;= 10%: aantal punten is 2.</v>
      </c>
      <c r="C69" s="64"/>
      <c r="D69" s="64"/>
      <c r="E69" s="64"/>
      <c r="F69" s="64"/>
      <c r="G69" s="64"/>
      <c r="H69" s="64"/>
      <c r="I69" s="64"/>
      <c r="J69" s="64"/>
    </row>
    <row r="70" spans="2:10" ht="15" customHeight="1" x14ac:dyDescent="0.2"/>
    <row r="71" spans="2:10" ht="15" customHeight="1" x14ac:dyDescent="0.2"/>
    <row r="72" spans="2:10" ht="15" customHeight="1" x14ac:dyDescent="0.2"/>
    <row r="73" spans="2:10" ht="15" customHeight="1" x14ac:dyDescent="0.2"/>
    <row r="74" spans="2:10" ht="15" customHeight="1" x14ac:dyDescent="0.2"/>
    <row r="75" spans="2:10" ht="15" customHeight="1" x14ac:dyDescent="0.2"/>
    <row r="76" spans="2:10" ht="15" customHeight="1" x14ac:dyDescent="0.2"/>
    <row r="77" spans="2:10" ht="15" customHeight="1" x14ac:dyDescent="0.2"/>
    <row r="78" spans="2:10" ht="15" customHeight="1" x14ac:dyDescent="0.2"/>
    <row r="79" spans="2:10" ht="15" customHeight="1" x14ac:dyDescent="0.2"/>
    <row r="80" spans="2:10" ht="15" customHeight="1" x14ac:dyDescent="0.2"/>
    <row r="81" spans="2:4" ht="15" customHeight="1" x14ac:dyDescent="0.2"/>
    <row r="82" spans="2:4" ht="15" customHeight="1" x14ac:dyDescent="0.2"/>
    <row r="83" spans="2:4" ht="15" customHeight="1" x14ac:dyDescent="0.2"/>
    <row r="84" spans="2:4" ht="15" customHeight="1" x14ac:dyDescent="0.2"/>
    <row r="85" spans="2:4" ht="15" customHeight="1" x14ac:dyDescent="0.2"/>
    <row r="86" spans="2:4" ht="15" customHeight="1" x14ac:dyDescent="0.2"/>
    <row r="87" spans="2:4" ht="15" customHeight="1" x14ac:dyDescent="0.2"/>
    <row r="88" spans="2:4" ht="15" customHeight="1" x14ac:dyDescent="0.2"/>
    <row r="89" spans="2:4" ht="15" customHeight="1" x14ac:dyDescent="0.2"/>
    <row r="90" spans="2:4" ht="15" customHeight="1" x14ac:dyDescent="0.2">
      <c r="B90" s="2" t="s">
        <v>104</v>
      </c>
    </row>
    <row r="91" spans="2:4" ht="15" customHeight="1" x14ac:dyDescent="0.2"/>
    <row r="92" spans="2:4" ht="18" x14ac:dyDescent="0.25">
      <c r="B92" s="6" t="s">
        <v>57</v>
      </c>
    </row>
    <row r="93" spans="2:4" ht="15" customHeight="1" x14ac:dyDescent="0.2">
      <c r="B93" s="2" t="s">
        <v>70</v>
      </c>
    </row>
    <row r="94" spans="2:4" ht="15" customHeight="1" x14ac:dyDescent="0.2">
      <c r="B94" s="2" t="s">
        <v>58</v>
      </c>
    </row>
    <row r="95" spans="2:4" ht="15" customHeight="1" x14ac:dyDescent="0.2">
      <c r="B95" s="2"/>
    </row>
    <row r="96" spans="2:4" ht="15" customHeight="1" x14ac:dyDescent="0.3">
      <c r="B96" s="2" t="s">
        <v>100</v>
      </c>
      <c r="C96" s="66">
        <f>+HULP!$D$17</f>
        <v>0.9</v>
      </c>
      <c r="D96" s="3" t="s">
        <v>119</v>
      </c>
    </row>
    <row r="97" spans="2:4" ht="15" customHeight="1" x14ac:dyDescent="0.3">
      <c r="B97" s="2" t="s">
        <v>55</v>
      </c>
      <c r="C97" s="4">
        <f>+HULP!$E$17</f>
        <v>1.4</v>
      </c>
      <c r="D97" s="3" t="s">
        <v>112</v>
      </c>
    </row>
    <row r="98" spans="2:4" ht="15" customHeight="1" x14ac:dyDescent="0.3">
      <c r="B98" s="2" t="s">
        <v>108</v>
      </c>
      <c r="C98" s="2" t="s">
        <v>113</v>
      </c>
    </row>
    <row r="99" spans="2:4" ht="15" customHeight="1" x14ac:dyDescent="0.2">
      <c r="B99" s="2"/>
    </row>
    <row r="100" spans="2:4" ht="15" customHeight="1" x14ac:dyDescent="0.2">
      <c r="B100" s="2" t="s">
        <v>59</v>
      </c>
    </row>
    <row r="101" spans="2:4" ht="15" customHeight="1" x14ac:dyDescent="0.2">
      <c r="B101" s="2" t="s">
        <v>60</v>
      </c>
    </row>
    <row r="102" spans="2:4" ht="15" customHeight="1" x14ac:dyDescent="0.2">
      <c r="B102" s="2" t="s">
        <v>61</v>
      </c>
    </row>
    <row r="103" spans="2:4" ht="15" customHeight="1" x14ac:dyDescent="0.2">
      <c r="B103" s="64"/>
    </row>
    <row r="104" spans="2:4" ht="15" customHeight="1" x14ac:dyDescent="0.2">
      <c r="B104" s="2"/>
    </row>
    <row r="105" spans="2:4" ht="15" customHeight="1" x14ac:dyDescent="0.2">
      <c r="B105" s="2"/>
    </row>
    <row r="106" spans="2:4" ht="15" customHeight="1" x14ac:dyDescent="0.2">
      <c r="B106" s="2" t="s">
        <v>62</v>
      </c>
    </row>
    <row r="107" spans="2:4" ht="15" customHeight="1" x14ac:dyDescent="0.2"/>
    <row r="108" spans="2:4" ht="15" customHeight="1" x14ac:dyDescent="0.2"/>
    <row r="109" spans="2:4" ht="15" customHeight="1" x14ac:dyDescent="0.2"/>
    <row r="110" spans="2:4" ht="15" customHeight="1" x14ac:dyDescent="0.2"/>
    <row r="111" spans="2:4" ht="15" customHeight="1" x14ac:dyDescent="0.2"/>
    <row r="112" spans="2:4" ht="15" customHeight="1" x14ac:dyDescent="0.2"/>
    <row r="113" spans="2:2" ht="15" customHeight="1" x14ac:dyDescent="0.2"/>
    <row r="114" spans="2:2" ht="15" customHeight="1" x14ac:dyDescent="0.2"/>
    <row r="115" spans="2:2" ht="15" customHeight="1" x14ac:dyDescent="0.2"/>
    <row r="116" spans="2:2" ht="15" customHeight="1" x14ac:dyDescent="0.2"/>
    <row r="117" spans="2:2" ht="15" customHeight="1" x14ac:dyDescent="0.2"/>
    <row r="118" spans="2:2" ht="15" customHeight="1" x14ac:dyDescent="0.2"/>
    <row r="119" spans="2:2" ht="15" customHeight="1" x14ac:dyDescent="0.2"/>
    <row r="120" spans="2:2" ht="15" customHeight="1" x14ac:dyDescent="0.2"/>
    <row r="121" spans="2:2" ht="15" customHeight="1" x14ac:dyDescent="0.2"/>
    <row r="122" spans="2:2" ht="15" customHeight="1" x14ac:dyDescent="0.2"/>
    <row r="123" spans="2:2" ht="15" customHeight="1" x14ac:dyDescent="0.2"/>
    <row r="124" spans="2:2" ht="15" customHeight="1" x14ac:dyDescent="0.2"/>
    <row r="125" spans="2:2" ht="15" customHeight="1" x14ac:dyDescent="0.2"/>
    <row r="126" spans="2:2" ht="15" customHeight="1" x14ac:dyDescent="0.2"/>
    <row r="127" spans="2:2" ht="15" customHeight="1" x14ac:dyDescent="0.2">
      <c r="B127" s="63" t="s">
        <v>71</v>
      </c>
    </row>
    <row r="128" spans="2:2" ht="15" customHeight="1" x14ac:dyDescent="0.2"/>
    <row r="129" ht="15" customHeight="1" x14ac:dyDescent="0.2"/>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57150</xdr:colOff>
                <xdr:row>25</xdr:row>
                <xdr:rowOff>57150</xdr:rowOff>
              </from>
              <to>
                <xdr:col>8</xdr:col>
                <xdr:colOff>190500</xdr:colOff>
                <xdr:row>27</xdr:row>
                <xdr:rowOff>180975</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95250</xdr:colOff>
                <xdr:row>65</xdr:row>
                <xdr:rowOff>57150</xdr:rowOff>
              </from>
              <to>
                <xdr:col>8</xdr:col>
                <xdr:colOff>238125</xdr:colOff>
                <xdr:row>67</xdr:row>
                <xdr:rowOff>161925</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66675</xdr:colOff>
                <xdr:row>102</xdr:row>
                <xdr:rowOff>76200</xdr:rowOff>
              </from>
              <to>
                <xdr:col>7</xdr:col>
                <xdr:colOff>561975</xdr:colOff>
                <xdr:row>104</xdr:row>
                <xdr:rowOff>171450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topLeftCell="A36" zoomScale="90" zoomScaleNormal="90" zoomScaleSheetLayoutView="100" workbookViewId="0">
      <selection activeCell="F25" sqref="F25"/>
    </sheetView>
  </sheetViews>
  <sheetFormatPr defaultColWidth="0" defaultRowHeight="18" customHeight="1" zeroHeight="1" x14ac:dyDescent="0.2"/>
  <cols>
    <col min="1" max="1" width="2.5703125" style="8" customWidth="1"/>
    <col min="2" max="2" width="30.85546875" style="8" customWidth="1"/>
    <col min="3" max="3" width="32.42578125" style="8" customWidth="1"/>
    <col min="4" max="6" width="19.7109375" style="8" customWidth="1"/>
    <col min="7" max="7" width="13.28515625" style="8" customWidth="1"/>
    <col min="8" max="8" width="18.7109375" style="8" customWidth="1"/>
    <col min="9" max="9" width="6.28515625" style="8" customWidth="1"/>
    <col min="10" max="10" width="24.28515625" style="8" customWidth="1"/>
    <col min="11" max="11" width="3.140625" style="8" customWidth="1"/>
    <col min="12" max="12" width="8" style="8" hidden="1" customWidth="1"/>
    <col min="13" max="13" width="6.85546875" style="9" hidden="1" customWidth="1"/>
    <col min="14" max="14" width="9.140625" style="8" hidden="1" customWidth="1"/>
    <col min="15" max="19" width="11.140625" style="8" hidden="1" customWidth="1"/>
    <col min="20" max="22" width="0" style="8" hidden="1" customWidth="1"/>
    <col min="23" max="16384" width="9.140625" style="8" hidden="1"/>
  </cols>
  <sheetData>
    <row r="1" spans="2:22" ht="18" customHeight="1" thickBot="1" x14ac:dyDescent="0.25"/>
    <row r="2" spans="2:22" ht="18" customHeight="1" x14ac:dyDescent="0.2">
      <c r="B2" s="102" t="s">
        <v>128</v>
      </c>
      <c r="C2" s="90"/>
      <c r="D2" s="90"/>
      <c r="E2" s="90"/>
      <c r="F2" s="90"/>
      <c r="G2" s="90"/>
      <c r="H2" s="90"/>
      <c r="I2" s="90"/>
      <c r="J2" s="91"/>
    </row>
    <row r="3" spans="2:22" ht="14.25" x14ac:dyDescent="0.2">
      <c r="B3" s="101"/>
      <c r="C3" s="68"/>
      <c r="D3" s="68"/>
      <c r="E3" s="68"/>
      <c r="F3" s="68"/>
      <c r="G3" s="68"/>
      <c r="H3" s="68"/>
      <c r="I3" s="68"/>
      <c r="J3" s="92"/>
    </row>
    <row r="4" spans="2:22" ht="14.25" x14ac:dyDescent="0.2">
      <c r="B4" s="81" t="s">
        <v>127</v>
      </c>
      <c r="C4" s="68"/>
      <c r="D4" s="68"/>
      <c r="E4" s="68"/>
      <c r="F4" s="68"/>
      <c r="G4" s="68"/>
      <c r="H4" s="68"/>
      <c r="I4" s="68"/>
      <c r="J4" s="92"/>
      <c r="V4" s="10"/>
    </row>
    <row r="5" spans="2:22" ht="18" customHeight="1" x14ac:dyDescent="0.2">
      <c r="B5" s="84"/>
      <c r="C5" s="82"/>
      <c r="D5" s="82"/>
      <c r="E5" s="82"/>
      <c r="F5" s="82"/>
      <c r="G5" s="82"/>
      <c r="H5" s="82"/>
      <c r="I5" s="82"/>
      <c r="J5" s="83"/>
      <c r="M5" s="8"/>
    </row>
    <row r="6" spans="2:22" ht="18" customHeight="1" x14ac:dyDescent="0.2">
      <c r="B6" s="103" t="s">
        <v>0</v>
      </c>
      <c r="C6" s="96"/>
      <c r="D6" s="97"/>
      <c r="E6" s="82"/>
      <c r="F6" s="82"/>
      <c r="G6" s="82"/>
      <c r="H6" s="82"/>
      <c r="I6" s="82"/>
      <c r="J6" s="83"/>
      <c r="M6" s="8"/>
    </row>
    <row r="7" spans="2:22" ht="18" customHeight="1" thickBot="1" x14ac:dyDescent="0.25">
      <c r="B7" s="85"/>
      <c r="C7" s="104"/>
      <c r="D7" s="104"/>
      <c r="E7" s="104"/>
      <c r="F7" s="104"/>
      <c r="G7" s="104"/>
      <c r="H7" s="104"/>
      <c r="I7" s="104"/>
      <c r="J7" s="105"/>
      <c r="M7" s="8"/>
    </row>
    <row r="8" spans="2:22" ht="18" customHeight="1" thickBot="1" x14ac:dyDescent="0.25">
      <c r="B8" s="11"/>
      <c r="E8" s="12"/>
      <c r="I8" s="13"/>
      <c r="M8" s="8"/>
    </row>
    <row r="9" spans="2:22" ht="18" customHeight="1" x14ac:dyDescent="0.2">
      <c r="B9" s="100" t="s">
        <v>73</v>
      </c>
      <c r="C9" s="79"/>
      <c r="D9" s="79"/>
      <c r="E9" s="79"/>
      <c r="F9" s="79"/>
      <c r="G9" s="79"/>
      <c r="H9" s="79"/>
      <c r="I9" s="79"/>
      <c r="J9" s="80"/>
      <c r="M9" s="8"/>
    </row>
    <row r="10" spans="2:22" ht="25.5" x14ac:dyDescent="0.2">
      <c r="B10" s="101" t="s">
        <v>124</v>
      </c>
      <c r="C10" s="106" t="s">
        <v>74</v>
      </c>
      <c r="D10" s="251"/>
      <c r="E10" s="252"/>
      <c r="F10" s="252"/>
      <c r="G10" s="253"/>
      <c r="H10" s="82"/>
      <c r="I10" s="82"/>
      <c r="J10" s="83"/>
      <c r="M10" s="8"/>
    </row>
    <row r="11" spans="2:22" ht="18" customHeight="1" x14ac:dyDescent="0.2">
      <c r="B11" s="84"/>
      <c r="C11" s="82"/>
      <c r="D11" s="82"/>
      <c r="E11" s="82"/>
      <c r="F11" s="82"/>
      <c r="G11" s="82"/>
      <c r="H11" s="82"/>
      <c r="I11" s="82"/>
      <c r="J11" s="83"/>
      <c r="M11" s="8"/>
    </row>
    <row r="12" spans="2:22" ht="18" customHeight="1" x14ac:dyDescent="0.2">
      <c r="B12" s="84"/>
      <c r="C12" s="107" t="s">
        <v>46</v>
      </c>
      <c r="D12" s="108">
        <v>1000</v>
      </c>
      <c r="E12" s="88" t="s">
        <v>35</v>
      </c>
      <c r="F12" s="82"/>
      <c r="G12" s="82"/>
      <c r="H12" s="82"/>
      <c r="I12" s="82"/>
      <c r="J12" s="83"/>
      <c r="M12" s="8"/>
    </row>
    <row r="13" spans="2:22" ht="18" customHeight="1" x14ac:dyDescent="0.2">
      <c r="B13" s="84"/>
      <c r="C13" s="107"/>
      <c r="D13" s="82"/>
      <c r="E13" s="82"/>
      <c r="F13" s="82"/>
      <c r="G13" s="82"/>
      <c r="H13" s="82"/>
      <c r="I13" s="82"/>
      <c r="J13" s="83"/>
      <c r="M13" s="8"/>
    </row>
    <row r="14" spans="2:22" ht="18" customHeight="1" x14ac:dyDescent="0.2">
      <c r="B14" s="84"/>
      <c r="C14" s="107"/>
      <c r="D14" s="242">
        <v>2022</v>
      </c>
      <c r="E14" s="239">
        <v>2021</v>
      </c>
      <c r="F14" s="239">
        <v>2020</v>
      </c>
      <c r="G14" s="82"/>
      <c r="H14" s="82"/>
      <c r="I14" s="82"/>
      <c r="J14" s="83"/>
      <c r="M14" s="8"/>
    </row>
    <row r="15" spans="2:22" ht="18" customHeight="1" thickBot="1" x14ac:dyDescent="0.25">
      <c r="B15" s="85"/>
      <c r="C15" s="109" t="s">
        <v>45</v>
      </c>
      <c r="D15" s="110" t="s">
        <v>25</v>
      </c>
      <c r="E15" s="111" t="str">
        <f>+D15</f>
        <v>EUR</v>
      </c>
      <c r="F15" s="111" t="str">
        <f>+E15</f>
        <v>EUR</v>
      </c>
      <c r="G15" s="89" t="s">
        <v>115</v>
      </c>
      <c r="H15" s="86"/>
      <c r="I15" s="86"/>
      <c r="J15" s="87"/>
      <c r="M15" s="8"/>
    </row>
    <row r="16" spans="2:22" ht="18" customHeight="1" x14ac:dyDescent="0.2">
      <c r="B16" s="112" t="s">
        <v>1</v>
      </c>
      <c r="C16" s="113"/>
      <c r="D16" s="114"/>
      <c r="E16" s="114"/>
      <c r="F16" s="114"/>
      <c r="G16" s="115"/>
      <c r="H16" s="115"/>
      <c r="I16" s="115"/>
      <c r="J16" s="116"/>
      <c r="M16" s="8"/>
    </row>
    <row r="17" spans="2:13" ht="18" customHeight="1" x14ac:dyDescent="0.2">
      <c r="B17" s="117" t="s">
        <v>75</v>
      </c>
      <c r="C17" s="113"/>
      <c r="D17" s="118"/>
      <c r="E17" s="118"/>
      <c r="F17" s="118"/>
      <c r="G17" s="115"/>
      <c r="H17" s="115"/>
      <c r="I17" s="115"/>
      <c r="J17" s="116"/>
      <c r="M17" s="8"/>
    </row>
    <row r="18" spans="2:13" ht="18" customHeight="1" x14ac:dyDescent="0.2">
      <c r="B18" s="119" t="s">
        <v>76</v>
      </c>
      <c r="C18" s="120"/>
      <c r="D18" s="121"/>
      <c r="E18" s="121"/>
      <c r="F18" s="121"/>
      <c r="G18" s="254" t="s">
        <v>105</v>
      </c>
      <c r="H18" s="255"/>
      <c r="I18" s="255"/>
      <c r="J18" s="256"/>
    </row>
    <row r="19" spans="2:13" ht="18" customHeight="1" x14ac:dyDescent="0.2">
      <c r="B19" s="123" t="s">
        <v>30</v>
      </c>
      <c r="C19" s="115"/>
      <c r="D19" s="124">
        <f>+TotaalVermogenN-VasteActivaN-LiquideMiddelenN</f>
        <v>0</v>
      </c>
      <c r="E19" s="124">
        <f>+TotaalVermogenNmin1-VasteActivaNmin1-LiquideMiddelenNmin1</f>
        <v>0</v>
      </c>
      <c r="F19" s="124">
        <f>+TotaalVermogenNmin2-VasteActivaNmin2-LiquideMiddelenNmin2</f>
        <v>0</v>
      </c>
      <c r="G19" s="122"/>
      <c r="H19" s="115"/>
      <c r="I19" s="115"/>
      <c r="J19" s="116"/>
    </row>
    <row r="20" spans="2:13" ht="18" customHeight="1" x14ac:dyDescent="0.2">
      <c r="B20" s="119" t="s">
        <v>2</v>
      </c>
      <c r="C20" s="120"/>
      <c r="D20" s="121"/>
      <c r="E20" s="121"/>
      <c r="F20" s="121"/>
      <c r="G20" s="125"/>
      <c r="H20" s="115"/>
      <c r="I20" s="115"/>
      <c r="J20" s="116"/>
    </row>
    <row r="21" spans="2:13" ht="18" customHeight="1" x14ac:dyDescent="0.2">
      <c r="B21" s="126"/>
      <c r="C21" s="127" t="s">
        <v>32</v>
      </c>
      <c r="D21" s="128">
        <f>+LiquideMiddelenN+D19</f>
        <v>0</v>
      </c>
      <c r="E21" s="128">
        <f>+LiquideMiddelenNmin1+E19</f>
        <v>0</v>
      </c>
      <c r="F21" s="128">
        <f>TotaalVermogenNmin2-VasteActivaNmin2</f>
        <v>0</v>
      </c>
      <c r="G21" s="125"/>
      <c r="H21" s="115"/>
      <c r="I21" s="115"/>
      <c r="J21" s="116"/>
    </row>
    <row r="22" spans="2:13" ht="18" customHeight="1" x14ac:dyDescent="0.2">
      <c r="B22" s="129"/>
      <c r="C22" s="130" t="s">
        <v>3</v>
      </c>
      <c r="D22" s="118">
        <f>+VlottendeActivaN+VasteActivaN</f>
        <v>0</v>
      </c>
      <c r="E22" s="118">
        <f>+VlottendeActivaNmin1+VasteActivaNmin1</f>
        <v>0</v>
      </c>
      <c r="F22" s="118">
        <f>+VlottendeActivaNmin2+VasteActivaNmin2</f>
        <v>0</v>
      </c>
      <c r="G22" s="131"/>
      <c r="H22" s="115"/>
      <c r="I22" s="115"/>
      <c r="J22" s="116"/>
    </row>
    <row r="23" spans="2:13" ht="18" customHeight="1" x14ac:dyDescent="0.2">
      <c r="B23" s="117" t="s">
        <v>4</v>
      </c>
      <c r="C23" s="113"/>
      <c r="D23" s="118"/>
      <c r="E23" s="118"/>
      <c r="F23" s="118"/>
      <c r="G23" s="125"/>
      <c r="H23" s="115"/>
      <c r="I23" s="115"/>
      <c r="J23" s="116"/>
    </row>
    <row r="24" spans="2:13" ht="18" customHeight="1" x14ac:dyDescent="0.2">
      <c r="B24" s="119" t="s">
        <v>77</v>
      </c>
      <c r="C24" s="120"/>
      <c r="D24" s="121"/>
      <c r="E24" s="121"/>
      <c r="F24" s="121"/>
      <c r="G24" s="254" t="s">
        <v>106</v>
      </c>
      <c r="H24" s="255"/>
      <c r="I24" s="255"/>
      <c r="J24" s="256"/>
    </row>
    <row r="25" spans="2:13" ht="27.75" customHeight="1" x14ac:dyDescent="0.2">
      <c r="B25" s="132" t="s">
        <v>78</v>
      </c>
      <c r="C25" s="120"/>
      <c r="D25" s="121"/>
      <c r="E25" s="121"/>
      <c r="F25" s="121"/>
      <c r="G25" s="263" t="s">
        <v>116</v>
      </c>
      <c r="H25" s="264"/>
      <c r="I25" s="264"/>
      <c r="J25" s="265"/>
    </row>
    <row r="26" spans="2:13" ht="18" customHeight="1" x14ac:dyDescent="0.2">
      <c r="B26" s="123" t="s">
        <v>79</v>
      </c>
      <c r="C26" s="115"/>
      <c r="D26" s="128">
        <f>TotaalVermogenN-EigenVermogenN-VreemdVermogenLangN</f>
        <v>0</v>
      </c>
      <c r="E26" s="128">
        <f>TotaalVermogenNmin1-EigenVermogenNmin1-VreemdVermogenLangNmin1</f>
        <v>0</v>
      </c>
      <c r="F26" s="128">
        <f>TotaalVermogenNmin2-EigenVermogenNmin2-VreemdVermogenLangNmin2</f>
        <v>0</v>
      </c>
      <c r="G26" s="115"/>
      <c r="H26" s="115"/>
      <c r="I26" s="115"/>
      <c r="J26" s="116"/>
    </row>
    <row r="27" spans="2:13" ht="18" customHeight="1" x14ac:dyDescent="0.2">
      <c r="B27" s="133"/>
      <c r="C27" s="134" t="s">
        <v>5</v>
      </c>
      <c r="D27" s="118">
        <f>TotaalVermogenN-EigenVermogenN</f>
        <v>0</v>
      </c>
      <c r="E27" s="118">
        <f>TotaalVermogenNmin1-EigenVermogenNmin1</f>
        <v>0</v>
      </c>
      <c r="F27" s="118">
        <f>TotaalVermogenNmin2-EigenVermogenNmin2</f>
        <v>0</v>
      </c>
      <c r="G27" s="135"/>
      <c r="H27" s="115"/>
      <c r="I27" s="115"/>
      <c r="J27" s="116"/>
    </row>
    <row r="28" spans="2:13" ht="18" customHeight="1" x14ac:dyDescent="0.2">
      <c r="B28" s="129"/>
      <c r="C28" s="130" t="s">
        <v>6</v>
      </c>
      <c r="D28" s="118">
        <f>SUM(D24:D26)</f>
        <v>0</v>
      </c>
      <c r="E28" s="118">
        <f>SUM(E24:E26)</f>
        <v>0</v>
      </c>
      <c r="F28" s="118">
        <f>SUM(F24:F26)</f>
        <v>0</v>
      </c>
      <c r="G28" s="135"/>
      <c r="H28" s="115"/>
      <c r="I28" s="115"/>
      <c r="J28" s="116"/>
    </row>
    <row r="29" spans="2:13" ht="18" customHeight="1" x14ac:dyDescent="0.2">
      <c r="B29" s="136" t="s">
        <v>7</v>
      </c>
      <c r="C29" s="120"/>
      <c r="D29" s="118"/>
      <c r="E29" s="118"/>
      <c r="F29" s="118"/>
      <c r="G29" s="115"/>
      <c r="H29" s="115"/>
      <c r="I29" s="115"/>
      <c r="J29" s="116"/>
    </row>
    <row r="30" spans="2:13" ht="18" customHeight="1" thickBot="1" x14ac:dyDescent="0.25">
      <c r="B30" s="137" t="s">
        <v>120</v>
      </c>
      <c r="C30" s="138"/>
      <c r="D30" s="139"/>
      <c r="E30" s="139"/>
      <c r="F30" s="139"/>
      <c r="G30" s="140"/>
      <c r="H30" s="140"/>
      <c r="I30" s="140"/>
      <c r="J30" s="141"/>
    </row>
    <row r="31" spans="2:13" ht="18" customHeight="1" thickBot="1" x14ac:dyDescent="0.25">
      <c r="B31" s="18"/>
      <c r="C31" s="14"/>
      <c r="D31" s="14"/>
      <c r="E31" s="14"/>
      <c r="F31" s="14"/>
      <c r="G31" s="14"/>
      <c r="H31" s="14"/>
      <c r="I31" s="14"/>
      <c r="J31" s="14"/>
    </row>
    <row r="32" spans="2:13" ht="15" thickBot="1" x14ac:dyDescent="0.25">
      <c r="B32" s="142" t="s">
        <v>8</v>
      </c>
      <c r="C32" s="143"/>
      <c r="D32" s="240">
        <v>2022</v>
      </c>
      <c r="E32" s="240">
        <f>E14</f>
        <v>2021</v>
      </c>
      <c r="F32" s="240">
        <f>F14</f>
        <v>2020</v>
      </c>
      <c r="G32" s="144" t="s">
        <v>31</v>
      </c>
      <c r="H32" s="145" t="s">
        <v>28</v>
      </c>
      <c r="I32" s="215"/>
      <c r="J32" s="146" t="s">
        <v>24</v>
      </c>
    </row>
    <row r="33" spans="1:13" ht="18" customHeight="1" x14ac:dyDescent="0.2">
      <c r="B33" s="148"/>
      <c r="C33" s="149" t="s">
        <v>9</v>
      </c>
      <c r="D33" s="150">
        <f>WeegfactorjaarN</f>
        <v>2</v>
      </c>
      <c r="E33" s="150">
        <f>WeegfactorjaarNmin1</f>
        <v>1</v>
      </c>
      <c r="F33" s="150">
        <f>WeegfactorjaarNmin2</f>
        <v>1</v>
      </c>
      <c r="G33" s="151"/>
      <c r="H33" s="152"/>
      <c r="I33" s="147"/>
      <c r="J33" s="175"/>
    </row>
    <row r="34" spans="1:13" s="19" customFormat="1" ht="18" customHeight="1" thickBot="1" x14ac:dyDescent="0.25">
      <c r="A34" s="8"/>
      <c r="B34" s="148"/>
      <c r="C34" s="153"/>
      <c r="D34" s="154"/>
      <c r="E34" s="155"/>
      <c r="F34" s="155"/>
      <c r="G34" s="156"/>
      <c r="H34" s="157"/>
      <c r="I34" s="147"/>
      <c r="J34" s="175"/>
      <c r="M34" s="20"/>
    </row>
    <row r="35" spans="1:13" s="19" customFormat="1" ht="18" customHeight="1" x14ac:dyDescent="0.2">
      <c r="A35" s="8"/>
      <c r="B35" s="158" t="s">
        <v>10</v>
      </c>
      <c r="C35" s="149" t="s">
        <v>11</v>
      </c>
      <c r="D35" s="159">
        <f>IF(TotaalVermogenN=0,0,EigenVermogenN/TotaalVermogenN)</f>
        <v>0</v>
      </c>
      <c r="E35" s="159">
        <f>IF(TotaalVermogenNmin1=0,0,EigenVermogenNmin1/TotaalVermogenNmin1)</f>
        <v>0</v>
      </c>
      <c r="F35" s="159">
        <f>IF(TotaalVermogenNmin2=0,0,EigenVermogenNmin2/TotaalVermogenNmin2)</f>
        <v>0</v>
      </c>
      <c r="G35" s="173">
        <f>C45</f>
        <v>0.2</v>
      </c>
      <c r="H35" s="160">
        <f>(((SolvabiliteitN*D33)+(SolvabiliteitNmin1*E33)+(SolvabiliteitNmin2*F33))/4)</f>
        <v>0</v>
      </c>
      <c r="I35" s="115"/>
      <c r="J35" s="161" t="str">
        <f>IF(TotaalVermogenN=0,"",IF(SolvabiliteitGemiddeld&gt;=G45,G46,IF(AND(E45&lt;SolvabiliteitGemiddeld,SolvabiliteitGemiddeld&lt;G45),ROUND(1+((SolvabiliteitGemiddeld-E45)*((G46-E46)/(G45-E45))),2),IF(SolvabiliteitGemiddeld=E45,1,0))))</f>
        <v/>
      </c>
      <c r="M35" s="20"/>
    </row>
    <row r="36" spans="1:13" s="19" customFormat="1" ht="18" customHeight="1" x14ac:dyDescent="0.2">
      <c r="A36" s="8"/>
      <c r="B36" s="158" t="s">
        <v>12</v>
      </c>
      <c r="C36" s="149" t="s">
        <v>33</v>
      </c>
      <c r="D36" s="159">
        <f>IF(TotaalVermogenN=0,0,NettoResultaatN/TotaalVermogenN)</f>
        <v>0</v>
      </c>
      <c r="E36" s="159">
        <f>IF(TotaalVermogenNmin1=0,0,NettoResultaatNmin1/TotaalVermogenNmin1)</f>
        <v>0</v>
      </c>
      <c r="F36" s="159">
        <f>IF(TotaalVermogenNmin2=0,0,NettoResultaatNmin2/TotaalVermogenNmin2)</f>
        <v>0</v>
      </c>
      <c r="G36" s="162">
        <f>E47</f>
        <v>0</v>
      </c>
      <c r="H36" s="160">
        <f>(((RentabiliteitNmin2*F33)+(RentabiliteitNmin1*E33)+(RentabiliteitN*D33))/4)</f>
        <v>0</v>
      </c>
      <c r="I36" s="115"/>
      <c r="J36" s="163" t="str">
        <f>IF(NettoResultaatN="","",IF(SUM(D16:E30)=0,0,IF(RentabiliteitGemiddeld&gt;=G47,G48,IF(AND(E47&lt;RentabiliteitGemiddeld,RentabiliteitGemiddeld&lt;G47),ROUND(1+(((RentabiliteitGemiddeld-E47)/(G47-E47))*(G48-E48)),2),IF(RentabiliteitGemiddeld=E47,1,0)))))</f>
        <v/>
      </c>
      <c r="M36" s="20"/>
    </row>
    <row r="37" spans="1:13" s="19" customFormat="1" ht="18" customHeight="1" thickBot="1" x14ac:dyDescent="0.25">
      <c r="A37" s="8"/>
      <c r="B37" s="169" t="s">
        <v>13</v>
      </c>
      <c r="C37" s="170" t="s">
        <v>14</v>
      </c>
      <c r="D37" s="171">
        <f>IF(TotaalVermogenN=0,0,IF(VreemdVermogenKortN=0,G50,VlottendeActivaN/VreemdVermogenKortN))</f>
        <v>0</v>
      </c>
      <c r="E37" s="171">
        <f>IF(TotaalVermogenNmin1=0,0,IF(VreemdVermogenKortNmin1=0,G50,VlottendeActivaNmin1/VreemdVermogenKortNmin1))</f>
        <v>0</v>
      </c>
      <c r="F37" s="171">
        <f>IF(TotaalVermogenNmin2=0,0,IF(VreemdVermogenKortNmin2=0,G50,VlottendeActivaNmin2/VreemdVermogenKortNmin2))</f>
        <v>0</v>
      </c>
      <c r="G37" s="174">
        <f>E49</f>
        <v>0.9</v>
      </c>
      <c r="H37" s="172">
        <f>(((CurrentRatioNmin2*F33)+(CurrentRatioNmin1*E33)+(CurrentRatioN*D33))/4)</f>
        <v>0</v>
      </c>
      <c r="I37" s="115"/>
      <c r="J37" s="164" t="str">
        <f>IF(LiquideMiddelenN="","",IF(CurrentRatioGemiddeld&gt;=G49,G50,IF(AND(E49&lt;CurrentRatioGemiddeld,CurrentRatioGemiddeld&lt;G49),ROUND(1+(((CurrentRatioGemiddeld-E49)/(G49-E49))*(G50-E50)),2),IF(CurrentRatioGemiddeld=E49,1,0))))</f>
        <v/>
      </c>
      <c r="K37" s="21"/>
      <c r="M37" s="20"/>
    </row>
    <row r="38" spans="1:13" s="19" customFormat="1" ht="18" customHeight="1" thickBot="1" x14ac:dyDescent="0.25">
      <c r="A38" s="8"/>
      <c r="B38" s="216"/>
      <c r="C38" s="165"/>
      <c r="D38" s="166"/>
      <c r="E38" s="166"/>
      <c r="F38" s="166"/>
      <c r="G38" s="167"/>
      <c r="H38" s="166"/>
      <c r="I38" s="115"/>
      <c r="J38" s="175"/>
      <c r="K38" s="21"/>
      <c r="M38" s="20"/>
    </row>
    <row r="39" spans="1:13" s="19" customFormat="1" ht="18" customHeight="1" thickBot="1" x14ac:dyDescent="0.25">
      <c r="A39" s="8"/>
      <c r="B39" s="217"/>
      <c r="C39" s="218"/>
      <c r="D39" s="219"/>
      <c r="E39" s="219"/>
      <c r="F39" s="220"/>
      <c r="G39" s="221"/>
      <c r="H39" s="222" t="s">
        <v>23</v>
      </c>
      <c r="I39" s="140"/>
      <c r="J39" s="168">
        <f>SUM(J35:J37)</f>
        <v>0</v>
      </c>
      <c r="M39" s="20"/>
    </row>
    <row r="40" spans="1:13" s="19" customFormat="1" ht="18" customHeight="1" thickBot="1" x14ac:dyDescent="0.25">
      <c r="A40" s="8"/>
      <c r="B40" s="23"/>
      <c r="C40" s="24"/>
      <c r="D40" s="8"/>
      <c r="E40" s="22"/>
      <c r="F40" s="22"/>
      <c r="G40" s="22"/>
      <c r="H40" s="22"/>
      <c r="I40" s="25"/>
      <c r="J40" s="14"/>
      <c r="M40" s="20"/>
    </row>
    <row r="41" spans="1:13" ht="18" customHeight="1" x14ac:dyDescent="0.2">
      <c r="B41" s="176" t="s">
        <v>15</v>
      </c>
      <c r="C41" s="177"/>
      <c r="D41" s="177"/>
      <c r="E41" s="177"/>
      <c r="F41" s="177"/>
      <c r="G41" s="178"/>
      <c r="H41" s="235"/>
      <c r="I41" s="223"/>
      <c r="J41" s="26"/>
    </row>
    <row r="42" spans="1:13" ht="4.1500000000000004" customHeight="1" x14ac:dyDescent="0.2">
      <c r="B42" s="179"/>
      <c r="C42" s="180"/>
      <c r="D42" s="180"/>
      <c r="E42" s="180"/>
      <c r="F42" s="249" t="s">
        <v>64</v>
      </c>
      <c r="G42" s="247" t="s">
        <v>63</v>
      </c>
      <c r="H42" s="224"/>
      <c r="I42" s="14"/>
      <c r="J42" s="15"/>
    </row>
    <row r="43" spans="1:13" ht="18" customHeight="1" thickBot="1" x14ac:dyDescent="0.25">
      <c r="B43" s="181" t="s">
        <v>16</v>
      </c>
      <c r="C43" s="182" t="s">
        <v>17</v>
      </c>
      <c r="D43" s="182" t="s">
        <v>16</v>
      </c>
      <c r="E43" s="182" t="s">
        <v>31</v>
      </c>
      <c r="F43" s="250"/>
      <c r="G43" s="248"/>
      <c r="H43" s="225"/>
      <c r="I43" s="29"/>
      <c r="J43" s="15"/>
    </row>
    <row r="44" spans="1:13" ht="18" customHeight="1" thickBot="1" x14ac:dyDescent="0.25">
      <c r="B44" s="183" t="s">
        <v>69</v>
      </c>
      <c r="C44" s="115"/>
      <c r="D44" s="184"/>
      <c r="E44" s="185"/>
      <c r="F44" s="186"/>
      <c r="G44" s="229"/>
      <c r="H44" s="186"/>
      <c r="I44" s="29"/>
      <c r="J44" s="15"/>
    </row>
    <row r="45" spans="1:13" ht="18" customHeight="1" x14ac:dyDescent="0.2">
      <c r="B45" s="187" t="s">
        <v>10</v>
      </c>
      <c r="C45" s="206">
        <f>+HULP!D15</f>
        <v>0.2</v>
      </c>
      <c r="D45" s="188" t="s">
        <v>18</v>
      </c>
      <c r="E45" s="204">
        <f>C45</f>
        <v>0.2</v>
      </c>
      <c r="F45" s="189" t="str">
        <f>E45*100&amp;"% - "&amp;G45*100&amp;"%"</f>
        <v>20% - 50%</v>
      </c>
      <c r="G45" s="230">
        <f>+HULP!E15</f>
        <v>0.5</v>
      </c>
      <c r="H45" s="226"/>
      <c r="I45" s="14"/>
      <c r="J45" s="15"/>
    </row>
    <row r="46" spans="1:13" ht="18" customHeight="1" x14ac:dyDescent="0.2">
      <c r="B46" s="190" t="s">
        <v>11</v>
      </c>
      <c r="C46" s="203"/>
      <c r="D46" s="192" t="s">
        <v>19</v>
      </c>
      <c r="E46" s="203">
        <v>1</v>
      </c>
      <c r="F46" s="193" t="str">
        <f>E46&amp;" tot "&amp;G46</f>
        <v>1 tot 4</v>
      </c>
      <c r="G46" s="231">
        <v>4</v>
      </c>
      <c r="H46" s="227"/>
      <c r="I46" s="14"/>
      <c r="J46" s="15"/>
    </row>
    <row r="47" spans="1:13" ht="18" customHeight="1" x14ac:dyDescent="0.2">
      <c r="B47" s="194" t="s">
        <v>12</v>
      </c>
      <c r="C47" s="207">
        <f>+HULP!D16</f>
        <v>0</v>
      </c>
      <c r="D47" s="195" t="s">
        <v>18</v>
      </c>
      <c r="E47" s="202">
        <f>C47</f>
        <v>0</v>
      </c>
      <c r="F47" s="196" t="str">
        <f>E47*100&amp;"% - "&amp;G47*100&amp;"%"</f>
        <v>0% - 10%</v>
      </c>
      <c r="G47" s="232">
        <f>+HULP!E16</f>
        <v>0.1</v>
      </c>
      <c r="H47" s="228"/>
      <c r="I47" s="14"/>
      <c r="J47" s="15"/>
    </row>
    <row r="48" spans="1:13" ht="18" customHeight="1" x14ac:dyDescent="0.2">
      <c r="B48" s="190" t="s">
        <v>34</v>
      </c>
      <c r="C48" s="191"/>
      <c r="D48" s="192" t="s">
        <v>19</v>
      </c>
      <c r="E48" s="203">
        <v>1</v>
      </c>
      <c r="F48" s="193" t="str">
        <f>E48&amp;" tot "&amp;G48</f>
        <v>1 tot 2</v>
      </c>
      <c r="G48" s="231">
        <v>2</v>
      </c>
      <c r="H48" s="227"/>
      <c r="I48" s="14"/>
      <c r="J48" s="15"/>
    </row>
    <row r="49" spans="2:10" ht="18" customHeight="1" x14ac:dyDescent="0.2">
      <c r="B49" s="194" t="s">
        <v>13</v>
      </c>
      <c r="C49" s="197">
        <f>+HULP!D17</f>
        <v>0.9</v>
      </c>
      <c r="D49" s="195" t="str">
        <f>D45</f>
        <v>Norm: &gt;=</v>
      </c>
      <c r="E49" s="202">
        <f>C49</f>
        <v>0.9</v>
      </c>
      <c r="F49" s="196" t="str">
        <f>E49&amp;" - "&amp;G49</f>
        <v>0,9 - 1,4</v>
      </c>
      <c r="G49" s="233">
        <f>+HULP!E17</f>
        <v>1.4</v>
      </c>
      <c r="H49" s="228"/>
      <c r="I49" s="14"/>
      <c r="J49" s="15"/>
    </row>
    <row r="50" spans="2:10" ht="18" customHeight="1" thickBot="1" x14ac:dyDescent="0.25">
      <c r="B50" s="198" t="s">
        <v>20</v>
      </c>
      <c r="C50" s="199"/>
      <c r="D50" s="200" t="s">
        <v>19</v>
      </c>
      <c r="E50" s="205">
        <v>1</v>
      </c>
      <c r="F50" s="201" t="str">
        <f>E50&amp;" tot "&amp;G50</f>
        <v>1 tot 3</v>
      </c>
      <c r="G50" s="234">
        <v>3</v>
      </c>
      <c r="H50" s="228"/>
      <c r="I50" s="14"/>
      <c r="J50" s="15"/>
    </row>
    <row r="51" spans="2:10" ht="3.6" customHeight="1" x14ac:dyDescent="0.2">
      <c r="B51" s="27"/>
      <c r="C51" s="14"/>
      <c r="D51" s="28"/>
      <c r="E51" s="29"/>
      <c r="F51" s="30"/>
      <c r="G51" s="30"/>
      <c r="H51" s="30"/>
      <c r="I51" s="29"/>
      <c r="J51" s="15"/>
    </row>
    <row r="52" spans="2:10" ht="18" customHeight="1" x14ac:dyDescent="0.2">
      <c r="B52" s="208" t="s">
        <v>21</v>
      </c>
      <c r="C52" s="209"/>
      <c r="D52" s="115"/>
      <c r="E52" s="115"/>
      <c r="F52" s="115"/>
      <c r="G52" s="115"/>
      <c r="H52" s="115"/>
      <c r="I52" s="14"/>
      <c r="J52" s="15"/>
    </row>
    <row r="53" spans="2:10" ht="18" customHeight="1" x14ac:dyDescent="0.2">
      <c r="B53" s="257" t="str">
        <f>"1) De inschrijver dient gemiddeld een waardering te verkrijgen van minimaal 4,0 punten, onder de volgende voorwaarden:"</f>
        <v>1) De inschrijver dient gemiddeld een waardering te verkrijgen van minimaal 4,0 punten, onder de volgende voorwaarden:</v>
      </c>
      <c r="C53" s="258"/>
      <c r="D53" s="258"/>
      <c r="E53" s="258"/>
      <c r="F53" s="258"/>
      <c r="G53" s="258"/>
      <c r="H53" s="236"/>
      <c r="I53" s="14"/>
      <c r="J53" s="15"/>
    </row>
    <row r="54" spans="2:10" ht="22.5" customHeight="1" x14ac:dyDescent="0.2">
      <c r="B54" s="259" t="s">
        <v>125</v>
      </c>
      <c r="C54" s="260"/>
      <c r="D54" s="260"/>
      <c r="E54" s="260"/>
      <c r="F54" s="260"/>
      <c r="G54" s="260"/>
      <c r="H54" s="237"/>
      <c r="I54" s="14"/>
      <c r="J54" s="15"/>
    </row>
    <row r="55" spans="2:10" ht="34.5" customHeight="1" x14ac:dyDescent="0.2">
      <c r="B55" s="261" t="str">
        <f>"● Er dient een minimale score van 1,0 punt op rentabiliteit behaald te worden. Indien dit niet behaald wordt dan dient er ter compensatie minimaal 
   een gemiddelde solvabiliteit van "&amp;G45*100-10&amp;"% gehaald te worden."</f>
        <v>● Er dient een minimale score van 1,0 punt op rentabiliteit behaald te worden. Indien dit niet behaald wordt dan dient er ter compensatie minimaal 
   een gemiddelde solvabiliteit van 40% gehaald te worden.</v>
      </c>
      <c r="C55" s="262"/>
      <c r="D55" s="262"/>
      <c r="E55" s="262"/>
      <c r="F55" s="262"/>
      <c r="G55" s="262"/>
      <c r="H55" s="238"/>
      <c r="I55" s="14"/>
      <c r="J55" s="15"/>
    </row>
    <row r="56" spans="2:10" ht="4.1500000000000004" customHeight="1" x14ac:dyDescent="0.2">
      <c r="B56" s="210"/>
      <c r="C56" s="115"/>
      <c r="D56" s="211"/>
      <c r="E56" s="185"/>
      <c r="F56" s="185"/>
      <c r="G56" s="185"/>
      <c r="H56" s="185"/>
      <c r="I56" s="29"/>
      <c r="J56" s="15"/>
    </row>
    <row r="57" spans="2:10" ht="18" customHeight="1" x14ac:dyDescent="0.2">
      <c r="B57" s="208" t="s">
        <v>22</v>
      </c>
      <c r="C57" s="115"/>
      <c r="D57" s="211"/>
      <c r="E57" s="185"/>
      <c r="F57" s="185"/>
      <c r="G57" s="185"/>
      <c r="H57" s="185"/>
      <c r="I57" s="29"/>
      <c r="J57" s="15"/>
    </row>
    <row r="58" spans="2:10" ht="29.25" customHeight="1" x14ac:dyDescent="0.2">
      <c r="B58" s="245" t="s">
        <v>126</v>
      </c>
      <c r="C58" s="246"/>
      <c r="D58" s="246"/>
      <c r="E58" s="246"/>
      <c r="F58" s="246"/>
      <c r="G58" s="246"/>
      <c r="H58" s="185"/>
      <c r="I58" s="29"/>
      <c r="J58" s="15"/>
    </row>
    <row r="59" spans="2:10" ht="18" customHeight="1" x14ac:dyDescent="0.2">
      <c r="B59" s="245"/>
      <c r="C59" s="246"/>
      <c r="D59" s="246"/>
      <c r="E59" s="246"/>
      <c r="F59" s="246"/>
      <c r="G59" s="246"/>
      <c r="H59" s="185"/>
      <c r="I59" s="29"/>
      <c r="J59" s="15"/>
    </row>
    <row r="60" spans="2:10" ht="18" customHeight="1" x14ac:dyDescent="0.2">
      <c r="B60" s="212" t="str">
        <f>"           ●  jaar "&amp;F14&amp;" "&amp;F33&amp; "/"&amp;SUM(D33:F33)</f>
        <v xml:space="preserve">           ●  jaar 2020 1/4</v>
      </c>
      <c r="C60" s="115"/>
      <c r="D60" s="184"/>
      <c r="E60" s="185"/>
      <c r="F60" s="185"/>
      <c r="G60" s="185"/>
      <c r="H60" s="185"/>
      <c r="I60" s="29"/>
      <c r="J60" s="15"/>
    </row>
    <row r="61" spans="2:10" ht="18" customHeight="1" x14ac:dyDescent="0.2">
      <c r="B61" s="212" t="str">
        <f>"           ●  jaar "&amp;E14&amp;" "&amp;E33&amp;"/"&amp;SUM(D33:F33)</f>
        <v xml:space="preserve">           ●  jaar 2021 1/4</v>
      </c>
      <c r="C61" s="115"/>
      <c r="D61" s="184"/>
      <c r="E61" s="185"/>
      <c r="F61" s="185"/>
      <c r="G61" s="185"/>
      <c r="H61" s="185"/>
      <c r="I61" s="29"/>
      <c r="J61" s="15"/>
    </row>
    <row r="62" spans="2:10" ht="18" customHeight="1" x14ac:dyDescent="0.2">
      <c r="B62" s="212" t="str">
        <f>"           ●  jaar "&amp;D14&amp;" "&amp;D33&amp; "/"&amp;SUM(D33:F33)</f>
        <v xml:space="preserve">           ●  jaar 2022 2/4</v>
      </c>
      <c r="C62" s="115"/>
      <c r="D62" s="185"/>
      <c r="E62" s="185"/>
      <c r="F62" s="185"/>
      <c r="G62" s="185"/>
      <c r="H62" s="185"/>
      <c r="I62" s="29"/>
      <c r="J62" s="15"/>
    </row>
    <row r="63" spans="2:10" ht="4.1500000000000004" customHeight="1" x14ac:dyDescent="0.2">
      <c r="B63" s="212"/>
      <c r="C63" s="115"/>
      <c r="D63" s="185"/>
      <c r="E63" s="185"/>
      <c r="F63" s="185"/>
      <c r="G63" s="185"/>
      <c r="H63" s="185"/>
      <c r="I63" s="29"/>
      <c r="J63" s="15"/>
    </row>
    <row r="64" spans="2:10" ht="18" customHeight="1" thickBot="1" x14ac:dyDescent="0.25">
      <c r="B64" s="241" t="s">
        <v>36</v>
      </c>
      <c r="C64" s="140"/>
      <c r="D64" s="213"/>
      <c r="E64" s="213"/>
      <c r="F64" s="213"/>
      <c r="G64" s="213"/>
      <c r="H64" s="213"/>
      <c r="I64" s="214"/>
      <c r="J64" s="17"/>
    </row>
    <row r="65" spans="2:6" ht="18" customHeight="1" x14ac:dyDescent="0.2"/>
    <row r="66" spans="2:6" ht="18" customHeight="1" x14ac:dyDescent="0.2"/>
    <row r="71" spans="2:6" ht="18" hidden="1" customHeight="1" x14ac:dyDescent="0.2">
      <c r="D71" s="31"/>
      <c r="E71" s="31"/>
      <c r="F71" s="31"/>
    </row>
    <row r="72" spans="2:6" ht="18" hidden="1" customHeight="1" x14ac:dyDescent="0.2">
      <c r="F72" s="32"/>
    </row>
    <row r="75" spans="2:6" ht="18" hidden="1" customHeight="1" x14ac:dyDescent="0.2">
      <c r="B75" s="7"/>
    </row>
    <row r="103" spans="2:2" ht="18" hidden="1" customHeight="1" x14ac:dyDescent="0.2">
      <c r="B103" s="8" t="s">
        <v>71</v>
      </c>
    </row>
    <row r="104" spans="2:2" ht="18" customHeight="1" x14ac:dyDescent="0.2"/>
    <row r="105" spans="2:2" ht="18" customHeight="1" x14ac:dyDescent="0.2"/>
    <row r="106" spans="2:2" ht="18" customHeight="1" x14ac:dyDescent="0.2"/>
    <row r="107" spans="2:2" ht="18" customHeight="1" x14ac:dyDescent="0.2"/>
  </sheetData>
  <sheetProtection algorithmName="SHA-512" hashValue="XgHhLG7eQ5Q+Q5oeva1zuVVF1v9Wn2rj57ShU02UaicPSS657eDoPdVls2e/mgn5VllvlCpevaplkgd5pOILcQ==" saltValue="QFWaSimvkearGsrMqabgaw==" spinCount="100000" sheet="1" objects="1" scenarios="1"/>
  <mergeCells count="10">
    <mergeCell ref="B58:G59"/>
    <mergeCell ref="G42:G43"/>
    <mergeCell ref="F42:F43"/>
    <mergeCell ref="D10:G10"/>
    <mergeCell ref="G24:J24"/>
    <mergeCell ref="G25:J25"/>
    <mergeCell ref="G18:J18"/>
    <mergeCell ref="B53:G53"/>
    <mergeCell ref="B54:G54"/>
    <mergeCell ref="B55:G55"/>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AND(HULP!$G$9&gt;=2,$J$39&gt;=4)</xm:f>
            <x14:dxf>
              <fill>
                <patternFill>
                  <bgColor indexed="11"/>
                </patternFill>
              </fill>
            </x14:dxf>
          </x14:cfRule>
          <x14:cfRule type="expression" priority="8" stopIfTrue="1" id="{94760823-8261-4205-9D46-9AFF4B1198E6}">
            <xm:f>OR(HULP!$G$9&lt;2,$J$39&lt;4)</xm:f>
            <x14:dxf>
              <fill>
                <patternFill>
                  <bgColor indexed="10"/>
                </patternFill>
              </fill>
            </x14:dxf>
          </x14:cfRule>
          <xm:sqref>J39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D14</xm:sqref>
        </x14:dataValidation>
        <x14:dataValidation type="list" allowBlank="1" showInputMessage="1" showErrorMessage="1" xr:uid="{00000000-0002-0000-0100-000001000000}">
          <x14:formula1>
            <xm:f>HULP!$H$7:$H$9</xm:f>
          </x14:formula1>
          <xm:sqref>D12</xm:sqref>
        </x14:dataValidation>
        <x14:dataValidation type="list" allowBlank="1" showInputMessage="1" showErrorMessage="1" xr:uid="{00000000-0002-0000-0100-000002000000}">
          <x14:formula1>
            <xm:f>HULP!$E$7:$E$9</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H95" sqref="H95"/>
    </sheetView>
  </sheetViews>
  <sheetFormatPr defaultColWidth="0" defaultRowHeight="14.25" zeroHeight="1" x14ac:dyDescent="0.2"/>
  <cols>
    <col min="1" max="1" width="3.28515625" style="34" customWidth="1"/>
    <col min="2" max="2" width="17.5703125" style="34" customWidth="1"/>
    <col min="3" max="11" width="14.7109375" style="34" customWidth="1"/>
    <col min="12" max="13" width="9.140625" style="34" customWidth="1"/>
    <col min="14" max="22" width="0" style="34" hidden="1" customWidth="1"/>
    <col min="23" max="16384" width="9.140625" style="34" hidden="1"/>
  </cols>
  <sheetData>
    <row r="1" spans="2:22" x14ac:dyDescent="0.2"/>
    <row r="2" spans="2:22" ht="22.5" x14ac:dyDescent="0.3">
      <c r="B2" s="57" t="s">
        <v>101</v>
      </c>
      <c r="C2" s="9"/>
      <c r="D2" s="8"/>
      <c r="E2" s="8"/>
      <c r="F2" s="8"/>
      <c r="G2" s="8"/>
      <c r="H2" s="8"/>
      <c r="I2" s="8"/>
    </row>
    <row r="3" spans="2:22" x14ac:dyDescent="0.2">
      <c r="B3" s="35"/>
      <c r="C3" s="9"/>
      <c r="D3" s="8"/>
      <c r="E3" s="8"/>
      <c r="F3" s="8"/>
      <c r="G3" s="8"/>
      <c r="H3" s="8"/>
      <c r="I3" s="8"/>
    </row>
    <row r="4" spans="2:22" x14ac:dyDescent="0.2">
      <c r="B4" s="35"/>
      <c r="C4" s="9"/>
      <c r="D4" s="8"/>
      <c r="E4" s="8"/>
      <c r="F4" s="8"/>
      <c r="G4" s="8"/>
      <c r="H4" s="8"/>
      <c r="I4" s="8"/>
    </row>
    <row r="5" spans="2:22" ht="12.75" customHeight="1" x14ac:dyDescent="0.2">
      <c r="B5" s="69"/>
      <c r="C5" s="70" t="s">
        <v>42</v>
      </c>
      <c r="D5" s="70"/>
      <c r="E5" s="70"/>
      <c r="F5" s="70"/>
      <c r="G5" s="70"/>
      <c r="H5" s="70"/>
      <c r="I5" s="71"/>
      <c r="N5" s="36"/>
      <c r="O5" s="36"/>
      <c r="P5" s="36"/>
      <c r="Q5" s="36"/>
      <c r="R5" s="36"/>
      <c r="S5" s="36"/>
      <c r="T5" s="36"/>
      <c r="U5" s="36"/>
      <c r="V5" s="36"/>
    </row>
    <row r="6" spans="2:22" x14ac:dyDescent="0.2">
      <c r="B6" s="72" t="s">
        <v>41</v>
      </c>
      <c r="C6" s="73" t="s">
        <v>40</v>
      </c>
      <c r="D6" s="73" t="s">
        <v>41</v>
      </c>
      <c r="E6" s="73" t="s">
        <v>29</v>
      </c>
      <c r="F6" s="73"/>
      <c r="G6" s="73" t="s">
        <v>47</v>
      </c>
      <c r="H6" s="73" t="s">
        <v>43</v>
      </c>
      <c r="I6" s="74" t="s">
        <v>44</v>
      </c>
      <c r="M6" s="36"/>
      <c r="N6" s="36"/>
      <c r="O6" s="36"/>
      <c r="P6" s="36"/>
      <c r="Q6" s="36"/>
      <c r="R6" s="36"/>
      <c r="S6" s="36"/>
      <c r="T6" s="36"/>
      <c r="U6" s="36"/>
      <c r="V6" s="36"/>
    </row>
    <row r="7" spans="2:22" x14ac:dyDescent="0.2">
      <c r="B7" s="37" t="s">
        <v>37</v>
      </c>
      <c r="C7" s="38">
        <v>2</v>
      </c>
      <c r="D7" s="39">
        <v>2023</v>
      </c>
      <c r="E7" s="40" t="s">
        <v>25</v>
      </c>
      <c r="F7" s="41"/>
      <c r="G7" s="42">
        <f>IF(Kengetallen!J35&gt;=1,1,0)</f>
        <v>1</v>
      </c>
      <c r="H7" s="43">
        <v>1</v>
      </c>
      <c r="I7" s="33">
        <v>1000000</v>
      </c>
      <c r="M7" s="36"/>
      <c r="N7" s="36"/>
      <c r="O7" s="36"/>
      <c r="P7" s="36"/>
      <c r="Q7" s="36"/>
      <c r="R7" s="36"/>
      <c r="S7" s="36"/>
      <c r="T7" s="36"/>
      <c r="U7" s="36"/>
      <c r="V7" s="36"/>
    </row>
    <row r="8" spans="2:22" x14ac:dyDescent="0.2">
      <c r="B8" s="37" t="s">
        <v>38</v>
      </c>
      <c r="C8" s="38">
        <v>1</v>
      </c>
      <c r="D8" s="95">
        <f>+D7-1</f>
        <v>2022</v>
      </c>
      <c r="E8" s="40" t="s">
        <v>26</v>
      </c>
      <c r="F8" s="41"/>
      <c r="G8" s="42">
        <f>IF(Kengetallen!J36&gt;=1,1,IF(Kengetallen!H35&gt;=(Kengetallen!G45-0.1),1,0))</f>
        <v>1</v>
      </c>
      <c r="H8" s="43">
        <v>1000</v>
      </c>
      <c r="I8" s="33">
        <v>1000</v>
      </c>
      <c r="M8" s="36"/>
      <c r="N8" s="36"/>
      <c r="O8" s="36"/>
      <c r="P8" s="36"/>
      <c r="Q8" s="36"/>
      <c r="R8" s="36"/>
      <c r="S8" s="36"/>
      <c r="T8" s="36"/>
      <c r="U8" s="36"/>
      <c r="V8" s="36"/>
    </row>
    <row r="9" spans="2:22" x14ac:dyDescent="0.2">
      <c r="B9" s="37" t="s">
        <v>39</v>
      </c>
      <c r="C9" s="38">
        <v>1</v>
      </c>
      <c r="D9" s="95">
        <f>+D8-1</f>
        <v>2021</v>
      </c>
      <c r="E9" s="40" t="s">
        <v>27</v>
      </c>
      <c r="F9" s="41"/>
      <c r="G9" s="42">
        <f>SUM(G7:G8)</f>
        <v>2</v>
      </c>
      <c r="H9" s="43">
        <v>1000000</v>
      </c>
      <c r="I9" s="33">
        <v>1</v>
      </c>
      <c r="M9" s="36"/>
      <c r="N9" s="36"/>
      <c r="O9" s="36"/>
      <c r="P9" s="36"/>
      <c r="Q9" s="36"/>
      <c r="R9" s="36"/>
      <c r="S9" s="36"/>
      <c r="T9" s="36"/>
      <c r="U9" s="36"/>
      <c r="V9" s="36"/>
    </row>
    <row r="10" spans="2:22" x14ac:dyDescent="0.2">
      <c r="B10" s="8"/>
      <c r="C10" s="9"/>
      <c r="D10" s="44"/>
      <c r="E10" s="9"/>
      <c r="F10" s="9"/>
      <c r="G10" s="9"/>
      <c r="H10" s="8"/>
      <c r="I10" s="75">
        <f>VLOOKUP(Kengetallen!D12,H7:$I$9,2,FALSE)</f>
        <v>1000</v>
      </c>
      <c r="J10" s="34" t="s">
        <v>114</v>
      </c>
      <c r="M10" s="36"/>
      <c r="N10" s="36"/>
      <c r="O10" s="36"/>
      <c r="P10" s="36"/>
      <c r="Q10" s="36"/>
      <c r="R10" s="36"/>
      <c r="S10" s="36"/>
      <c r="T10" s="36"/>
      <c r="U10" s="36"/>
      <c r="V10" s="36"/>
    </row>
    <row r="11" spans="2:22" x14ac:dyDescent="0.2">
      <c r="B11" s="8"/>
      <c r="C11" s="9"/>
      <c r="D11" s="8"/>
      <c r="E11" s="8"/>
      <c r="F11" s="8"/>
      <c r="G11" s="8"/>
      <c r="H11" s="8"/>
      <c r="I11" s="8"/>
    </row>
    <row r="12" spans="2:22" x14ac:dyDescent="0.2">
      <c r="B12" s="8"/>
      <c r="C12" s="9"/>
      <c r="D12" s="8"/>
      <c r="E12" s="8"/>
      <c r="F12" s="8"/>
      <c r="G12" s="8"/>
      <c r="H12" s="8"/>
      <c r="I12" s="8"/>
    </row>
    <row r="13" spans="2:22" x14ac:dyDescent="0.2">
      <c r="B13" s="76" t="s">
        <v>83</v>
      </c>
      <c r="C13" s="70"/>
      <c r="D13" s="77" t="s">
        <v>80</v>
      </c>
      <c r="E13" s="77" t="s">
        <v>82</v>
      </c>
      <c r="F13" s="70"/>
      <c r="G13" s="70"/>
      <c r="H13" s="70"/>
      <c r="I13" s="71"/>
    </row>
    <row r="14" spans="2:22" x14ac:dyDescent="0.2">
      <c r="B14" s="72"/>
      <c r="C14" s="73"/>
      <c r="D14" s="78" t="s">
        <v>81</v>
      </c>
      <c r="E14" s="78" t="s">
        <v>81</v>
      </c>
      <c r="F14" s="73" t="s">
        <v>94</v>
      </c>
      <c r="G14" s="73"/>
      <c r="H14" s="73"/>
      <c r="I14" s="74"/>
    </row>
    <row r="15" spans="2:22" x14ac:dyDescent="0.2">
      <c r="B15" s="45"/>
      <c r="C15" s="46" t="s">
        <v>10</v>
      </c>
      <c r="D15" s="47">
        <v>0.2</v>
      </c>
      <c r="E15" s="48">
        <f>+D15+0.3</f>
        <v>0.5</v>
      </c>
      <c r="F15" s="45" t="s">
        <v>91</v>
      </c>
      <c r="G15" s="16"/>
      <c r="H15" s="16"/>
      <c r="I15" s="49"/>
    </row>
    <row r="16" spans="2:22" x14ac:dyDescent="0.2">
      <c r="B16" s="45"/>
      <c r="C16" s="46" t="s">
        <v>12</v>
      </c>
      <c r="D16" s="93">
        <v>0</v>
      </c>
      <c r="E16" s="50">
        <v>0.1</v>
      </c>
      <c r="F16" s="45" t="s">
        <v>92</v>
      </c>
      <c r="G16" s="16"/>
      <c r="H16" s="16"/>
      <c r="I16" s="49"/>
    </row>
    <row r="17" spans="2:11" x14ac:dyDescent="0.2">
      <c r="B17" s="45"/>
      <c r="C17" s="46" t="s">
        <v>13</v>
      </c>
      <c r="D17" s="94">
        <v>0.9</v>
      </c>
      <c r="E17" s="51">
        <v>1.4</v>
      </c>
      <c r="F17" s="45" t="s">
        <v>93</v>
      </c>
      <c r="G17" s="16"/>
      <c r="H17" s="16"/>
      <c r="I17" s="49"/>
    </row>
    <row r="18" spans="2:11" x14ac:dyDescent="0.2">
      <c r="B18" s="8"/>
      <c r="C18" s="9"/>
      <c r="D18" s="8"/>
      <c r="E18" s="8"/>
      <c r="F18" s="8"/>
      <c r="G18" s="8"/>
      <c r="H18" s="8"/>
      <c r="I18" s="8"/>
    </row>
    <row r="19" spans="2:11" x14ac:dyDescent="0.2">
      <c r="B19" s="45"/>
      <c r="C19" s="46" t="s">
        <v>84</v>
      </c>
      <c r="D19" s="95">
        <f>+D7</f>
        <v>2023</v>
      </c>
      <c r="E19" s="8"/>
      <c r="F19" s="8"/>
      <c r="G19" s="8"/>
      <c r="H19" s="8"/>
      <c r="I19" s="8"/>
    </row>
    <row r="20" spans="2:11" x14ac:dyDescent="0.2">
      <c r="B20" s="8"/>
      <c r="C20" s="9"/>
      <c r="D20" s="8"/>
      <c r="E20" s="8"/>
      <c r="F20" s="8"/>
      <c r="G20" s="8"/>
      <c r="H20" s="8"/>
      <c r="I20" s="8"/>
    </row>
    <row r="21" spans="2:11" x14ac:dyDescent="0.2"/>
    <row r="22" spans="2:11" x14ac:dyDescent="0.2">
      <c r="B22" s="76" t="s">
        <v>90</v>
      </c>
      <c r="C22" s="70"/>
      <c r="D22" s="77"/>
      <c r="E22" s="77"/>
      <c r="F22" s="70"/>
      <c r="G22" s="70"/>
      <c r="H22" s="70"/>
      <c r="I22" s="70"/>
      <c r="J22" s="70"/>
      <c r="K22" s="71"/>
    </row>
    <row r="23" spans="2:11" x14ac:dyDescent="0.2">
      <c r="B23" s="72"/>
      <c r="C23" s="73"/>
      <c r="D23" s="78"/>
      <c r="E23" s="78"/>
      <c r="F23" s="73"/>
      <c r="G23" s="73"/>
      <c r="H23" s="73"/>
      <c r="I23" s="73"/>
      <c r="J23" s="73"/>
      <c r="K23" s="74"/>
    </row>
    <row r="24" spans="2:11" x14ac:dyDescent="0.2"/>
    <row r="25" spans="2:11" x14ac:dyDescent="0.2"/>
    <row r="26" spans="2:11" x14ac:dyDescent="0.2">
      <c r="B26" s="52" t="s">
        <v>89</v>
      </c>
      <c r="C26" s="52"/>
      <c r="E26" s="58" t="s">
        <v>102</v>
      </c>
    </row>
    <row r="27" spans="2:11" x14ac:dyDescent="0.2">
      <c r="E27" s="59" t="s">
        <v>103</v>
      </c>
    </row>
    <row r="28" spans="2:11" x14ac:dyDescent="0.2">
      <c r="B28" s="34" t="s">
        <v>10</v>
      </c>
      <c r="C28" s="53">
        <f>+D15</f>
        <v>0.2</v>
      </c>
      <c r="D28" s="53">
        <f t="shared" ref="D28:K28" si="0">+C28+0.1</f>
        <v>0.30000000000000004</v>
      </c>
      <c r="E28" s="54">
        <f t="shared" si="0"/>
        <v>0.4</v>
      </c>
      <c r="F28" s="53">
        <f t="shared" si="0"/>
        <v>0.5</v>
      </c>
      <c r="G28" s="53">
        <f t="shared" si="0"/>
        <v>0.6</v>
      </c>
      <c r="H28" s="53">
        <f t="shared" si="0"/>
        <v>0.7</v>
      </c>
      <c r="I28" s="53">
        <f t="shared" si="0"/>
        <v>0.79999999999999993</v>
      </c>
      <c r="J28" s="53">
        <f t="shared" si="0"/>
        <v>0.89999999999999991</v>
      </c>
      <c r="K28" s="53">
        <f t="shared" si="0"/>
        <v>0.99999999999999989</v>
      </c>
    </row>
    <row r="29" spans="2:11" x14ac:dyDescent="0.2">
      <c r="B29" s="34" t="s">
        <v>85</v>
      </c>
      <c r="C29" s="34">
        <v>1</v>
      </c>
      <c r="D29" s="34">
        <v>2</v>
      </c>
      <c r="E29" s="34">
        <v>3</v>
      </c>
      <c r="F29" s="34">
        <v>4</v>
      </c>
      <c r="G29" s="34">
        <v>4</v>
      </c>
      <c r="H29" s="34">
        <v>4</v>
      </c>
      <c r="I29" s="34">
        <v>4</v>
      </c>
      <c r="J29" s="34">
        <v>4</v>
      </c>
      <c r="K29" s="34">
        <v>4</v>
      </c>
    </row>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row r="59" spans="2:12" x14ac:dyDescent="0.2">
      <c r="B59" s="52" t="s">
        <v>88</v>
      </c>
      <c r="C59" s="52"/>
    </row>
    <row r="60" spans="2:12" x14ac:dyDescent="0.2"/>
    <row r="61" spans="2:12" x14ac:dyDescent="0.2">
      <c r="B61" s="34" t="s">
        <v>12</v>
      </c>
      <c r="C61" s="53">
        <v>0</v>
      </c>
      <c r="D61" s="53">
        <f t="shared" ref="D61:J61" si="1">+C61+0.1</f>
        <v>0.1</v>
      </c>
      <c r="E61" s="53">
        <f t="shared" si="1"/>
        <v>0.2</v>
      </c>
      <c r="F61" s="53">
        <f t="shared" si="1"/>
        <v>0.30000000000000004</v>
      </c>
      <c r="G61" s="53">
        <f t="shared" si="1"/>
        <v>0.4</v>
      </c>
      <c r="H61" s="53">
        <f t="shared" si="1"/>
        <v>0.5</v>
      </c>
      <c r="I61" s="53">
        <f t="shared" si="1"/>
        <v>0.6</v>
      </c>
      <c r="J61" s="53">
        <f t="shared" si="1"/>
        <v>0.7</v>
      </c>
      <c r="K61" s="53"/>
      <c r="L61" s="53"/>
    </row>
    <row r="62" spans="2:12" x14ac:dyDescent="0.2">
      <c r="B62" s="34" t="s">
        <v>85</v>
      </c>
      <c r="C62" s="34">
        <v>1</v>
      </c>
      <c r="D62" s="34">
        <v>2</v>
      </c>
      <c r="E62" s="34">
        <v>2</v>
      </c>
      <c r="F62" s="34">
        <v>2</v>
      </c>
      <c r="G62" s="34">
        <v>2</v>
      </c>
      <c r="H62" s="34">
        <v>2</v>
      </c>
      <c r="I62" s="34">
        <v>2</v>
      </c>
      <c r="J62" s="34">
        <v>2</v>
      </c>
    </row>
    <row r="63" spans="2:12" x14ac:dyDescent="0.2"/>
    <row r="64" spans="2:1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11" x14ac:dyDescent="0.2"/>
    <row r="82" spans="2:11" x14ac:dyDescent="0.2"/>
    <row r="83" spans="2:11" x14ac:dyDescent="0.2"/>
    <row r="84" spans="2:11" x14ac:dyDescent="0.2"/>
    <row r="85" spans="2:11" x14ac:dyDescent="0.2"/>
    <row r="86" spans="2:11" x14ac:dyDescent="0.2"/>
    <row r="87" spans="2:11" x14ac:dyDescent="0.2"/>
    <row r="88" spans="2:11" x14ac:dyDescent="0.2"/>
    <row r="89" spans="2:11" x14ac:dyDescent="0.2"/>
    <row r="90" spans="2:11" x14ac:dyDescent="0.2"/>
    <row r="91" spans="2:11" x14ac:dyDescent="0.2"/>
    <row r="92" spans="2:11" x14ac:dyDescent="0.2">
      <c r="B92" s="52" t="s">
        <v>87</v>
      </c>
      <c r="C92" s="52"/>
    </row>
    <row r="93" spans="2:11" x14ac:dyDescent="0.2"/>
    <row r="94" spans="2:11" x14ac:dyDescent="0.2">
      <c r="B94" s="34" t="s">
        <v>86</v>
      </c>
      <c r="C94" s="55">
        <v>0.9</v>
      </c>
      <c r="D94" s="55">
        <v>1</v>
      </c>
      <c r="E94" s="55">
        <v>1.1000000000000001</v>
      </c>
      <c r="F94" s="55">
        <v>1.2</v>
      </c>
      <c r="G94" s="55">
        <v>1.3</v>
      </c>
      <c r="H94" s="55">
        <v>1.4</v>
      </c>
      <c r="I94" s="55">
        <v>2</v>
      </c>
      <c r="J94" s="55">
        <v>3</v>
      </c>
      <c r="K94" s="55">
        <v>3</v>
      </c>
    </row>
    <row r="95" spans="2:11" x14ac:dyDescent="0.2">
      <c r="B95" s="34" t="s">
        <v>85</v>
      </c>
      <c r="C95" s="34">
        <v>1</v>
      </c>
      <c r="D95" s="56">
        <f>1+((+D94-$C$94)/0.5)*2</f>
        <v>1.4</v>
      </c>
      <c r="E95" s="56">
        <f>1+((+E94-$C$94)/0.5)*2</f>
        <v>1.8000000000000003</v>
      </c>
      <c r="F95" s="56">
        <f>1+((+F94-$C$94)/0.5)*2</f>
        <v>2.1999999999999997</v>
      </c>
      <c r="G95" s="56">
        <f>1+((+G94-$C$94)/0.5)*2</f>
        <v>2.6</v>
      </c>
      <c r="H95" s="56">
        <f>1+((+H94-$C$94)/0.5)*2</f>
        <v>2.9999999999999996</v>
      </c>
      <c r="I95" s="56">
        <v>3</v>
      </c>
      <c r="J95" s="34">
        <v>3</v>
      </c>
      <c r="K95" s="34">
        <v>3</v>
      </c>
    </row>
    <row r="96" spans="2:11"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Tim T. Blijham</cp:lastModifiedBy>
  <cp:lastPrinted>2015-02-24T14:03:25Z</cp:lastPrinted>
  <dcterms:created xsi:type="dcterms:W3CDTF">2005-12-12T14:07:38Z</dcterms:created>
  <dcterms:modified xsi:type="dcterms:W3CDTF">2024-04-03T09:16:06Z</dcterms:modified>
</cp:coreProperties>
</file>