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MWS\C5\nvi\"/>
    </mc:Choice>
  </mc:AlternateContent>
  <bookViews>
    <workbookView xWindow="0" yWindow="0" windowWidth="14370" windowHeight="3015" firstSheet="15" activeTab="15"/>
  </bookViews>
  <sheets>
    <sheet name="B1" sheetId="5" state="hidden" r:id="rId1"/>
    <sheet name="Totaaloverzicht" sheetId="10" state="hidden" r:id="rId2"/>
    <sheet name="B2" sheetId="7" state="hidden" r:id="rId3"/>
    <sheet name="B3" sheetId="4" state="hidden" r:id="rId4"/>
    <sheet name="B4" sheetId="6" state="hidden" r:id="rId5"/>
    <sheet name="B5" sheetId="8" state="hidden" r:id="rId6"/>
    <sheet name="B6" sheetId="3" state="hidden" r:id="rId7"/>
    <sheet name="B7" sheetId="9" state="hidden" r:id="rId8"/>
    <sheet name="Rekenblad" sheetId="2" state="hidden" r:id="rId9"/>
    <sheet name="Blad3" sheetId="19" state="hidden" r:id="rId10"/>
    <sheet name="Rekenblad Cleo" sheetId="18" state="hidden" r:id="rId11"/>
    <sheet name="Inschrijfstaat B1" sheetId="11" state="hidden" r:id="rId12"/>
    <sheet name="Inschrijfstaat B2" sheetId="15" state="hidden" r:id="rId13"/>
    <sheet name="Inschrijfstaat B3" sheetId="12" state="hidden" r:id="rId14"/>
    <sheet name="Inschrijfstaat B4" sheetId="13" state="hidden" r:id="rId15"/>
    <sheet name="Inschrijfstaat B5" sheetId="17" r:id="rId16"/>
    <sheet name="Inschrijfstaat B6" sheetId="14" state="hidden" r:id="rId17"/>
    <sheet name="Inschrijfstaat B7" sheetId="16" state="hidden" r:id="rId18"/>
  </sheets>
  <definedNames>
    <definedName name="_xlnm.Print_Area" localSheetId="8">Rekenblad!$A$5:$O$252</definedName>
    <definedName name="_xlnm.Print_Area" localSheetId="10">'Rekenblad Cleo'!$A$5:$O$252</definedName>
    <definedName name="_xlnm.Print_Titles" localSheetId="8">Rekenblad!$5:$15</definedName>
    <definedName name="_xlnm.Print_Titles" localSheetId="10">'Rekenblad Cleo'!$5:$15</definedName>
  </definedNames>
  <calcPr calcId="162913"/>
</workbook>
</file>

<file path=xl/calcChain.xml><?xml version="1.0" encoding="utf-8"?>
<calcChain xmlns="http://schemas.openxmlformats.org/spreadsheetml/2006/main">
  <c r="H25" i="17" l="1"/>
  <c r="D8" i="19"/>
  <c r="D61" i="19"/>
  <c r="F61" i="19"/>
  <c r="F188" i="5"/>
  <c r="E42" i="11"/>
  <c r="F60" i="19"/>
  <c r="F153" i="5"/>
  <c r="E41" i="11"/>
  <c r="F59" i="19"/>
  <c r="F176" i="5"/>
  <c r="E40" i="11"/>
  <c r="F58" i="19"/>
  <c r="F175" i="5"/>
  <c r="E39" i="11"/>
  <c r="F174" i="5"/>
  <c r="E36" i="11"/>
  <c r="F160" i="5"/>
  <c r="E35" i="11"/>
  <c r="F158" i="5"/>
  <c r="E34" i="11"/>
  <c r="F171" i="5"/>
  <c r="E33" i="11"/>
  <c r="F170" i="5"/>
  <c r="E32" i="11"/>
  <c r="F161" i="5"/>
  <c r="E31" i="11"/>
  <c r="F63" i="19"/>
  <c r="F110" i="5"/>
  <c r="E29" i="11"/>
  <c r="F229" i="5"/>
  <c r="E28" i="11"/>
  <c r="F48" i="19"/>
  <c r="F27" i="5"/>
  <c r="E27" i="11"/>
  <c r="F47" i="19"/>
  <c r="F65" i="5"/>
  <c r="E26" i="11"/>
  <c r="D9" i="19"/>
  <c r="D16" i="19"/>
  <c r="D46" i="19"/>
  <c r="F46" i="19"/>
  <c r="F35" i="5"/>
  <c r="E25" i="11"/>
  <c r="F44" i="19"/>
  <c r="F76" i="5"/>
  <c r="E22" i="11"/>
  <c r="F43" i="19"/>
  <c r="F93" i="5"/>
  <c r="E21" i="11"/>
  <c r="F41" i="19"/>
  <c r="F139" i="5"/>
  <c r="E19" i="11"/>
  <c r="F39" i="19"/>
  <c r="F134" i="5"/>
  <c r="E18" i="11"/>
  <c r="F38" i="19"/>
  <c r="F133" i="2"/>
  <c r="F133" i="5"/>
  <c r="E17" i="11"/>
  <c r="F107" i="2"/>
  <c r="F107" i="5"/>
  <c r="E16" i="11"/>
  <c r="E33" i="19"/>
  <c r="F34" i="19"/>
  <c r="F106" i="2"/>
  <c r="F106" i="5"/>
  <c r="E15" i="11"/>
  <c r="E31" i="19"/>
  <c r="F31" i="19"/>
  <c r="F88" i="2"/>
  <c r="F88" i="5"/>
  <c r="E14" i="11"/>
  <c r="F28" i="19"/>
  <c r="F82" i="2"/>
  <c r="F82" i="5"/>
  <c r="E13" i="11"/>
  <c r="F27" i="19"/>
  <c r="F81" i="2"/>
  <c r="F81" i="5"/>
  <c r="E12" i="11"/>
  <c r="F26" i="19"/>
  <c r="F99" i="2"/>
  <c r="F99" i="5"/>
  <c r="E11" i="11"/>
  <c r="F25" i="19"/>
  <c r="F94" i="2"/>
  <c r="F94" i="5"/>
  <c r="E10" i="11"/>
  <c r="C23" i="19"/>
  <c r="D23" i="19"/>
  <c r="F24" i="19"/>
  <c r="F71" i="2"/>
  <c r="F71" i="5"/>
  <c r="E9" i="11"/>
  <c r="D10" i="19"/>
  <c r="E13" i="19"/>
  <c r="F13" i="19"/>
  <c r="F16" i="2"/>
  <c r="F17" i="8"/>
  <c r="O15" i="8"/>
  <c r="F15" i="8"/>
  <c r="K9" i="8"/>
  <c r="F3" i="19"/>
  <c r="M9" i="2"/>
  <c r="M9" i="8"/>
  <c r="K10" i="8"/>
  <c r="M10" i="2"/>
  <c r="M10" i="8"/>
  <c r="O12" i="8"/>
  <c r="F11" i="8"/>
  <c r="F12" i="8"/>
  <c r="D18" i="19"/>
  <c r="D17" i="19"/>
  <c r="D15" i="19"/>
  <c r="E19" i="19"/>
  <c r="F19" i="19"/>
  <c r="F21" i="19"/>
  <c r="F18" i="2"/>
  <c r="F19" i="8"/>
  <c r="F137" i="2"/>
  <c r="F138" i="8"/>
  <c r="M14" i="8"/>
  <c r="O14" i="8"/>
  <c r="F14" i="8"/>
  <c r="H31" i="17"/>
  <c r="H22" i="17"/>
  <c r="H38" i="17"/>
  <c r="H24" i="17"/>
  <c r="F177" i="5"/>
  <c r="F45" i="19"/>
  <c r="F75" i="5"/>
  <c r="F42" i="19"/>
  <c r="F137" i="5"/>
  <c r="B18" i="19"/>
  <c r="B17" i="19"/>
  <c r="B16" i="19"/>
  <c r="B15" i="19"/>
  <c r="F6" i="19"/>
  <c r="M14" i="2"/>
  <c r="F239" i="18"/>
  <c r="H239" i="18"/>
  <c r="F238" i="18"/>
  <c r="H238" i="18"/>
  <c r="F237" i="18"/>
  <c r="H237" i="18"/>
  <c r="F233" i="18"/>
  <c r="G233" i="18"/>
  <c r="H233" i="18"/>
  <c r="F232" i="18"/>
  <c r="G232" i="18"/>
  <c r="H232" i="18"/>
  <c r="F231" i="18"/>
  <c r="G231" i="18"/>
  <c r="H231" i="18"/>
  <c r="F230" i="18"/>
  <c r="G230" i="18"/>
  <c r="H230" i="18"/>
  <c r="F229" i="18"/>
  <c r="G229" i="18"/>
  <c r="H229" i="18"/>
  <c r="F228" i="18"/>
  <c r="G228" i="18"/>
  <c r="H228" i="18"/>
  <c r="F227" i="18"/>
  <c r="G227" i="18"/>
  <c r="H227" i="18"/>
  <c r="F226" i="18"/>
  <c r="G226" i="18"/>
  <c r="H226" i="18"/>
  <c r="F225" i="18"/>
  <c r="G225" i="18"/>
  <c r="H225" i="18"/>
  <c r="F222" i="18"/>
  <c r="F221" i="18"/>
  <c r="F220" i="18"/>
  <c r="F219" i="18"/>
  <c r="F218" i="18"/>
  <c r="F215" i="18"/>
  <c r="F214" i="18"/>
  <c r="F212" i="18"/>
  <c r="F211" i="18"/>
  <c r="F210" i="18"/>
  <c r="F209" i="18"/>
  <c r="F208" i="18"/>
  <c r="F207" i="18"/>
  <c r="F206" i="18"/>
  <c r="F205" i="18"/>
  <c r="F204" i="18"/>
  <c r="F203" i="18"/>
  <c r="F202" i="18"/>
  <c r="F201" i="18"/>
  <c r="F200" i="18"/>
  <c r="F199" i="18"/>
  <c r="F198" i="18"/>
  <c r="F197" i="18"/>
  <c r="F194" i="18"/>
  <c r="H194" i="18"/>
  <c r="F193" i="18"/>
  <c r="H193" i="18"/>
  <c r="F192" i="18"/>
  <c r="H192" i="18"/>
  <c r="F191" i="18"/>
  <c r="H191" i="18"/>
  <c r="F190" i="18"/>
  <c r="H190" i="18"/>
  <c r="F189" i="18"/>
  <c r="E189" i="18"/>
  <c r="H189" i="18"/>
  <c r="F188" i="18"/>
  <c r="H188" i="18"/>
  <c r="F187" i="18"/>
  <c r="E187" i="18"/>
  <c r="H187" i="18"/>
  <c r="H186" i="18"/>
  <c r="H185" i="18"/>
  <c r="F184" i="18"/>
  <c r="E184" i="18"/>
  <c r="H184" i="18"/>
  <c r="F183" i="18"/>
  <c r="H183" i="18"/>
  <c r="F182" i="18"/>
  <c r="H182" i="18"/>
  <c r="F181" i="18"/>
  <c r="H181" i="18"/>
  <c r="H180" i="18"/>
  <c r="F179" i="18"/>
  <c r="H179" i="18"/>
  <c r="F178" i="18"/>
  <c r="E178" i="18"/>
  <c r="H178" i="18"/>
  <c r="F177" i="18"/>
  <c r="H177" i="18"/>
  <c r="F176" i="18"/>
  <c r="H176" i="18"/>
  <c r="F175" i="18"/>
  <c r="E175" i="18"/>
  <c r="H175" i="18"/>
  <c r="F174" i="18"/>
  <c r="E174" i="18"/>
  <c r="H174" i="18"/>
  <c r="F173" i="18"/>
  <c r="E173" i="18"/>
  <c r="H173" i="18"/>
  <c r="F172" i="18"/>
  <c r="H172" i="18"/>
  <c r="F171" i="18"/>
  <c r="H171" i="18"/>
  <c r="F170" i="18"/>
  <c r="E170" i="18"/>
  <c r="H170" i="18"/>
  <c r="F169" i="18"/>
  <c r="H169" i="18"/>
  <c r="F168" i="18"/>
  <c r="H168" i="18"/>
  <c r="F167" i="18"/>
  <c r="H167" i="18"/>
  <c r="F166" i="18"/>
  <c r="H166" i="18"/>
  <c r="F165" i="18"/>
  <c r="H165" i="18"/>
  <c r="F164" i="18"/>
  <c r="H164" i="18"/>
  <c r="F163" i="18"/>
  <c r="E163" i="18"/>
  <c r="H163" i="18"/>
  <c r="F162" i="18"/>
  <c r="H162" i="18"/>
  <c r="F161" i="18"/>
  <c r="E161" i="18"/>
  <c r="H161" i="18"/>
  <c r="F160" i="18"/>
  <c r="E160" i="18"/>
  <c r="H160" i="18"/>
  <c r="F159" i="18"/>
  <c r="F158" i="18"/>
  <c r="E158" i="18"/>
  <c r="H158" i="18"/>
  <c r="F154" i="18"/>
  <c r="F153" i="18"/>
  <c r="E153" i="18"/>
  <c r="H153" i="18"/>
  <c r="F152" i="18"/>
  <c r="H152" i="18"/>
  <c r="H149" i="18"/>
  <c r="H148" i="18"/>
  <c r="F147" i="18"/>
  <c r="H147" i="18"/>
  <c r="H146" i="18"/>
  <c r="H145" i="18"/>
  <c r="H144" i="18"/>
  <c r="F143" i="18"/>
  <c r="H143" i="18"/>
  <c r="F142" i="18"/>
  <c r="H142" i="18"/>
  <c r="F141" i="18"/>
  <c r="H141" i="18"/>
  <c r="F140" i="18"/>
  <c r="H140" i="18"/>
  <c r="F139" i="18"/>
  <c r="H139" i="18"/>
  <c r="F138" i="18"/>
  <c r="H138" i="18"/>
  <c r="F137" i="18"/>
  <c r="E137" i="18"/>
  <c r="H137" i="18"/>
  <c r="H136" i="18"/>
  <c r="F135" i="18"/>
  <c r="H135" i="18"/>
  <c r="F134" i="18"/>
  <c r="H134" i="18"/>
  <c r="F133" i="18"/>
  <c r="H133" i="18"/>
  <c r="H132" i="18"/>
  <c r="F131" i="18"/>
  <c r="H131" i="18"/>
  <c r="H130" i="18"/>
  <c r="F129" i="18"/>
  <c r="H129" i="18"/>
  <c r="F128" i="18"/>
  <c r="H128" i="18"/>
  <c r="F127" i="18"/>
  <c r="H127" i="18"/>
  <c r="F126" i="18"/>
  <c r="E126" i="18"/>
  <c r="H126" i="18"/>
  <c r="F125" i="18"/>
  <c r="E125" i="18"/>
  <c r="H125" i="18"/>
  <c r="F124" i="18"/>
  <c r="F123" i="18"/>
  <c r="H120" i="18"/>
  <c r="F119" i="18"/>
  <c r="H119" i="18"/>
  <c r="H118" i="18"/>
  <c r="H117" i="18"/>
  <c r="F116" i="18"/>
  <c r="H116" i="18"/>
  <c r="F115" i="18"/>
  <c r="E115" i="18"/>
  <c r="H115" i="18"/>
  <c r="F114" i="18"/>
  <c r="H114" i="18"/>
  <c r="F113" i="18"/>
  <c r="H113" i="18"/>
  <c r="F112" i="18"/>
  <c r="H112" i="18"/>
  <c r="F111" i="18"/>
  <c r="H111" i="18"/>
  <c r="F110" i="18"/>
  <c r="H110" i="18"/>
  <c r="F109" i="18"/>
  <c r="E109" i="18"/>
  <c r="H109" i="18"/>
  <c r="F108" i="18"/>
  <c r="E108" i="18"/>
  <c r="H108" i="18"/>
  <c r="F107" i="18"/>
  <c r="H107" i="18"/>
  <c r="F106" i="18"/>
  <c r="H106" i="18"/>
  <c r="F105" i="18"/>
  <c r="H105" i="18"/>
  <c r="H102" i="18"/>
  <c r="H101" i="18"/>
  <c r="F101" i="18"/>
  <c r="H100" i="18"/>
  <c r="F100" i="18"/>
  <c r="H99" i="18"/>
  <c r="F99" i="18"/>
  <c r="H98" i="18"/>
  <c r="H97" i="18"/>
  <c r="H96" i="18"/>
  <c r="H95" i="18"/>
  <c r="E94" i="18"/>
  <c r="H94" i="18"/>
  <c r="F94" i="18"/>
  <c r="F93" i="18"/>
  <c r="E93" i="18"/>
  <c r="H93" i="18"/>
  <c r="F92" i="18"/>
  <c r="H92" i="18"/>
  <c r="F89" i="18"/>
  <c r="H89" i="18"/>
  <c r="F88" i="18"/>
  <c r="H88" i="18"/>
  <c r="F87" i="18"/>
  <c r="H87" i="18"/>
  <c r="F86" i="18"/>
  <c r="H86" i="18"/>
  <c r="F85" i="18"/>
  <c r="H85" i="18"/>
  <c r="H84" i="18"/>
  <c r="H83" i="18"/>
  <c r="F82" i="18"/>
  <c r="E82" i="18"/>
  <c r="H82" i="18"/>
  <c r="E81" i="18"/>
  <c r="F81" i="18"/>
  <c r="H81" i="18"/>
  <c r="F80" i="18"/>
  <c r="H80" i="18"/>
  <c r="F79" i="18"/>
  <c r="H79" i="18"/>
  <c r="F78" i="18"/>
  <c r="H78" i="18"/>
  <c r="F77" i="18"/>
  <c r="H77" i="18"/>
  <c r="F76" i="18"/>
  <c r="H76" i="18"/>
  <c r="F75" i="18"/>
  <c r="E75" i="18"/>
  <c r="H75" i="18"/>
  <c r="E74" i="18"/>
  <c r="F74" i="18"/>
  <c r="H74" i="18"/>
  <c r="F73" i="18"/>
  <c r="H73" i="18"/>
  <c r="F72" i="18"/>
  <c r="H72" i="18"/>
  <c r="F71" i="18"/>
  <c r="E71" i="18"/>
  <c r="H71" i="18"/>
  <c r="F70" i="18"/>
  <c r="E70" i="18"/>
  <c r="H70" i="18"/>
  <c r="F67" i="18"/>
  <c r="H67" i="18"/>
  <c r="F66" i="18"/>
  <c r="H66" i="18"/>
  <c r="F65" i="18"/>
  <c r="H65" i="18"/>
  <c r="F64" i="18"/>
  <c r="H64" i="18"/>
  <c r="F63" i="18"/>
  <c r="H63" i="18"/>
  <c r="F60" i="18"/>
  <c r="H60" i="18"/>
  <c r="F59" i="18"/>
  <c r="H59" i="18"/>
  <c r="F58" i="18"/>
  <c r="H58" i="18"/>
  <c r="F57" i="18"/>
  <c r="H57" i="18"/>
  <c r="F54" i="18"/>
  <c r="F53" i="18"/>
  <c r="H53" i="18"/>
  <c r="F52" i="18"/>
  <c r="H52" i="18"/>
  <c r="F51" i="18"/>
  <c r="H51" i="18"/>
  <c r="F50" i="18"/>
  <c r="H50" i="18"/>
  <c r="F49" i="18"/>
  <c r="H49" i="18"/>
  <c r="F48" i="18"/>
  <c r="H48" i="18"/>
  <c r="F47" i="18"/>
  <c r="H47" i="18"/>
  <c r="F46" i="18"/>
  <c r="H46" i="18"/>
  <c r="F45" i="18"/>
  <c r="H45" i="18"/>
  <c r="F44" i="18"/>
  <c r="H44" i="18"/>
  <c r="F43" i="18"/>
  <c r="H43" i="18"/>
  <c r="F41" i="18"/>
  <c r="H41" i="18"/>
  <c r="F40" i="18"/>
  <c r="H40" i="18"/>
  <c r="F39" i="18"/>
  <c r="H39" i="18"/>
  <c r="F38" i="18"/>
  <c r="H38" i="18"/>
  <c r="H37" i="18"/>
  <c r="F36" i="18"/>
  <c r="H36" i="18"/>
  <c r="F35" i="18"/>
  <c r="H35" i="18"/>
  <c r="F34" i="18"/>
  <c r="H34" i="18"/>
  <c r="F33" i="18"/>
  <c r="H33" i="18"/>
  <c r="F30" i="18"/>
  <c r="H30" i="18"/>
  <c r="F29" i="18"/>
  <c r="H29" i="18"/>
  <c r="F28" i="18"/>
  <c r="F27" i="18"/>
  <c r="D3" i="18"/>
  <c r="H3" i="18"/>
  <c r="E27" i="18"/>
  <c r="H27" i="18"/>
  <c r="F26" i="18"/>
  <c r="I25" i="18"/>
  <c r="F25" i="18"/>
  <c r="E25" i="18"/>
  <c r="H25" i="18"/>
  <c r="F22" i="18"/>
  <c r="G22" i="18"/>
  <c r="F21" i="18"/>
  <c r="G21" i="18"/>
  <c r="F20" i="18"/>
  <c r="G20" i="18"/>
  <c r="F19" i="18"/>
  <c r="E16" i="18"/>
  <c r="E19" i="18"/>
  <c r="G19" i="18"/>
  <c r="G16" i="18"/>
  <c r="H16" i="18"/>
  <c r="V14" i="18"/>
  <c r="O14" i="18"/>
  <c r="F14" i="18"/>
  <c r="M13" i="18"/>
  <c r="O13" i="18"/>
  <c r="F13" i="18"/>
  <c r="G12" i="18"/>
  <c r="K9" i="18"/>
  <c r="K10" i="18"/>
  <c r="O11" i="18"/>
  <c r="F11" i="18"/>
  <c r="E18" i="18"/>
  <c r="G18" i="18"/>
  <c r="H18" i="18"/>
  <c r="E26" i="18"/>
  <c r="H26" i="18"/>
  <c r="H45" i="17"/>
  <c r="H44" i="17"/>
  <c r="G11" i="18"/>
  <c r="H11" i="18"/>
  <c r="G13" i="18"/>
  <c r="H13" i="18"/>
  <c r="G14" i="18"/>
  <c r="H14" i="18"/>
  <c r="E28" i="18"/>
  <c r="H28" i="18"/>
  <c r="H253" i="18"/>
  <c r="G253" i="18"/>
  <c r="F239" i="2"/>
  <c r="F238" i="2"/>
  <c r="F237" i="2"/>
  <c r="F233" i="2"/>
  <c r="F232" i="2"/>
  <c r="F231" i="2"/>
  <c r="F230" i="2"/>
  <c r="F229" i="2"/>
  <c r="F228" i="2"/>
  <c r="F227" i="2"/>
  <c r="F226" i="2"/>
  <c r="F225" i="2"/>
  <c r="F222" i="2"/>
  <c r="F221" i="2"/>
  <c r="F220" i="2"/>
  <c r="F219" i="2"/>
  <c r="F218" i="2"/>
  <c r="F215" i="2"/>
  <c r="F214" i="2"/>
  <c r="F212" i="2"/>
  <c r="F211" i="2"/>
  <c r="F210" i="2"/>
  <c r="F209" i="2"/>
  <c r="F208" i="2"/>
  <c r="F207" i="2"/>
  <c r="F206" i="2"/>
  <c r="F205" i="2"/>
  <c r="F204" i="2"/>
  <c r="F203" i="2"/>
  <c r="F202" i="2"/>
  <c r="F201" i="2"/>
  <c r="F200" i="2"/>
  <c r="F199" i="2"/>
  <c r="F198" i="2"/>
  <c r="F197" i="2"/>
  <c r="F194" i="2"/>
  <c r="F193" i="2"/>
  <c r="F192" i="2"/>
  <c r="F191" i="2"/>
  <c r="F190" i="2"/>
  <c r="F189" i="2"/>
  <c r="F188" i="2"/>
  <c r="F187" i="2"/>
  <c r="F184" i="2"/>
  <c r="F183" i="2"/>
  <c r="F182" i="2"/>
  <c r="F181" i="2"/>
  <c r="F179" i="2"/>
  <c r="F178" i="2"/>
  <c r="F177" i="2"/>
  <c r="F176" i="2"/>
  <c r="F175" i="2"/>
  <c r="F174" i="2"/>
  <c r="F173" i="2"/>
  <c r="F172" i="2"/>
  <c r="F171" i="2"/>
  <c r="F170" i="2"/>
  <c r="F169" i="2"/>
  <c r="F168" i="2"/>
  <c r="F167" i="2"/>
  <c r="F166" i="2"/>
  <c r="F165" i="2"/>
  <c r="F164" i="2"/>
  <c r="F163" i="2"/>
  <c r="F162" i="2"/>
  <c r="F161" i="2"/>
  <c r="F160" i="2"/>
  <c r="F159" i="2"/>
  <c r="F158" i="2"/>
  <c r="F154" i="2"/>
  <c r="F153" i="2"/>
  <c r="F152" i="2"/>
  <c r="F147" i="2"/>
  <c r="F143" i="2"/>
  <c r="F142" i="2"/>
  <c r="F141" i="2"/>
  <c r="F140" i="2"/>
  <c r="F139" i="2"/>
  <c r="F138" i="2"/>
  <c r="F135" i="2"/>
  <c r="F134" i="2"/>
  <c r="F131" i="2"/>
  <c r="F129" i="2"/>
  <c r="F128" i="2"/>
  <c r="F127" i="2"/>
  <c r="F126" i="2"/>
  <c r="F125" i="2"/>
  <c r="F124" i="2"/>
  <c r="F123" i="2"/>
  <c r="F119" i="2"/>
  <c r="F116" i="2"/>
  <c r="F115" i="2"/>
  <c r="F114" i="2"/>
  <c r="F113" i="2"/>
  <c r="F112" i="2"/>
  <c r="F111" i="2"/>
  <c r="F110" i="2"/>
  <c r="F109" i="2"/>
  <c r="F108" i="2"/>
  <c r="F105" i="2"/>
  <c r="F101" i="2"/>
  <c r="F100" i="2"/>
  <c r="F93" i="2"/>
  <c r="F92" i="2"/>
  <c r="F89" i="2"/>
  <c r="F87" i="2"/>
  <c r="F86" i="2"/>
  <c r="F85" i="2"/>
  <c r="F80" i="2"/>
  <c r="F79" i="2"/>
  <c r="F78" i="2"/>
  <c r="F77" i="2"/>
  <c r="F76" i="2"/>
  <c r="F75" i="2"/>
  <c r="F74" i="2"/>
  <c r="F73" i="2"/>
  <c r="F72" i="2"/>
  <c r="F70" i="2"/>
  <c r="F67" i="2"/>
  <c r="F66" i="2"/>
  <c r="F65" i="2"/>
  <c r="F64" i="2"/>
  <c r="F63" i="2"/>
  <c r="F60" i="2"/>
  <c r="F59" i="2"/>
  <c r="F58" i="2"/>
  <c r="F57" i="2"/>
  <c r="F54" i="2"/>
  <c r="F53" i="2"/>
  <c r="F52" i="2"/>
  <c r="F51" i="2"/>
  <c r="F50" i="2"/>
  <c r="F49" i="2"/>
  <c r="F48" i="2"/>
  <c r="F47" i="2"/>
  <c r="F46" i="2"/>
  <c r="F45" i="2"/>
  <c r="F44" i="2"/>
  <c r="F43" i="2"/>
  <c r="F41" i="2"/>
  <c r="F40" i="2"/>
  <c r="F39" i="2"/>
  <c r="F38" i="2"/>
  <c r="F36" i="2"/>
  <c r="F35" i="2"/>
  <c r="F34" i="2"/>
  <c r="F33" i="2"/>
  <c r="F30" i="2"/>
  <c r="F29" i="2"/>
  <c r="F28" i="2"/>
  <c r="F27" i="2"/>
  <c r="F26" i="2"/>
  <c r="F25" i="2"/>
  <c r="F22" i="2"/>
  <c r="F21" i="2"/>
  <c r="F20" i="2"/>
  <c r="F19" i="2"/>
  <c r="H252" i="18"/>
  <c r="G252" i="18"/>
  <c r="H243" i="18"/>
  <c r="E45" i="16"/>
  <c r="F45" i="16"/>
  <c r="E44" i="16"/>
  <c r="F44" i="16"/>
  <c r="F43" i="16"/>
  <c r="O14" i="9"/>
  <c r="F14" i="9"/>
  <c r="E5" i="16"/>
  <c r="F5" i="16"/>
  <c r="E21" i="19"/>
  <c r="H244" i="18"/>
  <c r="G244" i="18"/>
  <c r="G243" i="18"/>
  <c r="F45" i="15"/>
  <c r="F44" i="15"/>
  <c r="F43" i="15"/>
  <c r="O14" i="7"/>
  <c r="F14" i="7"/>
  <c r="E5" i="15"/>
  <c r="F5" i="15"/>
  <c r="F17" i="2"/>
  <c r="H246" i="18"/>
  <c r="O14" i="3"/>
  <c r="F14" i="3"/>
  <c r="E5" i="14"/>
  <c r="F5" i="14"/>
  <c r="O14" i="6"/>
  <c r="F14" i="6"/>
  <c r="E5" i="13"/>
  <c r="F5" i="13"/>
  <c r="O14" i="4"/>
  <c r="F14" i="4"/>
  <c r="E5" i="12"/>
  <c r="F5" i="12"/>
  <c r="O14" i="5"/>
  <c r="F14" i="5"/>
  <c r="E5" i="11"/>
  <c r="F5" i="11"/>
  <c r="G246" i="18"/>
  <c r="H247" i="18"/>
  <c r="G247" i="18"/>
  <c r="J28" i="10"/>
  <c r="K28" i="10"/>
  <c r="L28" i="10"/>
  <c r="I28" i="10"/>
  <c r="H249" i="18"/>
  <c r="G249" i="18"/>
  <c r="H3" i="5"/>
  <c r="E18" i="5"/>
  <c r="H177" i="2"/>
  <c r="V14" i="2"/>
  <c r="K13" i="7"/>
  <c r="K13" i="4"/>
  <c r="K13" i="6"/>
  <c r="K13" i="3"/>
  <c r="K13" i="9"/>
  <c r="K13" i="5"/>
  <c r="M13" i="2"/>
  <c r="O13" i="2"/>
  <c r="E176" i="5"/>
  <c r="E176" i="7"/>
  <c r="E176" i="4"/>
  <c r="E176" i="6"/>
  <c r="E177" i="8"/>
  <c r="E176" i="3"/>
  <c r="E176" i="9"/>
  <c r="O14" i="2"/>
  <c r="K9" i="5"/>
  <c r="K9" i="7"/>
  <c r="K9" i="4"/>
  <c r="K9" i="6"/>
  <c r="K9" i="3"/>
  <c r="K9" i="9"/>
  <c r="K9" i="2"/>
  <c r="H200" i="5"/>
  <c r="H201" i="5"/>
  <c r="H202" i="5"/>
  <c r="H203" i="5"/>
  <c r="H204" i="5"/>
  <c r="H205" i="5"/>
  <c r="H206" i="5"/>
  <c r="H207" i="5"/>
  <c r="H208" i="5"/>
  <c r="H209" i="5"/>
  <c r="H210" i="5"/>
  <c r="H211" i="5"/>
  <c r="H212" i="5"/>
  <c r="H213" i="5"/>
  <c r="H214" i="5"/>
  <c r="H215" i="5"/>
  <c r="H216" i="5"/>
  <c r="H217" i="5"/>
  <c r="H218" i="5"/>
  <c r="H219" i="5"/>
  <c r="H220" i="5"/>
  <c r="H221" i="5"/>
  <c r="H200" i="7"/>
  <c r="H201" i="7"/>
  <c r="H202" i="7"/>
  <c r="H203" i="7"/>
  <c r="H204" i="7"/>
  <c r="H205" i="7"/>
  <c r="H206" i="7"/>
  <c r="H207" i="7"/>
  <c r="H208" i="7"/>
  <c r="H209" i="7"/>
  <c r="H210" i="7"/>
  <c r="H211" i="7"/>
  <c r="H212" i="7"/>
  <c r="H213" i="7"/>
  <c r="H214" i="7"/>
  <c r="H215" i="7"/>
  <c r="H216" i="7"/>
  <c r="H217" i="7"/>
  <c r="H218" i="7"/>
  <c r="H219" i="7"/>
  <c r="H220" i="7"/>
  <c r="H221" i="7"/>
  <c r="H200" i="4"/>
  <c r="H201" i="4"/>
  <c r="H202" i="4"/>
  <c r="H203" i="4"/>
  <c r="H204" i="4"/>
  <c r="H205" i="4"/>
  <c r="H206" i="4"/>
  <c r="H207" i="4"/>
  <c r="H208" i="4"/>
  <c r="H209" i="4"/>
  <c r="H210" i="4"/>
  <c r="H211" i="4"/>
  <c r="H212" i="4"/>
  <c r="H213" i="4"/>
  <c r="H214" i="4"/>
  <c r="H215" i="4"/>
  <c r="H216" i="4"/>
  <c r="H217" i="4"/>
  <c r="H218" i="4"/>
  <c r="H219" i="4"/>
  <c r="H220" i="4"/>
  <c r="H221" i="4"/>
  <c r="H200" i="6"/>
  <c r="H201" i="6"/>
  <c r="H202" i="6"/>
  <c r="H203" i="6"/>
  <c r="H204" i="6"/>
  <c r="H205" i="6"/>
  <c r="H206" i="6"/>
  <c r="H207" i="6"/>
  <c r="H208" i="6"/>
  <c r="H209" i="6"/>
  <c r="H210" i="6"/>
  <c r="H211" i="6"/>
  <c r="H212" i="6"/>
  <c r="H213" i="6"/>
  <c r="H214" i="6"/>
  <c r="H215" i="6"/>
  <c r="H216" i="6"/>
  <c r="H217" i="6"/>
  <c r="H218" i="6"/>
  <c r="H219" i="6"/>
  <c r="H220" i="6"/>
  <c r="H221" i="6"/>
  <c r="H201" i="8"/>
  <c r="H202" i="8"/>
  <c r="H203" i="8"/>
  <c r="H204" i="8"/>
  <c r="H205" i="8"/>
  <c r="H206" i="8"/>
  <c r="H207" i="8"/>
  <c r="H208" i="8"/>
  <c r="H209" i="8"/>
  <c r="H210" i="8"/>
  <c r="H211" i="8"/>
  <c r="H212" i="8"/>
  <c r="H213" i="8"/>
  <c r="H214" i="8"/>
  <c r="H215" i="8"/>
  <c r="H216" i="8"/>
  <c r="H217" i="8"/>
  <c r="H218" i="8"/>
  <c r="H219" i="8"/>
  <c r="H220" i="8"/>
  <c r="H221" i="8"/>
  <c r="H222" i="8"/>
  <c r="H200" i="3"/>
  <c r="H201" i="3"/>
  <c r="H202" i="3"/>
  <c r="H203" i="3"/>
  <c r="H204" i="3"/>
  <c r="H205" i="3"/>
  <c r="H206" i="3"/>
  <c r="H207" i="3"/>
  <c r="H208" i="3"/>
  <c r="H209" i="3"/>
  <c r="H210" i="3"/>
  <c r="H211" i="3"/>
  <c r="H212" i="3"/>
  <c r="H213" i="3"/>
  <c r="H214" i="3"/>
  <c r="H215" i="3"/>
  <c r="H216" i="3"/>
  <c r="H217" i="3"/>
  <c r="H218" i="3"/>
  <c r="H219" i="3"/>
  <c r="H220" i="3"/>
  <c r="H221" i="3"/>
  <c r="H200" i="9"/>
  <c r="H201" i="9"/>
  <c r="H202" i="9"/>
  <c r="H203" i="9"/>
  <c r="H204" i="9"/>
  <c r="H205" i="9"/>
  <c r="H206" i="9"/>
  <c r="H207" i="9"/>
  <c r="H208" i="9"/>
  <c r="H209" i="9"/>
  <c r="H210" i="9"/>
  <c r="H211" i="9"/>
  <c r="H212" i="9"/>
  <c r="H213" i="9"/>
  <c r="H214" i="9"/>
  <c r="H215" i="9"/>
  <c r="H216" i="9"/>
  <c r="H217" i="9"/>
  <c r="H218" i="9"/>
  <c r="H219" i="9"/>
  <c r="H220" i="9"/>
  <c r="H221" i="9"/>
  <c r="H199" i="5"/>
  <c r="H198" i="5"/>
  <c r="H197" i="5"/>
  <c r="H196" i="5"/>
  <c r="H199" i="7"/>
  <c r="H198" i="7"/>
  <c r="H197" i="7"/>
  <c r="H196" i="7"/>
  <c r="H199" i="4"/>
  <c r="H198" i="4"/>
  <c r="H197" i="4"/>
  <c r="H196" i="4"/>
  <c r="H199" i="6"/>
  <c r="H198" i="6"/>
  <c r="H197" i="6"/>
  <c r="H196" i="6"/>
  <c r="H200" i="8"/>
  <c r="H199" i="8"/>
  <c r="H198" i="8"/>
  <c r="H197" i="8"/>
  <c r="H199" i="3"/>
  <c r="H198" i="3"/>
  <c r="H197" i="3"/>
  <c r="H196" i="3"/>
  <c r="H199" i="9"/>
  <c r="H198" i="9"/>
  <c r="H197" i="9"/>
  <c r="H196" i="9"/>
  <c r="E29" i="5"/>
  <c r="E30" i="5"/>
  <c r="E29" i="7"/>
  <c r="E30" i="7"/>
  <c r="E29" i="4"/>
  <c r="E30" i="4"/>
  <c r="E29" i="6"/>
  <c r="E30" i="6"/>
  <c r="E30" i="8"/>
  <c r="E31" i="8"/>
  <c r="E29" i="3"/>
  <c r="E30" i="3"/>
  <c r="E29" i="9"/>
  <c r="E30" i="9"/>
  <c r="E33" i="5"/>
  <c r="E34" i="5"/>
  <c r="E35" i="5"/>
  <c r="E36" i="5"/>
  <c r="E38" i="5"/>
  <c r="E39" i="5"/>
  <c r="E40" i="5"/>
  <c r="E41" i="5"/>
  <c r="E33" i="7"/>
  <c r="E34" i="7"/>
  <c r="E35" i="7"/>
  <c r="E36" i="7"/>
  <c r="E38" i="7"/>
  <c r="E39" i="7"/>
  <c r="E40" i="7"/>
  <c r="E41" i="7"/>
  <c r="E33" i="4"/>
  <c r="E34" i="4"/>
  <c r="E35" i="4"/>
  <c r="E36" i="4"/>
  <c r="E38" i="4"/>
  <c r="E39" i="4"/>
  <c r="E40" i="4"/>
  <c r="E41" i="4"/>
  <c r="E33" i="6"/>
  <c r="E34" i="6"/>
  <c r="E35" i="6"/>
  <c r="E36" i="6"/>
  <c r="E38" i="6"/>
  <c r="E39" i="6"/>
  <c r="E40" i="6"/>
  <c r="E41" i="6"/>
  <c r="E34" i="8"/>
  <c r="E35" i="8"/>
  <c r="E36" i="8"/>
  <c r="E37" i="8"/>
  <c r="E39" i="8"/>
  <c r="E40" i="8"/>
  <c r="E41" i="8"/>
  <c r="E42" i="8"/>
  <c r="E33" i="3"/>
  <c r="E34" i="3"/>
  <c r="E35" i="3"/>
  <c r="E36" i="3"/>
  <c r="E38" i="3"/>
  <c r="E39" i="3"/>
  <c r="E40" i="3"/>
  <c r="E41" i="3"/>
  <c r="E33" i="9"/>
  <c r="E34" i="9"/>
  <c r="E35" i="9"/>
  <c r="E36" i="9"/>
  <c r="E38" i="9"/>
  <c r="E39" i="9"/>
  <c r="E40" i="9"/>
  <c r="E41" i="9"/>
  <c r="E106" i="5"/>
  <c r="E106" i="7"/>
  <c r="E106" i="4"/>
  <c r="E106" i="6"/>
  <c r="E107" i="8"/>
  <c r="E106" i="3"/>
  <c r="E106" i="9"/>
  <c r="E236" i="7"/>
  <c r="E237" i="7"/>
  <c r="E238" i="7"/>
  <c r="E236" i="4"/>
  <c r="E237" i="4"/>
  <c r="E238" i="4"/>
  <c r="E236" i="6"/>
  <c r="E237" i="6"/>
  <c r="E238" i="6"/>
  <c r="E237" i="8"/>
  <c r="E238" i="8"/>
  <c r="E239" i="8"/>
  <c r="E236" i="3"/>
  <c r="E237" i="3"/>
  <c r="E238" i="3"/>
  <c r="E236" i="9"/>
  <c r="E237" i="9"/>
  <c r="E238" i="9"/>
  <c r="E236" i="5"/>
  <c r="E237" i="5"/>
  <c r="E238" i="5"/>
  <c r="E224" i="7"/>
  <c r="E225" i="7"/>
  <c r="E226" i="7"/>
  <c r="E227" i="7"/>
  <c r="E228" i="7"/>
  <c r="E229" i="7"/>
  <c r="E230" i="7"/>
  <c r="E231" i="7"/>
  <c r="E232" i="7"/>
  <c r="E224" i="4"/>
  <c r="E225" i="4"/>
  <c r="E226" i="4"/>
  <c r="E227" i="4"/>
  <c r="E228" i="4"/>
  <c r="E229" i="4"/>
  <c r="E230" i="4"/>
  <c r="E231" i="4"/>
  <c r="E232" i="4"/>
  <c r="E224" i="6"/>
  <c r="E225" i="6"/>
  <c r="E226" i="6"/>
  <c r="E227" i="6"/>
  <c r="E228" i="6"/>
  <c r="E229" i="6"/>
  <c r="E230" i="6"/>
  <c r="E231" i="6"/>
  <c r="E232" i="6"/>
  <c r="E225" i="8"/>
  <c r="E226" i="8"/>
  <c r="E227" i="8"/>
  <c r="E228" i="8"/>
  <c r="E229" i="8"/>
  <c r="E230" i="8"/>
  <c r="E231" i="8"/>
  <c r="E232" i="8"/>
  <c r="E233" i="8"/>
  <c r="E224" i="3"/>
  <c r="E225" i="3"/>
  <c r="E226" i="3"/>
  <c r="E227" i="3"/>
  <c r="E228" i="3"/>
  <c r="E229" i="3"/>
  <c r="E230" i="3"/>
  <c r="E231" i="3"/>
  <c r="E232" i="3"/>
  <c r="E224" i="9"/>
  <c r="E225" i="9"/>
  <c r="E226" i="9"/>
  <c r="E227" i="9"/>
  <c r="E228" i="9"/>
  <c r="E229" i="9"/>
  <c r="E230" i="9"/>
  <c r="E231" i="9"/>
  <c r="E232" i="9"/>
  <c r="E224" i="5"/>
  <c r="E225" i="5"/>
  <c r="E226" i="5"/>
  <c r="E227" i="5"/>
  <c r="E228" i="5"/>
  <c r="E229" i="5"/>
  <c r="E230" i="5"/>
  <c r="E231" i="5"/>
  <c r="E232" i="5"/>
  <c r="E196" i="7"/>
  <c r="E197" i="7"/>
  <c r="E198" i="7"/>
  <c r="E199" i="7"/>
  <c r="E200" i="7"/>
  <c r="E201" i="7"/>
  <c r="E202" i="7"/>
  <c r="E203" i="7"/>
  <c r="E204" i="7"/>
  <c r="E205" i="7"/>
  <c r="E206" i="7"/>
  <c r="E207" i="7"/>
  <c r="E208" i="7"/>
  <c r="E209" i="7"/>
  <c r="E210" i="7"/>
  <c r="E211" i="7"/>
  <c r="E212" i="7"/>
  <c r="E213" i="7"/>
  <c r="E214" i="7"/>
  <c r="E215" i="7"/>
  <c r="E216" i="7"/>
  <c r="E217" i="7"/>
  <c r="E218" i="7"/>
  <c r="E219" i="7"/>
  <c r="E220" i="7"/>
  <c r="E221" i="7"/>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189" i="7"/>
  <c r="E190" i="7"/>
  <c r="E191" i="7"/>
  <c r="E192" i="7"/>
  <c r="E193" i="7"/>
  <c r="E189" i="4"/>
  <c r="E190" i="4"/>
  <c r="E191" i="4"/>
  <c r="E192" i="4"/>
  <c r="E193" i="4"/>
  <c r="E189" i="6"/>
  <c r="E190" i="6"/>
  <c r="E191" i="6"/>
  <c r="E192" i="6"/>
  <c r="E193" i="6"/>
  <c r="E190" i="8"/>
  <c r="E191" i="8"/>
  <c r="E192" i="8"/>
  <c r="E193" i="8"/>
  <c r="E194" i="8"/>
  <c r="E189" i="3"/>
  <c r="E190" i="3"/>
  <c r="E191" i="3"/>
  <c r="E192" i="3"/>
  <c r="E193" i="3"/>
  <c r="E189" i="9"/>
  <c r="E190" i="9"/>
  <c r="E191" i="9"/>
  <c r="E192" i="9"/>
  <c r="E193" i="9"/>
  <c r="E190" i="5"/>
  <c r="E191" i="5"/>
  <c r="E192" i="5"/>
  <c r="E193" i="5"/>
  <c r="E187" i="7"/>
  <c r="E187" i="4"/>
  <c r="E187" i="6"/>
  <c r="E188" i="8"/>
  <c r="E187" i="3"/>
  <c r="E187" i="9"/>
  <c r="E187" i="5"/>
  <c r="E184" i="7"/>
  <c r="E185" i="7"/>
  <c r="E184" i="4"/>
  <c r="E185" i="4"/>
  <c r="E184" i="6"/>
  <c r="E185" i="6"/>
  <c r="E185" i="8"/>
  <c r="E186" i="8"/>
  <c r="E184" i="3"/>
  <c r="E185" i="3"/>
  <c r="E184" i="9"/>
  <c r="E185" i="9"/>
  <c r="E184" i="5"/>
  <c r="E185" i="5"/>
  <c r="E178" i="7"/>
  <c r="E179" i="7"/>
  <c r="E180" i="7"/>
  <c r="E181" i="7"/>
  <c r="E182" i="7"/>
  <c r="E178" i="4"/>
  <c r="E179" i="4"/>
  <c r="E180" i="4"/>
  <c r="E181" i="4"/>
  <c r="E182" i="4"/>
  <c r="E178" i="6"/>
  <c r="E179" i="6"/>
  <c r="E180" i="6"/>
  <c r="E181" i="6"/>
  <c r="E182" i="6"/>
  <c r="E179" i="8"/>
  <c r="E180" i="8"/>
  <c r="E181" i="8"/>
  <c r="E182" i="8"/>
  <c r="E183" i="8"/>
  <c r="E178" i="3"/>
  <c r="E179" i="3"/>
  <c r="E180" i="3"/>
  <c r="E181" i="3"/>
  <c r="E182" i="3"/>
  <c r="E178" i="9"/>
  <c r="E179" i="9"/>
  <c r="E180" i="9"/>
  <c r="E181" i="9"/>
  <c r="E182" i="9"/>
  <c r="E178" i="5"/>
  <c r="E179" i="5"/>
  <c r="E180" i="5"/>
  <c r="E181" i="5"/>
  <c r="E182" i="5"/>
  <c r="E171" i="7"/>
  <c r="E172" i="7"/>
  <c r="E171" i="4"/>
  <c r="E172" i="4"/>
  <c r="E171" i="6"/>
  <c r="E172" i="6"/>
  <c r="E172" i="8"/>
  <c r="E173" i="8"/>
  <c r="E171" i="3"/>
  <c r="E172" i="3"/>
  <c r="E171" i="9"/>
  <c r="E172" i="9"/>
  <c r="E171" i="5"/>
  <c r="E172" i="5"/>
  <c r="E164" i="7"/>
  <c r="E165" i="7"/>
  <c r="E166" i="7"/>
  <c r="E167" i="7"/>
  <c r="E168" i="7"/>
  <c r="E169" i="7"/>
  <c r="E164" i="4"/>
  <c r="E165" i="4"/>
  <c r="E166" i="4"/>
  <c r="E167" i="4"/>
  <c r="E168" i="4"/>
  <c r="E169" i="4"/>
  <c r="E164" i="6"/>
  <c r="E165" i="6"/>
  <c r="E166" i="6"/>
  <c r="E167" i="6"/>
  <c r="E168" i="6"/>
  <c r="E169" i="6"/>
  <c r="E165" i="8"/>
  <c r="E166" i="8"/>
  <c r="E167" i="8"/>
  <c r="E168" i="8"/>
  <c r="E169" i="8"/>
  <c r="E170" i="8"/>
  <c r="E164" i="3"/>
  <c r="E165" i="3"/>
  <c r="E166" i="3"/>
  <c r="E167" i="3"/>
  <c r="E168" i="3"/>
  <c r="E169" i="3"/>
  <c r="E164" i="9"/>
  <c r="E165" i="9"/>
  <c r="E166" i="9"/>
  <c r="E167" i="9"/>
  <c r="E168" i="9"/>
  <c r="E169" i="9"/>
  <c r="E164" i="5"/>
  <c r="E165" i="5"/>
  <c r="E166" i="5"/>
  <c r="E167" i="5"/>
  <c r="E168" i="5"/>
  <c r="E169" i="5"/>
  <c r="E162" i="7"/>
  <c r="E162" i="4"/>
  <c r="E162" i="6"/>
  <c r="E163" i="8"/>
  <c r="E162" i="3"/>
  <c r="E162" i="9"/>
  <c r="E162" i="5"/>
  <c r="E159" i="7"/>
  <c r="E159" i="4"/>
  <c r="E159" i="6"/>
  <c r="E160" i="8"/>
  <c r="E159" i="3"/>
  <c r="E159" i="9"/>
  <c r="E159" i="5"/>
  <c r="E152" i="7"/>
  <c r="E154" i="7"/>
  <c r="E155" i="7"/>
  <c r="E152" i="4"/>
  <c r="E154" i="4"/>
  <c r="E155" i="4"/>
  <c r="E152" i="6"/>
  <c r="E154" i="6"/>
  <c r="E155" i="6"/>
  <c r="E153" i="8"/>
  <c r="E155" i="8"/>
  <c r="E156" i="8"/>
  <c r="E152" i="3"/>
  <c r="E154" i="3"/>
  <c r="E155" i="3"/>
  <c r="E152" i="9"/>
  <c r="E154" i="9"/>
  <c r="E155" i="9"/>
  <c r="E152" i="5"/>
  <c r="E154" i="5"/>
  <c r="E155" i="5"/>
  <c r="E123" i="7"/>
  <c r="E124" i="7"/>
  <c r="E127" i="7"/>
  <c r="E128" i="7"/>
  <c r="E129" i="7"/>
  <c r="E130" i="7"/>
  <c r="E131" i="7"/>
  <c r="E132" i="7"/>
  <c r="E133" i="7"/>
  <c r="E134" i="7"/>
  <c r="E135" i="7"/>
  <c r="E136" i="7"/>
  <c r="E138" i="7"/>
  <c r="E139" i="7"/>
  <c r="E140" i="7"/>
  <c r="E141" i="7"/>
  <c r="E142" i="7"/>
  <c r="E143" i="7"/>
  <c r="E144" i="7"/>
  <c r="E145" i="7"/>
  <c r="E146" i="7"/>
  <c r="E147" i="7"/>
  <c r="E148" i="7"/>
  <c r="E149" i="7"/>
  <c r="E123" i="4"/>
  <c r="E124" i="4"/>
  <c r="E127" i="4"/>
  <c r="E128" i="4"/>
  <c r="E129" i="4"/>
  <c r="E130" i="4"/>
  <c r="E131" i="4"/>
  <c r="E132" i="4"/>
  <c r="E133" i="4"/>
  <c r="E134" i="4"/>
  <c r="E135" i="4"/>
  <c r="E136" i="4"/>
  <c r="E138" i="4"/>
  <c r="E139" i="4"/>
  <c r="E140" i="4"/>
  <c r="E141" i="4"/>
  <c r="E142" i="4"/>
  <c r="E143" i="4"/>
  <c r="E144" i="4"/>
  <c r="E145" i="4"/>
  <c r="E146" i="4"/>
  <c r="E147" i="4"/>
  <c r="E148" i="4"/>
  <c r="E149" i="4"/>
  <c r="E123" i="6"/>
  <c r="E124" i="6"/>
  <c r="E127" i="6"/>
  <c r="E128" i="6"/>
  <c r="E129" i="6"/>
  <c r="E130" i="6"/>
  <c r="E131" i="6"/>
  <c r="E132" i="6"/>
  <c r="E133" i="6"/>
  <c r="E134" i="6"/>
  <c r="E135" i="6"/>
  <c r="E136" i="6"/>
  <c r="E138" i="6"/>
  <c r="E139" i="6"/>
  <c r="E140" i="6"/>
  <c r="E141" i="6"/>
  <c r="E142" i="6"/>
  <c r="E143" i="6"/>
  <c r="E144" i="6"/>
  <c r="E145" i="6"/>
  <c r="E146" i="6"/>
  <c r="E147" i="6"/>
  <c r="E148" i="6"/>
  <c r="E149" i="6"/>
  <c r="E124" i="8"/>
  <c r="E125" i="8"/>
  <c r="E128" i="8"/>
  <c r="E129" i="8"/>
  <c r="E130" i="8"/>
  <c r="E131" i="8"/>
  <c r="E132" i="8"/>
  <c r="E133" i="8"/>
  <c r="E134" i="8"/>
  <c r="E135" i="8"/>
  <c r="E136" i="8"/>
  <c r="E137" i="8"/>
  <c r="E139" i="8"/>
  <c r="E140" i="8"/>
  <c r="E141" i="8"/>
  <c r="E142" i="8"/>
  <c r="E143" i="8"/>
  <c r="E144" i="8"/>
  <c r="E145" i="8"/>
  <c r="E146" i="8"/>
  <c r="E147" i="8"/>
  <c r="E148" i="8"/>
  <c r="E149" i="8"/>
  <c r="E150" i="8"/>
  <c r="E123" i="3"/>
  <c r="E124" i="3"/>
  <c r="E127" i="3"/>
  <c r="E128" i="3"/>
  <c r="E129" i="3"/>
  <c r="E130" i="3"/>
  <c r="E131" i="3"/>
  <c r="E132" i="3"/>
  <c r="E133" i="3"/>
  <c r="E134" i="3"/>
  <c r="E135" i="3"/>
  <c r="E136" i="3"/>
  <c r="E138" i="3"/>
  <c r="E139" i="3"/>
  <c r="E140" i="3"/>
  <c r="E141" i="3"/>
  <c r="E142" i="3"/>
  <c r="E143" i="3"/>
  <c r="E144" i="3"/>
  <c r="E145" i="3"/>
  <c r="E146" i="3"/>
  <c r="E147" i="3"/>
  <c r="E148" i="3"/>
  <c r="E149" i="3"/>
  <c r="E123" i="9"/>
  <c r="E124" i="9"/>
  <c r="E127" i="9"/>
  <c r="E128" i="9"/>
  <c r="E129" i="9"/>
  <c r="E130" i="9"/>
  <c r="E131" i="9"/>
  <c r="E132" i="9"/>
  <c r="E133" i="9"/>
  <c r="E134" i="9"/>
  <c r="E135" i="9"/>
  <c r="E136" i="9"/>
  <c r="E138" i="9"/>
  <c r="E139" i="9"/>
  <c r="E140" i="9"/>
  <c r="E141" i="9"/>
  <c r="E142" i="9"/>
  <c r="E143" i="9"/>
  <c r="E144" i="9"/>
  <c r="E145" i="9"/>
  <c r="E146" i="9"/>
  <c r="E147" i="9"/>
  <c r="E148" i="9"/>
  <c r="E149" i="9"/>
  <c r="E123" i="5"/>
  <c r="E124" i="5"/>
  <c r="E127" i="5"/>
  <c r="E128" i="5"/>
  <c r="E129" i="5"/>
  <c r="E130" i="5"/>
  <c r="E131" i="5"/>
  <c r="E132" i="5"/>
  <c r="E133" i="5"/>
  <c r="E134" i="5"/>
  <c r="E135" i="5"/>
  <c r="E136" i="5"/>
  <c r="E138" i="5"/>
  <c r="E139" i="5"/>
  <c r="E140" i="5"/>
  <c r="E141" i="5"/>
  <c r="E142" i="5"/>
  <c r="E143" i="5"/>
  <c r="E144" i="5"/>
  <c r="E145" i="5"/>
  <c r="E146" i="5"/>
  <c r="E147" i="5"/>
  <c r="E148" i="5"/>
  <c r="E149" i="5"/>
  <c r="E116" i="7"/>
  <c r="E117" i="7"/>
  <c r="E118" i="7"/>
  <c r="E119" i="7"/>
  <c r="E120" i="7"/>
  <c r="E116" i="4"/>
  <c r="E117" i="4"/>
  <c r="E118" i="4"/>
  <c r="E119" i="4"/>
  <c r="E120" i="4"/>
  <c r="E116" i="6"/>
  <c r="E117" i="6"/>
  <c r="E118" i="6"/>
  <c r="E119" i="6"/>
  <c r="E120" i="6"/>
  <c r="E117" i="8"/>
  <c r="E118" i="8"/>
  <c r="E119" i="8"/>
  <c r="E120" i="8"/>
  <c r="E121" i="8"/>
  <c r="E116" i="3"/>
  <c r="E117" i="3"/>
  <c r="E118" i="3"/>
  <c r="E119" i="3"/>
  <c r="E120" i="3"/>
  <c r="E116" i="9"/>
  <c r="E117" i="9"/>
  <c r="E118" i="9"/>
  <c r="E119" i="9"/>
  <c r="E120" i="9"/>
  <c r="E116" i="5"/>
  <c r="E117" i="5"/>
  <c r="E118" i="5"/>
  <c r="E119" i="5"/>
  <c r="E120" i="5"/>
  <c r="E110" i="7"/>
  <c r="E111" i="7"/>
  <c r="E112" i="7"/>
  <c r="E113" i="7"/>
  <c r="E114" i="7"/>
  <c r="E110" i="4"/>
  <c r="E111" i="4"/>
  <c r="E112" i="4"/>
  <c r="E113" i="4"/>
  <c r="E114" i="4"/>
  <c r="E110" i="6"/>
  <c r="E111" i="6"/>
  <c r="E112" i="6"/>
  <c r="E113" i="6"/>
  <c r="E114" i="6"/>
  <c r="E111" i="8"/>
  <c r="E112" i="8"/>
  <c r="E113" i="8"/>
  <c r="E114" i="8"/>
  <c r="E115" i="8"/>
  <c r="E110" i="3"/>
  <c r="E111" i="3"/>
  <c r="E112" i="3"/>
  <c r="E113" i="3"/>
  <c r="E114" i="3"/>
  <c r="E110" i="9"/>
  <c r="E111" i="9"/>
  <c r="E112" i="9"/>
  <c r="E113" i="9"/>
  <c r="E114" i="9"/>
  <c r="E110" i="5"/>
  <c r="E111" i="5"/>
  <c r="E112" i="5"/>
  <c r="E113" i="5"/>
  <c r="E114" i="5"/>
  <c r="E107" i="7"/>
  <c r="E107" i="4"/>
  <c r="E107" i="6"/>
  <c r="E108" i="8"/>
  <c r="E107" i="3"/>
  <c r="E107" i="9"/>
  <c r="E107" i="5"/>
  <c r="E105" i="7"/>
  <c r="E105" i="4"/>
  <c r="E105" i="6"/>
  <c r="E106" i="8"/>
  <c r="E105" i="3"/>
  <c r="E105" i="9"/>
  <c r="E105" i="5"/>
  <c r="E92" i="7"/>
  <c r="E95" i="7"/>
  <c r="E96" i="7"/>
  <c r="E97" i="7"/>
  <c r="E98" i="7"/>
  <c r="E99" i="7"/>
  <c r="E100" i="7"/>
  <c r="E101" i="7"/>
  <c r="E102" i="7"/>
  <c r="E92" i="4"/>
  <c r="E95" i="4"/>
  <c r="E96" i="4"/>
  <c r="E97" i="4"/>
  <c r="E98" i="4"/>
  <c r="E99" i="4"/>
  <c r="E100" i="4"/>
  <c r="E101" i="4"/>
  <c r="E102" i="4"/>
  <c r="E92" i="6"/>
  <c r="E95" i="6"/>
  <c r="E96" i="6"/>
  <c r="E97" i="6"/>
  <c r="E98" i="6"/>
  <c r="E99" i="6"/>
  <c r="E100" i="6"/>
  <c r="E101" i="6"/>
  <c r="E102" i="6"/>
  <c r="E93" i="8"/>
  <c r="E96" i="8"/>
  <c r="E97" i="8"/>
  <c r="E98" i="8"/>
  <c r="E99" i="8"/>
  <c r="E100" i="8"/>
  <c r="E101" i="8"/>
  <c r="E102" i="8"/>
  <c r="E103" i="8"/>
  <c r="E92" i="3"/>
  <c r="E95" i="3"/>
  <c r="E96" i="3"/>
  <c r="E97" i="3"/>
  <c r="E98" i="3"/>
  <c r="E99" i="3"/>
  <c r="E100" i="3"/>
  <c r="E101" i="3"/>
  <c r="E102" i="3"/>
  <c r="E92" i="9"/>
  <c r="E95" i="9"/>
  <c r="E96" i="9"/>
  <c r="E97" i="9"/>
  <c r="E98" i="9"/>
  <c r="E99" i="9"/>
  <c r="E100" i="9"/>
  <c r="E101" i="9"/>
  <c r="E102" i="9"/>
  <c r="E92" i="5"/>
  <c r="E95" i="5"/>
  <c r="E96" i="5"/>
  <c r="E97" i="5"/>
  <c r="E98" i="5"/>
  <c r="E99" i="5"/>
  <c r="E100" i="5"/>
  <c r="E101" i="5"/>
  <c r="E102" i="5"/>
  <c r="E72" i="7"/>
  <c r="E73" i="7"/>
  <c r="E76" i="7"/>
  <c r="E77" i="7"/>
  <c r="E78" i="7"/>
  <c r="E79" i="7"/>
  <c r="E80" i="7"/>
  <c r="E83" i="7"/>
  <c r="E84" i="7"/>
  <c r="E85" i="7"/>
  <c r="E86" i="7"/>
  <c r="E87" i="7"/>
  <c r="E88" i="7"/>
  <c r="E89" i="7"/>
  <c r="E72" i="4"/>
  <c r="E73" i="4"/>
  <c r="E76" i="4"/>
  <c r="E77" i="4"/>
  <c r="E78" i="4"/>
  <c r="E79" i="4"/>
  <c r="E80" i="4"/>
  <c r="E83" i="4"/>
  <c r="E84" i="4"/>
  <c r="E85" i="4"/>
  <c r="E86" i="4"/>
  <c r="E87" i="4"/>
  <c r="E88" i="4"/>
  <c r="E89" i="4"/>
  <c r="E72" i="6"/>
  <c r="E73" i="6"/>
  <c r="E76" i="6"/>
  <c r="E77" i="6"/>
  <c r="E78" i="6"/>
  <c r="E79" i="6"/>
  <c r="E80" i="6"/>
  <c r="E83" i="6"/>
  <c r="E84" i="6"/>
  <c r="E85" i="6"/>
  <c r="E86" i="6"/>
  <c r="E87" i="6"/>
  <c r="E88" i="6"/>
  <c r="E89" i="6"/>
  <c r="E73" i="8"/>
  <c r="E74" i="8"/>
  <c r="E77" i="8"/>
  <c r="E78" i="8"/>
  <c r="E79" i="8"/>
  <c r="E80" i="8"/>
  <c r="E81" i="8"/>
  <c r="E84" i="8"/>
  <c r="E85" i="8"/>
  <c r="E86" i="8"/>
  <c r="E87" i="8"/>
  <c r="E88" i="8"/>
  <c r="E89" i="8"/>
  <c r="E90" i="8"/>
  <c r="E72" i="3"/>
  <c r="E73" i="3"/>
  <c r="E76" i="3"/>
  <c r="E77" i="3"/>
  <c r="E78" i="3"/>
  <c r="E79" i="3"/>
  <c r="E80" i="3"/>
  <c r="E83" i="3"/>
  <c r="E84" i="3"/>
  <c r="E85" i="3"/>
  <c r="E86" i="3"/>
  <c r="E87" i="3"/>
  <c r="E88" i="3"/>
  <c r="E89" i="3"/>
  <c r="E72" i="9"/>
  <c r="E73" i="9"/>
  <c r="E76" i="9"/>
  <c r="E77" i="9"/>
  <c r="E78" i="9"/>
  <c r="E79" i="9"/>
  <c r="E80" i="9"/>
  <c r="E83" i="9"/>
  <c r="E84" i="9"/>
  <c r="E85" i="9"/>
  <c r="E86" i="9"/>
  <c r="E87" i="9"/>
  <c r="E88" i="9"/>
  <c r="E89" i="9"/>
  <c r="E72" i="5"/>
  <c r="E73" i="5"/>
  <c r="E76" i="5"/>
  <c r="E77" i="5"/>
  <c r="E78" i="5"/>
  <c r="E79" i="5"/>
  <c r="E80" i="5"/>
  <c r="E83" i="5"/>
  <c r="E84" i="5"/>
  <c r="E85" i="5"/>
  <c r="E86" i="5"/>
  <c r="E87" i="5"/>
  <c r="E88" i="5"/>
  <c r="E89" i="5"/>
  <c r="E63" i="7"/>
  <c r="E64" i="7"/>
  <c r="E65" i="7"/>
  <c r="E66" i="7"/>
  <c r="E67" i="7"/>
  <c r="E63" i="4"/>
  <c r="E64" i="4"/>
  <c r="E65" i="4"/>
  <c r="E66" i="4"/>
  <c r="E67" i="4"/>
  <c r="E63" i="6"/>
  <c r="E64" i="6"/>
  <c r="E65" i="6"/>
  <c r="E66" i="6"/>
  <c r="E67" i="6"/>
  <c r="E64" i="8"/>
  <c r="E65" i="8"/>
  <c r="E66" i="8"/>
  <c r="E67" i="8"/>
  <c r="E68" i="8"/>
  <c r="E63" i="3"/>
  <c r="E64" i="3"/>
  <c r="E65" i="3"/>
  <c r="E66" i="3"/>
  <c r="E67" i="3"/>
  <c r="E63" i="9"/>
  <c r="E64" i="9"/>
  <c r="E65" i="9"/>
  <c r="E66" i="9"/>
  <c r="E67" i="9"/>
  <c r="E63" i="5"/>
  <c r="E64" i="5"/>
  <c r="E65" i="5"/>
  <c r="E66" i="5"/>
  <c r="E67" i="5"/>
  <c r="E57" i="7"/>
  <c r="E58" i="7"/>
  <c r="E59" i="7"/>
  <c r="E60" i="7"/>
  <c r="E57" i="4"/>
  <c r="E58" i="4"/>
  <c r="E59" i="4"/>
  <c r="E60" i="4"/>
  <c r="E57" i="6"/>
  <c r="E58" i="6"/>
  <c r="E59" i="6"/>
  <c r="E60" i="6"/>
  <c r="E58" i="8"/>
  <c r="E59" i="8"/>
  <c r="E60" i="8"/>
  <c r="E61" i="8"/>
  <c r="E57" i="3"/>
  <c r="E58" i="3"/>
  <c r="E59" i="3"/>
  <c r="E60" i="3"/>
  <c r="E57" i="9"/>
  <c r="E58" i="9"/>
  <c r="E59" i="9"/>
  <c r="E60" i="9"/>
  <c r="E57" i="5"/>
  <c r="E58" i="5"/>
  <c r="E59" i="5"/>
  <c r="E60" i="5"/>
  <c r="E43" i="7"/>
  <c r="E44" i="7"/>
  <c r="E45" i="7"/>
  <c r="E46" i="7"/>
  <c r="E47" i="7"/>
  <c r="E48" i="7"/>
  <c r="E49" i="7"/>
  <c r="E50" i="7"/>
  <c r="E51" i="7"/>
  <c r="E52" i="7"/>
  <c r="E53" i="7"/>
  <c r="E54" i="7"/>
  <c r="E43" i="4"/>
  <c r="E44" i="4"/>
  <c r="E45" i="4"/>
  <c r="E46" i="4"/>
  <c r="E47" i="4"/>
  <c r="E48" i="4"/>
  <c r="E49" i="4"/>
  <c r="E50" i="4"/>
  <c r="E51" i="4"/>
  <c r="E52" i="4"/>
  <c r="E53" i="4"/>
  <c r="E54" i="4"/>
  <c r="E43" i="6"/>
  <c r="E44" i="6"/>
  <c r="E45" i="6"/>
  <c r="E46" i="6"/>
  <c r="E47" i="6"/>
  <c r="E48" i="6"/>
  <c r="E49" i="6"/>
  <c r="E50" i="6"/>
  <c r="E51" i="6"/>
  <c r="E52" i="6"/>
  <c r="E53" i="6"/>
  <c r="E54" i="6"/>
  <c r="E44" i="8"/>
  <c r="E45" i="8"/>
  <c r="E46" i="8"/>
  <c r="E47" i="8"/>
  <c r="E48" i="8"/>
  <c r="E49" i="8"/>
  <c r="E50" i="8"/>
  <c r="E51" i="8"/>
  <c r="E52" i="8"/>
  <c r="E53" i="8"/>
  <c r="E54" i="8"/>
  <c r="E55" i="8"/>
  <c r="E43" i="3"/>
  <c r="E44" i="3"/>
  <c r="E45" i="3"/>
  <c r="E46" i="3"/>
  <c r="E47" i="3"/>
  <c r="E48" i="3"/>
  <c r="E49" i="3"/>
  <c r="E50" i="3"/>
  <c r="E51" i="3"/>
  <c r="E52" i="3"/>
  <c r="E53" i="3"/>
  <c r="E54" i="3"/>
  <c r="E43" i="9"/>
  <c r="E44" i="9"/>
  <c r="E45" i="9"/>
  <c r="E46" i="9"/>
  <c r="E47" i="9"/>
  <c r="E48" i="9"/>
  <c r="E49" i="9"/>
  <c r="E50" i="9"/>
  <c r="E51" i="9"/>
  <c r="E52" i="9"/>
  <c r="E53" i="9"/>
  <c r="E54" i="9"/>
  <c r="E43" i="5"/>
  <c r="E44" i="5"/>
  <c r="E45" i="5"/>
  <c r="E46" i="5"/>
  <c r="E47" i="5"/>
  <c r="E48" i="5"/>
  <c r="E49" i="5"/>
  <c r="E50" i="5"/>
  <c r="E51" i="5"/>
  <c r="E52" i="5"/>
  <c r="E53" i="5"/>
  <c r="E54" i="5"/>
  <c r="I26" i="5"/>
  <c r="I27" i="5"/>
  <c r="I28" i="5"/>
  <c r="I26" i="7"/>
  <c r="I27" i="7"/>
  <c r="I28" i="7"/>
  <c r="I26" i="4"/>
  <c r="I27" i="4"/>
  <c r="I28" i="4"/>
  <c r="I26" i="6"/>
  <c r="I27" i="6"/>
  <c r="I28" i="6"/>
  <c r="I27" i="8"/>
  <c r="I28" i="8"/>
  <c r="I29" i="8"/>
  <c r="I26" i="3"/>
  <c r="I27" i="3"/>
  <c r="I28" i="3"/>
  <c r="I26" i="9"/>
  <c r="I27" i="9"/>
  <c r="I28" i="9"/>
  <c r="E174" i="2"/>
  <c r="E174" i="9"/>
  <c r="E174" i="3"/>
  <c r="E175" i="8"/>
  <c r="E174" i="6"/>
  <c r="E174" i="4"/>
  <c r="E174" i="7"/>
  <c r="E174" i="5"/>
  <c r="H176" i="2"/>
  <c r="I25" i="2"/>
  <c r="I25" i="4"/>
  <c r="I25" i="3"/>
  <c r="I25" i="7"/>
  <c r="I26" i="8"/>
  <c r="I25" i="5"/>
  <c r="I25" i="6"/>
  <c r="I25" i="9"/>
  <c r="E175" i="2"/>
  <c r="E188" i="5"/>
  <c r="E188" i="7"/>
  <c r="E188" i="4"/>
  <c r="E188" i="6"/>
  <c r="E189" i="8"/>
  <c r="E188" i="3"/>
  <c r="E188" i="9"/>
  <c r="E189" i="2"/>
  <c r="E186" i="5"/>
  <c r="E186" i="7"/>
  <c r="E186" i="4"/>
  <c r="E186" i="6"/>
  <c r="E187" i="8"/>
  <c r="E186" i="3"/>
  <c r="E186" i="9"/>
  <c r="E187" i="2"/>
  <c r="E183" i="5"/>
  <c r="E183" i="7"/>
  <c r="E183" i="4"/>
  <c r="E183" i="6"/>
  <c r="E184" i="8"/>
  <c r="E183" i="3"/>
  <c r="E183" i="9"/>
  <c r="E184" i="2"/>
  <c r="E178" i="2"/>
  <c r="E175" i="5"/>
  <c r="E175" i="7"/>
  <c r="E175" i="4"/>
  <c r="E175" i="6"/>
  <c r="E176" i="8"/>
  <c r="E175" i="3"/>
  <c r="E175" i="9"/>
  <c r="E173" i="5"/>
  <c r="E173" i="7"/>
  <c r="E173" i="4"/>
  <c r="E173" i="6"/>
  <c r="E174" i="8"/>
  <c r="E173" i="3"/>
  <c r="E173" i="9"/>
  <c r="E173" i="2"/>
  <c r="E158" i="5"/>
  <c r="E158" i="7"/>
  <c r="E158" i="4"/>
  <c r="E158" i="6"/>
  <c r="E159" i="8"/>
  <c r="E158" i="3"/>
  <c r="E158" i="9"/>
  <c r="E158" i="2"/>
  <c r="E161" i="5"/>
  <c r="E161" i="7"/>
  <c r="E161" i="4"/>
  <c r="E161" i="6"/>
  <c r="E162" i="8"/>
  <c r="E161" i="3"/>
  <c r="E161" i="9"/>
  <c r="E161" i="2"/>
  <c r="E163" i="5"/>
  <c r="E163" i="7"/>
  <c r="E163" i="4"/>
  <c r="E163" i="6"/>
  <c r="E164" i="8"/>
  <c r="E163" i="3"/>
  <c r="E163" i="9"/>
  <c r="E163" i="2"/>
  <c r="E170" i="5"/>
  <c r="E170" i="7"/>
  <c r="E170" i="4"/>
  <c r="E170" i="6"/>
  <c r="E171" i="8"/>
  <c r="E170" i="3"/>
  <c r="E170" i="9"/>
  <c r="E170" i="2"/>
  <c r="E160" i="2"/>
  <c r="E153" i="2"/>
  <c r="E137" i="2"/>
  <c r="E93" i="2"/>
  <c r="E125" i="2"/>
  <c r="E126" i="2"/>
  <c r="E126" i="4"/>
  <c r="E126" i="9"/>
  <c r="E126" i="7"/>
  <c r="E126" i="3"/>
  <c r="E127" i="8"/>
  <c r="E126" i="6"/>
  <c r="E126" i="5"/>
  <c r="E153" i="7"/>
  <c r="E153" i="6"/>
  <c r="E154" i="8"/>
  <c r="E153" i="9"/>
  <c r="E153" i="4"/>
  <c r="E153" i="3"/>
  <c r="E153" i="5"/>
  <c r="E125" i="7"/>
  <c r="E125" i="3"/>
  <c r="E126" i="8"/>
  <c r="E125" i="4"/>
  <c r="E125" i="9"/>
  <c r="E125" i="6"/>
  <c r="E125" i="5"/>
  <c r="E160" i="7"/>
  <c r="E160" i="6"/>
  <c r="E160" i="3"/>
  <c r="E160" i="5"/>
  <c r="E161" i="8"/>
  <c r="E160" i="4"/>
  <c r="E160" i="9"/>
  <c r="E177" i="4"/>
  <c r="E178" i="8"/>
  <c r="E177" i="9"/>
  <c r="E177" i="7"/>
  <c r="E177" i="3"/>
  <c r="E177" i="6"/>
  <c r="E177" i="5"/>
  <c r="E137" i="7"/>
  <c r="E137" i="3"/>
  <c r="E138" i="8"/>
  <c r="E137" i="4"/>
  <c r="E137" i="6"/>
  <c r="E137" i="5"/>
  <c r="E137" i="9"/>
  <c r="E94" i="8"/>
  <c r="E93" i="6"/>
  <c r="E93" i="5"/>
  <c r="E93" i="7"/>
  <c r="E93" i="4"/>
  <c r="E93" i="9"/>
  <c r="E93" i="3"/>
  <c r="E115" i="5"/>
  <c r="E115" i="7"/>
  <c r="E115" i="4"/>
  <c r="E115" i="6"/>
  <c r="E116" i="8"/>
  <c r="E115" i="3"/>
  <c r="E115" i="9"/>
  <c r="E115" i="2"/>
  <c r="E109" i="5"/>
  <c r="E109" i="7"/>
  <c r="E109" i="4"/>
  <c r="E109" i="6"/>
  <c r="E110" i="8"/>
  <c r="E109" i="3"/>
  <c r="E109" i="9"/>
  <c r="E109" i="2"/>
  <c r="K10" i="5"/>
  <c r="H14" i="5"/>
  <c r="G14" i="5"/>
  <c r="F14" i="2"/>
  <c r="H14" i="2"/>
  <c r="G14" i="2"/>
  <c r="L9" i="7"/>
  <c r="M9" i="7"/>
  <c r="N9" i="7"/>
  <c r="L10" i="7"/>
  <c r="M10" i="7"/>
  <c r="N10" i="7"/>
  <c r="L9" i="4"/>
  <c r="M9" i="4"/>
  <c r="N9" i="4"/>
  <c r="L10" i="4"/>
  <c r="M10" i="4"/>
  <c r="N10" i="4"/>
  <c r="L9" i="6"/>
  <c r="M9" i="6"/>
  <c r="N9" i="6"/>
  <c r="L10" i="6"/>
  <c r="M10" i="6"/>
  <c r="N10" i="6"/>
  <c r="L9" i="8"/>
  <c r="N9" i="8"/>
  <c r="L10" i="8"/>
  <c r="N10" i="8"/>
  <c r="L9" i="3"/>
  <c r="M9" i="3"/>
  <c r="N9" i="3"/>
  <c r="L10" i="3"/>
  <c r="M10" i="3"/>
  <c r="N10" i="3"/>
  <c r="L9" i="9"/>
  <c r="M9" i="9"/>
  <c r="N9" i="9"/>
  <c r="L10" i="9"/>
  <c r="M10" i="9"/>
  <c r="N10" i="9"/>
  <c r="L9" i="5"/>
  <c r="M9" i="5"/>
  <c r="N9" i="5"/>
  <c r="L10" i="5"/>
  <c r="M10" i="5"/>
  <c r="N10" i="5"/>
  <c r="L6" i="7"/>
  <c r="M6" i="7"/>
  <c r="N6" i="7"/>
  <c r="L6" i="4"/>
  <c r="M6" i="4"/>
  <c r="N6" i="4"/>
  <c r="L6" i="6"/>
  <c r="M6" i="6"/>
  <c r="N6" i="6"/>
  <c r="L6" i="8"/>
  <c r="M6" i="8"/>
  <c r="N6" i="8"/>
  <c r="L6" i="3"/>
  <c r="M6" i="3"/>
  <c r="N6" i="3"/>
  <c r="L6" i="9"/>
  <c r="M6" i="9"/>
  <c r="N6" i="9"/>
  <c r="L6" i="5"/>
  <c r="M6" i="5"/>
  <c r="N6" i="5"/>
  <c r="K6" i="7"/>
  <c r="K6" i="4"/>
  <c r="K6" i="6"/>
  <c r="K6" i="8"/>
  <c r="K6" i="3"/>
  <c r="K6" i="9"/>
  <c r="K6" i="5"/>
  <c r="K10" i="2"/>
  <c r="O11" i="2"/>
  <c r="F11" i="2"/>
  <c r="H3" i="2"/>
  <c r="H3" i="7"/>
  <c r="H3" i="4"/>
  <c r="H3" i="6"/>
  <c r="H3" i="8"/>
  <c r="H3" i="3"/>
  <c r="H3" i="9"/>
  <c r="E20" i="5"/>
  <c r="E108" i="2"/>
  <c r="E94" i="2"/>
  <c r="E82" i="2"/>
  <c r="E81" i="2"/>
  <c r="E75" i="2"/>
  <c r="E74" i="2"/>
  <c r="E71" i="2"/>
  <c r="E70" i="2"/>
  <c r="F16" i="5"/>
  <c r="E7" i="11"/>
  <c r="F7" i="11"/>
  <c r="O11" i="5"/>
  <c r="F11" i="5"/>
  <c r="E75" i="6"/>
  <c r="E75" i="5"/>
  <c r="E75" i="4"/>
  <c r="E75" i="3"/>
  <c r="E75" i="9"/>
  <c r="E75" i="7"/>
  <c r="E76" i="8"/>
  <c r="E70" i="7"/>
  <c r="E70" i="4"/>
  <c r="E71" i="8"/>
  <c r="E70" i="9"/>
  <c r="E70" i="5"/>
  <c r="E70" i="6"/>
  <c r="E70" i="3"/>
  <c r="E81" i="5"/>
  <c r="E81" i="7"/>
  <c r="E81" i="4"/>
  <c r="E81" i="6"/>
  <c r="E82" i="8"/>
  <c r="E81" i="3"/>
  <c r="E81" i="9"/>
  <c r="E71" i="7"/>
  <c r="E71" i="4"/>
  <c r="E71" i="3"/>
  <c r="E72" i="8"/>
  <c r="E71" i="6"/>
  <c r="E71" i="9"/>
  <c r="E71" i="5"/>
  <c r="E82" i="6"/>
  <c r="E82" i="3"/>
  <c r="E82" i="9"/>
  <c r="E82" i="7"/>
  <c r="E82" i="4"/>
  <c r="E83" i="8"/>
  <c r="E82" i="5"/>
  <c r="E108" i="4"/>
  <c r="E109" i="8"/>
  <c r="E108" i="9"/>
  <c r="E108" i="7"/>
  <c r="E108" i="6"/>
  <c r="E108" i="3"/>
  <c r="E108" i="5"/>
  <c r="E74" i="6"/>
  <c r="E74" i="3"/>
  <c r="E74" i="7"/>
  <c r="E74" i="4"/>
  <c r="E75" i="8"/>
  <c r="E74" i="9"/>
  <c r="E74" i="5"/>
  <c r="E94" i="3"/>
  <c r="E95" i="8"/>
  <c r="E94" i="6"/>
  <c r="E94" i="5"/>
  <c r="E94" i="4"/>
  <c r="E94" i="9"/>
  <c r="E94" i="7"/>
  <c r="K10" i="6"/>
  <c r="O11" i="6"/>
  <c r="F11" i="6"/>
  <c r="K10" i="4"/>
  <c r="K10" i="3"/>
  <c r="O11" i="3"/>
  <c r="F11" i="3"/>
  <c r="G11" i="2"/>
  <c r="H11" i="2"/>
  <c r="K10" i="9"/>
  <c r="O11" i="9"/>
  <c r="F11" i="9"/>
  <c r="K10" i="7"/>
  <c r="O11" i="7"/>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3" i="5"/>
  <c r="F224" i="5"/>
  <c r="F225" i="5"/>
  <c r="F226" i="5"/>
  <c r="F227" i="5"/>
  <c r="F228" i="5"/>
  <c r="F230" i="5"/>
  <c r="F231" i="5"/>
  <c r="F232" i="5"/>
  <c r="F234" i="5"/>
  <c r="F235" i="5"/>
  <c r="F236" i="5"/>
  <c r="F237" i="5"/>
  <c r="F238" i="5"/>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3" i="7"/>
  <c r="F224" i="7"/>
  <c r="F225" i="7"/>
  <c r="F226" i="7"/>
  <c r="F227" i="7"/>
  <c r="F228" i="7"/>
  <c r="F229" i="7"/>
  <c r="F230" i="7"/>
  <c r="F231" i="7"/>
  <c r="F232" i="7"/>
  <c r="F234" i="7"/>
  <c r="F235" i="7"/>
  <c r="F236" i="7"/>
  <c r="F237" i="7"/>
  <c r="F238" i="7"/>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3" i="4"/>
  <c r="F224" i="4"/>
  <c r="F225" i="4"/>
  <c r="F226" i="4"/>
  <c r="F227" i="4"/>
  <c r="F228" i="4"/>
  <c r="F229" i="4"/>
  <c r="F230" i="4"/>
  <c r="F231" i="4"/>
  <c r="F232" i="4"/>
  <c r="F234" i="4"/>
  <c r="F235" i="4"/>
  <c r="F236" i="4"/>
  <c r="F237" i="4"/>
  <c r="F238" i="4"/>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F223" i="6"/>
  <c r="F224" i="6"/>
  <c r="F225" i="6"/>
  <c r="F226" i="6"/>
  <c r="F227" i="6"/>
  <c r="F228" i="6"/>
  <c r="F229" i="6"/>
  <c r="F230" i="6"/>
  <c r="F231" i="6"/>
  <c r="F232" i="6"/>
  <c r="F234" i="6"/>
  <c r="F235" i="6"/>
  <c r="F236" i="6"/>
  <c r="F237" i="6"/>
  <c r="F238" i="6"/>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4" i="8"/>
  <c r="F225" i="8"/>
  <c r="F226" i="8"/>
  <c r="F227" i="8"/>
  <c r="F228" i="8"/>
  <c r="F229" i="8"/>
  <c r="F230" i="8"/>
  <c r="F231" i="8"/>
  <c r="F232" i="8"/>
  <c r="F233" i="8"/>
  <c r="F235" i="8"/>
  <c r="F236" i="8"/>
  <c r="F237" i="8"/>
  <c r="F238" i="8"/>
  <c r="F239" i="8"/>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3" i="3"/>
  <c r="F224" i="3"/>
  <c r="F225" i="3"/>
  <c r="F226" i="3"/>
  <c r="F227" i="3"/>
  <c r="F228" i="3"/>
  <c r="F229" i="3"/>
  <c r="F230" i="3"/>
  <c r="F231" i="3"/>
  <c r="F232" i="3"/>
  <c r="F234" i="3"/>
  <c r="F235" i="3"/>
  <c r="F236" i="3"/>
  <c r="F237" i="3"/>
  <c r="F238" i="3"/>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3" i="9"/>
  <c r="F224" i="9"/>
  <c r="F225" i="9"/>
  <c r="F226" i="9"/>
  <c r="F227" i="9"/>
  <c r="F228" i="9"/>
  <c r="F229" i="9"/>
  <c r="F230" i="9"/>
  <c r="F231" i="9"/>
  <c r="F232" i="9"/>
  <c r="F234" i="9"/>
  <c r="F235" i="9"/>
  <c r="F236" i="9"/>
  <c r="F237" i="9"/>
  <c r="F238" i="9"/>
  <c r="F128" i="5"/>
  <c r="F129" i="5"/>
  <c r="F130" i="5"/>
  <c r="F131" i="5"/>
  <c r="F132" i="5"/>
  <c r="F135" i="5"/>
  <c r="F136" i="5"/>
  <c r="E20" i="11"/>
  <c r="F138" i="5"/>
  <c r="F140" i="5"/>
  <c r="F141" i="5"/>
  <c r="F142" i="5"/>
  <c r="F143" i="5"/>
  <c r="F144" i="5"/>
  <c r="F145" i="5"/>
  <c r="F146" i="5"/>
  <c r="F147" i="5"/>
  <c r="F148" i="5"/>
  <c r="F149" i="5"/>
  <c r="F151" i="5"/>
  <c r="F152" i="5"/>
  <c r="F154" i="5"/>
  <c r="F155" i="5"/>
  <c r="F156" i="5"/>
  <c r="F157" i="5"/>
  <c r="F159" i="5"/>
  <c r="F162" i="5"/>
  <c r="F163" i="5"/>
  <c r="F164" i="5"/>
  <c r="F165" i="5"/>
  <c r="F166" i="5"/>
  <c r="F167" i="5"/>
  <c r="F168" i="5"/>
  <c r="F169" i="5"/>
  <c r="F172" i="5"/>
  <c r="F173" i="5"/>
  <c r="E37" i="11"/>
  <c r="F178" i="5"/>
  <c r="F179" i="5"/>
  <c r="F180" i="5"/>
  <c r="F181" i="5"/>
  <c r="F182" i="5"/>
  <c r="F183" i="5"/>
  <c r="F184" i="5"/>
  <c r="F185" i="5"/>
  <c r="F186" i="5"/>
  <c r="F187" i="5"/>
  <c r="H43" i="17"/>
  <c r="F189" i="5"/>
  <c r="F190" i="5"/>
  <c r="F191" i="5"/>
  <c r="F192" i="5"/>
  <c r="F193" i="5"/>
  <c r="F128" i="7"/>
  <c r="F129" i="7"/>
  <c r="F130" i="7"/>
  <c r="F131" i="7"/>
  <c r="F132" i="7"/>
  <c r="F133" i="7"/>
  <c r="F134" i="7"/>
  <c r="F135" i="7"/>
  <c r="F136" i="7"/>
  <c r="F137" i="7"/>
  <c r="F138" i="7"/>
  <c r="F139" i="7"/>
  <c r="F140" i="7"/>
  <c r="F141" i="7"/>
  <c r="F142" i="7"/>
  <c r="F143" i="7"/>
  <c r="F144" i="7"/>
  <c r="F145" i="7"/>
  <c r="F146" i="7"/>
  <c r="F147" i="7"/>
  <c r="F148" i="7"/>
  <c r="F149" i="7"/>
  <c r="F151" i="7"/>
  <c r="F152" i="7"/>
  <c r="F153" i="7"/>
  <c r="F154" i="7"/>
  <c r="F176" i="7"/>
  <c r="F155" i="7"/>
  <c r="F156" i="7"/>
  <c r="F157" i="7"/>
  <c r="F158" i="7"/>
  <c r="F159" i="7"/>
  <c r="F160" i="7"/>
  <c r="F161" i="7"/>
  <c r="F162" i="7"/>
  <c r="F163" i="7"/>
  <c r="F164" i="7"/>
  <c r="F165" i="7"/>
  <c r="F166" i="7"/>
  <c r="F167" i="7"/>
  <c r="F168" i="7"/>
  <c r="F169" i="7"/>
  <c r="F170" i="7"/>
  <c r="F171" i="7"/>
  <c r="F172" i="7"/>
  <c r="F173" i="7"/>
  <c r="F174" i="7"/>
  <c r="F175" i="7"/>
  <c r="F177" i="7"/>
  <c r="F178" i="7"/>
  <c r="F179" i="7"/>
  <c r="F180" i="7"/>
  <c r="F181" i="7"/>
  <c r="F182" i="7"/>
  <c r="F183" i="7"/>
  <c r="F184" i="7"/>
  <c r="F185" i="7"/>
  <c r="F186" i="7"/>
  <c r="F187" i="7"/>
  <c r="F188" i="7"/>
  <c r="F189" i="7"/>
  <c r="F190" i="7"/>
  <c r="F191" i="7"/>
  <c r="F192" i="7"/>
  <c r="F193" i="7"/>
  <c r="F128" i="4"/>
  <c r="F129" i="4"/>
  <c r="F130" i="4"/>
  <c r="F131" i="4"/>
  <c r="F132" i="4"/>
  <c r="F133" i="4"/>
  <c r="F134" i="4"/>
  <c r="F135" i="4"/>
  <c r="F136" i="4"/>
  <c r="F137" i="4"/>
  <c r="F138" i="4"/>
  <c r="F139" i="4"/>
  <c r="F140" i="4"/>
  <c r="F141" i="4"/>
  <c r="F142" i="4"/>
  <c r="F143" i="4"/>
  <c r="F144" i="4"/>
  <c r="F145" i="4"/>
  <c r="F146" i="4"/>
  <c r="F147" i="4"/>
  <c r="F148" i="4"/>
  <c r="F149" i="4"/>
  <c r="F151" i="4"/>
  <c r="F152" i="4"/>
  <c r="F153" i="4"/>
  <c r="F154" i="4"/>
  <c r="F176" i="4"/>
  <c r="F155" i="4"/>
  <c r="F156" i="4"/>
  <c r="F157" i="4"/>
  <c r="F158" i="4"/>
  <c r="F159" i="4"/>
  <c r="F160" i="4"/>
  <c r="F161" i="4"/>
  <c r="F162" i="4"/>
  <c r="F163" i="4"/>
  <c r="F164" i="4"/>
  <c r="F165" i="4"/>
  <c r="F166" i="4"/>
  <c r="F167" i="4"/>
  <c r="F168" i="4"/>
  <c r="F169" i="4"/>
  <c r="F170" i="4"/>
  <c r="F171" i="4"/>
  <c r="F172" i="4"/>
  <c r="F173" i="4"/>
  <c r="F174" i="4"/>
  <c r="F175" i="4"/>
  <c r="F177" i="4"/>
  <c r="F178" i="4"/>
  <c r="F179" i="4"/>
  <c r="F180" i="4"/>
  <c r="F181" i="4"/>
  <c r="F182" i="4"/>
  <c r="F183" i="4"/>
  <c r="F184" i="4"/>
  <c r="F185" i="4"/>
  <c r="F186" i="4"/>
  <c r="F187" i="4"/>
  <c r="F188" i="4"/>
  <c r="F189" i="4"/>
  <c r="F190" i="4"/>
  <c r="F191" i="4"/>
  <c r="F192" i="4"/>
  <c r="F193" i="4"/>
  <c r="F128" i="6"/>
  <c r="F129" i="6"/>
  <c r="F130" i="6"/>
  <c r="F131" i="6"/>
  <c r="F132" i="6"/>
  <c r="F133" i="6"/>
  <c r="F134" i="6"/>
  <c r="F135" i="6"/>
  <c r="F136" i="6"/>
  <c r="F137" i="6"/>
  <c r="F138" i="6"/>
  <c r="F139" i="6"/>
  <c r="F140" i="6"/>
  <c r="F141" i="6"/>
  <c r="F142" i="6"/>
  <c r="F143" i="6"/>
  <c r="F144" i="6"/>
  <c r="F145" i="6"/>
  <c r="F146" i="6"/>
  <c r="F147" i="6"/>
  <c r="F148" i="6"/>
  <c r="F149" i="6"/>
  <c r="F151" i="6"/>
  <c r="F152" i="6"/>
  <c r="F153" i="6"/>
  <c r="F154" i="6"/>
  <c r="F176" i="6"/>
  <c r="F155" i="6"/>
  <c r="F156" i="6"/>
  <c r="F157" i="6"/>
  <c r="F158" i="6"/>
  <c r="F159" i="6"/>
  <c r="F160" i="6"/>
  <c r="F161" i="6"/>
  <c r="F162" i="6"/>
  <c r="F163" i="6"/>
  <c r="F164" i="6"/>
  <c r="F165" i="6"/>
  <c r="F166" i="6"/>
  <c r="F167" i="6"/>
  <c r="F168" i="6"/>
  <c r="F169" i="6"/>
  <c r="F170" i="6"/>
  <c r="F171" i="6"/>
  <c r="F172" i="6"/>
  <c r="F173" i="6"/>
  <c r="F174" i="6"/>
  <c r="F175" i="6"/>
  <c r="F177" i="6"/>
  <c r="F178" i="6"/>
  <c r="F179" i="6"/>
  <c r="F180" i="6"/>
  <c r="F181" i="6"/>
  <c r="F182" i="6"/>
  <c r="F183" i="6"/>
  <c r="F184" i="6"/>
  <c r="F185" i="6"/>
  <c r="F186" i="6"/>
  <c r="F187" i="6"/>
  <c r="F188" i="6"/>
  <c r="F189" i="6"/>
  <c r="F190" i="6"/>
  <c r="F191" i="6"/>
  <c r="F192" i="6"/>
  <c r="F193" i="6"/>
  <c r="F129" i="8"/>
  <c r="F130" i="8"/>
  <c r="F131" i="8"/>
  <c r="F132" i="8"/>
  <c r="F133" i="8"/>
  <c r="F134" i="8"/>
  <c r="F135" i="8"/>
  <c r="F136" i="8"/>
  <c r="F137" i="8"/>
  <c r="F139" i="8"/>
  <c r="F140" i="8"/>
  <c r="F141" i="8"/>
  <c r="F142" i="8"/>
  <c r="F143" i="8"/>
  <c r="F144" i="8"/>
  <c r="F145" i="8"/>
  <c r="F146" i="8"/>
  <c r="F147" i="8"/>
  <c r="F148" i="8"/>
  <c r="F149" i="8"/>
  <c r="F150" i="8"/>
  <c r="F152" i="8"/>
  <c r="F153" i="8"/>
  <c r="F154" i="8"/>
  <c r="F155" i="8"/>
  <c r="F177" i="8"/>
  <c r="F156" i="8"/>
  <c r="F157" i="8"/>
  <c r="F158" i="8"/>
  <c r="F159" i="8"/>
  <c r="F160" i="8"/>
  <c r="F161" i="8"/>
  <c r="F162" i="8"/>
  <c r="F163" i="8"/>
  <c r="F164" i="8"/>
  <c r="F165" i="8"/>
  <c r="F166" i="8"/>
  <c r="F167" i="8"/>
  <c r="F168" i="8"/>
  <c r="F169" i="8"/>
  <c r="F170" i="8"/>
  <c r="F171" i="8"/>
  <c r="F172" i="8"/>
  <c r="F173" i="8"/>
  <c r="F174" i="8"/>
  <c r="F175" i="8"/>
  <c r="F176" i="8"/>
  <c r="F178" i="8"/>
  <c r="F179" i="8"/>
  <c r="F180" i="8"/>
  <c r="F181" i="8"/>
  <c r="F182" i="8"/>
  <c r="F183" i="8"/>
  <c r="F184" i="8"/>
  <c r="F185" i="8"/>
  <c r="F186" i="8"/>
  <c r="F187" i="8"/>
  <c r="F188" i="8"/>
  <c r="F189" i="8"/>
  <c r="F190" i="8"/>
  <c r="F191" i="8"/>
  <c r="F192" i="8"/>
  <c r="F193" i="8"/>
  <c r="F194" i="8"/>
  <c r="F128" i="3"/>
  <c r="F129" i="3"/>
  <c r="F130" i="3"/>
  <c r="F131" i="3"/>
  <c r="F132" i="3"/>
  <c r="F133" i="3"/>
  <c r="F134" i="3"/>
  <c r="F135" i="3"/>
  <c r="F136" i="3"/>
  <c r="F137" i="3"/>
  <c r="F138" i="3"/>
  <c r="F139" i="3"/>
  <c r="F140" i="3"/>
  <c r="F141" i="3"/>
  <c r="F142" i="3"/>
  <c r="F143" i="3"/>
  <c r="F144" i="3"/>
  <c r="F145" i="3"/>
  <c r="F146" i="3"/>
  <c r="F147" i="3"/>
  <c r="F148" i="3"/>
  <c r="F149" i="3"/>
  <c r="F151" i="3"/>
  <c r="F152" i="3"/>
  <c r="F153" i="3"/>
  <c r="F154" i="3"/>
  <c r="F176" i="3"/>
  <c r="F155" i="3"/>
  <c r="F156" i="3"/>
  <c r="F157" i="3"/>
  <c r="F158" i="3"/>
  <c r="F159" i="3"/>
  <c r="F160" i="3"/>
  <c r="F161" i="3"/>
  <c r="F162" i="3"/>
  <c r="F163" i="3"/>
  <c r="F164" i="3"/>
  <c r="F165" i="3"/>
  <c r="F166" i="3"/>
  <c r="F167" i="3"/>
  <c r="F168" i="3"/>
  <c r="F169" i="3"/>
  <c r="F170" i="3"/>
  <c r="F171" i="3"/>
  <c r="F172" i="3"/>
  <c r="F173" i="3"/>
  <c r="F174" i="3"/>
  <c r="F175" i="3"/>
  <c r="F177" i="3"/>
  <c r="F178" i="3"/>
  <c r="F179" i="3"/>
  <c r="F180" i="3"/>
  <c r="F181" i="3"/>
  <c r="F182" i="3"/>
  <c r="F183" i="3"/>
  <c r="F184" i="3"/>
  <c r="F185" i="3"/>
  <c r="F186" i="3"/>
  <c r="F187" i="3"/>
  <c r="F188" i="3"/>
  <c r="F189" i="3"/>
  <c r="F190" i="3"/>
  <c r="F191" i="3"/>
  <c r="F192" i="3"/>
  <c r="F193" i="3"/>
  <c r="F128" i="9"/>
  <c r="F129" i="9"/>
  <c r="F130" i="9"/>
  <c r="F131" i="9"/>
  <c r="F132" i="9"/>
  <c r="F133" i="9"/>
  <c r="F134" i="9"/>
  <c r="F135" i="9"/>
  <c r="F136" i="9"/>
  <c r="F137" i="9"/>
  <c r="F138" i="9"/>
  <c r="F139" i="9"/>
  <c r="F140" i="9"/>
  <c r="F141" i="9"/>
  <c r="F142" i="9"/>
  <c r="F143" i="9"/>
  <c r="F144" i="9"/>
  <c r="F145" i="9"/>
  <c r="F146" i="9"/>
  <c r="F147" i="9"/>
  <c r="F148" i="9"/>
  <c r="F149" i="9"/>
  <c r="F151" i="9"/>
  <c r="F152" i="9"/>
  <c r="F153" i="9"/>
  <c r="F154" i="9"/>
  <c r="F176" i="9"/>
  <c r="F155" i="9"/>
  <c r="F156" i="9"/>
  <c r="F157" i="9"/>
  <c r="F158" i="9"/>
  <c r="F159" i="9"/>
  <c r="F160" i="9"/>
  <c r="F161" i="9"/>
  <c r="F162" i="9"/>
  <c r="F163" i="9"/>
  <c r="F164" i="9"/>
  <c r="F165" i="9"/>
  <c r="F166" i="9"/>
  <c r="F167" i="9"/>
  <c r="F168" i="9"/>
  <c r="F169" i="9"/>
  <c r="F170" i="9"/>
  <c r="F171" i="9"/>
  <c r="F172" i="9"/>
  <c r="F173" i="9"/>
  <c r="F174" i="9"/>
  <c r="F175" i="9"/>
  <c r="F177" i="9"/>
  <c r="F178" i="9"/>
  <c r="F179" i="9"/>
  <c r="F180" i="9"/>
  <c r="F181" i="9"/>
  <c r="F182" i="9"/>
  <c r="F183" i="9"/>
  <c r="F184" i="9"/>
  <c r="F185" i="9"/>
  <c r="F186" i="9"/>
  <c r="F187" i="9"/>
  <c r="F188" i="9"/>
  <c r="F189" i="9"/>
  <c r="F190" i="9"/>
  <c r="F191" i="9"/>
  <c r="F192" i="9"/>
  <c r="F193" i="9"/>
  <c r="F122" i="5"/>
  <c r="F123" i="5"/>
  <c r="F124" i="5"/>
  <c r="F125" i="5"/>
  <c r="F126" i="5"/>
  <c r="F127" i="5"/>
  <c r="F122" i="7"/>
  <c r="F123" i="7"/>
  <c r="F124" i="7"/>
  <c r="F125" i="7"/>
  <c r="F126" i="7"/>
  <c r="F127" i="7"/>
  <c r="F122" i="4"/>
  <c r="F123" i="4"/>
  <c r="F124" i="4"/>
  <c r="F125" i="4"/>
  <c r="F126" i="4"/>
  <c r="F127" i="4"/>
  <c r="F122" i="6"/>
  <c r="F123" i="6"/>
  <c r="F124" i="6"/>
  <c r="F125" i="6"/>
  <c r="F126" i="6"/>
  <c r="F127" i="6"/>
  <c r="F123" i="8"/>
  <c r="F124" i="8"/>
  <c r="F125" i="8"/>
  <c r="F126" i="8"/>
  <c r="F127" i="8"/>
  <c r="F128" i="8"/>
  <c r="F122" i="3"/>
  <c r="F123" i="3"/>
  <c r="F124" i="3"/>
  <c r="F125" i="3"/>
  <c r="F126" i="3"/>
  <c r="F127" i="3"/>
  <c r="F122" i="9"/>
  <c r="F123" i="9"/>
  <c r="F124" i="9"/>
  <c r="F125" i="9"/>
  <c r="F126" i="9"/>
  <c r="F127" i="9"/>
  <c r="F104" i="5"/>
  <c r="F105" i="5"/>
  <c r="F108" i="5"/>
  <c r="F109" i="5"/>
  <c r="F111" i="5"/>
  <c r="F112" i="5"/>
  <c r="F113" i="5"/>
  <c r="F114" i="5"/>
  <c r="F115" i="5"/>
  <c r="F116" i="5"/>
  <c r="F117" i="5"/>
  <c r="F118" i="5"/>
  <c r="F119" i="5"/>
  <c r="F120" i="5"/>
  <c r="F104" i="7"/>
  <c r="F105" i="7"/>
  <c r="F106" i="7"/>
  <c r="F107" i="7"/>
  <c r="F108" i="7"/>
  <c r="F109" i="7"/>
  <c r="F110" i="7"/>
  <c r="F111" i="7"/>
  <c r="F112" i="7"/>
  <c r="F113" i="7"/>
  <c r="F114" i="7"/>
  <c r="F115" i="7"/>
  <c r="F116" i="7"/>
  <c r="F117" i="7"/>
  <c r="F118" i="7"/>
  <c r="F119" i="7"/>
  <c r="F120" i="7"/>
  <c r="F104" i="4"/>
  <c r="F105" i="4"/>
  <c r="F106" i="4"/>
  <c r="F107" i="4"/>
  <c r="F108" i="4"/>
  <c r="F109" i="4"/>
  <c r="F110" i="4"/>
  <c r="F111" i="4"/>
  <c r="F112" i="4"/>
  <c r="F113" i="4"/>
  <c r="F114" i="4"/>
  <c r="F115" i="4"/>
  <c r="F116" i="4"/>
  <c r="F117" i="4"/>
  <c r="F118" i="4"/>
  <c r="F119" i="4"/>
  <c r="F120" i="4"/>
  <c r="F104" i="6"/>
  <c r="F105" i="6"/>
  <c r="F106" i="6"/>
  <c r="F107" i="6"/>
  <c r="F108" i="6"/>
  <c r="F109" i="6"/>
  <c r="F110" i="6"/>
  <c r="F111" i="6"/>
  <c r="F112" i="6"/>
  <c r="F113" i="6"/>
  <c r="F114" i="6"/>
  <c r="F115" i="6"/>
  <c r="F116" i="6"/>
  <c r="F117" i="6"/>
  <c r="F118" i="6"/>
  <c r="F119" i="6"/>
  <c r="F120" i="6"/>
  <c r="F105" i="8"/>
  <c r="F106" i="8"/>
  <c r="F107" i="8"/>
  <c r="F108" i="8"/>
  <c r="F109" i="8"/>
  <c r="F110" i="8"/>
  <c r="F111" i="8"/>
  <c r="F112" i="8"/>
  <c r="F113" i="8"/>
  <c r="F114" i="8"/>
  <c r="F115" i="8"/>
  <c r="F116" i="8"/>
  <c r="F117" i="8"/>
  <c r="F118" i="8"/>
  <c r="F119" i="8"/>
  <c r="F120" i="8"/>
  <c r="F121" i="8"/>
  <c r="F104" i="3"/>
  <c r="F105" i="3"/>
  <c r="F106" i="3"/>
  <c r="F107" i="3"/>
  <c r="F108" i="3"/>
  <c r="F109" i="3"/>
  <c r="F110" i="3"/>
  <c r="F111" i="3"/>
  <c r="F112" i="3"/>
  <c r="F113" i="3"/>
  <c r="F114" i="3"/>
  <c r="F115" i="3"/>
  <c r="F116" i="3"/>
  <c r="F117" i="3"/>
  <c r="F118" i="3"/>
  <c r="F119" i="3"/>
  <c r="F120" i="3"/>
  <c r="F104" i="9"/>
  <c r="F105" i="9"/>
  <c r="F106" i="9"/>
  <c r="F107" i="9"/>
  <c r="F108" i="9"/>
  <c r="F109" i="9"/>
  <c r="F110" i="9"/>
  <c r="F111" i="9"/>
  <c r="F112" i="9"/>
  <c r="F113" i="9"/>
  <c r="F114" i="9"/>
  <c r="F115" i="9"/>
  <c r="F116" i="9"/>
  <c r="F117" i="9"/>
  <c r="F118" i="9"/>
  <c r="F119" i="9"/>
  <c r="F120" i="9"/>
  <c r="F91" i="5"/>
  <c r="F92" i="5"/>
  <c r="F95" i="5"/>
  <c r="F96" i="5"/>
  <c r="F97" i="5"/>
  <c r="F98" i="5"/>
  <c r="F100" i="5"/>
  <c r="F101" i="5"/>
  <c r="F102" i="5"/>
  <c r="F91" i="7"/>
  <c r="F92" i="7"/>
  <c r="F93" i="7"/>
  <c r="F94" i="7"/>
  <c r="F95" i="7"/>
  <c r="F96" i="7"/>
  <c r="F97" i="7"/>
  <c r="F98" i="7"/>
  <c r="F99" i="7"/>
  <c r="F100" i="7"/>
  <c r="F101" i="7"/>
  <c r="F102" i="7"/>
  <c r="F91" i="4"/>
  <c r="F92" i="4"/>
  <c r="F93" i="4"/>
  <c r="F94" i="4"/>
  <c r="F95" i="4"/>
  <c r="F96" i="4"/>
  <c r="F97" i="4"/>
  <c r="F98" i="4"/>
  <c r="F99" i="4"/>
  <c r="F100" i="4"/>
  <c r="F101" i="4"/>
  <c r="F102" i="4"/>
  <c r="F91" i="6"/>
  <c r="F92" i="6"/>
  <c r="F93" i="6"/>
  <c r="F94" i="6"/>
  <c r="F95" i="6"/>
  <c r="F96" i="6"/>
  <c r="F97" i="6"/>
  <c r="F98" i="6"/>
  <c r="F99" i="6"/>
  <c r="F100" i="6"/>
  <c r="F101" i="6"/>
  <c r="F102" i="6"/>
  <c r="F92" i="8"/>
  <c r="F93" i="8"/>
  <c r="F94" i="8"/>
  <c r="F95" i="8"/>
  <c r="F96" i="8"/>
  <c r="F97" i="8"/>
  <c r="F98" i="8"/>
  <c r="F99" i="8"/>
  <c r="F100" i="8"/>
  <c r="F101" i="8"/>
  <c r="F102" i="8"/>
  <c r="F103" i="8"/>
  <c r="F91" i="3"/>
  <c r="F92" i="3"/>
  <c r="F93" i="3"/>
  <c r="F94" i="3"/>
  <c r="F95" i="3"/>
  <c r="F96" i="3"/>
  <c r="F97" i="3"/>
  <c r="F98" i="3"/>
  <c r="F99" i="3"/>
  <c r="F100" i="3"/>
  <c r="F101" i="3"/>
  <c r="F102" i="3"/>
  <c r="F91" i="9"/>
  <c r="F92" i="9"/>
  <c r="F93" i="9"/>
  <c r="F94" i="9"/>
  <c r="F95" i="9"/>
  <c r="F96" i="9"/>
  <c r="F97" i="9"/>
  <c r="F98" i="9"/>
  <c r="F99" i="9"/>
  <c r="F100" i="9"/>
  <c r="F101" i="9"/>
  <c r="F102" i="9"/>
  <c r="F83" i="5"/>
  <c r="F84" i="5"/>
  <c r="F85" i="5"/>
  <c r="F86" i="5"/>
  <c r="F87" i="5"/>
  <c r="F89" i="5"/>
  <c r="F83" i="7"/>
  <c r="F84" i="7"/>
  <c r="F85" i="7"/>
  <c r="F86" i="7"/>
  <c r="F87" i="7"/>
  <c r="F88" i="7"/>
  <c r="F89" i="7"/>
  <c r="F83" i="4"/>
  <c r="F84" i="4"/>
  <c r="F85" i="4"/>
  <c r="F86" i="4"/>
  <c r="F87" i="4"/>
  <c r="F88" i="4"/>
  <c r="F89" i="4"/>
  <c r="F83" i="6"/>
  <c r="F84" i="6"/>
  <c r="F85" i="6"/>
  <c r="F86" i="6"/>
  <c r="F87" i="6"/>
  <c r="F88" i="6"/>
  <c r="F89" i="6"/>
  <c r="F84" i="8"/>
  <c r="F85" i="8"/>
  <c r="F86" i="8"/>
  <c r="F87" i="8"/>
  <c r="F88" i="8"/>
  <c r="F89" i="8"/>
  <c r="F90" i="8"/>
  <c r="F83" i="3"/>
  <c r="F84" i="3"/>
  <c r="F85" i="3"/>
  <c r="F86" i="3"/>
  <c r="F87" i="3"/>
  <c r="F88" i="3"/>
  <c r="F89" i="3"/>
  <c r="F83" i="9"/>
  <c r="F84" i="9"/>
  <c r="F85" i="9"/>
  <c r="F86" i="9"/>
  <c r="F87" i="9"/>
  <c r="F88" i="9"/>
  <c r="F89" i="9"/>
  <c r="F69" i="5"/>
  <c r="F70" i="5"/>
  <c r="F72" i="5"/>
  <c r="F73" i="5"/>
  <c r="F74" i="5"/>
  <c r="E23" i="11"/>
  <c r="F77" i="5"/>
  <c r="F78" i="5"/>
  <c r="F79" i="5"/>
  <c r="F80" i="5"/>
  <c r="F69" i="7"/>
  <c r="F70" i="7"/>
  <c r="F71" i="7"/>
  <c r="F72" i="7"/>
  <c r="F73" i="7"/>
  <c r="F74" i="7"/>
  <c r="F75" i="7"/>
  <c r="F76" i="7"/>
  <c r="F77" i="7"/>
  <c r="F78" i="7"/>
  <c r="F79" i="7"/>
  <c r="F80" i="7"/>
  <c r="F81" i="7"/>
  <c r="F82" i="7"/>
  <c r="F69" i="4"/>
  <c r="F70" i="4"/>
  <c r="F71" i="4"/>
  <c r="F72" i="4"/>
  <c r="F73" i="4"/>
  <c r="F74" i="4"/>
  <c r="F75" i="4"/>
  <c r="F76" i="4"/>
  <c r="F77" i="4"/>
  <c r="F78" i="4"/>
  <c r="F79" i="4"/>
  <c r="F80" i="4"/>
  <c r="F81" i="4"/>
  <c r="F82" i="4"/>
  <c r="F69" i="6"/>
  <c r="F70" i="6"/>
  <c r="F71" i="6"/>
  <c r="F72" i="6"/>
  <c r="F73" i="6"/>
  <c r="F74" i="6"/>
  <c r="F75" i="6"/>
  <c r="F76" i="6"/>
  <c r="F77" i="6"/>
  <c r="F78" i="6"/>
  <c r="F79" i="6"/>
  <c r="F80" i="6"/>
  <c r="F81" i="6"/>
  <c r="F82" i="6"/>
  <c r="F70" i="8"/>
  <c r="F71" i="8"/>
  <c r="F72" i="8"/>
  <c r="F73" i="8"/>
  <c r="F74" i="8"/>
  <c r="F75" i="8"/>
  <c r="F76" i="8"/>
  <c r="F77" i="8"/>
  <c r="F78" i="8"/>
  <c r="F79" i="8"/>
  <c r="F80" i="8"/>
  <c r="F81" i="8"/>
  <c r="F82" i="8"/>
  <c r="F83" i="8"/>
  <c r="F69" i="3"/>
  <c r="F70" i="3"/>
  <c r="F71" i="3"/>
  <c r="F72" i="3"/>
  <c r="F73" i="3"/>
  <c r="F74" i="3"/>
  <c r="F75" i="3"/>
  <c r="F76" i="3"/>
  <c r="F77" i="3"/>
  <c r="F78" i="3"/>
  <c r="F79" i="3"/>
  <c r="F80" i="3"/>
  <c r="F81" i="3"/>
  <c r="F82" i="3"/>
  <c r="F69" i="9"/>
  <c r="F70" i="9"/>
  <c r="F71" i="9"/>
  <c r="F72" i="9"/>
  <c r="F73" i="9"/>
  <c r="F74" i="9"/>
  <c r="F75" i="9"/>
  <c r="F76" i="9"/>
  <c r="F77" i="9"/>
  <c r="F78" i="9"/>
  <c r="F79" i="9"/>
  <c r="F80" i="9"/>
  <c r="F81" i="9"/>
  <c r="F82" i="9"/>
  <c r="F62" i="5"/>
  <c r="F63" i="5"/>
  <c r="F64" i="5"/>
  <c r="F66" i="5"/>
  <c r="F67" i="5"/>
  <c r="F62" i="7"/>
  <c r="F63" i="7"/>
  <c r="F64" i="7"/>
  <c r="F65" i="7"/>
  <c r="F66" i="7"/>
  <c r="F67" i="7"/>
  <c r="F62" i="4"/>
  <c r="F63" i="4"/>
  <c r="F64" i="4"/>
  <c r="F65" i="4"/>
  <c r="F66" i="4"/>
  <c r="F67" i="4"/>
  <c r="F62" i="6"/>
  <c r="F63" i="6"/>
  <c r="F64" i="6"/>
  <c r="F65" i="6"/>
  <c r="F66" i="6"/>
  <c r="F67" i="6"/>
  <c r="F63" i="8"/>
  <c r="F64" i="8"/>
  <c r="F65" i="8"/>
  <c r="F66" i="8"/>
  <c r="F67" i="8"/>
  <c r="F68" i="8"/>
  <c r="F62" i="3"/>
  <c r="F63" i="3"/>
  <c r="F64" i="3"/>
  <c r="F65" i="3"/>
  <c r="F66" i="3"/>
  <c r="F67" i="3"/>
  <c r="F62" i="9"/>
  <c r="F63" i="9"/>
  <c r="F64" i="9"/>
  <c r="F65" i="9"/>
  <c r="F66" i="9"/>
  <c r="F67" i="9"/>
  <c r="F54" i="5"/>
  <c r="H54" i="5"/>
  <c r="F57" i="5"/>
  <c r="F58" i="5"/>
  <c r="F59" i="5"/>
  <c r="F60" i="5"/>
  <c r="F54" i="7"/>
  <c r="H54" i="7"/>
  <c r="F57" i="7"/>
  <c r="F58" i="7"/>
  <c r="F59" i="7"/>
  <c r="F60" i="7"/>
  <c r="F54" i="4"/>
  <c r="H54" i="4"/>
  <c r="F57" i="4"/>
  <c r="F58" i="4"/>
  <c r="F59" i="4"/>
  <c r="F60" i="4"/>
  <c r="F54" i="6"/>
  <c r="H54" i="6"/>
  <c r="F57" i="6"/>
  <c r="F58" i="6"/>
  <c r="F59" i="6"/>
  <c r="F60" i="6"/>
  <c r="F55" i="8"/>
  <c r="H55" i="8"/>
  <c r="F58" i="8"/>
  <c r="F59" i="8"/>
  <c r="F60" i="8"/>
  <c r="F61" i="8"/>
  <c r="F54" i="3"/>
  <c r="H54" i="3"/>
  <c r="F57" i="3"/>
  <c r="F58" i="3"/>
  <c r="F59" i="3"/>
  <c r="F60" i="3"/>
  <c r="F54" i="9"/>
  <c r="H54" i="9"/>
  <c r="F57" i="9"/>
  <c r="F58" i="9"/>
  <c r="F59" i="9"/>
  <c r="F60" i="9"/>
  <c r="F43" i="5"/>
  <c r="F44" i="5"/>
  <c r="F45" i="5"/>
  <c r="F46" i="5"/>
  <c r="F47" i="5"/>
  <c r="F48" i="5"/>
  <c r="F49" i="5"/>
  <c r="F50" i="5"/>
  <c r="F51" i="5"/>
  <c r="F52" i="5"/>
  <c r="F53" i="5"/>
  <c r="F43" i="7"/>
  <c r="F44" i="7"/>
  <c r="F45" i="7"/>
  <c r="F46" i="7"/>
  <c r="F47" i="7"/>
  <c r="F48" i="7"/>
  <c r="F49" i="7"/>
  <c r="F50" i="7"/>
  <c r="F51" i="7"/>
  <c r="F52" i="7"/>
  <c r="F53" i="7"/>
  <c r="F43" i="4"/>
  <c r="F44" i="4"/>
  <c r="F45" i="4"/>
  <c r="F46" i="4"/>
  <c r="F47" i="4"/>
  <c r="F48" i="4"/>
  <c r="F49" i="4"/>
  <c r="F50" i="4"/>
  <c r="F51" i="4"/>
  <c r="F52" i="4"/>
  <c r="F53" i="4"/>
  <c r="F43" i="6"/>
  <c r="F44" i="6"/>
  <c r="F45" i="6"/>
  <c r="F46" i="6"/>
  <c r="F47" i="6"/>
  <c r="F48" i="6"/>
  <c r="F49" i="6"/>
  <c r="F50" i="6"/>
  <c r="F51" i="6"/>
  <c r="F52" i="6"/>
  <c r="F53" i="6"/>
  <c r="F44" i="8"/>
  <c r="F45" i="8"/>
  <c r="F46" i="8"/>
  <c r="F47" i="8"/>
  <c r="F48" i="8"/>
  <c r="F49" i="8"/>
  <c r="F50" i="8"/>
  <c r="F51" i="8"/>
  <c r="F52" i="8"/>
  <c r="F53" i="8"/>
  <c r="F54" i="8"/>
  <c r="F43" i="3"/>
  <c r="F44" i="3"/>
  <c r="F45" i="3"/>
  <c r="F46" i="3"/>
  <c r="F47" i="3"/>
  <c r="F48" i="3"/>
  <c r="F49" i="3"/>
  <c r="F50" i="3"/>
  <c r="F51" i="3"/>
  <c r="F52" i="3"/>
  <c r="F53" i="3"/>
  <c r="F43" i="9"/>
  <c r="F44" i="9"/>
  <c r="F45" i="9"/>
  <c r="F46" i="9"/>
  <c r="F47" i="9"/>
  <c r="F48" i="9"/>
  <c r="F49" i="9"/>
  <c r="F50" i="9"/>
  <c r="F51" i="9"/>
  <c r="F52" i="9"/>
  <c r="F53" i="9"/>
  <c r="F38" i="5"/>
  <c r="F39" i="5"/>
  <c r="F40" i="5"/>
  <c r="F41" i="5"/>
  <c r="F38" i="7"/>
  <c r="F39" i="7"/>
  <c r="F40" i="7"/>
  <c r="F41" i="7"/>
  <c r="F38" i="4"/>
  <c r="F39" i="4"/>
  <c r="F40" i="4"/>
  <c r="F41" i="4"/>
  <c r="F38" i="6"/>
  <c r="F39" i="6"/>
  <c r="F40" i="6"/>
  <c r="F41" i="6"/>
  <c r="F39" i="8"/>
  <c r="F40" i="8"/>
  <c r="F41" i="8"/>
  <c r="F42" i="8"/>
  <c r="F38" i="3"/>
  <c r="F39" i="3"/>
  <c r="F40" i="3"/>
  <c r="F41" i="3"/>
  <c r="F38" i="9"/>
  <c r="F39" i="9"/>
  <c r="F40" i="9"/>
  <c r="F41" i="9"/>
  <c r="F33" i="5"/>
  <c r="F34" i="5"/>
  <c r="F36" i="5"/>
  <c r="F33" i="7"/>
  <c r="F34" i="7"/>
  <c r="F35" i="7"/>
  <c r="F36" i="7"/>
  <c r="F33" i="4"/>
  <c r="F34" i="4"/>
  <c r="F35" i="4"/>
  <c r="F36" i="4"/>
  <c r="F33" i="6"/>
  <c r="F34" i="6"/>
  <c r="F35" i="6"/>
  <c r="F36" i="6"/>
  <c r="F34" i="8"/>
  <c r="F35" i="8"/>
  <c r="F36" i="8"/>
  <c r="F37" i="8"/>
  <c r="F33" i="3"/>
  <c r="F34" i="3"/>
  <c r="F35" i="3"/>
  <c r="F36" i="3"/>
  <c r="F33" i="9"/>
  <c r="F34" i="9"/>
  <c r="F35" i="9"/>
  <c r="F36" i="9"/>
  <c r="F25" i="5"/>
  <c r="F26" i="5"/>
  <c r="F28" i="5"/>
  <c r="F29" i="5"/>
  <c r="F30" i="5"/>
  <c r="F24" i="7"/>
  <c r="F25" i="7"/>
  <c r="F26" i="7"/>
  <c r="F27" i="7"/>
  <c r="F28" i="7"/>
  <c r="F29" i="7"/>
  <c r="F30" i="7"/>
  <c r="F24" i="4"/>
  <c r="F25" i="4"/>
  <c r="F26" i="4"/>
  <c r="F27" i="4"/>
  <c r="F28" i="4"/>
  <c r="F29" i="4"/>
  <c r="F30" i="4"/>
  <c r="F24" i="6"/>
  <c r="F25" i="6"/>
  <c r="F26" i="6"/>
  <c r="F27" i="6"/>
  <c r="F28" i="6"/>
  <c r="F29" i="6"/>
  <c r="F30" i="6"/>
  <c r="F25" i="8"/>
  <c r="F26" i="8"/>
  <c r="F27" i="8"/>
  <c r="F28" i="8"/>
  <c r="F29" i="8"/>
  <c r="F30" i="8"/>
  <c r="F31" i="8"/>
  <c r="F24" i="3"/>
  <c r="F25" i="3"/>
  <c r="F26" i="3"/>
  <c r="F27" i="3"/>
  <c r="F28" i="3"/>
  <c r="F29" i="3"/>
  <c r="F30" i="3"/>
  <c r="F24" i="9"/>
  <c r="F25" i="9"/>
  <c r="F26" i="9"/>
  <c r="F27" i="9"/>
  <c r="F28" i="9"/>
  <c r="F29" i="9"/>
  <c r="F30" i="9"/>
  <c r="F17" i="5"/>
  <c r="F18" i="5"/>
  <c r="F19" i="5"/>
  <c r="F20" i="5"/>
  <c r="G20" i="5"/>
  <c r="F21" i="5"/>
  <c r="F22" i="5"/>
  <c r="F23" i="5"/>
  <c r="F17" i="7"/>
  <c r="F18" i="7"/>
  <c r="F19" i="7"/>
  <c r="F20" i="7"/>
  <c r="F21" i="7"/>
  <c r="F22" i="7"/>
  <c r="F23" i="7"/>
  <c r="F17" i="4"/>
  <c r="F18" i="4"/>
  <c r="F19" i="4"/>
  <c r="F20" i="4"/>
  <c r="F21" i="4"/>
  <c r="F22" i="4"/>
  <c r="F23" i="4"/>
  <c r="F17" i="6"/>
  <c r="F18" i="6"/>
  <c r="F19" i="6"/>
  <c r="F20" i="6"/>
  <c r="F21" i="6"/>
  <c r="F22" i="6"/>
  <c r="F23" i="6"/>
  <c r="F18" i="8"/>
  <c r="F20" i="8"/>
  <c r="F21" i="8"/>
  <c r="F22" i="8"/>
  <c r="F23" i="8"/>
  <c r="F24" i="8"/>
  <c r="F17" i="3"/>
  <c r="F18" i="3"/>
  <c r="F19" i="3"/>
  <c r="F20" i="3"/>
  <c r="F21" i="3"/>
  <c r="F22" i="3"/>
  <c r="F23" i="3"/>
  <c r="F17" i="9"/>
  <c r="F18" i="9"/>
  <c r="F19" i="9"/>
  <c r="F20" i="9"/>
  <c r="F21" i="9"/>
  <c r="F22" i="9"/>
  <c r="F23" i="9"/>
  <c r="F16" i="7"/>
  <c r="E7" i="15"/>
  <c r="F16" i="4"/>
  <c r="E7" i="12"/>
  <c r="F7" i="12"/>
  <c r="F16" i="6"/>
  <c r="E7" i="13"/>
  <c r="F7" i="13"/>
  <c r="F16" i="3"/>
  <c r="E7" i="14"/>
  <c r="F7" i="14"/>
  <c r="F16" i="9"/>
  <c r="H11" i="17"/>
  <c r="H36" i="17"/>
  <c r="H42" i="17"/>
  <c r="H27" i="17"/>
  <c r="H37" i="17"/>
  <c r="H18" i="17"/>
  <c r="H17" i="17"/>
  <c r="H21" i="17"/>
  <c r="H16" i="17"/>
  <c r="H10" i="17"/>
  <c r="H15" i="17"/>
  <c r="H19" i="17"/>
  <c r="H30" i="17"/>
  <c r="H29" i="17"/>
  <c r="H13" i="17"/>
  <c r="H20" i="17"/>
  <c r="H34" i="17"/>
  <c r="H41" i="17"/>
  <c r="H14" i="17"/>
  <c r="E39" i="15"/>
  <c r="E37" i="15"/>
  <c r="E33" i="15"/>
  <c r="E31" i="15"/>
  <c r="E29" i="15"/>
  <c r="E26" i="15"/>
  <c r="E23" i="15"/>
  <c r="E12" i="15"/>
  <c r="E9" i="15"/>
  <c r="H11" i="5"/>
  <c r="G11" i="5"/>
  <c r="E28" i="15"/>
  <c r="E28" i="12"/>
  <c r="F28" i="11"/>
  <c r="E40" i="15"/>
  <c r="E40" i="12"/>
  <c r="F40" i="11"/>
  <c r="E36" i="15"/>
  <c r="F36" i="11"/>
  <c r="E36" i="12"/>
  <c r="E32" i="15"/>
  <c r="F32" i="11"/>
  <c r="E32" i="12"/>
  <c r="E35" i="15"/>
  <c r="E35" i="12"/>
  <c r="F35" i="11"/>
  <c r="E34" i="15"/>
  <c r="E34" i="12"/>
  <c r="F34" i="11"/>
  <c r="E41" i="15"/>
  <c r="F41" i="11"/>
  <c r="E41" i="12"/>
  <c r="F19" i="11"/>
  <c r="E19" i="15"/>
  <c r="E19" i="12"/>
  <c r="F18" i="11"/>
  <c r="E18" i="15"/>
  <c r="E18" i="12"/>
  <c r="F17" i="11"/>
  <c r="E17" i="15"/>
  <c r="E17" i="12"/>
  <c r="F16" i="11"/>
  <c r="E16" i="15"/>
  <c r="E16" i="12"/>
  <c r="F15" i="11"/>
  <c r="E15" i="15"/>
  <c r="E15" i="12"/>
  <c r="E11" i="15"/>
  <c r="E11" i="12"/>
  <c r="F11" i="11"/>
  <c r="F10" i="11"/>
  <c r="E10" i="15"/>
  <c r="E10" i="12"/>
  <c r="F14" i="11"/>
  <c r="E14" i="15"/>
  <c r="E14" i="12"/>
  <c r="F13" i="11"/>
  <c r="E13" i="15"/>
  <c r="E13" i="12"/>
  <c r="E25" i="15"/>
  <c r="F25" i="11"/>
  <c r="E25" i="12"/>
  <c r="E27" i="15"/>
  <c r="F27" i="11"/>
  <c r="E27" i="12"/>
  <c r="M13" i="9"/>
  <c r="O13" i="9"/>
  <c r="E42" i="15"/>
  <c r="E42" i="12"/>
  <c r="F42" i="11"/>
  <c r="E39" i="12"/>
  <c r="F39" i="11"/>
  <c r="E37" i="12"/>
  <c r="F37" i="11"/>
  <c r="E33" i="12"/>
  <c r="F33" i="11"/>
  <c r="E31" i="12"/>
  <c r="F31" i="11"/>
  <c r="E29" i="12"/>
  <c r="F29" i="11"/>
  <c r="F26" i="11"/>
  <c r="E26" i="12"/>
  <c r="F22" i="11"/>
  <c r="E22" i="15"/>
  <c r="E22" i="12"/>
  <c r="E23" i="12"/>
  <c r="F23" i="11"/>
  <c r="F21" i="11"/>
  <c r="E21" i="15"/>
  <c r="E21" i="12"/>
  <c r="F20" i="11"/>
  <c r="E20" i="15"/>
  <c r="E20" i="12"/>
  <c r="F12" i="11"/>
  <c r="E12" i="12"/>
  <c r="E7" i="16"/>
  <c r="F7" i="16"/>
  <c r="F7" i="15"/>
  <c r="F9" i="11"/>
  <c r="E9" i="12"/>
  <c r="M13" i="4"/>
  <c r="O13" i="4"/>
  <c r="M13" i="5"/>
  <c r="O13" i="5"/>
  <c r="M13" i="3"/>
  <c r="O13" i="3"/>
  <c r="M13" i="7"/>
  <c r="O13" i="7"/>
  <c r="M13" i="6"/>
  <c r="O13" i="6"/>
  <c r="H14" i="6"/>
  <c r="G14" i="6"/>
  <c r="H12" i="8"/>
  <c r="F11" i="7"/>
  <c r="H11" i="7"/>
  <c r="O11" i="4"/>
  <c r="F11" i="4"/>
  <c r="H11" i="3"/>
  <c r="H11" i="9"/>
  <c r="H11" i="6"/>
  <c r="H238" i="9"/>
  <c r="H237" i="9"/>
  <c r="H236" i="9"/>
  <c r="G232" i="9"/>
  <c r="H232" i="9"/>
  <c r="G231" i="9"/>
  <c r="H231" i="9"/>
  <c r="G230" i="9"/>
  <c r="H230" i="9"/>
  <c r="G229" i="9"/>
  <c r="H229" i="9"/>
  <c r="G228" i="9"/>
  <c r="H228" i="9"/>
  <c r="G227" i="9"/>
  <c r="H227" i="9"/>
  <c r="G226" i="9"/>
  <c r="H226" i="9"/>
  <c r="G225" i="9"/>
  <c r="H225" i="9"/>
  <c r="G224" i="9"/>
  <c r="H224" i="9"/>
  <c r="H193" i="9"/>
  <c r="H192" i="9"/>
  <c r="H191" i="9"/>
  <c r="H190" i="9"/>
  <c r="H189" i="9"/>
  <c r="H187" i="9"/>
  <c r="H185" i="9"/>
  <c r="H184" i="9"/>
  <c r="H182" i="9"/>
  <c r="H181" i="9"/>
  <c r="H180" i="9"/>
  <c r="H179" i="9"/>
  <c r="H178" i="9"/>
  <c r="H177" i="9"/>
  <c r="H172" i="9"/>
  <c r="H171" i="9"/>
  <c r="H169" i="9"/>
  <c r="H167" i="9"/>
  <c r="H166" i="9"/>
  <c r="H165" i="9"/>
  <c r="H164" i="9"/>
  <c r="H162" i="9"/>
  <c r="H161" i="9"/>
  <c r="H160" i="9"/>
  <c r="H183" i="9"/>
  <c r="H176" i="9"/>
  <c r="H153" i="9"/>
  <c r="H152"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0" i="9"/>
  <c r="H119" i="9"/>
  <c r="H118" i="9"/>
  <c r="H117" i="9"/>
  <c r="H116" i="9"/>
  <c r="H115" i="9"/>
  <c r="H114" i="9"/>
  <c r="H113" i="9"/>
  <c r="H112" i="9"/>
  <c r="H111" i="9"/>
  <c r="H110" i="9"/>
  <c r="H109" i="9"/>
  <c r="H108" i="9"/>
  <c r="H107" i="9"/>
  <c r="H106" i="9"/>
  <c r="H105" i="9"/>
  <c r="H102" i="9"/>
  <c r="H101" i="9"/>
  <c r="H100" i="9"/>
  <c r="H99" i="9"/>
  <c r="H98" i="9"/>
  <c r="H97" i="9"/>
  <c r="H96" i="9"/>
  <c r="H95" i="9"/>
  <c r="H94" i="9"/>
  <c r="H93" i="9"/>
  <c r="H92" i="9"/>
  <c r="H89" i="9"/>
  <c r="H88" i="9"/>
  <c r="H87" i="9"/>
  <c r="H86" i="9"/>
  <c r="H85" i="9"/>
  <c r="H84" i="9"/>
  <c r="H83" i="9"/>
  <c r="H82" i="9"/>
  <c r="H81" i="9"/>
  <c r="H80" i="9"/>
  <c r="H79" i="9"/>
  <c r="H78" i="9"/>
  <c r="H77" i="9"/>
  <c r="H76" i="9"/>
  <c r="H75" i="9"/>
  <c r="H74" i="9"/>
  <c r="H73" i="9"/>
  <c r="H72" i="9"/>
  <c r="H71" i="9"/>
  <c r="H70" i="9"/>
  <c r="H67" i="9"/>
  <c r="H66" i="9"/>
  <c r="H65" i="9"/>
  <c r="H64" i="9"/>
  <c r="H63" i="9"/>
  <c r="H60" i="9"/>
  <c r="H59" i="9"/>
  <c r="H58" i="9"/>
  <c r="H57" i="9"/>
  <c r="H53" i="9"/>
  <c r="H52" i="9"/>
  <c r="H51" i="9"/>
  <c r="H50" i="9"/>
  <c r="H49" i="9"/>
  <c r="H48" i="9"/>
  <c r="H47" i="9"/>
  <c r="H46" i="9"/>
  <c r="H45" i="9"/>
  <c r="H44" i="9"/>
  <c r="H43" i="9"/>
  <c r="H41" i="9"/>
  <c r="H40" i="9"/>
  <c r="H39" i="9"/>
  <c r="H38" i="9"/>
  <c r="H37" i="9"/>
  <c r="H36" i="9"/>
  <c r="H35" i="9"/>
  <c r="H34" i="9"/>
  <c r="H33" i="9"/>
  <c r="H30" i="9"/>
  <c r="H29" i="9"/>
  <c r="G22" i="9"/>
  <c r="G21" i="9"/>
  <c r="G20" i="9"/>
  <c r="E18" i="9"/>
  <c r="G18" i="9"/>
  <c r="H18" i="9"/>
  <c r="H238" i="3"/>
  <c r="H237" i="3"/>
  <c r="H236" i="3"/>
  <c r="G232" i="3"/>
  <c r="H232" i="3"/>
  <c r="G231" i="3"/>
  <c r="H231" i="3"/>
  <c r="G230" i="3"/>
  <c r="H230" i="3"/>
  <c r="G229" i="3"/>
  <c r="H229" i="3"/>
  <c r="G228" i="3"/>
  <c r="H228" i="3"/>
  <c r="G227" i="3"/>
  <c r="H227" i="3"/>
  <c r="G226" i="3"/>
  <c r="H226" i="3"/>
  <c r="G225" i="3"/>
  <c r="H225" i="3"/>
  <c r="G224" i="3"/>
  <c r="H224" i="3"/>
  <c r="H193" i="3"/>
  <c r="H192" i="3"/>
  <c r="H191" i="3"/>
  <c r="H190" i="3"/>
  <c r="H189" i="3"/>
  <c r="H187" i="3"/>
  <c r="H185" i="3"/>
  <c r="H184" i="3"/>
  <c r="H182" i="3"/>
  <c r="H181" i="3"/>
  <c r="H180" i="3"/>
  <c r="H179" i="3"/>
  <c r="H178" i="3"/>
  <c r="H177" i="3"/>
  <c r="H172" i="3"/>
  <c r="H171" i="3"/>
  <c r="H169" i="3"/>
  <c r="H167" i="3"/>
  <c r="H166" i="3"/>
  <c r="H165" i="3"/>
  <c r="H164" i="3"/>
  <c r="H162" i="3"/>
  <c r="H160" i="3"/>
  <c r="H183" i="3"/>
  <c r="H176" i="3"/>
  <c r="H153" i="3"/>
  <c r="H152"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0" i="3"/>
  <c r="H119" i="3"/>
  <c r="H118" i="3"/>
  <c r="H117" i="3"/>
  <c r="H116" i="3"/>
  <c r="H114" i="3"/>
  <c r="H113" i="3"/>
  <c r="H112" i="3"/>
  <c r="H111" i="3"/>
  <c r="H110" i="3"/>
  <c r="H109" i="3"/>
  <c r="H108" i="3"/>
  <c r="H107" i="3"/>
  <c r="H105" i="3"/>
  <c r="H102" i="3"/>
  <c r="H101" i="3"/>
  <c r="H100" i="3"/>
  <c r="H99" i="3"/>
  <c r="H98" i="3"/>
  <c r="H97" i="3"/>
  <c r="H96" i="3"/>
  <c r="H95" i="3"/>
  <c r="H94" i="3"/>
  <c r="H93" i="3"/>
  <c r="H92" i="3"/>
  <c r="H89" i="3"/>
  <c r="H88" i="3"/>
  <c r="H87" i="3"/>
  <c r="H86" i="3"/>
  <c r="H85" i="3"/>
  <c r="H84" i="3"/>
  <c r="H83" i="3"/>
  <c r="H82" i="3"/>
  <c r="H81" i="3"/>
  <c r="H80" i="3"/>
  <c r="H79" i="3"/>
  <c r="H78" i="3"/>
  <c r="H77" i="3"/>
  <c r="H76" i="3"/>
  <c r="H75" i="3"/>
  <c r="H74" i="3"/>
  <c r="H73" i="3"/>
  <c r="H72" i="3"/>
  <c r="H71" i="3"/>
  <c r="H70" i="3"/>
  <c r="H67" i="3"/>
  <c r="H66" i="3"/>
  <c r="H65" i="3"/>
  <c r="H64" i="3"/>
  <c r="H63" i="3"/>
  <c r="H60" i="3"/>
  <c r="H59" i="3"/>
  <c r="H58" i="3"/>
  <c r="H57" i="3"/>
  <c r="H53" i="3"/>
  <c r="H52" i="3"/>
  <c r="H51" i="3"/>
  <c r="H50" i="3"/>
  <c r="H49" i="3"/>
  <c r="H48" i="3"/>
  <c r="H47" i="3"/>
  <c r="H46" i="3"/>
  <c r="H45" i="3"/>
  <c r="H44" i="3"/>
  <c r="H43" i="3"/>
  <c r="H41" i="3"/>
  <c r="H40" i="3"/>
  <c r="H39" i="3"/>
  <c r="H38" i="3"/>
  <c r="H37" i="3"/>
  <c r="H36" i="3"/>
  <c r="H35" i="3"/>
  <c r="H34" i="3"/>
  <c r="H33" i="3"/>
  <c r="H30" i="3"/>
  <c r="H29" i="3"/>
  <c r="G22" i="3"/>
  <c r="G21" i="3"/>
  <c r="G20" i="3"/>
  <c r="H239" i="8"/>
  <c r="H238" i="8"/>
  <c r="H237" i="8"/>
  <c r="G233" i="8"/>
  <c r="H233" i="8"/>
  <c r="G232" i="8"/>
  <c r="H232" i="8"/>
  <c r="G231" i="8"/>
  <c r="H231" i="8"/>
  <c r="G230" i="8"/>
  <c r="H230" i="8"/>
  <c r="G229" i="8"/>
  <c r="H229" i="8"/>
  <c r="G228" i="8"/>
  <c r="H228" i="8"/>
  <c r="G227" i="8"/>
  <c r="H227" i="8"/>
  <c r="G226" i="8"/>
  <c r="H226" i="8"/>
  <c r="G225" i="8"/>
  <c r="H225" i="8"/>
  <c r="H194" i="8"/>
  <c r="H193" i="8"/>
  <c r="H192" i="8"/>
  <c r="H191" i="8"/>
  <c r="H190" i="8"/>
  <c r="H188" i="8"/>
  <c r="H186" i="8"/>
  <c r="H185" i="8"/>
  <c r="H183" i="8"/>
  <c r="H182" i="8"/>
  <c r="H181" i="8"/>
  <c r="H180" i="8"/>
  <c r="H179" i="8"/>
  <c r="H178" i="8"/>
  <c r="H173" i="8"/>
  <c r="H172" i="8"/>
  <c r="H170" i="8"/>
  <c r="H168" i="8"/>
  <c r="H167" i="8"/>
  <c r="H166" i="8"/>
  <c r="H165" i="8"/>
  <c r="H163" i="8"/>
  <c r="H161" i="8"/>
  <c r="H184" i="8"/>
  <c r="H177" i="8"/>
  <c r="H154" i="8"/>
  <c r="H153"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1" i="8"/>
  <c r="H120" i="8"/>
  <c r="H119" i="8"/>
  <c r="H118" i="8"/>
  <c r="H117" i="8"/>
  <c r="H115" i="8"/>
  <c r="H114" i="8"/>
  <c r="H113" i="8"/>
  <c r="H112" i="8"/>
  <c r="H111" i="8"/>
  <c r="H110" i="8"/>
  <c r="H109" i="8"/>
  <c r="H108" i="8"/>
  <c r="H107" i="8"/>
  <c r="H106" i="8"/>
  <c r="H103" i="8"/>
  <c r="H102" i="8"/>
  <c r="H101" i="8"/>
  <c r="H100" i="8"/>
  <c r="H99" i="8"/>
  <c r="H98" i="8"/>
  <c r="H97" i="8"/>
  <c r="H96" i="8"/>
  <c r="H95" i="8"/>
  <c r="H94" i="8"/>
  <c r="H93" i="8"/>
  <c r="H90" i="8"/>
  <c r="H89" i="8"/>
  <c r="H88" i="8"/>
  <c r="H87" i="8"/>
  <c r="H86" i="8"/>
  <c r="H85" i="8"/>
  <c r="H84" i="8"/>
  <c r="H83" i="8"/>
  <c r="H82" i="8"/>
  <c r="H81" i="8"/>
  <c r="H80" i="8"/>
  <c r="H79" i="8"/>
  <c r="H78" i="8"/>
  <c r="H77" i="8"/>
  <c r="H76" i="8"/>
  <c r="H75" i="8"/>
  <c r="H74" i="8"/>
  <c r="H73" i="8"/>
  <c r="H72" i="8"/>
  <c r="H71" i="8"/>
  <c r="H68" i="8"/>
  <c r="H67" i="8"/>
  <c r="H66" i="8"/>
  <c r="H65" i="8"/>
  <c r="H64" i="8"/>
  <c r="H61" i="8"/>
  <c r="H60" i="8"/>
  <c r="H59" i="8"/>
  <c r="H58" i="8"/>
  <c r="H54" i="8"/>
  <c r="H53" i="8"/>
  <c r="H52" i="8"/>
  <c r="H51" i="8"/>
  <c r="H50" i="8"/>
  <c r="H49" i="8"/>
  <c r="H48" i="8"/>
  <c r="H47" i="8"/>
  <c r="H46" i="8"/>
  <c r="H45" i="8"/>
  <c r="H44" i="8"/>
  <c r="H42" i="8"/>
  <c r="H41" i="8"/>
  <c r="H40" i="8"/>
  <c r="H39" i="8"/>
  <c r="H38" i="8"/>
  <c r="H37" i="8"/>
  <c r="H36" i="8"/>
  <c r="H35" i="8"/>
  <c r="H34" i="8"/>
  <c r="H31" i="8"/>
  <c r="H30" i="8"/>
  <c r="G23" i="8"/>
  <c r="G22" i="8"/>
  <c r="G21" i="8"/>
  <c r="H238" i="6"/>
  <c r="H237" i="6"/>
  <c r="H236" i="6"/>
  <c r="G232" i="6"/>
  <c r="H232" i="6"/>
  <c r="G231" i="6"/>
  <c r="H231" i="6"/>
  <c r="G230" i="6"/>
  <c r="H230" i="6"/>
  <c r="G229" i="6"/>
  <c r="H229" i="6"/>
  <c r="G228" i="6"/>
  <c r="H228" i="6"/>
  <c r="G227" i="6"/>
  <c r="H227" i="6"/>
  <c r="G226" i="6"/>
  <c r="H226" i="6"/>
  <c r="G225" i="6"/>
  <c r="H225" i="6"/>
  <c r="G224" i="6"/>
  <c r="H224" i="6"/>
  <c r="H193" i="6"/>
  <c r="H192" i="6"/>
  <c r="H191" i="6"/>
  <c r="H190" i="6"/>
  <c r="H189" i="6"/>
  <c r="H187" i="6"/>
  <c r="H185" i="6"/>
  <c r="H184" i="6"/>
  <c r="H182" i="6"/>
  <c r="H181" i="6"/>
  <c r="H180" i="6"/>
  <c r="H179" i="6"/>
  <c r="H178" i="6"/>
  <c r="H177" i="6"/>
  <c r="H172" i="6"/>
  <c r="H171" i="6"/>
  <c r="H169" i="6"/>
  <c r="H167" i="6"/>
  <c r="H166" i="6"/>
  <c r="H165" i="6"/>
  <c r="H164" i="6"/>
  <c r="H162" i="6"/>
  <c r="H160" i="6"/>
  <c r="H176" i="6"/>
  <c r="H153" i="6"/>
  <c r="H152"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0" i="6"/>
  <c r="H119" i="6"/>
  <c r="H118" i="6"/>
  <c r="H117" i="6"/>
  <c r="H116" i="6"/>
  <c r="H114" i="6"/>
  <c r="H113" i="6"/>
  <c r="H112" i="6"/>
  <c r="H111" i="6"/>
  <c r="H110" i="6"/>
  <c r="H108" i="6"/>
  <c r="H107" i="6"/>
  <c r="H105" i="6"/>
  <c r="H102" i="6"/>
  <c r="H101" i="6"/>
  <c r="H100" i="6"/>
  <c r="H99" i="6"/>
  <c r="H98" i="6"/>
  <c r="H97" i="6"/>
  <c r="H96" i="6"/>
  <c r="H95" i="6"/>
  <c r="H94" i="6"/>
  <c r="H93" i="6"/>
  <c r="H92" i="6"/>
  <c r="H89" i="6"/>
  <c r="H88" i="6"/>
  <c r="H87" i="6"/>
  <c r="H86" i="6"/>
  <c r="H85" i="6"/>
  <c r="H84" i="6"/>
  <c r="H83" i="6"/>
  <c r="H82" i="6"/>
  <c r="H81" i="6"/>
  <c r="H80" i="6"/>
  <c r="H79" i="6"/>
  <c r="H78" i="6"/>
  <c r="H77" i="6"/>
  <c r="H76" i="6"/>
  <c r="H75" i="6"/>
  <c r="H74" i="6"/>
  <c r="H73" i="6"/>
  <c r="H72" i="6"/>
  <c r="H71" i="6"/>
  <c r="H70" i="6"/>
  <c r="H67" i="6"/>
  <c r="H66" i="6"/>
  <c r="H65" i="6"/>
  <c r="H64" i="6"/>
  <c r="H63" i="6"/>
  <c r="H60" i="6"/>
  <c r="H59" i="6"/>
  <c r="H58" i="6"/>
  <c r="H57" i="6"/>
  <c r="H53" i="6"/>
  <c r="H52" i="6"/>
  <c r="H51" i="6"/>
  <c r="H50" i="6"/>
  <c r="H49" i="6"/>
  <c r="H48" i="6"/>
  <c r="H47" i="6"/>
  <c r="H46" i="6"/>
  <c r="H45" i="6"/>
  <c r="H44" i="6"/>
  <c r="H43" i="6"/>
  <c r="H41" i="6"/>
  <c r="H40" i="6"/>
  <c r="H39" i="6"/>
  <c r="H38" i="6"/>
  <c r="H37" i="6"/>
  <c r="H36" i="6"/>
  <c r="H35" i="6"/>
  <c r="H34" i="6"/>
  <c r="H33" i="6"/>
  <c r="H30" i="6"/>
  <c r="H29" i="6"/>
  <c r="G22" i="6"/>
  <c r="G21" i="6"/>
  <c r="G20" i="6"/>
  <c r="H238" i="4"/>
  <c r="H237" i="4"/>
  <c r="H236" i="4"/>
  <c r="G232" i="4"/>
  <c r="H232" i="4"/>
  <c r="G231" i="4"/>
  <c r="H231" i="4"/>
  <c r="G230" i="4"/>
  <c r="H230" i="4"/>
  <c r="G229" i="4"/>
  <c r="H229" i="4"/>
  <c r="G228" i="4"/>
  <c r="H228" i="4"/>
  <c r="G227" i="4"/>
  <c r="H227" i="4"/>
  <c r="G226" i="4"/>
  <c r="H226" i="4"/>
  <c r="G225" i="4"/>
  <c r="H225" i="4"/>
  <c r="G224" i="4"/>
  <c r="H224" i="4"/>
  <c r="H193" i="4"/>
  <c r="H192" i="4"/>
  <c r="H191" i="4"/>
  <c r="H190" i="4"/>
  <c r="H189" i="4"/>
  <c r="H187" i="4"/>
  <c r="H185" i="4"/>
  <c r="H184" i="4"/>
  <c r="H182" i="4"/>
  <c r="H181" i="4"/>
  <c r="H180" i="4"/>
  <c r="H179" i="4"/>
  <c r="H178" i="4"/>
  <c r="H177" i="4"/>
  <c r="H172" i="4"/>
  <c r="H171" i="4"/>
  <c r="H169" i="4"/>
  <c r="H167" i="4"/>
  <c r="H166" i="4"/>
  <c r="H165" i="4"/>
  <c r="H164" i="4"/>
  <c r="H162" i="4"/>
  <c r="H160" i="4"/>
  <c r="H183" i="4"/>
  <c r="H176" i="4"/>
  <c r="H153" i="4"/>
  <c r="H152"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0" i="4"/>
  <c r="H119" i="4"/>
  <c r="H118" i="4"/>
  <c r="H117" i="4"/>
  <c r="H116" i="4"/>
  <c r="H114" i="4"/>
  <c r="H113" i="4"/>
  <c r="H112" i="4"/>
  <c r="H111" i="4"/>
  <c r="H110" i="4"/>
  <c r="H109" i="4"/>
  <c r="H108" i="4"/>
  <c r="H107" i="4"/>
  <c r="H105" i="4"/>
  <c r="H102" i="4"/>
  <c r="H101" i="4"/>
  <c r="H100" i="4"/>
  <c r="H99" i="4"/>
  <c r="H98" i="4"/>
  <c r="H97" i="4"/>
  <c r="H96" i="4"/>
  <c r="H95" i="4"/>
  <c r="H94" i="4"/>
  <c r="H93" i="4"/>
  <c r="H92" i="4"/>
  <c r="H89" i="4"/>
  <c r="H88" i="4"/>
  <c r="H87" i="4"/>
  <c r="H86" i="4"/>
  <c r="H85" i="4"/>
  <c r="H84" i="4"/>
  <c r="H83" i="4"/>
  <c r="H82" i="4"/>
  <c r="H81" i="4"/>
  <c r="H80" i="4"/>
  <c r="H79" i="4"/>
  <c r="H78" i="4"/>
  <c r="H77" i="4"/>
  <c r="H76" i="4"/>
  <c r="H75" i="4"/>
  <c r="H74" i="4"/>
  <c r="H73" i="4"/>
  <c r="H72" i="4"/>
  <c r="H71" i="4"/>
  <c r="H70" i="4"/>
  <c r="H67" i="4"/>
  <c r="H66" i="4"/>
  <c r="H65" i="4"/>
  <c r="H64" i="4"/>
  <c r="H63" i="4"/>
  <c r="H60" i="4"/>
  <c r="H59" i="4"/>
  <c r="H58" i="4"/>
  <c r="H57" i="4"/>
  <c r="H53" i="4"/>
  <c r="H52" i="4"/>
  <c r="H51" i="4"/>
  <c r="H50" i="4"/>
  <c r="H49" i="4"/>
  <c r="H48" i="4"/>
  <c r="H47" i="4"/>
  <c r="H46" i="4"/>
  <c r="H45" i="4"/>
  <c r="H44" i="4"/>
  <c r="H43" i="4"/>
  <c r="H41" i="4"/>
  <c r="H40" i="4"/>
  <c r="H39" i="4"/>
  <c r="H38" i="4"/>
  <c r="H37" i="4"/>
  <c r="H36" i="4"/>
  <c r="H35" i="4"/>
  <c r="H34" i="4"/>
  <c r="H33" i="4"/>
  <c r="H30" i="4"/>
  <c r="H29" i="4"/>
  <c r="G22" i="4"/>
  <c r="G21" i="4"/>
  <c r="G20" i="4"/>
  <c r="E18" i="4"/>
  <c r="G18" i="4"/>
  <c r="H18" i="4"/>
  <c r="H238" i="7"/>
  <c r="H237" i="7"/>
  <c r="H236" i="7"/>
  <c r="G232" i="7"/>
  <c r="H232" i="7"/>
  <c r="G231" i="7"/>
  <c r="H231" i="7"/>
  <c r="G230" i="7"/>
  <c r="H230" i="7"/>
  <c r="G229" i="7"/>
  <c r="H229" i="7"/>
  <c r="G228" i="7"/>
  <c r="H228" i="7"/>
  <c r="G227" i="7"/>
  <c r="H227" i="7"/>
  <c r="G226" i="7"/>
  <c r="H226" i="7"/>
  <c r="G225" i="7"/>
  <c r="H225" i="7"/>
  <c r="G224" i="7"/>
  <c r="H224" i="7"/>
  <c r="H193" i="7"/>
  <c r="H192" i="7"/>
  <c r="H191" i="7"/>
  <c r="H190" i="7"/>
  <c r="H189" i="7"/>
  <c r="H187" i="7"/>
  <c r="H185" i="7"/>
  <c r="H184" i="7"/>
  <c r="H182" i="7"/>
  <c r="H181" i="7"/>
  <c r="H180" i="7"/>
  <c r="H179" i="7"/>
  <c r="H178" i="7"/>
  <c r="H177" i="7"/>
  <c r="H172" i="7"/>
  <c r="H171" i="7"/>
  <c r="H169" i="7"/>
  <c r="H167" i="7"/>
  <c r="H166" i="7"/>
  <c r="H165" i="7"/>
  <c r="H164" i="7"/>
  <c r="H162" i="7"/>
  <c r="H160" i="7"/>
  <c r="H176" i="7"/>
  <c r="H153" i="7"/>
  <c r="H152"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0" i="7"/>
  <c r="H119" i="7"/>
  <c r="H118" i="7"/>
  <c r="H117" i="7"/>
  <c r="H116" i="7"/>
  <c r="H114" i="7"/>
  <c r="H113" i="7"/>
  <c r="H112" i="7"/>
  <c r="H111" i="7"/>
  <c r="H110" i="7"/>
  <c r="H108" i="7"/>
  <c r="H107" i="7"/>
  <c r="H105" i="7"/>
  <c r="H102" i="7"/>
  <c r="H101" i="7"/>
  <c r="H100" i="7"/>
  <c r="H99" i="7"/>
  <c r="H98" i="7"/>
  <c r="H97" i="7"/>
  <c r="H96" i="7"/>
  <c r="H95" i="7"/>
  <c r="H94" i="7"/>
  <c r="H93" i="7"/>
  <c r="H92" i="7"/>
  <c r="H89" i="7"/>
  <c r="H88" i="7"/>
  <c r="H87" i="7"/>
  <c r="H86" i="7"/>
  <c r="H85" i="7"/>
  <c r="H84" i="7"/>
  <c r="H83" i="7"/>
  <c r="H82" i="7"/>
  <c r="H81" i="7"/>
  <c r="H80" i="7"/>
  <c r="H79" i="7"/>
  <c r="H78" i="7"/>
  <c r="H77" i="7"/>
  <c r="H76" i="7"/>
  <c r="H75" i="7"/>
  <c r="H74" i="7"/>
  <c r="H73" i="7"/>
  <c r="H72" i="7"/>
  <c r="H71" i="7"/>
  <c r="H70" i="7"/>
  <c r="H67" i="7"/>
  <c r="H66" i="7"/>
  <c r="H65" i="7"/>
  <c r="H64" i="7"/>
  <c r="H63" i="7"/>
  <c r="H60" i="7"/>
  <c r="H59" i="7"/>
  <c r="H58" i="7"/>
  <c r="H57" i="7"/>
  <c r="H53" i="7"/>
  <c r="H52" i="7"/>
  <c r="H51" i="7"/>
  <c r="H50" i="7"/>
  <c r="H49" i="7"/>
  <c r="H48" i="7"/>
  <c r="H47" i="7"/>
  <c r="H46" i="7"/>
  <c r="H45" i="7"/>
  <c r="H44" i="7"/>
  <c r="H43" i="7"/>
  <c r="H41" i="7"/>
  <c r="H40" i="7"/>
  <c r="H39" i="7"/>
  <c r="H38" i="7"/>
  <c r="H37" i="7"/>
  <c r="H36" i="7"/>
  <c r="H35" i="7"/>
  <c r="H34" i="7"/>
  <c r="H33" i="7"/>
  <c r="H30" i="7"/>
  <c r="H29" i="7"/>
  <c r="G22" i="7"/>
  <c r="G21" i="7"/>
  <c r="G20" i="7"/>
  <c r="H238" i="5"/>
  <c r="H237" i="5"/>
  <c r="H236" i="5"/>
  <c r="G232" i="5"/>
  <c r="H232" i="5"/>
  <c r="G231" i="5"/>
  <c r="H231" i="5"/>
  <c r="G230" i="5"/>
  <c r="H230" i="5"/>
  <c r="G229" i="5"/>
  <c r="H229" i="5"/>
  <c r="G228" i="5"/>
  <c r="H228" i="5"/>
  <c r="G227" i="5"/>
  <c r="H227" i="5"/>
  <c r="G226" i="5"/>
  <c r="H226" i="5"/>
  <c r="G225" i="5"/>
  <c r="H225" i="5"/>
  <c r="G224" i="5"/>
  <c r="H224" i="5"/>
  <c r="H193" i="5"/>
  <c r="H192" i="5"/>
  <c r="H191" i="5"/>
  <c r="H190" i="5"/>
  <c r="H189" i="5"/>
  <c r="H187" i="5"/>
  <c r="H185" i="5"/>
  <c r="H184" i="5"/>
  <c r="H182" i="5"/>
  <c r="H181" i="5"/>
  <c r="H180" i="5"/>
  <c r="H179" i="5"/>
  <c r="H178" i="5"/>
  <c r="H177" i="5"/>
  <c r="H175" i="5"/>
  <c r="H172" i="5"/>
  <c r="H171" i="5"/>
  <c r="H169" i="5"/>
  <c r="H167" i="5"/>
  <c r="H166" i="5"/>
  <c r="H165" i="5"/>
  <c r="H164" i="5"/>
  <c r="H162" i="5"/>
  <c r="H161" i="5"/>
  <c r="H160" i="5"/>
  <c r="H158" i="5"/>
  <c r="H176" i="5"/>
  <c r="H153" i="5"/>
  <c r="H152"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0" i="5"/>
  <c r="H119" i="5"/>
  <c r="H118" i="5"/>
  <c r="H117" i="5"/>
  <c r="H116" i="5"/>
  <c r="H115" i="5"/>
  <c r="H114" i="5"/>
  <c r="H113" i="5"/>
  <c r="H112" i="5"/>
  <c r="H111" i="5"/>
  <c r="H110" i="5"/>
  <c r="H109" i="5"/>
  <c r="H108" i="5"/>
  <c r="H107" i="5"/>
  <c r="H106" i="5"/>
  <c r="H105" i="5"/>
  <c r="H102" i="5"/>
  <c r="H101" i="5"/>
  <c r="H100" i="5"/>
  <c r="H99" i="5"/>
  <c r="H98" i="5"/>
  <c r="H97" i="5"/>
  <c r="H96" i="5"/>
  <c r="H95" i="5"/>
  <c r="H94" i="5"/>
  <c r="H93" i="5"/>
  <c r="H92" i="5"/>
  <c r="H89" i="5"/>
  <c r="H88" i="5"/>
  <c r="H87" i="5"/>
  <c r="H86" i="5"/>
  <c r="H85" i="5"/>
  <c r="H84" i="5"/>
  <c r="H83" i="5"/>
  <c r="H82" i="5"/>
  <c r="H81" i="5"/>
  <c r="H80" i="5"/>
  <c r="H79" i="5"/>
  <c r="H78" i="5"/>
  <c r="H77" i="5"/>
  <c r="H76" i="5"/>
  <c r="H75" i="5"/>
  <c r="H74" i="5"/>
  <c r="H73" i="5"/>
  <c r="H72" i="5"/>
  <c r="H71" i="5"/>
  <c r="H70" i="5"/>
  <c r="H67" i="5"/>
  <c r="H66" i="5"/>
  <c r="H65" i="5"/>
  <c r="H64" i="5"/>
  <c r="H63" i="5"/>
  <c r="H60" i="5"/>
  <c r="H59" i="5"/>
  <c r="H58" i="5"/>
  <c r="H57" i="5"/>
  <c r="H53" i="5"/>
  <c r="H52" i="5"/>
  <c r="H51" i="5"/>
  <c r="H50" i="5"/>
  <c r="H49" i="5"/>
  <c r="H48" i="5"/>
  <c r="H47" i="5"/>
  <c r="H46" i="5"/>
  <c r="H45" i="5"/>
  <c r="H44" i="5"/>
  <c r="H43" i="5"/>
  <c r="H41" i="5"/>
  <c r="H40" i="5"/>
  <c r="H39" i="5"/>
  <c r="H38" i="5"/>
  <c r="H37" i="5"/>
  <c r="H36" i="5"/>
  <c r="H35" i="5"/>
  <c r="H34" i="5"/>
  <c r="H33" i="5"/>
  <c r="H30" i="5"/>
  <c r="H29" i="5"/>
  <c r="G22" i="5"/>
  <c r="G21" i="5"/>
  <c r="G18" i="5"/>
  <c r="H18" i="5"/>
  <c r="H161" i="2"/>
  <c r="D3" i="8"/>
  <c r="H116" i="8"/>
  <c r="H239" i="2"/>
  <c r="H238" i="2"/>
  <c r="H237" i="2"/>
  <c r="G233" i="2"/>
  <c r="H233" i="2"/>
  <c r="G232" i="2"/>
  <c r="H232" i="2"/>
  <c r="G231" i="2"/>
  <c r="H231" i="2"/>
  <c r="G230" i="2"/>
  <c r="H230" i="2"/>
  <c r="G229" i="2"/>
  <c r="H229" i="2"/>
  <c r="G228" i="2"/>
  <c r="H228" i="2"/>
  <c r="G227" i="2"/>
  <c r="H227" i="2"/>
  <c r="G226" i="2"/>
  <c r="H226" i="2"/>
  <c r="G225" i="2"/>
  <c r="H225" i="2"/>
  <c r="H194" i="2"/>
  <c r="H193" i="2"/>
  <c r="H192" i="2"/>
  <c r="H191" i="2"/>
  <c r="H190" i="2"/>
  <c r="H188" i="2"/>
  <c r="H186" i="2"/>
  <c r="H185" i="2"/>
  <c r="H183" i="2"/>
  <c r="H182" i="2"/>
  <c r="H181" i="2"/>
  <c r="H180" i="2"/>
  <c r="H179" i="2"/>
  <c r="H178" i="2"/>
  <c r="H172" i="2"/>
  <c r="H171" i="2"/>
  <c r="H169" i="2"/>
  <c r="H167" i="2"/>
  <c r="H166" i="2"/>
  <c r="H165" i="2"/>
  <c r="H164" i="2"/>
  <c r="H162" i="2"/>
  <c r="H160" i="2"/>
  <c r="H184" i="2"/>
  <c r="H153" i="2"/>
  <c r="H152"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0" i="2"/>
  <c r="H119" i="2"/>
  <c r="H118" i="2"/>
  <c r="H117" i="2"/>
  <c r="H116" i="2"/>
  <c r="H115" i="2"/>
  <c r="H114" i="2"/>
  <c r="H113" i="2"/>
  <c r="H112" i="2"/>
  <c r="H111" i="2"/>
  <c r="H110" i="2"/>
  <c r="H109" i="2"/>
  <c r="H108" i="2"/>
  <c r="H107" i="2"/>
  <c r="H106" i="2"/>
  <c r="H105" i="2"/>
  <c r="H102" i="2"/>
  <c r="H101" i="2"/>
  <c r="H100" i="2"/>
  <c r="H99" i="2"/>
  <c r="H98" i="2"/>
  <c r="H97" i="2"/>
  <c r="H96" i="2"/>
  <c r="H95" i="2"/>
  <c r="H94" i="2"/>
  <c r="H93" i="2"/>
  <c r="H92" i="2"/>
  <c r="H89" i="2"/>
  <c r="H88" i="2"/>
  <c r="H87" i="2"/>
  <c r="H86" i="2"/>
  <c r="H85" i="2"/>
  <c r="H84" i="2"/>
  <c r="H83" i="2"/>
  <c r="H82" i="2"/>
  <c r="H81" i="2"/>
  <c r="H80" i="2"/>
  <c r="H79" i="2"/>
  <c r="H78" i="2"/>
  <c r="H77" i="2"/>
  <c r="H76" i="2"/>
  <c r="H75" i="2"/>
  <c r="H74" i="2"/>
  <c r="H73" i="2"/>
  <c r="H72" i="2"/>
  <c r="H71" i="2"/>
  <c r="H70" i="2"/>
  <c r="H67" i="2"/>
  <c r="H66" i="2"/>
  <c r="H65" i="2"/>
  <c r="H64" i="2"/>
  <c r="H63" i="2"/>
  <c r="H60" i="2"/>
  <c r="H59" i="2"/>
  <c r="H58" i="2"/>
  <c r="H57" i="2"/>
  <c r="H53" i="2"/>
  <c r="H52" i="2"/>
  <c r="H51" i="2"/>
  <c r="H50" i="2"/>
  <c r="H49" i="2"/>
  <c r="H48" i="2"/>
  <c r="H47" i="2"/>
  <c r="H46" i="2"/>
  <c r="H45" i="2"/>
  <c r="H44" i="2"/>
  <c r="H43" i="2"/>
  <c r="H41" i="2"/>
  <c r="H40" i="2"/>
  <c r="H39" i="2"/>
  <c r="H38" i="2"/>
  <c r="H37" i="2"/>
  <c r="H36" i="2"/>
  <c r="H35" i="2"/>
  <c r="H34" i="2"/>
  <c r="H33" i="2"/>
  <c r="H30" i="2"/>
  <c r="H29" i="2"/>
  <c r="A9" i="10"/>
  <c r="K9" i="10"/>
  <c r="A8" i="10"/>
  <c r="K8" i="10"/>
  <c r="A7" i="10"/>
  <c r="K7" i="10"/>
  <c r="A6" i="10"/>
  <c r="K6" i="10"/>
  <c r="A5" i="10"/>
  <c r="K5" i="10"/>
  <c r="A4" i="10"/>
  <c r="K4" i="10"/>
  <c r="A3" i="10"/>
  <c r="K3" i="10"/>
  <c r="G12" i="9"/>
  <c r="D3" i="9"/>
  <c r="G13" i="8"/>
  <c r="G12" i="7"/>
  <c r="E18" i="7"/>
  <c r="G18" i="7"/>
  <c r="H18" i="7"/>
  <c r="D3" i="7"/>
  <c r="G12" i="6"/>
  <c r="H161" i="6"/>
  <c r="D3" i="6"/>
  <c r="G12" i="5"/>
  <c r="D3" i="5"/>
  <c r="G12" i="4"/>
  <c r="H161" i="4"/>
  <c r="D3" i="4"/>
  <c r="G12" i="3"/>
  <c r="H115" i="3"/>
  <c r="D3" i="3"/>
  <c r="H33" i="17"/>
  <c r="H12" i="17"/>
  <c r="H35" i="17"/>
  <c r="H28" i="17"/>
  <c r="H40" i="17"/>
  <c r="H5" i="17"/>
  <c r="H4" i="17"/>
  <c r="H7" i="17"/>
  <c r="H9" i="17"/>
  <c r="H23" i="17"/>
  <c r="F28" i="12"/>
  <c r="E28" i="13"/>
  <c r="E28" i="16"/>
  <c r="F28" i="16"/>
  <c r="F28" i="15"/>
  <c r="F40" i="12"/>
  <c r="E40" i="13"/>
  <c r="E40" i="16"/>
  <c r="F40" i="16"/>
  <c r="F40" i="15"/>
  <c r="F36" i="12"/>
  <c r="E36" i="13"/>
  <c r="E36" i="16"/>
  <c r="F36" i="16"/>
  <c r="F36" i="15"/>
  <c r="F32" i="12"/>
  <c r="E32" i="13"/>
  <c r="E32" i="16"/>
  <c r="F32" i="16"/>
  <c r="F32" i="15"/>
  <c r="F35" i="12"/>
  <c r="E35" i="13"/>
  <c r="E35" i="16"/>
  <c r="F35" i="16"/>
  <c r="F35" i="15"/>
  <c r="E34" i="13"/>
  <c r="F34" i="12"/>
  <c r="E34" i="16"/>
  <c r="F34" i="16"/>
  <c r="F34" i="15"/>
  <c r="E41" i="13"/>
  <c r="F41" i="12"/>
  <c r="E41" i="16"/>
  <c r="F41" i="16"/>
  <c r="F41" i="15"/>
  <c r="E19" i="13"/>
  <c r="F19" i="12"/>
  <c r="E19" i="16"/>
  <c r="F19" i="16"/>
  <c r="F19" i="15"/>
  <c r="F18" i="12"/>
  <c r="E18" i="13"/>
  <c r="E18" i="16"/>
  <c r="F18" i="16"/>
  <c r="F18" i="15"/>
  <c r="E17" i="13"/>
  <c r="F17" i="12"/>
  <c r="E17" i="16"/>
  <c r="F17" i="16"/>
  <c r="F17" i="15"/>
  <c r="F16" i="12"/>
  <c r="E16" i="13"/>
  <c r="E16" i="16"/>
  <c r="F16" i="16"/>
  <c r="F16" i="15"/>
  <c r="E15" i="13"/>
  <c r="F15" i="12"/>
  <c r="E15" i="16"/>
  <c r="F15" i="16"/>
  <c r="F15" i="15"/>
  <c r="E11" i="13"/>
  <c r="F11" i="12"/>
  <c r="E11" i="16"/>
  <c r="F11" i="16"/>
  <c r="F11" i="15"/>
  <c r="F10" i="12"/>
  <c r="E10" i="13"/>
  <c r="E10" i="16"/>
  <c r="F10" i="16"/>
  <c r="F10" i="15"/>
  <c r="F14" i="12"/>
  <c r="E14" i="13"/>
  <c r="E14" i="16"/>
  <c r="F14" i="16"/>
  <c r="F14" i="15"/>
  <c r="E13" i="13"/>
  <c r="F13" i="12"/>
  <c r="E13" i="16"/>
  <c r="F13" i="16"/>
  <c r="F13" i="15"/>
  <c r="E25" i="13"/>
  <c r="F25" i="12"/>
  <c r="E25" i="16"/>
  <c r="F25" i="16"/>
  <c r="F25" i="15"/>
  <c r="E27" i="13"/>
  <c r="F27" i="12"/>
  <c r="E27" i="16"/>
  <c r="F27" i="16"/>
  <c r="F27" i="15"/>
  <c r="E42" i="13"/>
  <c r="F42" i="12"/>
  <c r="E42" i="16"/>
  <c r="F42" i="16"/>
  <c r="F42" i="15"/>
  <c r="E39" i="13"/>
  <c r="F39" i="12"/>
  <c r="E39" i="16"/>
  <c r="F39" i="16"/>
  <c r="F39" i="15"/>
  <c r="F37" i="12"/>
  <c r="E37" i="13"/>
  <c r="E37" i="16"/>
  <c r="F37" i="16"/>
  <c r="F37" i="15"/>
  <c r="F33" i="12"/>
  <c r="E33" i="13"/>
  <c r="E33" i="16"/>
  <c r="F33" i="16"/>
  <c r="F33" i="15"/>
  <c r="E31" i="13"/>
  <c r="F31" i="12"/>
  <c r="E31" i="16"/>
  <c r="F31" i="16"/>
  <c r="F31" i="15"/>
  <c r="F29" i="12"/>
  <c r="E29" i="13"/>
  <c r="E29" i="16"/>
  <c r="F29" i="16"/>
  <c r="F29" i="15"/>
  <c r="F26" i="12"/>
  <c r="E26" i="13"/>
  <c r="E26" i="16"/>
  <c r="F26" i="16"/>
  <c r="F26" i="15"/>
  <c r="F22" i="12"/>
  <c r="E22" i="13"/>
  <c r="E22" i="16"/>
  <c r="F22" i="16"/>
  <c r="F22" i="15"/>
  <c r="E23" i="16"/>
  <c r="F23" i="16"/>
  <c r="F23" i="15"/>
  <c r="F23" i="12"/>
  <c r="E23" i="13"/>
  <c r="F21" i="12"/>
  <c r="E21" i="13"/>
  <c r="E21" i="16"/>
  <c r="F21" i="16"/>
  <c r="F21" i="15"/>
  <c r="E20" i="13"/>
  <c r="F20" i="12"/>
  <c r="E20" i="16"/>
  <c r="F20" i="16"/>
  <c r="F20" i="15"/>
  <c r="F12" i="12"/>
  <c r="E12" i="13"/>
  <c r="E12" i="16"/>
  <c r="F12" i="16"/>
  <c r="F12" i="15"/>
  <c r="E9" i="13"/>
  <c r="F9" i="12"/>
  <c r="E9" i="16"/>
  <c r="F9" i="16"/>
  <c r="F9" i="15"/>
  <c r="G11" i="6"/>
  <c r="G11" i="7"/>
  <c r="G11" i="3"/>
  <c r="G11" i="9"/>
  <c r="G12" i="8"/>
  <c r="E16" i="3"/>
  <c r="G16" i="3"/>
  <c r="H16" i="3"/>
  <c r="E28" i="3"/>
  <c r="E27" i="3"/>
  <c r="E26" i="3"/>
  <c r="E25" i="3"/>
  <c r="E16" i="6"/>
  <c r="E26" i="6"/>
  <c r="E25" i="6"/>
  <c r="E28" i="6"/>
  <c r="E27" i="6"/>
  <c r="H27" i="6"/>
  <c r="E26" i="5"/>
  <c r="H26" i="5"/>
  <c r="E28" i="5"/>
  <c r="E27" i="5"/>
  <c r="H27" i="5"/>
  <c r="E25" i="5"/>
  <c r="H25" i="5"/>
  <c r="E17" i="8"/>
  <c r="G17" i="8"/>
  <c r="H17" i="8"/>
  <c r="E28" i="8"/>
  <c r="E29" i="8"/>
  <c r="E27" i="8"/>
  <c r="E26" i="8"/>
  <c r="E16" i="4"/>
  <c r="G16" i="4"/>
  <c r="H16" i="4"/>
  <c r="E28" i="4"/>
  <c r="E25" i="4"/>
  <c r="H25" i="4"/>
  <c r="E26" i="4"/>
  <c r="E27" i="4"/>
  <c r="H27" i="4"/>
  <c r="E16" i="7"/>
  <c r="G16" i="7"/>
  <c r="H16" i="7"/>
  <c r="E28" i="7"/>
  <c r="E27" i="7"/>
  <c r="E26" i="7"/>
  <c r="E25" i="7"/>
  <c r="H25" i="7"/>
  <c r="E28" i="9"/>
  <c r="H28" i="9"/>
  <c r="E27" i="9"/>
  <c r="H27" i="9"/>
  <c r="E26" i="9"/>
  <c r="E25" i="9"/>
  <c r="H14" i="7"/>
  <c r="G14" i="7"/>
  <c r="H14" i="4"/>
  <c r="G14" i="4"/>
  <c r="H14" i="3"/>
  <c r="G14" i="3"/>
  <c r="H14" i="9"/>
  <c r="G14" i="9"/>
  <c r="H15" i="8"/>
  <c r="G15" i="8"/>
  <c r="H11" i="4"/>
  <c r="H158" i="9"/>
  <c r="H163" i="9"/>
  <c r="H174" i="9"/>
  <c r="E20" i="8"/>
  <c r="G20" i="8"/>
  <c r="H28" i="5"/>
  <c r="H163" i="2"/>
  <c r="H170" i="5"/>
  <c r="H186" i="5"/>
  <c r="E16" i="9"/>
  <c r="G16" i="9"/>
  <c r="H16" i="9"/>
  <c r="E16" i="5"/>
  <c r="G16" i="5"/>
  <c r="H16" i="5"/>
  <c r="H163" i="5"/>
  <c r="H168" i="5"/>
  <c r="H187" i="2"/>
  <c r="H173" i="2"/>
  <c r="H158" i="2"/>
  <c r="H189" i="2"/>
  <c r="H168" i="2"/>
  <c r="H174" i="2"/>
  <c r="H174" i="5"/>
  <c r="H183" i="5"/>
  <c r="H173" i="9"/>
  <c r="H186" i="9"/>
  <c r="H173" i="5"/>
  <c r="H188" i="5"/>
  <c r="H168" i="9"/>
  <c r="H115" i="7"/>
  <c r="H161" i="7"/>
  <c r="H109" i="7"/>
  <c r="H170" i="7"/>
  <c r="H106" i="7"/>
  <c r="H106" i="4"/>
  <c r="H168" i="4"/>
  <c r="H163" i="4"/>
  <c r="H188" i="4"/>
  <c r="H115" i="4"/>
  <c r="H173" i="4"/>
  <c r="H186" i="4"/>
  <c r="H174" i="4"/>
  <c r="H158" i="4"/>
  <c r="E19" i="4"/>
  <c r="G19" i="4"/>
  <c r="H174" i="8"/>
  <c r="H159" i="8"/>
  <c r="H187" i="8"/>
  <c r="H162" i="8"/>
  <c r="H169" i="8"/>
  <c r="H175" i="8"/>
  <c r="E19" i="8"/>
  <c r="G19" i="8"/>
  <c r="H19" i="8"/>
  <c r="H189" i="8"/>
  <c r="H164" i="8"/>
  <c r="H186" i="3"/>
  <c r="E18" i="3"/>
  <c r="G18" i="3"/>
  <c r="H18" i="3"/>
  <c r="H158" i="3"/>
  <c r="H168" i="3"/>
  <c r="H161" i="3"/>
  <c r="H106" i="3"/>
  <c r="H173" i="3"/>
  <c r="H174" i="3"/>
  <c r="E19" i="3"/>
  <c r="G19" i="3"/>
  <c r="H26" i="3"/>
  <c r="H115" i="6"/>
  <c r="H109" i="6"/>
  <c r="E18" i="6"/>
  <c r="G18" i="6"/>
  <c r="H18" i="6"/>
  <c r="H170" i="6"/>
  <c r="H106" i="6"/>
  <c r="H25" i="9"/>
  <c r="H26" i="9"/>
  <c r="H188" i="9"/>
  <c r="H170" i="9"/>
  <c r="H175" i="9"/>
  <c r="H163" i="3"/>
  <c r="H188" i="3"/>
  <c r="H170" i="3"/>
  <c r="H175" i="3"/>
  <c r="H171" i="8"/>
  <c r="H176" i="8"/>
  <c r="H170" i="4"/>
  <c r="H175" i="4"/>
  <c r="H26" i="7"/>
  <c r="H174" i="7"/>
  <c r="H163" i="7"/>
  <c r="H175" i="7"/>
  <c r="H170" i="2"/>
  <c r="H175" i="2"/>
  <c r="F28" i="13"/>
  <c r="E28" i="14"/>
  <c r="F28" i="14"/>
  <c r="E40" i="14"/>
  <c r="F40" i="14"/>
  <c r="F40" i="13"/>
  <c r="F36" i="13"/>
  <c r="E36" i="14"/>
  <c r="F36" i="14"/>
  <c r="F32" i="13"/>
  <c r="E32" i="14"/>
  <c r="F32" i="14"/>
  <c r="E35" i="14"/>
  <c r="F35" i="14"/>
  <c r="F35" i="13"/>
  <c r="F34" i="13"/>
  <c r="E34" i="14"/>
  <c r="F34" i="14"/>
  <c r="E41" i="14"/>
  <c r="F41" i="14"/>
  <c r="F41" i="13"/>
  <c r="E19" i="14"/>
  <c r="F19" i="14"/>
  <c r="F19" i="13"/>
  <c r="F18" i="13"/>
  <c r="E18" i="14"/>
  <c r="F18" i="14"/>
  <c r="E17" i="14"/>
  <c r="F17" i="14"/>
  <c r="F17" i="13"/>
  <c r="F16" i="13"/>
  <c r="E16" i="14"/>
  <c r="F16" i="14"/>
  <c r="F15" i="13"/>
  <c r="E15" i="14"/>
  <c r="F15" i="14"/>
  <c r="F11" i="13"/>
  <c r="E11" i="14"/>
  <c r="F11" i="14"/>
  <c r="F10" i="13"/>
  <c r="E10" i="14"/>
  <c r="F10" i="14"/>
  <c r="E14" i="14"/>
  <c r="F14" i="14"/>
  <c r="F14" i="13"/>
  <c r="E13" i="14"/>
  <c r="F13" i="14"/>
  <c r="F13" i="13"/>
  <c r="E25" i="14"/>
  <c r="F25" i="14"/>
  <c r="F25" i="13"/>
  <c r="F27" i="13"/>
  <c r="E27" i="14"/>
  <c r="F27" i="14"/>
  <c r="E42" i="14"/>
  <c r="F42" i="14"/>
  <c r="F42" i="13"/>
  <c r="F39" i="13"/>
  <c r="E39" i="14"/>
  <c r="F39" i="14"/>
  <c r="E37" i="14"/>
  <c r="F37" i="14"/>
  <c r="F37" i="13"/>
  <c r="F33" i="13"/>
  <c r="E33" i="14"/>
  <c r="F33" i="14"/>
  <c r="F31" i="13"/>
  <c r="E31" i="14"/>
  <c r="F31" i="14"/>
  <c r="F29" i="13"/>
  <c r="E29" i="14"/>
  <c r="F29" i="14"/>
  <c r="F26" i="13"/>
  <c r="E26" i="14"/>
  <c r="F26" i="14"/>
  <c r="E22" i="14"/>
  <c r="F22" i="14"/>
  <c r="F22" i="13"/>
  <c r="F23" i="13"/>
  <c r="E23" i="14"/>
  <c r="F23" i="14"/>
  <c r="F21" i="13"/>
  <c r="E21" i="14"/>
  <c r="F21" i="14"/>
  <c r="F20" i="13"/>
  <c r="E20" i="14"/>
  <c r="F20" i="14"/>
  <c r="E12" i="14"/>
  <c r="F12" i="14"/>
  <c r="F12" i="13"/>
  <c r="E9" i="14"/>
  <c r="F9" i="14"/>
  <c r="F9" i="13"/>
  <c r="E19" i="7"/>
  <c r="G19" i="7"/>
  <c r="E19" i="6"/>
  <c r="G19" i="6"/>
  <c r="G16" i="6"/>
  <c r="H16" i="6"/>
  <c r="H252" i="5"/>
  <c r="G252" i="5"/>
  <c r="F3" i="10"/>
  <c r="H252" i="9"/>
  <c r="G252" i="9"/>
  <c r="F9" i="10"/>
  <c r="G11" i="4"/>
  <c r="H28" i="4"/>
  <c r="H26" i="4"/>
  <c r="H252" i="4"/>
  <c r="G252" i="4"/>
  <c r="F5" i="10"/>
  <c r="E19" i="5"/>
  <c r="G19" i="5"/>
  <c r="E19" i="9"/>
  <c r="G19" i="9"/>
  <c r="H28" i="8"/>
  <c r="H29" i="8"/>
  <c r="H27" i="8"/>
  <c r="H26" i="8"/>
  <c r="H168" i="7"/>
  <c r="H158" i="7"/>
  <c r="H186" i="7"/>
  <c r="H173" i="7"/>
  <c r="H27" i="7"/>
  <c r="H28" i="7"/>
  <c r="H27" i="3"/>
  <c r="H28" i="3"/>
  <c r="H25" i="3"/>
  <c r="H183" i="6"/>
  <c r="H188" i="6"/>
  <c r="H168" i="6"/>
  <c r="H186" i="6"/>
  <c r="H158" i="6"/>
  <c r="H174" i="6"/>
  <c r="H173" i="6"/>
  <c r="H163" i="6"/>
  <c r="H175" i="6"/>
  <c r="H26" i="6"/>
  <c r="H28" i="6"/>
  <c r="H25" i="6"/>
  <c r="H252" i="3"/>
  <c r="G252" i="3"/>
  <c r="F8" i="10"/>
  <c r="H253" i="8"/>
  <c r="G253" i="8"/>
  <c r="F7" i="10"/>
  <c r="H252" i="6"/>
  <c r="G252" i="6"/>
  <c r="F6" i="10"/>
  <c r="H183" i="7"/>
  <c r="H188" i="7"/>
  <c r="H252" i="7"/>
  <c r="G252" i="7"/>
  <c r="F4" i="10"/>
  <c r="F11" i="10"/>
  <c r="G20" i="2"/>
  <c r="G21" i="2"/>
  <c r="G22" i="2"/>
  <c r="E18" i="2"/>
  <c r="G18" i="2"/>
  <c r="H18" i="2"/>
  <c r="D3" i="2"/>
  <c r="G12" i="2"/>
  <c r="E27" i="2"/>
  <c r="E25" i="2"/>
  <c r="E28" i="2"/>
  <c r="E26" i="2"/>
  <c r="E16" i="2"/>
  <c r="G16" i="2"/>
  <c r="H16" i="2"/>
  <c r="E19" i="2"/>
  <c r="G19" i="2"/>
  <c r="H26" i="2"/>
  <c r="H25" i="2"/>
  <c r="H28" i="2"/>
  <c r="H27" i="2"/>
  <c r="F13" i="3"/>
  <c r="F13" i="5"/>
  <c r="F13" i="4"/>
  <c r="F13" i="6"/>
  <c r="F13" i="2"/>
  <c r="F13" i="9"/>
  <c r="F13" i="7"/>
  <c r="T15" i="18"/>
  <c r="W15" i="18"/>
  <c r="X15" i="18"/>
  <c r="E4" i="11"/>
  <c r="F4" i="11"/>
  <c r="F45" i="11"/>
  <c r="T13" i="18"/>
  <c r="W13" i="18"/>
  <c r="X13" i="18"/>
  <c r="E4" i="15"/>
  <c r="F4" i="15"/>
  <c r="F48" i="15"/>
  <c r="T14" i="18"/>
  <c r="W14" i="18"/>
  <c r="X14" i="18"/>
  <c r="H253" i="2"/>
  <c r="G253" i="2"/>
  <c r="H13" i="3"/>
  <c r="H251" i="3"/>
  <c r="G251" i="3"/>
  <c r="E8" i="10"/>
  <c r="E4" i="14"/>
  <c r="F4" i="14"/>
  <c r="F45" i="14"/>
  <c r="H13" i="9"/>
  <c r="H251" i="9"/>
  <c r="G251" i="9"/>
  <c r="E9" i="10"/>
  <c r="E4" i="16"/>
  <c r="F4" i="16"/>
  <c r="F48" i="16"/>
  <c r="H13" i="6"/>
  <c r="G13" i="6"/>
  <c r="E4" i="13"/>
  <c r="F4" i="13"/>
  <c r="F45" i="13"/>
  <c r="H13" i="4"/>
  <c r="H251" i="4"/>
  <c r="G251" i="4"/>
  <c r="E5" i="10"/>
  <c r="E4" i="12"/>
  <c r="F4" i="12"/>
  <c r="F45" i="12"/>
  <c r="H13" i="5"/>
  <c r="H251" i="5"/>
  <c r="G251" i="5"/>
  <c r="E3" i="10"/>
  <c r="T13" i="2"/>
  <c r="W13" i="2"/>
  <c r="X13" i="2"/>
  <c r="H13" i="7"/>
  <c r="H251" i="7"/>
  <c r="G251" i="7"/>
  <c r="E4" i="10"/>
  <c r="T14" i="2"/>
  <c r="W14" i="2"/>
  <c r="X14" i="2"/>
  <c r="H14" i="8"/>
  <c r="H252" i="8"/>
  <c r="G252" i="8"/>
  <c r="E7" i="10"/>
  <c r="T15" i="2"/>
  <c r="W15" i="2"/>
  <c r="X15" i="2"/>
  <c r="H13" i="2"/>
  <c r="G13" i="2"/>
  <c r="H251" i="6"/>
  <c r="G251" i="6"/>
  <c r="E6" i="10"/>
  <c r="E13" i="10"/>
  <c r="E14" i="10"/>
  <c r="E15" i="10"/>
  <c r="H242" i="3"/>
  <c r="H243" i="3"/>
  <c r="G243" i="3"/>
  <c r="X16" i="18"/>
  <c r="H242" i="5"/>
  <c r="H243" i="5"/>
  <c r="G243" i="5"/>
  <c r="G13" i="3"/>
  <c r="H242" i="6"/>
  <c r="H243" i="6"/>
  <c r="G243" i="6"/>
  <c r="G13" i="5"/>
  <c r="G13" i="7"/>
  <c r="G13" i="9"/>
  <c r="H242" i="4"/>
  <c r="H243" i="4"/>
  <c r="G243" i="4"/>
  <c r="G13" i="4"/>
  <c r="H242" i="9"/>
  <c r="G242" i="9"/>
  <c r="H9" i="10"/>
  <c r="I9" i="10"/>
  <c r="J9" i="10"/>
  <c r="G9" i="10"/>
  <c r="H7" i="10"/>
  <c r="I7" i="10"/>
  <c r="J7" i="10"/>
  <c r="G7" i="10"/>
  <c r="H5" i="10"/>
  <c r="I5" i="10"/>
  <c r="J5" i="10"/>
  <c r="G5" i="10"/>
  <c r="H6" i="10"/>
  <c r="I6" i="10"/>
  <c r="J6" i="10"/>
  <c r="G6" i="10"/>
  <c r="H8" i="10"/>
  <c r="I8" i="10"/>
  <c r="J8" i="10"/>
  <c r="G8" i="10"/>
  <c r="H3" i="10"/>
  <c r="I3" i="10"/>
  <c r="J3" i="10"/>
  <c r="G3" i="10"/>
  <c r="H4" i="10"/>
  <c r="I4" i="10"/>
  <c r="J4" i="10"/>
  <c r="G4" i="10"/>
  <c r="X16" i="2"/>
  <c r="H243" i="8"/>
  <c r="G243" i="8"/>
  <c r="H242" i="7"/>
  <c r="G242" i="7"/>
  <c r="G14" i="8"/>
  <c r="H252" i="2"/>
  <c r="G252" i="2"/>
  <c r="H243" i="2"/>
  <c r="E11" i="10"/>
  <c r="G242" i="3"/>
  <c r="G242" i="5"/>
  <c r="G242" i="6"/>
  <c r="G242" i="4"/>
  <c r="I30" i="10"/>
  <c r="N3" i="10"/>
  <c r="N8" i="10"/>
  <c r="L30" i="10"/>
  <c r="J30" i="10"/>
  <c r="N5" i="10"/>
  <c r="H243" i="9"/>
  <c r="G243" i="9"/>
  <c r="N6" i="10"/>
  <c r="K30" i="10"/>
  <c r="J11" i="10"/>
  <c r="I11" i="10"/>
  <c r="H244" i="8"/>
  <c r="G244" i="8"/>
  <c r="H243" i="7"/>
  <c r="G243" i="7"/>
  <c r="H245" i="4"/>
  <c r="G245" i="4"/>
  <c r="H245" i="6"/>
  <c r="H246" i="6"/>
  <c r="H244" i="2"/>
  <c r="G244" i="2"/>
  <c r="G243" i="2"/>
  <c r="H245" i="3"/>
  <c r="G245" i="3"/>
  <c r="H245" i="5"/>
  <c r="H245" i="9"/>
  <c r="G245" i="9"/>
  <c r="G245" i="6"/>
  <c r="H246" i="4"/>
  <c r="H248" i="4"/>
  <c r="B5" i="10"/>
  <c r="D5" i="10"/>
  <c r="H246" i="8"/>
  <c r="G246" i="8"/>
  <c r="H245" i="7"/>
  <c r="G245" i="7"/>
  <c r="H246" i="2"/>
  <c r="H247" i="2"/>
  <c r="G247" i="2"/>
  <c r="H246" i="3"/>
  <c r="H248" i="3"/>
  <c r="B8" i="10"/>
  <c r="D8" i="10"/>
  <c r="G245" i="5"/>
  <c r="H246" i="5"/>
  <c r="G246" i="5"/>
  <c r="H248" i="6"/>
  <c r="G248" i="6"/>
  <c r="G246" i="6"/>
  <c r="H246" i="9"/>
  <c r="G246" i="9"/>
  <c r="H246" i="7"/>
  <c r="H248" i="7"/>
  <c r="G248" i="7"/>
  <c r="G246" i="4"/>
  <c r="H247" i="8"/>
  <c r="H249" i="8"/>
  <c r="B7" i="10"/>
  <c r="D7" i="10"/>
  <c r="G246" i="2"/>
  <c r="G246" i="3"/>
  <c r="H249" i="2"/>
  <c r="G249" i="2"/>
  <c r="H248" i="5"/>
  <c r="G248" i="5"/>
  <c r="G248" i="3"/>
  <c r="G248" i="4"/>
  <c r="B6" i="10"/>
  <c r="D6" i="10"/>
  <c r="G247" i="8"/>
  <c r="G249" i="8"/>
  <c r="B4" i="10"/>
  <c r="D4" i="10"/>
  <c r="H248" i="9"/>
  <c r="G248" i="9"/>
  <c r="G246" i="7"/>
  <c r="B3" i="10"/>
  <c r="D3" i="10"/>
  <c r="D13" i="10"/>
  <c r="D14" i="10"/>
  <c r="B9" i="10"/>
  <c r="D9" i="10"/>
  <c r="D11" i="10"/>
  <c r="B13" i="10"/>
  <c r="B14" i="10"/>
  <c r="B15" i="10"/>
  <c r="D15" i="10"/>
  <c r="B11" i="10"/>
  <c r="H48" i="17" l="1"/>
</calcChain>
</file>

<file path=xl/sharedStrings.xml><?xml version="1.0" encoding="utf-8"?>
<sst xmlns="http://schemas.openxmlformats.org/spreadsheetml/2006/main" count="9574" uniqueCount="729">
  <si>
    <t>B1- Zuidwestelijke Delta</t>
  </si>
  <si>
    <t>p/j</t>
  </si>
  <si>
    <t>uren p/j</t>
  </si>
  <si>
    <t>per jaar</t>
  </si>
  <si>
    <t>looptijd</t>
  </si>
  <si>
    <t>Aantal gemelde verontreinigingen per jaar &lt;</t>
  </si>
  <si>
    <t>Aantal opgeruimde verontreingingen per jaar &lt;</t>
  </si>
  <si>
    <t>Gemiddelde 1e verkening per inzet</t>
  </si>
  <si>
    <t>uur</t>
  </si>
  <si>
    <t>Gemiddelde inzet per opgeruimde verontreinging</t>
  </si>
  <si>
    <t>positie</t>
  </si>
  <si>
    <t xml:space="preserve">Omschrijving: </t>
  </si>
  <si>
    <t>Een-heid:</t>
  </si>
  <si>
    <t>Looptijd contract hoeveelheid inzet (fictief)</t>
  </si>
  <si>
    <t>bedrag per eenheid (excl. btw)</t>
  </si>
  <si>
    <t>bedrag per jaar (excl. btw)</t>
  </si>
  <si>
    <t>Looptijd 5 jaar bedrag totaal (excl. btw)</t>
  </si>
  <si>
    <t>Algemene onderbouwing</t>
  </si>
  <si>
    <t>Aandachtpunten berekening, als basis is de Waddenzee gebruikt. B5</t>
  </si>
  <si>
    <t>Vaste kosten</t>
  </si>
  <si>
    <t>Teamverdeling 24/7 gebonden</t>
  </si>
  <si>
    <t>Totaal per maand</t>
  </si>
  <si>
    <t>1e lijns teams</t>
  </si>
  <si>
    <t>2e lijns teams</t>
  </si>
  <si>
    <t>1.1</t>
  </si>
  <si>
    <t>Vaste vergoeding / consignatie personeel / in standhouden telefoondesk</t>
  </si>
  <si>
    <t>rws</t>
  </si>
  <si>
    <t>maand</t>
  </si>
  <si>
    <t>Binding voor …  x 1 lijn team (á 2 man), ...  X 2e lijn team (á 2 man), 1 Coördinator en 1 monteur</t>
  </si>
  <si>
    <t>BINDING: Bindingsvergoeding p.p per week X het aantal medewerkers X aantal weken per maand. 
kosten van onderdelen gaan op stelpost</t>
  </si>
  <si>
    <t>3 eerste &amp; 2e lijns teams vanwege grootte van het gebied.</t>
  </si>
  <si>
    <t>1.2</t>
  </si>
  <si>
    <t>Consignatie</t>
  </si>
  <si>
    <t>H</t>
  </si>
  <si>
    <t>1.3</t>
  </si>
  <si>
    <t>Vergoeding stand-by kosten, 1e lijn en 2e lijn materieel</t>
  </si>
  <si>
    <t>De aannemer heeft om 24/7 per direct inzet te kunnen plegen ook meterieel nodig dat beschikbaar is en niet 100 % kan worden ingezet op ander werken. Minimaal, 2 eerste lijn vaartuigen, 1 tweede lijns-zware bedrijfswagen en 1 personenauto</t>
  </si>
  <si>
    <t>Een volledige vergoeding per uur per onderdeel is niet reeel dus voor de raming nemen wij 20 % van de uurprijs per onderdeel.</t>
  </si>
  <si>
    <t>FACTOR op inzetuurtarief aantal eerste lijns &amp; 2e lijns teams als vergoeding per maand</t>
  </si>
  <si>
    <t>(/uur)</t>
  </si>
  <si>
    <t xml:space="preserve">** Zie Rekenblad </t>
  </si>
  <si>
    <t>1.4</t>
  </si>
  <si>
    <t>Operationeel onderhoud RWS-materiaal -schermen en Powerpacks enz.</t>
  </si>
  <si>
    <r>
      <t xml:space="preserve">APK monteur met voertuig = 85 euro, monteur is duurder
</t>
    </r>
    <r>
      <rPr>
        <sz val="9"/>
        <color rgb="FFFF0000"/>
        <rFont val="Verdana"/>
        <family val="2"/>
      </rPr>
      <t>De kosten van herstel, vervanging onderdelen gaan appart middels een offerte en opdracht.</t>
    </r>
  </si>
  <si>
    <t>Maandelijkse werkzaamheden inclusief reistijden: Controleren olieniveau's, bandenspanning, vloeistof accu's, schoonmaken materieel, overige werkzaamheden. Indien de aannemr dit regulier uitvoert kan deze monteur alle aanhangers ook APK keuren binnen deze tijden. Ook de registratie in een digitaal beheersysteem is in deze actie meegenomen.</t>
  </si>
  <si>
    <t>in dit gebied veel schermen, echter nauwelijks rollend materieel. 
Een klein aantal depots met veel materieeel. 
Dus onderhoudsronde kan vrij efficiënt uitgevoerd worden.</t>
  </si>
  <si>
    <t>Actieteams</t>
  </si>
  <si>
    <t>Verdieping onderbouwing</t>
  </si>
  <si>
    <t>inzet per jaar</t>
  </si>
  <si>
    <t>inzet per 5 jaar</t>
  </si>
  <si>
    <t>uren gem inzet</t>
  </si>
  <si>
    <t>2.1</t>
  </si>
  <si>
    <t xml:space="preserve">Actie A - 1e Lijns Interventie-team A </t>
  </si>
  <si>
    <t>MG</t>
  </si>
  <si>
    <t>Aantal geraamde meldingen per jaar 100, verkenning en verificatie nemen in het totaal 3 uur per melding in beslag. Het aantal incidenten dat geruimd moet worden is 10 per jaar</t>
  </si>
  <si>
    <t>Inzet snelvarend bergingsschip exclusief bemanning, vermogen &lt; 500 pk 225 euro
(team betreft 2 medew) 1 stuurman 50 euro p/uur + algemeen medewerker 45 euro per uur
Verbruikartikelen klein materiaal 5 euro Totale kosten per uur 325 euro. 
incl. toeslagen. gemiddeld dag, nacht, weekeind</t>
  </si>
  <si>
    <t>Eerste lijns voertuig inclusief chauffeur en bijrijder</t>
  </si>
  <si>
    <t>T</t>
  </si>
  <si>
    <t>Heeft dus geen boot of wat dan ook bij zich.</t>
  </si>
  <si>
    <t>2.2</t>
  </si>
  <si>
    <t>Actie B - Tweede lijn Interventie-team B</t>
  </si>
  <si>
    <t>Aantal geruimde opruimingsacties p/j 10</t>
  </si>
  <si>
    <t>(Inzet bedrijfswagen &gt; 3500 kilo  85 euro p/u) + (Chauffeur inclusief) + (algemeen medewerker 45 p/uur)
5 euro verbruiksartikelen per uur. Totale kosten p/uur zijn 135 euro p/uur</t>
  </si>
  <si>
    <t>2.3</t>
  </si>
  <si>
    <t>Categorie 1: Nihil incident 10-500 liter
vrijgekomen materiaal</t>
  </si>
  <si>
    <t>2.4</t>
  </si>
  <si>
    <t>Categorie 2: Klein incident 500-5.000 liter
vrijgekomen materiaal</t>
  </si>
  <si>
    <t>2.5</t>
  </si>
  <si>
    <t>Categorie 3: Middelgroot incident 5.000 tot 10.000 liter vrijgekomen materiaal</t>
  </si>
  <si>
    <t>2.6</t>
  </si>
  <si>
    <t>Categorie 4: Groot boven10.000 liter vrijgekomen materiaal</t>
  </si>
  <si>
    <t xml:space="preserve">Werknemers: </t>
  </si>
  <si>
    <t>3.1</t>
  </si>
  <si>
    <t>Inzet coördinator  of uitvoerder</t>
  </si>
  <si>
    <t>De incident coördinator zet 1e lijn en 2e lijn team in en is vanaf dat moment ook aan het werk of bij het incident of op de achtergrond. (1 uur per incident 1e lijn, 3u per incident op de 2e lijn). Verdeeld over tijd</t>
  </si>
  <si>
    <t>maandag t/m vrijdag van 7.00 uur - 17.00 uur</t>
  </si>
  <si>
    <t>B</t>
  </si>
  <si>
    <t>nvt</t>
  </si>
  <si>
    <t>maandag t/m vrijdag van 17.00 uur - 7.00 uur</t>
  </si>
  <si>
    <t>vrijdag 17.00 uur - zaterdag 17.00 uur</t>
  </si>
  <si>
    <t>zaterdag 17.00 uur - maandag 7.00 uur</t>
  </si>
  <si>
    <t>Uitvoerder</t>
  </si>
  <si>
    <t>Incidenten coördinator</t>
  </si>
  <si>
    <t>3.2</t>
  </si>
  <si>
    <t xml:space="preserve">Inzet schipper / gezagvoerder </t>
  </si>
  <si>
    <t>3.3</t>
  </si>
  <si>
    <t>Inzet stuurman / machinist</t>
  </si>
  <si>
    <t>3.4</t>
  </si>
  <si>
    <t xml:space="preserve">Inzet algemeen medewerker </t>
  </si>
  <si>
    <t>Contractmanager</t>
  </si>
  <si>
    <t>Diverse overleggen en VTW</t>
  </si>
  <si>
    <t>Procesmanager</t>
  </si>
  <si>
    <t>Aanpassingen ivm bv VTW</t>
  </si>
  <si>
    <t>Werkvoorbereider</t>
  </si>
  <si>
    <t>Aanpassingen ivm bv VTW en voorbereiding oefeningen</t>
  </si>
  <si>
    <t>Vergunning aanvrager</t>
  </si>
  <si>
    <t>Omgevingsmanager</t>
  </si>
  <si>
    <t>Technisch manager</t>
  </si>
  <si>
    <t>Veiligheidsadviseur GVS en of Bodemdeskundige</t>
  </si>
  <si>
    <t>1 uur advies per jaar</t>
  </si>
  <si>
    <t>Inzet verkeersregelaar</t>
  </si>
  <si>
    <t>RWS</t>
  </si>
  <si>
    <t>3.5</t>
  </si>
  <si>
    <t>Inzet monteur / lasser</t>
  </si>
  <si>
    <t>3.6</t>
  </si>
  <si>
    <t xml:space="preserve">Inzet personeel duikteam (minimaal 2 man)  </t>
  </si>
  <si>
    <t>Inzet 1 keer per jaar circa 4 uur per inzet</t>
  </si>
  <si>
    <t>Duikploeg</t>
  </si>
  <si>
    <t>Voertuigen, aanhangers  incl. bediening</t>
  </si>
  <si>
    <t>4.1</t>
  </si>
  <si>
    <t>Inzet bedrijfswagen &lt; 3500 kilo</t>
  </si>
  <si>
    <t xml:space="preserve">1 dag per jaar ivm de materieelcontrole, of verplaatsing met opdrachtgever </t>
  </si>
  <si>
    <t>4.2</t>
  </si>
  <si>
    <t xml:space="preserve">Inzet bedrijfswagen &gt; 3500 kilo  </t>
  </si>
  <si>
    <t>1 dag per jaar ivm de materieelcontrole, of verplaatsing met opdrachtgever</t>
  </si>
  <si>
    <t>4.3</t>
  </si>
  <si>
    <t>Service bus / dienstwagen / Transporter</t>
  </si>
  <si>
    <t>MSR</t>
  </si>
  <si>
    <t>p/u</t>
  </si>
  <si>
    <t>4.4</t>
  </si>
  <si>
    <t>Personen transport voertuig</t>
  </si>
  <si>
    <t>4.5</t>
  </si>
  <si>
    <t xml:space="preserve">Inzet bedrijfswagen of combinatie met aanhanger  &gt; 3500 kilo, inclusief kraan </t>
  </si>
  <si>
    <t xml:space="preserve"> 1 dag per jaar overige opdrachten bv Sail, IM Beurs enz. = 16 uur</t>
  </si>
  <si>
    <t>4.6</t>
  </si>
  <si>
    <t>Inzet aanhanger tot 750 kilo</t>
  </si>
  <si>
    <t>per dag</t>
  </si>
  <si>
    <t>1 dag per jaar ivm afvoer overig vuil</t>
  </si>
  <si>
    <t>4.7</t>
  </si>
  <si>
    <t>Inzet aanhanger 750 - 3500 kilo</t>
  </si>
  <si>
    <t>4.8</t>
  </si>
  <si>
    <t>Inzet aanhanger &gt;3500 kilo</t>
  </si>
  <si>
    <t>In combinatie met 4.1 / 4.2 / 4.3</t>
  </si>
  <si>
    <t>4.9</t>
  </si>
  <si>
    <t>Aanhanger met laadbak</t>
  </si>
  <si>
    <t>4.10</t>
  </si>
  <si>
    <t>Aanhanger motorboot</t>
  </si>
  <si>
    <t>4.11</t>
  </si>
  <si>
    <t>Calamiteiten aanhanger</t>
  </si>
  <si>
    <t>p/dag</t>
  </si>
  <si>
    <t>4.12</t>
  </si>
  <si>
    <t xml:space="preserve">Autolaadkraan 6x6 incl. bediening </t>
  </si>
  <si>
    <t xml:space="preserve"> 1 keer per jaar overige opdrachten bv Sail, IM Beurs enz.</t>
  </si>
  <si>
    <t>4.13</t>
  </si>
  <si>
    <t>Multi-lift containerwagen incl. chauffeur</t>
  </si>
  <si>
    <t xml:space="preserve"> 1 keer per jaar overige opdrachten bv Sail, IM Beurs enz. </t>
  </si>
  <si>
    <t>4.14</t>
  </si>
  <si>
    <t xml:space="preserve">Dieplader / inhuur + 10% </t>
  </si>
  <si>
    <t>4.15</t>
  </si>
  <si>
    <t xml:space="preserve">Telekraan inhuur + 10% </t>
  </si>
  <si>
    <t>4.16</t>
  </si>
  <si>
    <t>Multilift / minimale afname 4 uur</t>
  </si>
  <si>
    <t>4.17</t>
  </si>
  <si>
    <t>Vacuumwagen / vacuumunit (los)</t>
  </si>
  <si>
    <t>4.18</t>
  </si>
  <si>
    <t>4.19</t>
  </si>
  <si>
    <t>4.20</t>
  </si>
  <si>
    <t>Graafmachines, voorladers en heftrucks</t>
  </si>
  <si>
    <t>5.1</t>
  </si>
  <si>
    <t>Inzet heftruck &lt; 1500 kilo</t>
  </si>
  <si>
    <t>Zal weinig tot niet gebruikt worden</t>
  </si>
  <si>
    <t>5.2</t>
  </si>
  <si>
    <t>Inzet heftruck &gt; 1500 kilo</t>
  </si>
  <si>
    <t>Noodzakelijk om afval te verwerken in container of op vrachtauto- of aanhanger te plaatsen, 1 dag per jaar</t>
  </si>
  <si>
    <t>5.3</t>
  </si>
  <si>
    <t>laadschop met een laadvermogen van ten minste 1m3, incl. bediening</t>
  </si>
  <si>
    <t>5.4</t>
  </si>
  <si>
    <t xml:space="preserve">Mobiele bandenkraan / inhuur + 10% </t>
  </si>
  <si>
    <t>5.5</t>
  </si>
  <si>
    <t xml:space="preserve">Shovel / inhuur + 10% </t>
  </si>
  <si>
    <t>5.6</t>
  </si>
  <si>
    <t xml:space="preserve">Verreiker / inhuur + 10% </t>
  </si>
  <si>
    <t>5.7</t>
  </si>
  <si>
    <t xml:space="preserve">Minigraafmachine / inhuur + 10% </t>
  </si>
  <si>
    <t>5.8</t>
  </si>
  <si>
    <t>Hydraulische graafmachine (wiel), bakinhoud tenminste 1500 liter, incl. bediening</t>
  </si>
  <si>
    <t xml:space="preserve">Mogelijk inzet bij grote verontreinging </t>
  </si>
  <si>
    <t>5.9</t>
  </si>
  <si>
    <t>Generator 24 KVA</t>
  </si>
  <si>
    <t>5.10</t>
  </si>
  <si>
    <t>Aggregaat / exclusief brandstof</t>
  </si>
  <si>
    <t>5.11</t>
  </si>
  <si>
    <t>Nachtverlichting  (bouwlamp) inhuur + 10%</t>
  </si>
  <si>
    <t>Vacuumwagens, hoge druk en Skimmers</t>
  </si>
  <si>
    <t>6.1</t>
  </si>
  <si>
    <t>Hogedrukwagen, incl. bediening</t>
  </si>
  <si>
    <t>6.2</t>
  </si>
  <si>
    <t>Hogedrukwagen- warm water, incl. bediening</t>
  </si>
  <si>
    <t>2 dag gedurende de gehele contractperiode</t>
  </si>
  <si>
    <t>6.3</t>
  </si>
  <si>
    <t>Ademluchtwagen incl. bediening</t>
  </si>
  <si>
    <t>1 dag gedurende de gehele contractperiode</t>
  </si>
  <si>
    <t>6.4</t>
  </si>
  <si>
    <t>Vacuümwagen &gt;12 m³ incl. bediening, incl. skimmer?</t>
  </si>
  <si>
    <t>1 dag per jaar gedurende de contractperiode voor de diverse kleien verontreinigingen</t>
  </si>
  <si>
    <t>6.5</t>
  </si>
  <si>
    <t>Inzet skimmers licht</t>
  </si>
  <si>
    <t>Bij elke verontreiniging 1 uur inzet geraamd</t>
  </si>
  <si>
    <t>6.6</t>
  </si>
  <si>
    <t>Inzet skimmers middel</t>
  </si>
  <si>
    <t>6.7</t>
  </si>
  <si>
    <t xml:space="preserve">Inzet skimmers zwaar </t>
  </si>
  <si>
    <t>6.8</t>
  </si>
  <si>
    <t>Skimmer</t>
  </si>
  <si>
    <t>6.9</t>
  </si>
  <si>
    <t>Skimmers</t>
  </si>
  <si>
    <t>6.10</t>
  </si>
  <si>
    <t>Lossen vloeistofpomp electrisch 30 Ton/puur</t>
  </si>
  <si>
    <t>6.11</t>
  </si>
  <si>
    <t>Klokpomp / dompelpomp</t>
  </si>
  <si>
    <t>6.12</t>
  </si>
  <si>
    <t>Hogedruk unit warm, incl. 30 metr slang</t>
  </si>
  <si>
    <t>6.13</t>
  </si>
  <si>
    <t xml:space="preserve">Stoomcleaner / inhuur + 10% </t>
  </si>
  <si>
    <t>6.14</t>
  </si>
  <si>
    <t xml:space="preserve">Warmwater spoel-unit / stoomketel / inhuur + 10% </t>
  </si>
  <si>
    <t>6.15</t>
  </si>
  <si>
    <t>Slangen &gt; 30 m en appendages t.b.v. vacuum en/of spoel-unit</t>
  </si>
  <si>
    <t>m</t>
  </si>
  <si>
    <t>6.16</t>
  </si>
  <si>
    <t>Olie-water scheider</t>
  </si>
  <si>
    <t>Vaartuigen</t>
  </si>
  <si>
    <t>7.1</t>
  </si>
  <si>
    <t>Snelle interventieboot</t>
  </si>
  <si>
    <t>7.2</t>
  </si>
  <si>
    <t>Motorboot + b-b motor</t>
  </si>
  <si>
    <t>7.3</t>
  </si>
  <si>
    <t>Sleepboot exclusief bemanning, &lt;500 pk</t>
  </si>
  <si>
    <t>Per jaar 3 dagen voor inzet bij oefeningen + 2 dag per jaar voor ondersteuning 1e lijns vaartuig, inzet bij Portunus</t>
  </si>
  <si>
    <t>7.4</t>
  </si>
  <si>
    <t>Sleepboot exclusief bemanning, &gt; 500 pk</t>
  </si>
  <si>
    <t xml:space="preserve">Per jaar 3 dagen voor inzet bij oefeningen + 2 dag per jaar voor ondersteuning 1e lijns vaartuig, </t>
  </si>
  <si>
    <t>7.5</t>
  </si>
  <si>
    <t>Oliebestrijdingsvaartuig 1500m3 incl. bediening</t>
  </si>
  <si>
    <t>7.6</t>
  </si>
  <si>
    <t>Oliebestrijdingsvaartuig, zelfvarend, inclusief bediening (3 personen)</t>
  </si>
  <si>
    <t>7.7</t>
  </si>
  <si>
    <t>Veeg vaartuig / skim boot, minimale inzet 3 uur</t>
  </si>
  <si>
    <t>7.8</t>
  </si>
  <si>
    <t>Sleepboot, inhuur + 10 %</t>
  </si>
  <si>
    <t>7.9</t>
  </si>
  <si>
    <t>Bilgeboot / sloblichter</t>
  </si>
  <si>
    <t>7.10</t>
  </si>
  <si>
    <t>Beunbak</t>
  </si>
  <si>
    <t>7.11</t>
  </si>
  <si>
    <t>Hulpbootje (&gt;20km/h) onzinkbare boot met bb-motor, inclusief 2 man bediening (t.b.v.
inzet bij o.a. olieopruiming)</t>
  </si>
  <si>
    <t>7.12</t>
  </si>
  <si>
    <t>Werkschip met kraan incl. bediening, met spudpalen, zelfvarend, hefvermogen van
ten minste 4 ton bij een</t>
  </si>
  <si>
    <t>7.13</t>
  </si>
  <si>
    <t>Kraanponton, voorzien van een kraan met een hefvermogen van minimaal 70 ton;
zelfvarend of gesleept</t>
  </si>
  <si>
    <t>7.14</t>
  </si>
  <si>
    <t>Kraanschip, inhuur + 10 %</t>
  </si>
  <si>
    <t>7.15</t>
  </si>
  <si>
    <t>Beunschepen</t>
  </si>
  <si>
    <t>2 schepen 4 dagen per contractperiode ivm oefeningen enz.</t>
  </si>
  <si>
    <t>7.16</t>
  </si>
  <si>
    <t>Opslagtank voor vloeistoffen 20 ton</t>
  </si>
  <si>
    <t>dag</t>
  </si>
  <si>
    <t>7.17</t>
  </si>
  <si>
    <t>Varende opslagcapaciteit</t>
  </si>
  <si>
    <t>7.18</t>
  </si>
  <si>
    <t>Ms Vecht/Linde</t>
  </si>
  <si>
    <t>7.19</t>
  </si>
  <si>
    <t>MS Tiemen met HGM</t>
  </si>
  <si>
    <t>7.20</t>
  </si>
  <si>
    <t>MS Zwarte Water met HGM</t>
  </si>
  <si>
    <t>7.21</t>
  </si>
  <si>
    <t xml:space="preserve">Waste boot </t>
  </si>
  <si>
    <t>7.22</t>
  </si>
  <si>
    <t>Ponton's</t>
  </si>
  <si>
    <t>7.23</t>
  </si>
  <si>
    <t>Dekschuit, , inhuur + 10 %</t>
  </si>
  <si>
    <t>7.24</t>
  </si>
  <si>
    <t>Easy ponton / koppelponton</t>
  </si>
  <si>
    <t>7.25</t>
  </si>
  <si>
    <t>vlotten</t>
  </si>
  <si>
    <t>7.26</t>
  </si>
  <si>
    <t>Drijvende steigers</t>
  </si>
  <si>
    <t>7.27</t>
  </si>
  <si>
    <t>Walstroom kast, kosten 1 op 1 van havendienst</t>
  </si>
  <si>
    <t>Overig</t>
  </si>
  <si>
    <t>8.1</t>
  </si>
  <si>
    <t>Reiniging vacuumauto</t>
  </si>
  <si>
    <t>keer</t>
  </si>
  <si>
    <t>8.2</t>
  </si>
  <si>
    <t>Per jaar 1 keer</t>
  </si>
  <si>
    <t>8.3</t>
  </si>
  <si>
    <t>Hoge druk stoomreiniger</t>
  </si>
  <si>
    <t>Materialen/materieel/ olieabsorbtie en oliekerende schermen</t>
  </si>
  <si>
    <t>9.1</t>
  </si>
  <si>
    <t>60 liter PE-vat</t>
  </si>
  <si>
    <t>stuk</t>
  </si>
  <si>
    <t>Per verontreinging 1 vat</t>
  </si>
  <si>
    <t>9.2</t>
  </si>
  <si>
    <t>200 liter PE-vat</t>
  </si>
  <si>
    <t>9.3</t>
  </si>
  <si>
    <t xml:space="preserve">Bergingsverpakking Poly overpack 95 met T-keurmerk </t>
  </si>
  <si>
    <t>2 vaten per jaar ivm drugsafval, ilegale stort</t>
  </si>
  <si>
    <t>9.4</t>
  </si>
  <si>
    <t>Olie-absorptiebooms 3 meter x 15 cm (4 st/baal)</t>
  </si>
  <si>
    <t>baal</t>
  </si>
  <si>
    <t>Per verontreiniging 1 baal, worden veel gebruikt in havens bij een overloop en onbekende veroorzaker</t>
  </si>
  <si>
    <t>9.5</t>
  </si>
  <si>
    <t>Olieabsorbtie booms D20 cm lengte 5 meter</t>
  </si>
  <si>
    <t>st</t>
  </si>
  <si>
    <t>9.6</t>
  </si>
  <si>
    <t>Absorbents (worst) (4 st p/zak 12m1)</t>
  </si>
  <si>
    <t>p/st</t>
  </si>
  <si>
    <t>Per verontreiniging 1 zak</t>
  </si>
  <si>
    <t>9.7</t>
  </si>
  <si>
    <t>Absorptie rollen (44 m p/rol)</t>
  </si>
  <si>
    <t>9.8</t>
  </si>
  <si>
    <t>Olieabsorberende worsten pet 10 meter</t>
  </si>
  <si>
    <t>10 m</t>
  </si>
  <si>
    <t>9.9</t>
  </si>
  <si>
    <t>Oliekerende schermen hoger dan &gt; 1 meter</t>
  </si>
  <si>
    <t>50 m</t>
  </si>
  <si>
    <t>9.10</t>
  </si>
  <si>
    <t>Olie kerende schermen type 45cm:</t>
  </si>
  <si>
    <t>9.11</t>
  </si>
  <si>
    <t>Oliekerende schermen hoogte minder &lt; 1 meter</t>
  </si>
  <si>
    <t>Hij moet onze onze schermen gebruiken, dus bij voorkeur niet</t>
  </si>
  <si>
    <t>9.12</t>
  </si>
  <si>
    <t>Olie kerende schermen type 75cm:</t>
  </si>
  <si>
    <t>9.13</t>
  </si>
  <si>
    <t>Olie-absorptiedoeken (200 stuks)</t>
  </si>
  <si>
    <t>pak</t>
  </si>
  <si>
    <t>Per verontreinging 1 pak</t>
  </si>
  <si>
    <t>9.14</t>
  </si>
  <si>
    <t>Olie-aborptiedoeken (100 stuks)</t>
  </si>
  <si>
    <t>9.15</t>
  </si>
  <si>
    <t>Absorbtie doeken (200 st p/ zak)</t>
  </si>
  <si>
    <t>9.16</t>
  </si>
  <si>
    <t>Olieabsorbtie-Grid</t>
  </si>
  <si>
    <t>Zak</t>
  </si>
  <si>
    <t>Per verontreinging gebruik 1 zak</t>
  </si>
  <si>
    <t>9.17</t>
  </si>
  <si>
    <t>Reinigingsmiddel (bijv. Ecoclean)</t>
  </si>
  <si>
    <t xml:space="preserve"> 5 liter</t>
  </si>
  <si>
    <t>Per jaar 1 keer bij diverse schoonmaak acties na calamiteit</t>
  </si>
  <si>
    <t>9.18</t>
  </si>
  <si>
    <t>Schoonmaken oliescherm Lightboom 30 meter</t>
  </si>
  <si>
    <t>Lightboom</t>
  </si>
  <si>
    <t>Per actie verontreiniging geraammd inzet 1 scherm</t>
  </si>
  <si>
    <t>8.4</t>
  </si>
  <si>
    <t>Reiniging olieschermen en bestrijdingsmaterieel na inzet</t>
  </si>
  <si>
    <t>Per jaar 1 keer 1 scherm</t>
  </si>
  <si>
    <t>9.19</t>
  </si>
  <si>
    <t>Astbestzakken</t>
  </si>
  <si>
    <t>10 zaken per jaar ilegale stort van asbest</t>
  </si>
  <si>
    <t>9.20</t>
  </si>
  <si>
    <t>Huur 6 M3 afvalcontainer</t>
  </si>
  <si>
    <t>9.21</t>
  </si>
  <si>
    <t>Containers voor afvoer vuil / afval (huur) bij de kg prijs in</t>
  </si>
  <si>
    <t>9.22</t>
  </si>
  <si>
    <t>Afvoer afval / vuil (niet oliehoudend / KGA) per container</t>
  </si>
  <si>
    <t>st / m3</t>
  </si>
  <si>
    <t>9.23</t>
  </si>
  <si>
    <t>Afvoer afval / vuil (oliehoudend KGA) per container</t>
  </si>
  <si>
    <t>kg</t>
  </si>
  <si>
    <t>9.24</t>
  </si>
  <si>
    <t>Afvoer olie-water mengsel afvoer</t>
  </si>
  <si>
    <t>m3</t>
  </si>
  <si>
    <t>9.25</t>
  </si>
  <si>
    <t>Olie/water administratie en analyse kosten</t>
  </si>
  <si>
    <t>Per verontreiniging 1 keer</t>
  </si>
  <si>
    <t>9.26</t>
  </si>
  <si>
    <t>Verontreiningde grond, prijs is afhangkelijk van de mate van verontreiniging</t>
  </si>
  <si>
    <t>9.27</t>
  </si>
  <si>
    <t xml:space="preserve">Oliehoudend stortsteen, word extern afgeroepen </t>
  </si>
  <si>
    <t>ton</t>
  </si>
  <si>
    <t>9.28</t>
  </si>
  <si>
    <t>Administratiehandeling t.b.v. afvalstroomnummer</t>
  </si>
  <si>
    <t>9.29</t>
  </si>
  <si>
    <t>Verwerkingskosten oliehoudend materiaal</t>
  </si>
  <si>
    <t>9.30</t>
  </si>
  <si>
    <t>100 kg</t>
  </si>
  <si>
    <t>Per verontreinging 300 kg</t>
  </si>
  <si>
    <t>9.31</t>
  </si>
  <si>
    <t>Niet oliehoudend vast afval</t>
  </si>
  <si>
    <t>9.32</t>
  </si>
  <si>
    <t>Oliehoudend vast afval</t>
  </si>
  <si>
    <t>9.33</t>
  </si>
  <si>
    <t>Vloeibaar afval (minimaal m3)</t>
  </si>
  <si>
    <t>M3</t>
  </si>
  <si>
    <t>9.34</t>
  </si>
  <si>
    <t>Stortkosten drijfvuil</t>
  </si>
  <si>
    <t>Ton</t>
  </si>
  <si>
    <t>9.35</t>
  </si>
  <si>
    <t>Stortkosten Groenafval</t>
  </si>
  <si>
    <t>Diversen- Stelpost artikel</t>
  </si>
  <si>
    <t>10.1</t>
  </si>
  <si>
    <t>Degreasers (25 l p/jerrycan)</t>
  </si>
  <si>
    <t>p/liter</t>
  </si>
  <si>
    <t>10.2</t>
  </si>
  <si>
    <t>MP-soap (25 l p/jerrycan)</t>
  </si>
  <si>
    <t>10.3</t>
  </si>
  <si>
    <t>Poetsdoeken (p/doos) / 25 kg grote zak</t>
  </si>
  <si>
    <t>doos</t>
  </si>
  <si>
    <t>10.4</t>
  </si>
  <si>
    <t>Scheppen</t>
  </si>
  <si>
    <t>ps/p/dag</t>
  </si>
  <si>
    <t>10.5</t>
  </si>
  <si>
    <t>Harken</t>
  </si>
  <si>
    <t>10.6</t>
  </si>
  <si>
    <t>Baggernetten</t>
  </si>
  <si>
    <t>10.7</t>
  </si>
  <si>
    <t>Wissers</t>
  </si>
  <si>
    <t>10.8</t>
  </si>
  <si>
    <t>Bezems</t>
  </si>
  <si>
    <t>10.9</t>
  </si>
  <si>
    <t>Lui-wagens</t>
  </si>
  <si>
    <t>10.10</t>
  </si>
  <si>
    <t>Touw</t>
  </si>
  <si>
    <t>Rol</t>
  </si>
  <si>
    <t>10.11</t>
  </si>
  <si>
    <t>Emmers</t>
  </si>
  <si>
    <t>10.12</t>
  </si>
  <si>
    <t>Handschoenen</t>
  </si>
  <si>
    <t>10.13</t>
  </si>
  <si>
    <t>Overalls</t>
  </si>
  <si>
    <t>10.14</t>
  </si>
  <si>
    <t>Spuitpakken</t>
  </si>
  <si>
    <t>10.15</t>
  </si>
  <si>
    <t>Landbouwzeil 5x5</t>
  </si>
  <si>
    <t>10.16</t>
  </si>
  <si>
    <t>Waadpakken</t>
  </si>
  <si>
    <t>st/p/dag</t>
  </si>
  <si>
    <t>10.17</t>
  </si>
  <si>
    <t>Duikpakken / zwempakken</t>
  </si>
  <si>
    <t>10.18</t>
  </si>
  <si>
    <t>Laarzen</t>
  </si>
  <si>
    <t>paar</t>
  </si>
  <si>
    <t>10.19</t>
  </si>
  <si>
    <t>Reddingsvesten</t>
  </si>
  <si>
    <t>p/week</t>
  </si>
  <si>
    <t>10.20</t>
  </si>
  <si>
    <t>Verkeersbegeleiding - weg of scheepvaart (inhuur + 10%</t>
  </si>
  <si>
    <t>div.</t>
  </si>
  <si>
    <t>10.21</t>
  </si>
  <si>
    <t>Adembescherming, inhuur + 10 %</t>
  </si>
  <si>
    <t>10.22</t>
  </si>
  <si>
    <t>Vuilniszakken, 220 liter</t>
  </si>
  <si>
    <t>10.23</t>
  </si>
  <si>
    <t>Big-Bags</t>
  </si>
  <si>
    <t>10.24</t>
  </si>
  <si>
    <t>Drukvaatjes / Chemicalien Drukspuit (gardena)</t>
  </si>
  <si>
    <t>10.25</t>
  </si>
  <si>
    <t>Verlengsnoer / kabel-stroom haspel</t>
  </si>
  <si>
    <t>10.26</t>
  </si>
  <si>
    <t>Reddingsmaterialen (boei, kegel, etc)</t>
  </si>
  <si>
    <t>Opstartkosten grootschalig langdurige oliebestrijding</t>
  </si>
  <si>
    <t>11.1</t>
  </si>
  <si>
    <t xml:space="preserve">Gereedmaken terrein tbv steunpunt 4 uur </t>
  </si>
  <si>
    <t>In vijf jaar tijd zal dit mogelijk 1 keer voorkomen, dus uren in de omschrijving zijn verdeeld over de vijf jaar</t>
  </si>
  <si>
    <t>11.2</t>
  </si>
  <si>
    <t>11.3</t>
  </si>
  <si>
    <t>11.4</t>
  </si>
  <si>
    <t xml:space="preserve">Kraan tbv lossen op steunpunt 8 uur </t>
  </si>
  <si>
    <t>11.5</t>
  </si>
  <si>
    <t>Vervoer middelen richting steunpunt 8 uur</t>
  </si>
  <si>
    <t>11.6</t>
  </si>
  <si>
    <t>Directiekeet</t>
  </si>
  <si>
    <t>week</t>
  </si>
  <si>
    <t>11.7</t>
  </si>
  <si>
    <t>Pipowagen / schaftkeet</t>
  </si>
  <si>
    <t>11.8</t>
  </si>
  <si>
    <t>Ecotoilet / dixi</t>
  </si>
  <si>
    <t>11.9</t>
  </si>
  <si>
    <t>Veiligheidintroductiefilm (24 personen a 2 uur) 48 uur * € 60,00 p/p</t>
  </si>
  <si>
    <t>pp</t>
  </si>
  <si>
    <t>1 keer per contractperiode</t>
  </si>
  <si>
    <t>12.8</t>
  </si>
  <si>
    <t>Onvoorziene werkzaamheden met kleine leveringen.
Actuele kosten + 10%</t>
  </si>
  <si>
    <t>Euro</t>
  </si>
  <si>
    <t>12.9</t>
  </si>
  <si>
    <r>
      <rPr>
        <sz val="9"/>
        <color rgb="FFFF0000"/>
        <rFont val="Verdana"/>
        <family val="2"/>
      </rPr>
      <t>(Stelpost)</t>
    </r>
    <r>
      <rPr>
        <sz val="9"/>
        <rFont val="Verdana"/>
        <family val="2"/>
      </rPr>
      <t xml:space="preserve"> Acceptatiekosten van vrijgekomende materialen die een (eind)verwerkingsinrichting in rekening brengt.
Actuele kosten + 5%</t>
    </r>
  </si>
  <si>
    <t>jaar</t>
  </si>
  <si>
    <t>12.10</t>
  </si>
  <si>
    <r>
      <rPr>
        <sz val="9"/>
        <color rgb="FFFF0000"/>
        <rFont val="Verdana"/>
        <family val="2"/>
      </rPr>
      <t>(Stelpost)</t>
    </r>
    <r>
      <rPr>
        <sz val="9"/>
        <rFont val="Verdana"/>
        <family val="2"/>
      </rPr>
      <t xml:space="preserve"> Kosten onderhoudt materieel, materiaal, onderdelen vervangen enz</t>
    </r>
  </si>
  <si>
    <t>Gemiddeld per jaar</t>
  </si>
  <si>
    <t>Totaal</t>
  </si>
  <si>
    <t>Subtotaal excl. Staartkosten</t>
  </si>
  <si>
    <t>staartkosten: Winst, Risico, AK en Uitvoering (16%)</t>
  </si>
  <si>
    <t>Contract TOTAALBEDRAG excl. BTW</t>
  </si>
  <si>
    <t>BTW (21%)</t>
  </si>
  <si>
    <t>Totaalbedrag inclusief BTW</t>
  </si>
  <si>
    <t>kosten waakvlam</t>
  </si>
  <si>
    <t>Kosten inzet</t>
  </si>
  <si>
    <t>Geraamde kosten looptijd 5 jaarTotale kosten looptijd vijf jaar</t>
  </si>
  <si>
    <t>Geraamde kosten per jaar</t>
  </si>
  <si>
    <t>… waarvan 
waakvlam</t>
  </si>
  <si>
    <t>… waarvan 
inzet</t>
  </si>
  <si>
    <t>waakvlam</t>
  </si>
  <si>
    <t>10% inzet van waakvlam</t>
  </si>
  <si>
    <t>totaal per jaar (waakvlam +10 % inzet)</t>
  </si>
  <si>
    <t>Totaal per 5 jaar</t>
  </si>
  <si>
    <t>Totaal voor de 4 percelen aan te besteden in 2020</t>
  </si>
  <si>
    <t>Totaal + B2</t>
  </si>
  <si>
    <t>… + B7</t>
  </si>
  <si>
    <t>B1</t>
  </si>
  <si>
    <t>B3</t>
  </si>
  <si>
    <t>B4</t>
  </si>
  <si>
    <t>B6</t>
  </si>
  <si>
    <t>totaal BPKV</t>
  </si>
  <si>
    <t>B2- Rijkswateren Drechtsteden</t>
  </si>
  <si>
    <t>Ergens tussen 2 en 3 teams. Gebied is wel groot, maar goed bereikbaar via de weg. Dus kosten zijn afhankelijk van hoe 'slim' de opdrachtnemer er meeom gaat</t>
  </si>
  <si>
    <t xml:space="preserve">moet te doen zijn in 16u. </t>
  </si>
  <si>
    <t xml:space="preserve">B3- Noordzeekanaal – Amsterdam Rijnkanaal </t>
  </si>
  <si>
    <t xml:space="preserve">2 eerste lijns teams hier. </t>
  </si>
  <si>
    <t>Iets meer locaties/materieel, dus 20 u</t>
  </si>
  <si>
    <t>B4- IJsselmeergebied</t>
  </si>
  <si>
    <t>2 eerste lijns teams hier, mogelijk 3</t>
  </si>
  <si>
    <t>B5- Waddengebied</t>
  </si>
  <si>
    <t>1.0</t>
  </si>
  <si>
    <t>Kernteam ON</t>
  </si>
  <si>
    <t>Een volledige vergoeding per uur per onderdeel is niet reeel dus voor de raming nemen wij 2% van de uurprijs per onderdeel.</t>
  </si>
  <si>
    <r>
      <t>FACTOR (2%) op inzetuurtarief aantal eerste lijns &amp; 2e lijns teams</t>
    </r>
    <r>
      <rPr>
        <sz val="9"/>
        <color rgb="FFFF0000"/>
        <rFont val="Verdana"/>
        <family val="2"/>
      </rPr>
      <t xml:space="preserve"> + 1 beunschepen </t>
    </r>
    <r>
      <rPr>
        <sz val="9"/>
        <rFont val="Verdana"/>
        <family val="2"/>
      </rPr>
      <t xml:space="preserve"> als vergoeding per maand</t>
    </r>
  </si>
  <si>
    <t>Veel materieel, ook op veel verschillende locaties (waddeneilanden). Vanwege de extra reistijd een fiks hogere inzet voor onderhoud</t>
  </si>
  <si>
    <t>B6- Rijkswateren Overijssel Gelderland</t>
  </si>
  <si>
    <t>B7- Rijkswateren Brabant Limburg</t>
  </si>
  <si>
    <t xml:space="preserve">Vanwege grootte van het gebied (grote reisafstanden), minimaal 3 teams nodig, mogelijk 4. </t>
  </si>
  <si>
    <t xml:space="preserve">moet wel kunnen in 16u. </t>
  </si>
  <si>
    <r>
      <rPr>
        <b/>
        <sz val="28"/>
        <color rgb="FFFF0000"/>
        <rFont val="Calibri"/>
        <family val="2"/>
        <scheme val="minor"/>
      </rPr>
      <t>Basis Rekenblad</t>
    </r>
    <r>
      <rPr>
        <b/>
        <sz val="28"/>
        <rFont val="Calibri"/>
        <family val="2"/>
        <scheme val="minor"/>
      </rPr>
      <t xml:space="preserve"> </t>
    </r>
  </si>
  <si>
    <t>bron</t>
  </si>
  <si>
    <t>aantal</t>
  </si>
  <si>
    <t>eenheid</t>
  </si>
  <si>
    <t>kosten</t>
  </si>
  <si>
    <t>per</t>
  </si>
  <si>
    <t>Aantal 1e en mogelijk 2e lijn teams is per gebied verschillend,  dus dat moet je per gebied aanpassen.</t>
  </si>
  <si>
    <t>man in de binding</t>
  </si>
  <si>
    <t>/man/week</t>
  </si>
  <si>
    <t>Telefoon abonnement</t>
  </si>
  <si>
    <t>/maand</t>
  </si>
  <si>
    <t>Uit deze berekening komt</t>
  </si>
  <si>
    <t>Bekende waarde</t>
  </si>
  <si>
    <t>Delta</t>
  </si>
  <si>
    <t xml:space="preserve">
/week</t>
  </si>
  <si>
    <r>
      <t xml:space="preserve">** Dit bedrag moet naar rato zijn van complexiteit van het gebied (/aantal 1e lijns team). Dus kosten zijn een factor X van het inzettarief van 1e lijns &amp; 2e lijns materieel.
FACTOR zo gekozen dat het ongeveer matcht met wat we weten: Tebeso vraagt voor B2, 11,3K per maand voor paraatheid materieel. HEBO vraagt voor B1 10K voor Personeel &amp; Materieel. Waarheid in het midden?
</t>
    </r>
    <r>
      <rPr>
        <sz val="9"/>
        <color theme="8"/>
        <rFont val="Verdana"/>
        <family val="2"/>
      </rPr>
      <t>** Voor Waddenzee beunschepen ook onder stand-by</t>
    </r>
  </si>
  <si>
    <t>HEBO consignatie (mensen &amp;materiaal)</t>
  </si>
  <si>
    <t>Hier moeten wij kijken naar de hoeveelheid materieel in het gebied dat de aannemer gaat onderhouden. Inschatting maken hoeveel tijd hij daar aan kwijt is, dit is sterk afhangkelijk van de hoeveelheid materieel in het gebied.</t>
  </si>
  <si>
    <t>B2</t>
  </si>
  <si>
    <t>Tebeso stand-by materieel</t>
  </si>
  <si>
    <t>B5</t>
  </si>
  <si>
    <t>BDS Vaste vergoeding</t>
  </si>
  <si>
    <t>Oliekerende schermen hoger dan &gt; 1 meter, 50 meter lang</t>
  </si>
  <si>
    <t>Oliekerende schermen hoogte minder &lt; 1 meter, lengte 50 meter</t>
  </si>
  <si>
    <t>Afrollen en reinigen scherm- onderhoudt</t>
  </si>
  <si>
    <t>Behoren bij het reguliere onderhoudt</t>
  </si>
  <si>
    <t>9.36</t>
  </si>
  <si>
    <t>9.37</t>
  </si>
  <si>
    <t>incl toeslag</t>
  </si>
  <si>
    <t>excl staart</t>
  </si>
  <si>
    <t>incl staart</t>
  </si>
  <si>
    <t>COA Bouw</t>
  </si>
  <si>
    <t>Odido zakelijk abonnement met telefoon</t>
  </si>
  <si>
    <t>Monteur besturingstechniek</t>
  </si>
  <si>
    <t>CAO Waterbouw schaal 7</t>
  </si>
  <si>
    <t>Cleo</t>
  </si>
  <si>
    <t>CAO Waterbouw schaal 9</t>
  </si>
  <si>
    <t>Peilboot -&gt; toeslag * 5 ivm omzetting naar snelle boot en zeewaardig</t>
  </si>
  <si>
    <t>inschatting, geen cijfers</t>
  </si>
  <si>
    <t>bedrijfswagen bus</t>
  </si>
  <si>
    <t>aanhanger</t>
  </si>
  <si>
    <t>x 3 i.v.m. beperkte inzet en volledig ingerichte bedrijfswagen</t>
  </si>
  <si>
    <t>Shovel</t>
  </si>
  <si>
    <t>Containerwagen (voor cleo truck met autolaadkraan)</t>
  </si>
  <si>
    <t>Gelijkwaardig aan zoab cleaner</t>
  </si>
  <si>
    <t>Spuitzuig 119,52</t>
  </si>
  <si>
    <t>x 2 ivm uitgangspunten</t>
  </si>
  <si>
    <t>inschatting</t>
  </si>
  <si>
    <t>sleepboot 500kw</t>
  </si>
  <si>
    <t>Vaartuig (voor ondersteunende werkzaamheden)</t>
  </si>
  <si>
    <t>Motorwerkschip met hijscapaciteit</t>
  </si>
  <si>
    <t>cleo</t>
  </si>
  <si>
    <t>Varende vloeistofopslagcapaciteit (inclusief reinigen)</t>
  </si>
  <si>
    <t>Volledig bemand vaartuig, beunschip</t>
  </si>
  <si>
    <t>heftruck voor het laden/lossen van materialen voor inzet en/of onderhoud, hefvermogen &gt; 1500 kilo</t>
  </si>
  <si>
    <t>aanhanger benodigd voor vervoer van materialen tbv inzet en/of op aangeven van opdrachtgever, incl beschikbaarheid en onderhoud boven 750 kg</t>
  </si>
  <si>
    <t>aanhanger benodigd voor vervoer van materialen tbv inzet en/of op aangeven van opdrachtgever, incl beschikbaarheid en onderhoud tot 750 kg</t>
  </si>
  <si>
    <t>Werknemer</t>
  </si>
  <si>
    <t>Duikteam</t>
  </si>
  <si>
    <t>Incident coördinator</t>
  </si>
  <si>
    <t>Verblijfsunit</t>
  </si>
  <si>
    <t>Olie-absorptiebooms</t>
  </si>
  <si>
    <t>Olie-absorptiedoek</t>
  </si>
  <si>
    <t>PE-vat voor afvoeren diverse materialen</t>
  </si>
  <si>
    <t>Reinigingsmiddel betreft een reinigingsmiddel</t>
  </si>
  <si>
    <t>Astbestzakken voor het verpakken</t>
  </si>
  <si>
    <t>Reinigen oliescherm</t>
  </si>
  <si>
    <t>Handelingskosten</t>
  </si>
  <si>
    <t>dixi</t>
  </si>
  <si>
    <r>
      <rPr>
        <b/>
        <sz val="28"/>
        <color rgb="FFFF0000"/>
        <rFont val="Calibri"/>
        <family val="2"/>
        <scheme val="minor"/>
      </rPr>
      <t>Basis Rekenblad</t>
    </r>
    <r>
      <rPr>
        <b/>
        <sz val="28"/>
        <rFont val="Calibri"/>
        <family val="2"/>
        <scheme val="minor"/>
      </rPr>
      <t xml:space="preserve"> </t>
    </r>
    <r>
      <rPr>
        <b/>
        <sz val="8"/>
        <rFont val="Calibri"/>
        <family val="2"/>
        <scheme val="minor"/>
      </rPr>
      <t>( gebruikt Twentekanalen Ijsseldelta)</t>
    </r>
  </si>
  <si>
    <t>31156754 (B1) Bijlage I - Inschrijfstaat:  staat van eenheidsprijzen en vaste vergoeding</t>
  </si>
  <si>
    <t>Hoeveel heid inzet (fictief)</t>
  </si>
  <si>
    <t>bedrag per eenheid
(excl. btw)</t>
  </si>
  <si>
    <t>bedrag totaal
(excl. btw)</t>
  </si>
  <si>
    <t>1</t>
  </si>
  <si>
    <r>
      <rPr>
        <b/>
        <sz val="10"/>
        <rFont val="Verdana"/>
        <family val="2"/>
      </rPr>
      <t>Vaste vergoeding</t>
    </r>
    <r>
      <rPr>
        <sz val="10"/>
        <rFont val="Verdana"/>
        <family val="2"/>
      </rPr>
      <t xml:space="preserve">
</t>
    </r>
    <r>
      <rPr>
        <i/>
        <sz val="10"/>
        <rFont val="Verdana"/>
        <family val="2"/>
      </rPr>
      <t>Betreft een vergoeding voor alle kosten: Consignatie medewerkers/in standhouden telefoondesk/stand-by kosten materieel, 1e lijn en 2e lijn etc.</t>
    </r>
    <r>
      <rPr>
        <sz val="10"/>
        <rFont val="Verdana"/>
        <family val="2"/>
      </rPr>
      <t xml:space="preserve"> </t>
    </r>
  </si>
  <si>
    <t>mnd</t>
  </si>
  <si>
    <r>
      <rPr>
        <b/>
        <sz val="10"/>
        <rFont val="Verdana"/>
        <family val="2"/>
      </rPr>
      <t xml:space="preserve">Operationeel onderhoud RWS-materiaal
</t>
    </r>
    <r>
      <rPr>
        <i/>
        <sz val="10"/>
        <rFont val="Verdana"/>
        <family val="2"/>
      </rPr>
      <t>Maandelijks onderhoud aan</t>
    </r>
    <r>
      <rPr>
        <b/>
        <sz val="10"/>
        <rFont val="Verdana"/>
        <family val="2"/>
      </rPr>
      <t xml:space="preserve"> </t>
    </r>
    <r>
      <rPr>
        <i/>
        <sz val="10"/>
        <rFont val="Verdana"/>
        <family val="2"/>
      </rPr>
      <t>aanhangers, schermen en powerpacks etc. incl. uitvoeren jaarlijkse keuringen exclusief levering onvoorziene materialen</t>
    </r>
  </si>
  <si>
    <t>Interventie-team 1e lijns</t>
  </si>
  <si>
    <t>Inzet van materieel inclusief aan- en afvoerkosten</t>
  </si>
  <si>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generator, geschikt voor en inclusief verlichtingsarmaturen, elektrisch gereedschap (slijptol e.d), compressor van voldoende capaciteit en pneumatische gereedschappen. Inclusief bestuurder en bijrijder.</t>
    </r>
  </si>
  <si>
    <r>
      <t xml:space="preserve">Shovel
</t>
    </r>
    <r>
      <rPr>
        <i/>
        <sz val="10"/>
        <rFont val="Verdana"/>
        <family val="2"/>
      </rPr>
      <t>incl. bediening, incl. mogelijke hulpmiddelen, minimale laadcapaciteit van 1 m3</t>
    </r>
  </si>
  <si>
    <r>
      <t xml:space="preserve">Hydraulische graafmachine
</t>
    </r>
    <r>
      <rPr>
        <i/>
        <sz val="10"/>
        <rFont val="Verdana"/>
        <family val="2"/>
      </rPr>
      <t>minimale laadcapaciteit van 1,5 m3, inclusief bediening</t>
    </r>
  </si>
  <si>
    <r>
      <t xml:space="preserve">Vrachtauto 6x6 (autolaadkraan)
</t>
    </r>
    <r>
      <rPr>
        <i/>
        <sz val="10"/>
        <rFont val="Verdana"/>
        <family val="2"/>
      </rPr>
      <t>driezijdig kiepbaar met hydraulische laad- en losinrichting met een minimale laadcapaciteit van 10 ton, inclusief bediening</t>
    </r>
  </si>
  <si>
    <r>
      <t xml:space="preserve">Multilift-containerwagen
</t>
    </r>
    <r>
      <rPr>
        <i/>
        <sz val="10"/>
        <rFont val="Verdana"/>
        <family val="2"/>
      </rPr>
      <t xml:space="preserve">voor het vervoeren en verplaatsen van containers van diverse afmetingen containers met een minimale inhoud van 6m3 op aangeven van de Officier van Dienst, inclusief bediening. </t>
    </r>
  </si>
  <si>
    <r>
      <t>Vacuümwagen ADR/VLG</t>
    </r>
    <r>
      <rPr>
        <sz val="10"/>
        <rFont val="Verdana"/>
        <family val="2"/>
      </rPr>
      <t xml:space="preserve">:
</t>
    </r>
    <r>
      <rPr>
        <i/>
        <sz val="10"/>
        <rFont val="Verdana"/>
        <family val="2"/>
      </rPr>
      <t>capaciteit min. 10 m3, incl. minimaal 50 m slang, 3 inch aansluitingen en chemicaliën bestendig. Inclusief bediening.</t>
    </r>
  </si>
  <si>
    <r>
      <t xml:space="preserve">Hogedrukwagen
</t>
    </r>
    <r>
      <rPr>
        <i/>
        <sz val="10"/>
        <rFont val="Verdana"/>
        <family val="2"/>
      </rPr>
      <t>een werkbus met aanhanger of zelfrijdend, met warm water tot 200 ºC, minimale werkdruk van 150 bar en inhoud 2000 liter water, vorstbestendig met minimaal 100 m slang, inclusief chauffeur/bediening</t>
    </r>
  </si>
  <si>
    <r>
      <t xml:space="preserve">Safety-unit </t>
    </r>
    <r>
      <rPr>
        <sz val="10"/>
        <rFont val="Verdana"/>
        <family val="2"/>
      </rPr>
      <t>(werkbus met aanhanger of zelfrijdend)</t>
    </r>
    <r>
      <rPr>
        <i/>
        <sz val="10"/>
        <rFont val="Verdana"/>
        <family val="2"/>
      </rPr>
      <t xml:space="preserve">
ten behoeve van ademluchtwerkzaamheden op locatie voorzien van ademluchttoestellen en ademlucht en vulmogelijkheid voor minimaal zes toestellen.</t>
    </r>
  </si>
  <si>
    <r>
      <t>Vaartuig</t>
    </r>
    <r>
      <rPr>
        <sz val="10"/>
        <rFont val="Verdana"/>
        <family val="2"/>
      </rPr>
      <t xml:space="preserve"> (voor ondersteunende werkzaamheden)
</t>
    </r>
    <r>
      <rPr>
        <i/>
        <sz val="10"/>
        <rFont val="Verdana"/>
        <family val="2"/>
      </rPr>
      <t>voorzien van alle benodigde apparatuur voor het assisteren in de verkeersleiding, het uitleggen en/of slepen van olieschermen, het slepen van pontons. Een medewerker van Rijkswaterstaat dient op te kunnen stappen voor het geven van (verkeers-) aanwijzingen. Inclusief bediening 2 personen.</t>
    </r>
  </si>
  <si>
    <r>
      <t xml:space="preserve">Motorwerkschip met hijscapaciteit
</t>
    </r>
    <r>
      <rPr>
        <i/>
        <sz val="10"/>
        <rFont val="Verdana"/>
        <family val="2"/>
      </rPr>
      <t>hijscapaciteit ≥ 10.000 kg, incl. bemanning, motorvermogen 100 kW</t>
    </r>
  </si>
  <si>
    <r>
      <t xml:space="preserve">Varende vloeistofopslagcapaciteit
</t>
    </r>
    <r>
      <rPr>
        <i/>
        <sz val="10"/>
        <rFont val="Verdana"/>
        <family val="2"/>
      </rPr>
      <t>minimale opslag 400 M3</t>
    </r>
  </si>
  <si>
    <r>
      <t xml:space="preserve">Volledig bemand vaartuig, beunschip
</t>
    </r>
    <r>
      <rPr>
        <i/>
        <sz val="10"/>
        <rFont val="Verdana"/>
        <family val="2"/>
      </rPr>
      <t>minimum opslagcapaciteit 400 m3</t>
    </r>
  </si>
  <si>
    <r>
      <rPr>
        <b/>
        <sz val="10"/>
        <rFont val="Verdana"/>
        <family val="2"/>
      </rPr>
      <t>heftruck</t>
    </r>
    <r>
      <rPr>
        <sz val="10"/>
        <rFont val="Verdana"/>
        <family val="2"/>
      </rPr>
      <t xml:space="preserve"> </t>
    </r>
    <r>
      <rPr>
        <i/>
        <sz val="10"/>
        <rFont val="Verdana"/>
        <family val="2"/>
      </rPr>
      <t>voor het laden/lossen van materialen voor inzet en/of onderhoud, hefvermogen &gt; 1500 kilo</t>
    </r>
  </si>
  <si>
    <r>
      <rPr>
        <b/>
        <sz val="10"/>
        <rFont val="Verdana"/>
        <family val="2"/>
      </rPr>
      <t>aanhanger</t>
    </r>
    <r>
      <rPr>
        <i/>
        <sz val="10"/>
        <rFont val="Verdana"/>
        <family val="2"/>
      </rPr>
      <t xml:space="preserve"> benodigd voor vervoer van materialen tbv inzet en/of op aangeven van opdrachtgever
laadvermogen 750 - 3500 kg</t>
    </r>
  </si>
  <si>
    <r>
      <rPr>
        <b/>
        <sz val="10"/>
        <rFont val="Verdana"/>
        <family val="2"/>
      </rPr>
      <t>aanhanger</t>
    </r>
    <r>
      <rPr>
        <i/>
        <sz val="10"/>
        <rFont val="Verdana"/>
        <family val="2"/>
      </rPr>
      <t xml:space="preserve"> benodigd voor vervoer van materialen tbv inzet en/of op aangeven van opdrachtgever
laadvermogen tot 750 kg</t>
    </r>
  </si>
  <si>
    <t>Overige / Menskrachten inclusief kosten van transport, gereedschappen en klein materiaal</t>
  </si>
  <si>
    <r>
      <t xml:space="preserve">Werknemer
</t>
    </r>
    <r>
      <rPr>
        <i/>
        <sz val="10"/>
        <rFont val="Verdana"/>
        <family val="2"/>
      </rPr>
      <t>Machinisten, Matrozen, schippers, bijrijders, hulpkrachten</t>
    </r>
  </si>
  <si>
    <r>
      <t xml:space="preserve">Duikteam
</t>
    </r>
    <r>
      <rPr>
        <i/>
        <sz val="10"/>
        <rFont val="Verdana"/>
        <family val="2"/>
      </rPr>
      <t>bestaande uit minimaal 1 duiker, 1 veiligheidsduiker en 1 duikleider) diepte tot max. 12 meter.
Maximale inzet per keer: 4 uur</t>
    </r>
  </si>
  <si>
    <t>Keer</t>
  </si>
  <si>
    <r>
      <rPr>
        <b/>
        <sz val="10"/>
        <rFont val="Verdana"/>
        <family val="2"/>
      </rPr>
      <t>Verblijfsunit</t>
    </r>
    <r>
      <rPr>
        <i/>
        <sz val="10"/>
        <rFont val="Verdana"/>
        <family val="2"/>
      </rPr>
      <t xml:space="preserve">
een verwarmde coördinatieruimte ten behoeve van langdurende incidenten of schoonmaakacties.
Een ruimte met minimaal 1 raam, vloeroppervlak ca. 8 m2, voorzien van een overlegtafel met 4 stoelen, verlichting en een elektra voorziening 230 Volt. Inclusief eventuele benodigde stelpoten, stempels of ander klein materiaal dat voor plaatsing benodigd is.
De unit dient in overleg met de Officier van Dienst op iedere gewenste locatie te worden geplaatst.</t>
    </r>
  </si>
  <si>
    <r>
      <t xml:space="preserve">Skimmer
</t>
    </r>
    <r>
      <rPr>
        <i/>
        <sz val="10"/>
        <rFont val="Verdana"/>
        <family val="2"/>
      </rPr>
      <t>installatie waarmee olie van het oppervlaktewater kan worden gescheiden en afgezogen met een minimale capaciteit van capaciteit van 20 m3/h. Hiermee</t>
    </r>
    <r>
      <rPr>
        <b/>
        <sz val="10"/>
        <rFont val="Verdana"/>
        <family val="2"/>
      </rPr>
      <t xml:space="preserve"> </t>
    </r>
    <r>
      <rPr>
        <i/>
        <sz val="10"/>
        <rFont val="Verdana"/>
        <family val="2"/>
      </rPr>
      <t xml:space="preserve">zijn begrepen alle daarvoor benodigde hulpmiddelen evenals een tank of een andere vorm van opslag, waarin de olie of de skimmer wordt opgeslagen. </t>
    </r>
  </si>
  <si>
    <t>Leveren materialen</t>
  </si>
  <si>
    <r>
      <t xml:space="preserve">Olie-absorptiebooms
</t>
    </r>
    <r>
      <rPr>
        <i/>
        <sz val="10"/>
        <rFont val="Verdana"/>
        <family val="2"/>
      </rPr>
      <t>Lengte 3 meter, diameter 15 cm met een minimaal absorberend vermogen van ca. 50 liter per meter. Per zak à 4 stuks</t>
    </r>
  </si>
  <si>
    <t>zak</t>
  </si>
  <si>
    <r>
      <t xml:space="preserve">Olie-absorptiedoek
</t>
    </r>
    <r>
      <rPr>
        <i/>
        <sz val="10"/>
        <rFont val="Verdana"/>
        <family val="2"/>
      </rPr>
      <t>Maat doek ca. 40 x 50 cm voor opname vloeistoffen zoals olie, diesel, benzine, etc.
Opname 1 liter opname per doek. Per pak van 200 stuks</t>
    </r>
  </si>
  <si>
    <r>
      <t xml:space="preserve">Olie-absorptiedoek
</t>
    </r>
    <r>
      <rPr>
        <i/>
        <sz val="10"/>
        <rFont val="Verdana"/>
        <family val="2"/>
      </rPr>
      <t>Maat doek ca. 96 cm breed voor opname vloeistoffen zoals olie, diesel, benzine, etc.
op rol van ca. 44 m</t>
    </r>
  </si>
  <si>
    <t>rol</t>
  </si>
  <si>
    <r>
      <rPr>
        <b/>
        <sz val="10"/>
        <rFont val="Verdana"/>
        <family val="2"/>
      </rPr>
      <t>PE-vat</t>
    </r>
    <r>
      <rPr>
        <sz val="10"/>
        <rFont val="Verdana"/>
        <family val="2"/>
      </rPr>
      <t xml:space="preserve"> </t>
    </r>
    <r>
      <rPr>
        <i/>
        <sz val="10"/>
        <rFont val="Verdana"/>
        <family val="2"/>
      </rPr>
      <t>voor afvoeren diverse materialen, eenmalig gebruik, inhoud 60 liter, met deksel</t>
    </r>
  </si>
  <si>
    <r>
      <rPr>
        <b/>
        <sz val="10"/>
        <rFont val="Verdana"/>
        <family val="2"/>
      </rPr>
      <t>Bergingsverpakking</t>
    </r>
    <r>
      <rPr>
        <sz val="10"/>
        <rFont val="Verdana"/>
        <family val="2"/>
      </rPr>
      <t xml:space="preserve"> </t>
    </r>
    <r>
      <rPr>
        <i/>
        <sz val="10"/>
        <rFont val="Verdana"/>
        <family val="2"/>
      </rPr>
      <t>Poly overpack 95 met T-keurmerk</t>
    </r>
    <r>
      <rPr>
        <sz val="10"/>
        <rFont val="Verdana"/>
        <family val="2"/>
      </rPr>
      <t xml:space="preserve"> </t>
    </r>
  </si>
  <si>
    <r>
      <rPr>
        <b/>
        <sz val="10"/>
        <rFont val="Verdana"/>
        <family val="2"/>
      </rPr>
      <t>Reinigingsmiddel</t>
    </r>
    <r>
      <rPr>
        <sz val="10"/>
        <rFont val="Verdana"/>
        <family val="2"/>
      </rPr>
      <t xml:space="preserve"> </t>
    </r>
    <r>
      <rPr>
        <i/>
        <sz val="10"/>
        <rFont val="Verdana"/>
        <family val="2"/>
      </rPr>
      <t>betreft een reinigingsmiddel volgens de contracteisen</t>
    </r>
  </si>
  <si>
    <r>
      <t>Astbestzakken</t>
    </r>
    <r>
      <rPr>
        <i/>
        <sz val="10"/>
        <rFont val="Verdana"/>
        <family val="2"/>
      </rPr>
      <t xml:space="preserve"> voor het verpakken en vervoeren van asbesthoudend materiaal</t>
    </r>
  </si>
  <si>
    <t>Reinigingswerkzaamheden en werkzaamheden tbv afvoer/verwerking</t>
  </si>
  <si>
    <r>
      <rPr>
        <b/>
        <sz val="10"/>
        <rFont val="Verdana"/>
        <family val="2"/>
      </rPr>
      <t xml:space="preserve">Reinigen oliescherm
</t>
    </r>
    <r>
      <rPr>
        <i/>
        <sz val="10"/>
        <rFont val="Verdana"/>
        <family val="2"/>
      </rPr>
      <t>Reinigen scherm van opdrachtgever inclusief transport (halen en brengen (terugzetten op stallingslocatie)) - lightboom per 25m of rol</t>
    </r>
  </si>
  <si>
    <r>
      <rPr>
        <b/>
        <sz val="10"/>
        <rFont val="Verdana"/>
        <family val="2"/>
      </rPr>
      <t xml:space="preserve">Reinigen oliescherm
</t>
    </r>
    <r>
      <rPr>
        <i/>
        <sz val="10"/>
        <rFont val="Verdana"/>
        <family val="2"/>
      </rPr>
      <t>Reinigen scherm van opdrachtgever inclusief transport (halen en brengen (terugzetten op stallingslocatie)) - heavyboom per 25m of rol</t>
    </r>
  </si>
  <si>
    <r>
      <t xml:space="preserve">Reiniging vacuumauto </t>
    </r>
    <r>
      <rPr>
        <i/>
        <sz val="10"/>
        <rFont val="Verdana"/>
        <family val="2"/>
      </rPr>
      <t>na afloop van een inzet eenmalig reinigen</t>
    </r>
  </si>
  <si>
    <r>
      <rPr>
        <b/>
        <sz val="10"/>
        <rFont val="Verdana"/>
        <family val="2"/>
      </rPr>
      <t xml:space="preserve">Handelingskosten
</t>
    </r>
    <r>
      <rPr>
        <i/>
        <sz val="10"/>
        <rFont val="Verdana"/>
        <family val="2"/>
      </rPr>
      <t>Betreft het wegen en/of verpakken (inclusief materiaal)van ingenomen absorptiemateriaal, inclusief administratieve afhandeling</t>
    </r>
  </si>
  <si>
    <t>per 100 Kg</t>
  </si>
  <si>
    <t>Onvoorzien</t>
  </si>
  <si>
    <t>Stelpost</t>
  </si>
  <si>
    <t>€</t>
  </si>
  <si>
    <t>TOTAAL inschrijvingsprijs excl. BTW</t>
  </si>
  <si>
    <t>Toelichting:</t>
  </si>
  <si>
    <r>
      <t>De genoemde producten/diensten zoals beschreven bij positie 1 tot en met 36 maken deel uit van de inschrijfsom,</t>
    </r>
    <r>
      <rPr>
        <sz val="11"/>
        <color theme="4"/>
        <rFont val="Verdana"/>
        <family val="2"/>
      </rPr>
      <t xml:space="preserve"> </t>
    </r>
    <r>
      <rPr>
        <sz val="11"/>
        <rFont val="Verdana"/>
        <family val="2"/>
      </rPr>
      <t xml:space="preserve">waarbij voor positie 3 t/m 36 wordt gerekend met fictieve inzet-aantallen. Aan de fictieve getallen kunnen geen rechten worden ontleend.  </t>
    </r>
    <r>
      <rPr>
        <sz val="11"/>
        <color theme="1"/>
        <rFont val="Verdana"/>
        <family val="2"/>
      </rPr>
      <t xml:space="preserve">
Hieronder volgt de mogelijkheid om aanvullende producten en of diensten </t>
    </r>
    <r>
      <rPr>
        <sz val="11"/>
        <rFont val="Verdana"/>
        <family val="2"/>
      </rPr>
      <t>te benoemen ten behoeve van de dienstverlening, welke na goedkeuring (conform artikel 17.07 in de Overeenkomst) onderdeel zal gaan uitmaken van de Overeenkomst. De hieronder beschreven producten en diensten tellen niet mee bij de inschrijvingsprijs.</t>
    </r>
  </si>
  <si>
    <t>Aanvullende eenheidsprijzen specifiek materiaal/materieel van Opdrachtnemer (telt niet mee bij de inschrijvingsprijs)</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</si>
  <si>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(light-boom) per meter, per dag</t>
    </r>
  </si>
  <si>
    <t>meter</t>
  </si>
  <si>
    <t>N.v.t.</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</si>
  <si>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(heavy-boom) per meter, per dag</t>
    </r>
  </si>
  <si>
    <r>
      <t xml:space="preserve">Zelvarend kraanponton 
</t>
    </r>
    <r>
      <rPr>
        <sz val="10"/>
        <rFont val="Verdana"/>
        <family val="2"/>
      </rPr>
      <t>hefvermogen ≥ 100 ton, incl. bemanning</t>
    </r>
  </si>
  <si>
    <t>Uur</t>
  </si>
  <si>
    <r>
      <rPr>
        <b/>
        <sz val="12"/>
        <color rgb="FFFF0000"/>
        <rFont val="Verdana"/>
        <family val="2"/>
      </rPr>
      <t>31166161 (B2)</t>
    </r>
    <r>
      <rPr>
        <b/>
        <sz val="12"/>
        <rFont val="Verdana"/>
        <family val="2"/>
      </rPr>
      <t xml:space="preserve"> Bijlage I - Inschrijfstaat:  staat van eenheidsprijzen en vaste vergoeding</t>
    </r>
  </si>
  <si>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generator, geschikt voor en inclusief verlichtingsarmaturen, elektrisch gereedschap (slijptol e.d), compressor van voldoende capaciteit en pneumatische gereedschappen. Inclusief </t>
    </r>
    <r>
      <rPr>
        <i/>
        <sz val="10"/>
        <color rgb="FFFF0000"/>
        <rFont val="Verdana"/>
        <family val="2"/>
      </rPr>
      <t>chauffeur</t>
    </r>
  </si>
  <si>
    <r>
      <t xml:space="preserve">Shovel
</t>
    </r>
    <r>
      <rPr>
        <i/>
        <sz val="10"/>
        <rFont val="Verdana"/>
        <family val="2"/>
      </rPr>
      <t xml:space="preserve">incl. </t>
    </r>
    <r>
      <rPr>
        <i/>
        <sz val="10"/>
        <color rgb="FFFF0000"/>
        <rFont val="Verdana"/>
        <family val="2"/>
      </rPr>
      <t>chauffeur</t>
    </r>
    <r>
      <rPr>
        <i/>
        <sz val="10"/>
        <rFont val="Verdana"/>
        <family val="2"/>
      </rPr>
      <t>, incl. mogelijke hulpmiddelen, minimale laadcapaciteit van 1 m3</t>
    </r>
  </si>
  <si>
    <r>
      <t xml:space="preserve">Hydraulische graafmachine
</t>
    </r>
    <r>
      <rPr>
        <i/>
        <sz val="10"/>
        <rFont val="Verdana"/>
        <family val="2"/>
      </rPr>
      <t xml:space="preserve">minimale laadcapaciteit van 1,5 m3, inclusief </t>
    </r>
    <r>
      <rPr>
        <i/>
        <sz val="10"/>
        <color rgb="FFFF0000"/>
        <rFont val="Verdana"/>
        <family val="2"/>
      </rPr>
      <t>chauffeur</t>
    </r>
  </si>
  <si>
    <r>
      <t xml:space="preserve">Vrachtauto 6x6 (autolaadkraan)
</t>
    </r>
    <r>
      <rPr>
        <i/>
        <sz val="10"/>
        <rFont val="Verdana"/>
        <family val="2"/>
      </rPr>
      <t xml:space="preserve">driezijdig kiepbaar met hydraulische laad- en losinrichting met een minimale laadcapaciteit van 10 ton, inclusief </t>
    </r>
    <r>
      <rPr>
        <i/>
        <sz val="10"/>
        <color rgb="FFFF0000"/>
        <rFont val="Verdana"/>
        <family val="2"/>
      </rPr>
      <t>chauffeur</t>
    </r>
  </si>
  <si>
    <r>
      <t xml:space="preserve">Multilift-containerwagen
</t>
    </r>
    <r>
      <rPr>
        <i/>
        <sz val="10"/>
        <rFont val="Verdana"/>
        <family val="2"/>
      </rPr>
      <t xml:space="preserve">voor het vervoeren en verplaatsen van containers van diverse afmetingen containers met een minimale inhoud van 6m3 op aangeven van de Officier van Dienst, inclusief </t>
    </r>
    <r>
      <rPr>
        <i/>
        <sz val="10"/>
        <color rgb="FFFF0000"/>
        <rFont val="Verdana"/>
        <family val="2"/>
      </rPr>
      <t>chauffeur</t>
    </r>
    <r>
      <rPr>
        <i/>
        <sz val="10"/>
        <rFont val="Verdana"/>
        <family val="2"/>
      </rPr>
      <t xml:space="preserve"> </t>
    </r>
  </si>
  <si>
    <r>
      <t>Vacuümwagen ADR/VLG</t>
    </r>
    <r>
      <rPr>
        <sz val="10"/>
        <rFont val="Verdana"/>
        <family val="2"/>
      </rPr>
      <t xml:space="preserve">:
</t>
    </r>
    <r>
      <rPr>
        <i/>
        <sz val="10"/>
        <rFont val="Verdana"/>
        <family val="2"/>
      </rPr>
      <t xml:space="preserve">capaciteit min. 10 m3, incl. minimaal 50 m slang, 3 inch aansluitingen en chemicaliën bestendig. Inclusief </t>
    </r>
    <r>
      <rPr>
        <i/>
        <sz val="10"/>
        <color rgb="FFFF0000"/>
        <rFont val="Verdana"/>
        <family val="2"/>
      </rPr>
      <t>chauffeur</t>
    </r>
  </si>
  <si>
    <r>
      <t xml:space="preserve">Hogedrukwagen
</t>
    </r>
    <r>
      <rPr>
        <i/>
        <sz val="10"/>
        <rFont val="Verdana"/>
        <family val="2"/>
      </rPr>
      <t>een werkbus met aanhanger of zelfrijdend, met warm water tot 200 ºC, minimale werkdruk van 150 bar en inhoud 2000 liter water, vorstbestendig met minimaal 100 m slang, inclusief chauffeur</t>
    </r>
  </si>
  <si>
    <r>
      <rPr>
        <b/>
        <sz val="10"/>
        <rFont val="Verdana"/>
        <family val="2"/>
      </rPr>
      <t>heftruck</t>
    </r>
    <r>
      <rPr>
        <sz val="10"/>
        <rFont val="Verdana"/>
        <family val="2"/>
      </rPr>
      <t xml:space="preserve"> </t>
    </r>
    <r>
      <rPr>
        <i/>
        <sz val="10"/>
        <rFont val="Verdana"/>
        <family val="2"/>
      </rPr>
      <t>voor het laden/lossen van materialen voor inzet en/of onderhoud, hefvermogen &gt; 1500 kilo</t>
    </r>
    <r>
      <rPr>
        <i/>
        <sz val="10"/>
        <color rgb="FFFF0000"/>
        <rFont val="Verdana"/>
        <family val="2"/>
      </rPr>
      <t>. Inclusief chauffeur</t>
    </r>
  </si>
  <si>
    <r>
      <rPr>
        <b/>
        <sz val="10"/>
        <color rgb="FFFF0000"/>
        <rFont val="Verdana"/>
        <family val="2"/>
      </rPr>
      <t xml:space="preserve">Analysekosten afvalstof 
</t>
    </r>
    <r>
      <rPr>
        <i/>
        <sz val="10"/>
        <color rgb="FFFF0000"/>
        <rFont val="Verdana"/>
        <family val="2"/>
      </rPr>
      <t>Betreft het analyseren van een afvalstof (verplichte analyse zoals, chemische, biologische of spoedanalyse)</t>
    </r>
  </si>
  <si>
    <t>per monster</t>
  </si>
  <si>
    <r>
      <rPr>
        <b/>
        <sz val="10"/>
        <color rgb="FFFF0000"/>
        <rFont val="Verdana"/>
        <family val="2"/>
      </rPr>
      <t xml:space="preserve">Verwerkingskosten olievervuild vast afval
</t>
    </r>
    <r>
      <rPr>
        <i/>
        <sz val="10"/>
        <color rgb="FFFF0000"/>
        <rFont val="Verdana"/>
        <family val="2"/>
      </rPr>
      <t>Betreft het verwerken van ingenomen olievervuild absorptiemateriaal (apsorptiebooms en absorptiedoeken), exclusief transport</t>
    </r>
  </si>
  <si>
    <t>per Kg</t>
  </si>
  <si>
    <r>
      <rPr>
        <b/>
        <sz val="10"/>
        <color rgb="FFFF0000"/>
        <rFont val="Verdana"/>
        <family val="2"/>
      </rPr>
      <t xml:space="preserve">Verwerkingskosten afvalwater 
</t>
    </r>
    <r>
      <rPr>
        <i/>
        <sz val="10"/>
        <color rgb="FFFF0000"/>
        <rFont val="Verdana"/>
        <family val="2"/>
      </rPr>
      <t>Betreft het verwerken van ingenomen afvalwater (olie/water mengsel), exclusief transport</t>
    </r>
  </si>
  <si>
    <t>per m3</t>
  </si>
  <si>
    <r>
      <t xml:space="preserve">De genoemde producten/diensten zoals beschreven bij positie 1 tot en met </t>
    </r>
    <r>
      <rPr>
        <sz val="11"/>
        <color rgb="FFFF0000"/>
        <rFont val="Verdana"/>
        <family val="2"/>
      </rPr>
      <t>38</t>
    </r>
    <r>
      <rPr>
        <sz val="11"/>
        <color theme="1"/>
        <rFont val="Verdana"/>
        <family val="2"/>
      </rPr>
      <t xml:space="preserve"> maken deel uit van de inschrijfsom,</t>
    </r>
    <r>
      <rPr>
        <sz val="11"/>
        <color theme="4"/>
        <rFont val="Verdana"/>
        <family val="2"/>
      </rPr>
      <t xml:space="preserve"> </t>
    </r>
    <r>
      <rPr>
        <sz val="11"/>
        <rFont val="Verdana"/>
        <family val="2"/>
      </rPr>
      <t xml:space="preserve">waarbij voor positie 3 t/m </t>
    </r>
    <r>
      <rPr>
        <sz val="11"/>
        <color rgb="FFFF0000"/>
        <rFont val="Verdana"/>
        <family val="2"/>
      </rPr>
      <t>38</t>
    </r>
    <r>
      <rPr>
        <sz val="11"/>
        <rFont val="Verdana"/>
        <family val="2"/>
      </rPr>
      <t xml:space="preserve"> wordt gerekend met fictieve inzet-aantallen. Aan de fictieve getallen kunnen geen rechten worden ontleend.  </t>
    </r>
    <r>
      <rPr>
        <sz val="11"/>
        <color theme="1"/>
        <rFont val="Verdana"/>
        <family val="2"/>
      </rPr>
      <t xml:space="preserve">
Hieronder volgt de mogelijkheid om aanvullende producten en of diensten </t>
    </r>
    <r>
      <rPr>
        <sz val="11"/>
        <rFont val="Verdana"/>
        <family val="2"/>
      </rPr>
      <t xml:space="preserve">te benoemen ten behoeve van de dienstverlening, welke na goedkeuring (conform artikel </t>
    </r>
    <r>
      <rPr>
        <sz val="11"/>
        <color rgb="FFFF0000"/>
        <rFont val="Verdana"/>
        <family val="2"/>
      </rPr>
      <t>09.03</t>
    </r>
    <r>
      <rPr>
        <sz val="11"/>
        <rFont val="Verdana"/>
        <family val="2"/>
      </rPr>
      <t xml:space="preserve"> in de Overeenkomst) onderdeel zal gaan uitmaken van de Overeenkomst. De hieronder beschreven producten en diensten tellen niet mee bij de inschrijvingsprijs.</t>
    </r>
  </si>
  <si>
    <r>
      <t>De genoemde producten/diensten zoals beschreven bij positie 1 tot en met 36 maken deel uit van de inschrijfsom,</t>
    </r>
    <r>
      <rPr>
        <sz val="11"/>
        <color theme="4"/>
        <rFont val="Verdana"/>
        <family val="2"/>
      </rPr>
      <t xml:space="preserve"> </t>
    </r>
    <r>
      <rPr>
        <sz val="11"/>
        <rFont val="Verdana"/>
        <family val="2"/>
      </rPr>
      <t>waarbij voor positie 3 t/m 36 wordt gerekend met fictieve inzet-aantallen. Aan de fictieve getallen kunnen geen rechten worden ontleend.</t>
    </r>
    <r>
      <rPr>
        <sz val="11"/>
        <color theme="1"/>
        <rFont val="Verdana"/>
        <family val="2"/>
      </rPr>
      <t xml:space="preserve">
Hieronder volgt de mogelijkheid om aanvullende producten en of diensten </t>
    </r>
    <r>
      <rPr>
        <sz val="11"/>
        <rFont val="Verdana"/>
        <family val="2"/>
      </rPr>
      <t>te benoemen ten behoeve van de dienstverlening, welke na goedkeuring (conform artikel 17.07 in de Overeenkomst) onderdeel zal gaan uitmaken van de Overeenkomst. De hieronder beschreven producten en diensten tellen niet mee bij de inschrijvingsprijs.</t>
    </r>
  </si>
  <si>
    <t xml:space="preserve"> b4</t>
  </si>
  <si>
    <t>A</t>
  </si>
  <si>
    <t>1e lijns inzetteam (conform o.a. art. 10.3 &amp; 10.4)</t>
  </si>
  <si>
    <t>C</t>
  </si>
  <si>
    <t>per uur</t>
  </si>
  <si>
    <t>D</t>
  </si>
  <si>
    <t>E</t>
  </si>
  <si>
    <t>F</t>
  </si>
  <si>
    <t>per 10 kg</t>
  </si>
  <si>
    <t>G</t>
  </si>
  <si>
    <t>De genoemde producten/diensten zoals beschreven bij positie A tot en met G maken deel uit van de inschrijfsom, waarbij voor positie B t/m G wordt gerekend met fictieve inzet-aantallen. Aan de fictieve getallen kunnen geen rechten worden ontleend.  
Hieronder volgt de mogelijkheid om aanvullende producten en of diensten te benoemen ten behoeve van de dienstverlening, welke na goedkeuring (conform artikel 09.03 in de Overeenkomst) onderdeel zal gaan uitmaken van de Overeenkomst. De hieronder beschreven producten en diensten tellen niet mee bij de inschrijvingsprijs.</t>
  </si>
  <si>
    <t>Bijlage I - Inschrijfstaat:  staat van eenheidsprijzen en vaste vergoeding</t>
  </si>
  <si>
    <t>min bedrag per eenheid (excl. Btw)</t>
  </si>
  <si>
    <t>max bedrag per eenheid (excl. Btw)</t>
  </si>
  <si>
    <r>
      <rPr>
        <b/>
        <sz val="10"/>
        <color rgb="FF000000"/>
        <rFont val="Verdana"/>
        <family val="2"/>
      </rPr>
      <t>Vaste vergoeding</t>
    </r>
    <r>
      <rPr>
        <sz val="10"/>
        <color rgb="FF000000"/>
        <rFont val="Verdana"/>
        <family val="2"/>
      </rPr>
      <t xml:space="preserve">
</t>
    </r>
    <r>
      <rPr>
        <i/>
        <sz val="10"/>
        <color rgb="FF000000"/>
        <rFont val="Verdana"/>
        <family val="2"/>
      </rPr>
      <t>Betreft een vergoeding voor alle kosten: Consignatie medewerkers/in standhouden telefoondesk/stand-by kosten 1e lijn en materieel</t>
    </r>
    <r>
      <rPr>
        <sz val="10"/>
        <color rgb="FF000000"/>
        <rFont val="Verdana"/>
        <family val="2"/>
      </rPr>
      <t xml:space="preserve"> </t>
    </r>
  </si>
  <si>
    <t>-</t>
  </si>
  <si>
    <r>
      <rPr>
        <b/>
        <sz val="10"/>
        <color rgb="FF000000"/>
        <rFont val="Verdana"/>
        <family val="2"/>
      </rPr>
      <t xml:space="preserve">Operationeel onderhoud RWS-materiaal
</t>
    </r>
    <r>
      <rPr>
        <i/>
        <sz val="10"/>
        <color rgb="FF000000"/>
        <rFont val="Verdana"/>
        <family val="2"/>
      </rPr>
      <t>Maandelijks onderhoud aan</t>
    </r>
    <r>
      <rPr>
        <b/>
        <sz val="10"/>
        <color rgb="FF000000"/>
        <rFont val="Verdana"/>
        <family val="2"/>
      </rPr>
      <t xml:space="preserve"> </t>
    </r>
    <r>
      <rPr>
        <i/>
        <sz val="10"/>
        <color rgb="FF000000"/>
        <rFont val="Verdana"/>
        <family val="2"/>
      </rPr>
      <t>aanhangers, schermen en powerpacks etc. incl. uitvoeren jaarlijkse keuringen exclusief levering onvoorziene materialen</t>
    </r>
  </si>
  <si>
    <r>
      <rPr>
        <b/>
        <sz val="10"/>
        <color rgb="FF000000"/>
        <rFont val="Verdana"/>
        <family val="2"/>
      </rPr>
      <t>Werkbus/gereedschap wagen</t>
    </r>
    <r>
      <rPr>
        <i/>
        <sz val="10"/>
        <color rgb="FF000000"/>
        <rFont val="Verdana"/>
        <family val="2"/>
      </rPr>
      <t xml:space="preserve">
laadbak capaciteit van minimaal 1,2 ton met trekhaak, voorzien van handgereedschap, geschikt voor aan- en afvoer van kleine materialen en licht opruimwerk. voorzien van generator, geschikt voor en inclusief verlichtingsarmaturen, elektrisch gereedschap (slijptol e.d), compressor van voldoende capaciteit en pneumatische gereedschappen. Inclusief chauffeur</t>
    </r>
  </si>
  <si>
    <r>
      <t xml:space="preserve">Shovel
</t>
    </r>
    <r>
      <rPr>
        <i/>
        <sz val="10"/>
        <color rgb="FF000000"/>
        <rFont val="Verdana"/>
        <family val="2"/>
      </rPr>
      <t>incl. chauffeur, incl. mogelijke hulpmiddelen, minimale laadcapaciteit van 1 m3</t>
    </r>
  </si>
  <si>
    <r>
      <t xml:space="preserve">Hydraulische graafmachine
</t>
    </r>
    <r>
      <rPr>
        <i/>
        <sz val="10"/>
        <color rgb="FF000000"/>
        <rFont val="Verdana"/>
        <family val="2"/>
      </rPr>
      <t>minimale laadcapaciteit van 1,5 m3, inclusief chauffeur</t>
    </r>
  </si>
  <si>
    <r>
      <t xml:space="preserve">Vrachtauto 6x6 (autolaadkraan)
</t>
    </r>
    <r>
      <rPr>
        <i/>
        <sz val="10"/>
        <color rgb="FF000000"/>
        <rFont val="Verdana"/>
        <family val="2"/>
      </rPr>
      <t>driezijdig kiepbaar met hydraulische laad- en losinrichting met een minimale laadcapaciteit van 10 ton, inclusief chauffeur</t>
    </r>
  </si>
  <si>
    <r>
      <t xml:space="preserve">Multilift-containerwagen
</t>
    </r>
    <r>
      <rPr>
        <i/>
        <sz val="10"/>
        <color rgb="FF000000"/>
        <rFont val="Verdana"/>
        <family val="2"/>
      </rPr>
      <t xml:space="preserve">voor het vervoeren en verplaatsen van containers van diverse afmetingen containers met een minimale inhoud van 6m3 op aangeven van de Officier van Dienst, inclusief chauffeur </t>
    </r>
  </si>
  <si>
    <r>
      <t>Vacuümwagen ADR/VLG</t>
    </r>
    <r>
      <rPr>
        <sz val="10"/>
        <color rgb="FF000000"/>
        <rFont val="Verdana"/>
        <family val="2"/>
      </rPr>
      <t xml:space="preserve">:
</t>
    </r>
    <r>
      <rPr>
        <i/>
        <sz val="10"/>
        <color rgb="FF000000"/>
        <rFont val="Verdana"/>
        <family val="2"/>
      </rPr>
      <t>capaciteit min. 10 m3, incl. minimaal 50 m slang, 3 inch aansluitingen en chemicaliën bestendig. Inclusief chauffeur</t>
    </r>
  </si>
  <si>
    <r>
      <t xml:space="preserve">Hogedrukwagen
</t>
    </r>
    <r>
      <rPr>
        <i/>
        <sz val="10"/>
        <color rgb="FF000000"/>
        <rFont val="Verdana"/>
        <family val="2"/>
      </rPr>
      <t>een werkbus met aanhanger of zelfrijdend, met warm water tot 200 ºC, minimale werkdruk van 150 bar en inhoud 2000 liter water, vorstbestendig met minimaal 100 m slang, inclusief chauffeur</t>
    </r>
  </si>
  <si>
    <r>
      <t xml:space="preserve">Safety-unit </t>
    </r>
    <r>
      <rPr>
        <sz val="10"/>
        <color rgb="FF000000"/>
        <rFont val="Verdana"/>
        <family val="2"/>
      </rPr>
      <t>(werkbus met aanhanger of zelfrijdend)</t>
    </r>
    <r>
      <rPr>
        <i/>
        <sz val="10"/>
        <color rgb="FF000000"/>
        <rFont val="Verdana"/>
        <family val="2"/>
      </rPr>
      <t xml:space="preserve">
ten behoeve van ademluchtwerkzaamheden op locatie voorzien van onafhankelijke adembescherming en ademlucht en vulmogelijkheid voor minimaal zes toestellen.</t>
    </r>
  </si>
  <si>
    <r>
      <t xml:space="preserve">Vaartuig (voor ondersteunende werkzaamheden)
</t>
    </r>
    <r>
      <rPr>
        <i/>
        <sz val="10"/>
        <color rgb="FF000000"/>
        <rFont val="Verdana"/>
        <family val="2"/>
      </rPr>
      <t>voorzien van alle benodigde apparatuur voor het assisteren in de verkeersbegeleiding, het uitleggen en/of slepen van olieschermen, het slepen van pontons, het opsporen/detecteren van objecten onder water. Een medewerker van Rijkswaterstaat dient op te kunnen stappen voor het geven van (verkeers-) aanwijzingen. Inclusief bediening 2 personen.</t>
    </r>
  </si>
  <si>
    <r>
      <t xml:space="preserve">Motorwerkschip met hijscapaciteit
</t>
    </r>
    <r>
      <rPr>
        <i/>
        <sz val="10"/>
        <color rgb="FF000000"/>
        <rFont val="Verdana"/>
        <family val="2"/>
      </rPr>
      <t>hijscapaciteit ≥ 10.000 kg op minimaal 4 meter buitenboord (minimaal aan één zijde), (incl. bemanning),</t>
    </r>
  </si>
  <si>
    <r>
      <t xml:space="preserve">Varende vloeistofopslagcapaciteit, inclusief bemanning (bijv. beunschip)
</t>
    </r>
    <r>
      <rPr>
        <i/>
        <sz val="10"/>
        <color rgb="FF000000"/>
        <rFont val="Verdana"/>
        <family val="2"/>
      </rPr>
      <t>minimale opslag 400 M3</t>
    </r>
  </si>
  <si>
    <r>
      <rPr>
        <b/>
        <sz val="10"/>
        <color rgb="FF000000"/>
        <rFont val="Verdana"/>
        <family val="2"/>
      </rPr>
      <t>heftruck</t>
    </r>
    <r>
      <rPr>
        <sz val="10"/>
        <color rgb="FF000000"/>
        <rFont val="Verdana"/>
        <family val="2"/>
      </rPr>
      <t xml:space="preserve"> </t>
    </r>
    <r>
      <rPr>
        <i/>
        <sz val="10"/>
        <color rgb="FF000000"/>
        <rFont val="Verdana"/>
        <family val="2"/>
      </rPr>
      <t>voor het laden/lossen van materialen voor inzet en/of onderhoud, hefvermogen &gt; 1500 kilo. Inclusief chauffeur</t>
    </r>
  </si>
  <si>
    <r>
      <rPr>
        <b/>
        <sz val="10"/>
        <color rgb="FF000000"/>
        <rFont val="Verdana"/>
        <family val="2"/>
      </rPr>
      <t>aanhanger</t>
    </r>
    <r>
      <rPr>
        <i/>
        <sz val="10"/>
        <color rgb="FF000000"/>
        <rFont val="Verdana"/>
        <family val="2"/>
      </rPr>
      <t xml:space="preserve"> benodigd voor vervoer van materialen tbv inzet en/of op aangeven van opdrachtgever
laadvermogen 750 - 2700 kg</t>
    </r>
  </si>
  <si>
    <r>
      <rPr>
        <b/>
        <sz val="10"/>
        <color rgb="FF000000"/>
        <rFont val="Verdana"/>
        <family val="2"/>
      </rPr>
      <t xml:space="preserve">Tractor </t>
    </r>
    <r>
      <rPr>
        <i/>
        <sz val="10"/>
        <color rgb="FF000000"/>
        <rFont val="Verdana"/>
        <family val="2"/>
      </rPr>
      <t>ten behoeve van logistieke handelingen (aan-/afvoer materieel en verontreiniging) voor bijvoorbeeld incidentlocaties die niet via de openbare weg bereikbaar zijn (zoals stranden en buitendijkse gebieden)</t>
    </r>
  </si>
  <si>
    <r>
      <t xml:space="preserve">Skimmer
</t>
    </r>
    <r>
      <rPr>
        <i/>
        <sz val="10"/>
        <color rgb="FF000000"/>
        <rFont val="Verdana"/>
        <family val="2"/>
      </rPr>
      <t>installatie waarmee olie van het oppervlaktewater kan worden gescheiden en afgezogen met een minimale capaciteit van capaciteit van 20 m3/h. Hiermee</t>
    </r>
    <r>
      <rPr>
        <b/>
        <sz val="10"/>
        <color rgb="FF000000"/>
        <rFont val="Verdana"/>
        <family val="2"/>
      </rPr>
      <t xml:space="preserve"> </t>
    </r>
    <r>
      <rPr>
        <i/>
        <sz val="10"/>
        <color rgb="FF000000"/>
        <rFont val="Verdana"/>
        <family val="2"/>
      </rPr>
      <t xml:space="preserve">zijn begrepen alle daarvoor benodigde hulpmiddelen evenals een tank of een andere vorm van opslag, waarin de olie of de skimmer wordt opgeslagen. </t>
    </r>
  </si>
  <si>
    <r>
      <rPr>
        <b/>
        <sz val="10"/>
        <color rgb="FF000000"/>
        <rFont val="Verdana"/>
        <family val="2"/>
      </rPr>
      <t>"Logistiek tarief"</t>
    </r>
    <r>
      <rPr>
        <sz val="10"/>
        <color rgb="FF000000"/>
        <rFont val="Verdana"/>
        <family val="2"/>
      </rPr>
      <t xml:space="preserve">: uurtarief toegepast mét toestemming in situaties waarbij niet-standaard werkzaamheden niet gecombineerd kan worden met reguliere werkzaamheden als onderhoudsrondes (zoals het transport van olie booms of het verplaatsen van aanhangers op aanvraag). </t>
    </r>
    <r>
      <rPr>
        <i/>
        <sz val="10"/>
        <color rgb="FF000000"/>
        <rFont val="Verdana"/>
        <family val="2"/>
      </rPr>
      <t>Inclusief chauffeur.</t>
    </r>
  </si>
  <si>
    <r>
      <t xml:space="preserve">Werknemer
</t>
    </r>
    <r>
      <rPr>
        <i/>
        <sz val="10"/>
        <color rgb="FF000000"/>
        <rFont val="Verdana"/>
        <family val="2"/>
      </rPr>
      <t>Machinisten, Matrozen, schippers, bijrijders, hulpkrachten</t>
    </r>
  </si>
  <si>
    <r>
      <t xml:space="preserve">Duikteam'
</t>
    </r>
    <r>
      <rPr>
        <i/>
        <sz val="10"/>
        <color rgb="FF000000"/>
        <rFont val="Verdana"/>
        <family val="2"/>
      </rPr>
      <t>bestaande uit minimaal 1 duiker, 2 reserveduikers en 1 duikleider (inzet conform kader 'veilig werken onder water'), diepte tot max. 12 meter.
Maximale inzet per keer: 4 uur</t>
    </r>
  </si>
  <si>
    <r>
      <rPr>
        <b/>
        <sz val="10"/>
        <color rgb="FF000000"/>
        <rFont val="Verdana"/>
        <family val="2"/>
      </rPr>
      <t>Verblijfsunit</t>
    </r>
    <r>
      <rPr>
        <i/>
        <sz val="10"/>
        <color rgb="FF000000"/>
        <rFont val="Verdana"/>
        <family val="2"/>
      </rPr>
      <t xml:space="preserve">
een verwarmde coördinatieruimte ten behoeve van langdurende incidenten of schoonmaakacties.
Een ruimte met minimaal 1 raam, vloeroppervlak ca. 8 m2, voorzien van een overlegtafel met 4 stoelen, verlichting, een elektra voorziening 230 Volt en een whiteboard . Inclusief eventuele benodigde stelpoten, stempels of ander klein materiaal dat voor plaatsing benodigd is.
De unit dient in overleg met de Officier van Dienst op iedere gewenste locatie te worden geplaatst.</t>
    </r>
  </si>
  <si>
    <r>
      <t>Toilet Unit</t>
    </r>
    <r>
      <rPr>
        <sz val="10"/>
        <color rgb="FF000000"/>
        <rFont val="Verdana"/>
        <family val="2"/>
      </rPr>
      <t xml:space="preserve"> (1 dixi of gelijkwaardig)</t>
    </r>
  </si>
  <si>
    <r>
      <t xml:space="preserve">Olie-absorptiebooms
</t>
    </r>
    <r>
      <rPr>
        <i/>
        <sz val="10"/>
        <color rgb="FF000000"/>
        <rFont val="Verdana"/>
        <family val="2"/>
      </rPr>
      <t>Lengte 3 meter, diameter 15 cm met een minimaal absorberend vermogen van ca. 50 liter per meter. Per zak à 4 stuks</t>
    </r>
  </si>
  <si>
    <t>zak á 4 stuks</t>
  </si>
  <si>
    <r>
      <t xml:space="preserve">Olie-absorptiedoek
</t>
    </r>
    <r>
      <rPr>
        <i/>
        <sz val="10"/>
        <color rgb="FF000000"/>
        <rFont val="Verdana"/>
        <family val="2"/>
      </rPr>
      <t>Maat doek ca. 40 x 50 cm voor opname vloeistoffen zoals olie, diesel, benzine, etc.
Opname 1 liter opname per doek. Per pak van 200 stuks</t>
    </r>
  </si>
  <si>
    <t>pak á 200 stuks</t>
  </si>
  <si>
    <r>
      <t xml:space="preserve">Olie-absorptiedoek
</t>
    </r>
    <r>
      <rPr>
        <i/>
        <sz val="10"/>
        <color rgb="FF000000"/>
        <rFont val="Verdana"/>
        <family val="2"/>
      </rPr>
      <t>Maat doek ca. 96 cm breed voor opname vloeistoffen zoals olie, diesel, benzine, etc.
op rol van ca. 44 m</t>
    </r>
  </si>
  <si>
    <t>rol (ca. 44 m)</t>
  </si>
  <si>
    <r>
      <rPr>
        <b/>
        <sz val="10"/>
        <color rgb="FF000000"/>
        <rFont val="Verdana"/>
        <family val="2"/>
      </rPr>
      <t>Bergingsverpakking</t>
    </r>
    <r>
      <rPr>
        <sz val="10"/>
        <color rgb="FF000000"/>
        <rFont val="Verdana"/>
        <family val="2"/>
      </rPr>
      <t xml:space="preserve"> </t>
    </r>
    <r>
      <rPr>
        <i/>
        <sz val="10"/>
        <color rgb="FF000000"/>
        <rFont val="Verdana"/>
        <family val="2"/>
      </rPr>
      <t>Poly overpack 95 met T-keurmerk</t>
    </r>
    <r>
      <rPr>
        <sz val="10"/>
        <color rgb="FF000000"/>
        <rFont val="Verdana"/>
        <family val="2"/>
      </rPr>
      <t xml:space="preserve"> </t>
    </r>
  </si>
  <si>
    <r>
      <rPr>
        <b/>
        <sz val="10"/>
        <color rgb="FF000000"/>
        <rFont val="Verdana"/>
        <family val="2"/>
      </rPr>
      <t>Reinigingsmiddel</t>
    </r>
    <r>
      <rPr>
        <sz val="10"/>
        <color rgb="FF000000"/>
        <rFont val="Verdana"/>
        <family val="2"/>
      </rPr>
      <t xml:space="preserve"> </t>
    </r>
    <r>
      <rPr>
        <i/>
        <sz val="10"/>
        <color rgb="FF000000"/>
        <rFont val="Verdana"/>
        <family val="2"/>
      </rPr>
      <t>betreft een reinigingsmiddel volgens de contracteisen</t>
    </r>
  </si>
  <si>
    <r>
      <t xml:space="preserve">IBC Container
</t>
    </r>
    <r>
      <rPr>
        <i/>
        <sz val="10"/>
        <color rgb="FF000000"/>
        <rFont val="Verdana"/>
        <family val="2"/>
      </rPr>
      <t>1000 liter met Flens en stalen- of Kunstof pallet</t>
    </r>
  </si>
  <si>
    <t>per lengte van 25 m</t>
  </si>
  <si>
    <r>
      <rPr>
        <b/>
        <sz val="10"/>
        <color rgb="FF000000"/>
        <rFont val="Verdana"/>
        <family val="2"/>
      </rPr>
      <t xml:space="preserve">Reinigen overig materieel
</t>
    </r>
    <r>
      <rPr>
        <i/>
        <sz val="10"/>
        <color rgb="FF000000"/>
        <rFont val="Verdana"/>
        <family val="2"/>
      </rPr>
      <t>Het na afloop van inzet, reinigen van ingezet materieel (OG of ON) dat besmeurd is met de geruimde verontreiniging (denk aan: vacuümwagen, veegarm etc.). incl. arbeidsloon, gebruik milieustraat, inzet warmwaterreiniger, intern transport, inspectie, schoonmaakmiddelen</t>
    </r>
  </si>
  <si>
    <t>manuur</t>
  </si>
  <si>
    <r>
      <rPr>
        <b/>
        <sz val="10"/>
        <color rgb="FF000000"/>
        <rFont val="Verdana"/>
        <family val="2"/>
      </rPr>
      <t>Handelings- en verwerkingskosten vaste afvalstoffen (niet olievervuild)</t>
    </r>
    <r>
      <rPr>
        <sz val="10"/>
        <color rgb="FF000000"/>
        <rFont val="Verdana"/>
        <family val="2"/>
      </rPr>
      <t xml:space="preserve">
</t>
    </r>
    <r>
      <rPr>
        <i/>
        <sz val="10"/>
        <color rgb="FF000000"/>
        <rFont val="Verdana"/>
        <family val="2"/>
      </rPr>
      <t>Betreft het (tussentijds) opslaan, wegen en/of verpakken (inclusief materiaal)van ingenomen materiaal (vb. plastics, paraffine, piepschuimbolletjes, houten paaltjes), inclusief eventuele analyses en administratieve afhandeling, exclusief transport</t>
    </r>
  </si>
  <si>
    <r>
      <rPr>
        <b/>
        <sz val="10"/>
        <color rgb="FF000000"/>
        <rFont val="Verdana"/>
        <family val="2"/>
      </rPr>
      <t xml:space="preserve">Handlings- en verwerkingskosten olievervuild afval
</t>
    </r>
    <r>
      <rPr>
        <i/>
        <sz val="10"/>
        <color rgb="FF000000"/>
        <rFont val="Verdana"/>
        <family val="2"/>
      </rPr>
      <t>Betreft het (tussentijds) opslaan, verwerken van ingenomen olievervuild absorptiemateriaal (absorptiebooms en absorptiedoeken), inclusief eventuele analyses en administratieve afhandeling, exclusief transport</t>
    </r>
  </si>
  <si>
    <r>
      <rPr>
        <b/>
        <sz val="10"/>
        <color rgb="FF000000"/>
        <rFont val="Verdana"/>
        <family val="2"/>
      </rPr>
      <t xml:space="preserve">Handlings- en verwerkingskosten afvalwater </t>
    </r>
    <r>
      <rPr>
        <sz val="10"/>
        <color rgb="FF000000"/>
        <rFont val="Verdana"/>
        <family val="2"/>
      </rPr>
      <t xml:space="preserve">
</t>
    </r>
    <r>
      <rPr>
        <i/>
        <sz val="10"/>
        <color rgb="FF000000"/>
        <rFont val="Verdana"/>
        <family val="2"/>
      </rPr>
      <t>Betreft het (tussentijds) opslaan, verwerken van ingenomen afvalwater (olie/water mengsel), inclusief eventuele analyses en administratieve afhandeling, exclusief transport</t>
    </r>
  </si>
  <si>
    <r>
      <rPr>
        <b/>
        <sz val="12"/>
        <color rgb="FFFF0000"/>
        <rFont val="Verdana"/>
        <family val="2"/>
      </rPr>
      <t>31166161 (B7)</t>
    </r>
    <r>
      <rPr>
        <b/>
        <sz val="12"/>
        <rFont val="Verdana"/>
        <family val="2"/>
      </rPr>
      <t xml:space="preserve"> Bijlage I - Inschrijfstaat:  staat van eenheidsprijzen en vaste vergoeding</t>
    </r>
  </si>
  <si>
    <r>
      <t xml:space="preserve">Multilift-containerwagen
</t>
    </r>
    <r>
      <rPr>
        <i/>
        <sz val="10"/>
        <rFont val="Verdana"/>
        <family val="2"/>
      </rPr>
      <t xml:space="preserve">voor het vervoeren en verplaatsen van containers van diverse afmetingen containers met een minimale inhoud van 6m3 op aangeven van de Officier van Dienst, inclusief </t>
    </r>
    <r>
      <rPr>
        <i/>
        <sz val="10"/>
        <color rgb="FFFF0000"/>
        <rFont val="Verdana"/>
        <family val="2"/>
      </rPr>
      <t>chauffeur</t>
    </r>
  </si>
  <si>
    <r>
      <t>Beachcleaner</t>
    </r>
    <r>
      <rPr>
        <i/>
        <sz val="10"/>
        <rFont val="Verdana"/>
        <family val="2"/>
      </rPr>
      <t xml:space="preserve">
Voor het verwijderen van verontreiniging (parafinne, piepschuim, plastic) van zandstranden</t>
    </r>
  </si>
  <si>
    <r>
      <t xml:space="preserve">Zelvarend kraanponton 
</t>
    </r>
    <r>
      <rPr>
        <i/>
        <sz val="10"/>
        <rFont val="Verdana"/>
        <family val="2"/>
      </rPr>
      <t>hefvermogen ≥ 100 ton, incl. bemanning</t>
    </r>
  </si>
  <si>
    <r>
      <rPr>
        <b/>
        <sz val="10"/>
        <color rgb="FF000000"/>
        <rFont val="Verdana"/>
        <family val="2"/>
      </rPr>
      <t xml:space="preserve">Vrachtauto met oplegger/dieplader (terkker voorzien van autolaadkraan )
</t>
    </r>
    <r>
      <rPr>
        <i/>
        <sz val="10"/>
        <color rgb="FF000000"/>
        <rFont val="Verdana"/>
        <family val="2"/>
      </rPr>
      <t xml:space="preserve">Zelfstandig kunnen laden en lossen van veegarmen, tankcontainers (20ft) en containers (10ft.) met olieschermen. T.b.v. wegtransport van materieel van RWS locaties naar uitvallocaties/havens en visa versa, inclusief chauffeur. </t>
    </r>
  </si>
  <si>
    <r>
      <rPr>
        <b/>
        <sz val="10"/>
        <color rgb="FF000000"/>
        <rFont val="Verdana"/>
        <family val="2"/>
      </rPr>
      <t xml:space="preserve">Reinigen oliescherm
</t>
    </r>
    <r>
      <rPr>
        <i/>
        <sz val="10"/>
        <color rgb="FF000000"/>
        <rFont val="Verdana"/>
        <family val="2"/>
      </rPr>
      <t>Reinigen olievervuild scherm van opdrachtgever inclusief transport (halen en brengen (terugzetten op stallingslocatie)) - lightboom per 25m of rol</t>
    </r>
  </si>
  <si>
    <r>
      <rPr>
        <b/>
        <sz val="10"/>
        <color rgb="FF000000"/>
        <rFont val="Verdana"/>
        <family val="2"/>
      </rPr>
      <t xml:space="preserve">Reinigen oliescherm
</t>
    </r>
    <r>
      <rPr>
        <i/>
        <sz val="10"/>
        <color rgb="FF000000"/>
        <rFont val="Verdana"/>
        <family val="2"/>
      </rPr>
      <t>Reinigen olievervuild scherm van opdrachtgever inclusief transport (halen en brengen (terugzetten op stallingslocatie)) - heavyboom per 25m of rol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</si>
</sst>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quot;€&quot;* #,##0.00_);_(&quot;€&quot;* \(#,##0.00\);_(&quot;€&quot;* &quot;-&quot;??_);_(@_)"/>
    <numFmt numFmtId="165" formatCode="_(* #,##0.00_);_(* \(#,##0.00\);_(* &quot;-&quot;??_);_(@_)"/>
    <numFmt numFmtId="166" formatCode="&quot;€&quot;#,##0.00_);\(&quot;€&quot;#,##0.00\)"/>
    <numFmt numFmtId="167" formatCode="&quot;€&quot;\ #,##0.00"/>
    <numFmt numFmtId="168" formatCode="&quot;€&quot;\ #,##0"/>
    <numFmt numFmtId="169" formatCode="#,##0.0"/>
    <numFmt numFmtId="170" formatCode="#,##0_ ;\-#,##0\ "/>
    <numFmt numFmtId="171" formatCode="_(* #,##0_);_(* \(#,##0\);_(* &quot;-&quot;??_);_(@_)"/>
    <numFmt numFmtId="172" formatCode="_(&quot;€&quot;* #,##0_);_(&quot;€&quot;* \(#,##0\);_(&quot;€&quot;* &quot;-&quot;??_);_(@_)"/>
    <numFmt numFmtId="173" formatCode="0.000"/>
    <numFmt numFmtId="174" formatCode="_ [$€-413]\ * #,##0.00_ ;_ [$€-413]\ * \-#,##0.00_ ;_ [$€-413]\ * &quot;-&quot;??_ ;_ @_ "/>
    <numFmt numFmtId="175" formatCode="&quot;€&quot;#,##0_);[Red]\(&quot;€&quot;#,##0\)"/>
  </numFmts>
  <fonts count="70">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u/>
      <sz val="10"/>
      <color theme="10"/>
      <name val="Arial"/>
      <family val="2"/>
    </font>
    <font>
      <sz val="10"/>
      <name val="Arial"/>
      <family val="2"/>
    </font>
    <font>
      <sz val="11"/>
      <name val="Calibri"/>
      <family val="2"/>
      <scheme val="minor"/>
    </font>
    <font>
      <b/>
      <i/>
      <sz val="11"/>
      <name val="Calibri"/>
      <family val="2"/>
      <scheme val="minor"/>
    </font>
    <font>
      <sz val="11"/>
      <color rgb="FFFF0000"/>
      <name val="Calibri"/>
      <family val="2"/>
      <scheme val="minor"/>
    </font>
    <font>
      <b/>
      <sz val="26"/>
      <color rgb="FFFF0000"/>
      <name val="Calibri"/>
      <family val="2"/>
      <scheme val="minor"/>
    </font>
    <font>
      <sz val="11"/>
      <color rgb="FF002060"/>
      <name val="Calibri"/>
      <family val="2"/>
      <scheme val="minor"/>
    </font>
    <font>
      <b/>
      <sz val="8"/>
      <name val="Calibri"/>
      <family val="2"/>
      <scheme val="minor"/>
    </font>
    <font>
      <b/>
      <sz val="28"/>
      <color rgb="FFFF0000"/>
      <name val="Calibri"/>
      <family val="2"/>
      <scheme val="minor"/>
    </font>
    <font>
      <b/>
      <sz val="28"/>
      <name val="Calibri"/>
      <family val="2"/>
      <scheme val="minor"/>
    </font>
    <font>
      <sz val="9"/>
      <name val="Verdana"/>
      <family val="2"/>
    </font>
    <font>
      <sz val="10"/>
      <name val="Calibri"/>
      <family val="2"/>
      <scheme val="minor"/>
    </font>
    <font>
      <sz val="9"/>
      <color rgb="FFFF0000"/>
      <name val="Verdana"/>
      <family val="2"/>
    </font>
    <font>
      <sz val="9"/>
      <color rgb="FF9C6500"/>
      <name val="Verdana"/>
      <family val="2"/>
    </font>
    <font>
      <sz val="9"/>
      <color rgb="FF3F3F76"/>
      <name val="Verdana"/>
      <family val="2"/>
    </font>
    <font>
      <sz val="11"/>
      <color theme="0" tint="-0.34998626667073579"/>
      <name val="Calibri"/>
      <family val="2"/>
      <scheme val="minor"/>
    </font>
    <font>
      <sz val="11"/>
      <color theme="0" tint="-0.499984740745262"/>
      <name val="Calibri"/>
      <family val="2"/>
      <scheme val="minor"/>
    </font>
    <font>
      <b/>
      <sz val="9"/>
      <color rgb="FFFA7D00"/>
      <name val="Verdana"/>
      <family val="2"/>
    </font>
    <font>
      <sz val="9"/>
      <color rgb="FF3F3F3F"/>
      <name val="Verdana"/>
      <family val="2"/>
    </font>
    <font>
      <b/>
      <sz val="9"/>
      <name val="Verdana"/>
      <family val="2"/>
    </font>
    <font>
      <b/>
      <i/>
      <sz val="9"/>
      <name val="Verdana"/>
      <family val="2"/>
    </font>
    <font>
      <i/>
      <sz val="9"/>
      <name val="Verdana"/>
      <family val="2"/>
    </font>
    <font>
      <b/>
      <sz val="9"/>
      <color rgb="FFFF0000"/>
      <name val="Verdana"/>
      <family val="2"/>
    </font>
    <font>
      <sz val="9"/>
      <color theme="0" tint="-0.499984740745262"/>
      <name val="Verdana"/>
      <family val="2"/>
    </font>
    <font>
      <b/>
      <sz val="9"/>
      <color theme="0" tint="-0.499984740745262"/>
      <name val="Verdana"/>
      <family val="2"/>
    </font>
    <font>
      <b/>
      <i/>
      <sz val="9"/>
      <color indexed="8"/>
      <name val="Verdana"/>
      <family val="2"/>
    </font>
    <font>
      <b/>
      <sz val="9"/>
      <color indexed="8"/>
      <name val="Verdana"/>
      <family val="2"/>
    </font>
    <font>
      <sz val="9"/>
      <color indexed="8"/>
      <name val="Verdana"/>
      <family val="2"/>
    </font>
    <font>
      <sz val="9"/>
      <color theme="0" tint="-0.34998626667073579"/>
      <name val="Verdana"/>
      <family val="2"/>
    </font>
    <font>
      <b/>
      <i/>
      <sz val="9"/>
      <color theme="0" tint="-0.34998626667073579"/>
      <name val="Verdana"/>
      <family val="2"/>
    </font>
    <font>
      <b/>
      <i/>
      <sz val="9"/>
      <color rgb="FFFF0000"/>
      <name val="Verdana"/>
      <family val="2"/>
    </font>
    <font>
      <i/>
      <sz val="9"/>
      <color indexed="8"/>
      <name val="Verdana"/>
      <family val="2"/>
    </font>
    <font>
      <b/>
      <sz val="9"/>
      <color rgb="FF002060"/>
      <name val="Verdana"/>
      <family val="2"/>
    </font>
    <font>
      <i/>
      <sz val="9"/>
      <color rgb="FF002060"/>
      <name val="Verdana"/>
      <family val="2"/>
    </font>
    <font>
      <sz val="9"/>
      <color rgb="FF002060"/>
      <name val="Verdana"/>
      <family val="2"/>
    </font>
    <font>
      <sz val="9"/>
      <color theme="8"/>
      <name val="Verdana"/>
      <family val="2"/>
    </font>
    <font>
      <b/>
      <sz val="11"/>
      <name val="Calibri"/>
      <family val="2"/>
      <scheme val="minor"/>
    </font>
    <font>
      <sz val="9"/>
      <color rgb="FF000000"/>
      <name val="Verdana"/>
      <family val="2"/>
    </font>
    <font>
      <b/>
      <u/>
      <sz val="9"/>
      <name val="Verdana"/>
      <family val="2"/>
    </font>
    <font>
      <b/>
      <sz val="12"/>
      <name val="Verdana"/>
      <family val="2"/>
    </font>
    <font>
      <sz val="10"/>
      <name val="Verdana"/>
      <family val="2"/>
    </font>
    <font>
      <b/>
      <sz val="10"/>
      <name val="Verdana"/>
      <family val="2"/>
    </font>
    <font>
      <i/>
      <sz val="10"/>
      <name val="Verdana"/>
      <family val="2"/>
    </font>
    <font>
      <sz val="11"/>
      <color theme="1"/>
      <name val="Verdana"/>
      <family val="2"/>
    </font>
    <font>
      <sz val="11"/>
      <color theme="4"/>
      <name val="Verdana"/>
      <family val="2"/>
    </font>
    <font>
      <sz val="11"/>
      <name val="Verdana"/>
      <family val="2"/>
    </font>
    <font>
      <b/>
      <sz val="10"/>
      <color indexed="8"/>
      <name val="Verdana"/>
      <family val="2"/>
    </font>
    <font>
      <b/>
      <sz val="12"/>
      <color rgb="FFFF0000"/>
      <name val="Verdana"/>
      <family val="2"/>
    </font>
    <font>
      <sz val="10"/>
      <color rgb="FFFF0000"/>
      <name val="Verdana"/>
      <family val="2"/>
    </font>
    <font>
      <i/>
      <sz val="10"/>
      <color rgb="FFFF0000"/>
      <name val="Verdana"/>
      <family val="2"/>
    </font>
    <font>
      <i/>
      <sz val="9"/>
      <color rgb="FFFF0000"/>
      <name val="Verdana"/>
      <family val="2"/>
    </font>
    <font>
      <b/>
      <sz val="10"/>
      <color rgb="FFFF0000"/>
      <name val="Verdana"/>
      <family val="2"/>
    </font>
    <font>
      <sz val="11"/>
      <color rgb="FFFF0000"/>
      <name val="Verdana"/>
      <family val="2"/>
    </font>
    <font>
      <sz val="9"/>
      <name val="ArialMT"/>
    </font>
    <font>
      <sz val="9"/>
      <color theme="1"/>
      <name val="ArialMT"/>
    </font>
    <font>
      <b/>
      <sz val="10"/>
      <name val="Arial"/>
      <family val="2"/>
    </font>
    <font>
      <b/>
      <sz val="10"/>
      <color theme="1"/>
      <name val="Verdana"/>
      <family val="2"/>
    </font>
    <font>
      <sz val="10"/>
      <color rgb="FF000000"/>
      <name val="Verdana"/>
      <family val="2"/>
    </font>
    <font>
      <b/>
      <sz val="10"/>
      <color rgb="FF000000"/>
      <name val="Verdana"/>
      <family val="2"/>
    </font>
    <font>
      <i/>
      <sz val="10"/>
      <color rgb="FF000000"/>
      <name val="Verdana"/>
      <family val="2"/>
    </font>
  </fonts>
  <fills count="22">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EB9C"/>
      </patternFill>
    </fill>
    <fill>
      <patternFill patternType="solid">
        <fgColor rgb="FFFFFFCC"/>
      </patternFill>
    </fill>
    <fill>
      <patternFill patternType="solid">
        <fgColor theme="6" tint="0.79998168889431442"/>
        <bgColor indexed="65"/>
      </patternFill>
    </fill>
    <fill>
      <patternFill patternType="solid">
        <fgColor rgb="FFFFCC99"/>
      </patternFill>
    </fill>
    <fill>
      <patternFill patternType="solid">
        <fgColor rgb="FFF2F2F2"/>
      </patternFill>
    </fill>
    <fill>
      <patternFill patternType="solid">
        <fgColor theme="8" tint="0.79998168889431442"/>
        <bgColor indexed="65"/>
      </patternFill>
    </fill>
    <fill>
      <patternFill patternType="solid">
        <fgColor rgb="FFF7FA8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rgb="FFFFEB9C"/>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79998168889431442"/>
        <bgColor indexed="65"/>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bottom style="thin">
        <color rgb="FFB2B2B2"/>
      </bottom>
      <diagonal/>
    </border>
    <border>
      <left/>
      <right/>
      <top style="thin">
        <color indexed="64"/>
      </top>
      <bottom/>
      <diagonal/>
    </border>
  </borders>
  <cellStyleXfs count="17">
    <xf numFmtId="0" fontId="0" fillId="0" borderId="0"/>
    <xf numFmtId="0" fontId="10" fillId="0" borderId="0" applyNumberFormat="0" applyFill="0" applyBorder="0" applyAlignment="0" applyProtection="0"/>
    <xf numFmtId="164" fontId="11" fillId="0" borderId="0" applyFont="0" applyFill="0" applyBorder="0" applyAlignment="0" applyProtection="0"/>
    <xf numFmtId="0" fontId="9" fillId="0" borderId="0"/>
    <xf numFmtId="0" fontId="8" fillId="0" borderId="0"/>
    <xf numFmtId="0" fontId="7" fillId="0" borderId="0"/>
    <xf numFmtId="165" fontId="11" fillId="0" borderId="0" applyFont="0" applyFill="0" applyBorder="0" applyAlignment="0" applyProtection="0"/>
    <xf numFmtId="0" fontId="23" fillId="8" borderId="0" applyNumberFormat="0" applyBorder="0" applyAlignment="0" applyProtection="0"/>
    <xf numFmtId="0" fontId="11" fillId="9" borderId="43" applyNumberFormat="0" applyFont="0" applyAlignment="0" applyProtection="0"/>
    <xf numFmtId="0" fontId="6" fillId="10" borderId="0" applyNumberFormat="0" applyBorder="0" applyAlignment="0" applyProtection="0"/>
    <xf numFmtId="9" fontId="11" fillId="0" borderId="0" applyFont="0" applyFill="0" applyBorder="0" applyAlignment="0" applyProtection="0"/>
    <xf numFmtId="0" fontId="24" fillId="11" borderId="44" applyNumberFormat="0" applyAlignment="0" applyProtection="0"/>
    <xf numFmtId="0" fontId="27" fillId="12" borderId="44" applyNumberFormat="0" applyAlignment="0" applyProtection="0"/>
    <xf numFmtId="0" fontId="5" fillId="13" borderId="0" applyNumberFormat="0" applyBorder="0" applyAlignment="0" applyProtection="0"/>
    <xf numFmtId="0" fontId="4" fillId="0" borderId="0"/>
    <xf numFmtId="0" fontId="3" fillId="0" borderId="0"/>
    <xf numFmtId="0" fontId="1" fillId="21" borderId="0" applyNumberFormat="0" applyBorder="0" applyAlignment="0" applyProtection="0"/>
  </cellStyleXfs>
  <cellXfs count="596">
    <xf numFmtId="0" fontId="0" fillId="0" borderId="0" xfId="0"/>
    <xf numFmtId="0" fontId="12" fillId="0" borderId="0" xfId="0" applyFont="1" applyAlignment="1">
      <alignment horizontal="center" vertical="center"/>
    </xf>
    <xf numFmtId="0" fontId="12" fillId="0" borderId="0" xfId="0" applyFont="1" applyAlignment="1">
      <alignment vertical="center" wrapText="1"/>
    </xf>
    <xf numFmtId="0" fontId="12" fillId="0" borderId="0" xfId="0" applyFont="1" applyAlignment="1">
      <alignment vertical="center"/>
    </xf>
    <xf numFmtId="1" fontId="12" fillId="0" borderId="0" xfId="0" applyNumberFormat="1" applyFont="1" applyAlignment="1">
      <alignment horizontal="center" vertical="center"/>
    </xf>
    <xf numFmtId="0" fontId="13" fillId="0" borderId="0" xfId="0" applyFont="1" applyAlignment="1">
      <alignment horizontal="center" vertical="center"/>
    </xf>
    <xf numFmtId="164" fontId="12" fillId="0" borderId="0" xfId="0" applyNumberFormat="1" applyFont="1" applyAlignment="1">
      <alignment horizontal="center" vertical="center"/>
    </xf>
    <xf numFmtId="168" fontId="12" fillId="0" borderId="0" xfId="0" applyNumberFormat="1" applyFont="1" applyAlignment="1">
      <alignment horizontal="center" vertical="center"/>
    </xf>
    <xf numFmtId="0" fontId="14" fillId="0" borderId="0" xfId="0" applyFont="1" applyAlignment="1">
      <alignment vertical="center"/>
    </xf>
    <xf numFmtId="0" fontId="12" fillId="0" borderId="0" xfId="0" applyFont="1" applyAlignment="1">
      <alignment horizontal="center" vertical="center" wrapText="1"/>
    </xf>
    <xf numFmtId="0" fontId="16" fillId="0" borderId="0" xfId="0" applyFont="1" applyAlignment="1">
      <alignment vertical="center"/>
    </xf>
    <xf numFmtId="164" fontId="12" fillId="0" borderId="0" xfId="0" applyNumberFormat="1" applyFont="1" applyAlignment="1">
      <alignment vertical="center"/>
    </xf>
    <xf numFmtId="0" fontId="21" fillId="0" borderId="0" xfId="0" applyFont="1" applyAlignment="1">
      <alignment horizontal="center" vertical="center"/>
    </xf>
    <xf numFmtId="0" fontId="20" fillId="0" borderId="0" xfId="5" applyFont="1" applyAlignment="1">
      <alignment vertical="center"/>
    </xf>
    <xf numFmtId="164" fontId="20" fillId="0" borderId="0" xfId="5" applyNumberFormat="1" applyFont="1" applyAlignment="1">
      <alignment vertical="center"/>
    </xf>
    <xf numFmtId="0" fontId="20" fillId="5" borderId="40" xfId="5" applyFont="1" applyFill="1" applyBorder="1" applyAlignment="1">
      <alignment vertical="center"/>
    </xf>
    <xf numFmtId="164" fontId="20" fillId="5" borderId="41" xfId="5" applyNumberFormat="1" applyFont="1" applyFill="1" applyBorder="1" applyAlignment="1">
      <alignment vertical="center" wrapText="1"/>
    </xf>
    <xf numFmtId="0" fontId="20" fillId="5" borderId="42" xfId="5" applyFont="1" applyFill="1" applyBorder="1" applyAlignment="1">
      <alignment vertical="center"/>
    </xf>
    <xf numFmtId="0" fontId="22" fillId="0" borderId="0" xfId="5" applyFont="1" applyAlignment="1">
      <alignment vertical="center"/>
    </xf>
    <xf numFmtId="0" fontId="25" fillId="0" borderId="0" xfId="0" applyFont="1" applyAlignment="1">
      <alignment vertical="center"/>
    </xf>
    <xf numFmtId="0" fontId="26" fillId="0" borderId="0" xfId="0" applyFont="1" applyAlignment="1">
      <alignment vertical="center"/>
    </xf>
    <xf numFmtId="171" fontId="22" fillId="0" borderId="0" xfId="6" applyNumberFormat="1" applyFont="1" applyAlignment="1">
      <alignment vertical="center"/>
    </xf>
    <xf numFmtId="0" fontId="9" fillId="0" borderId="0" xfId="3"/>
    <xf numFmtId="0" fontId="29" fillId="0" borderId="0" xfId="5" applyFont="1" applyAlignment="1">
      <alignment vertical="center"/>
    </xf>
    <xf numFmtId="172" fontId="20" fillId="0" borderId="0" xfId="5" applyNumberFormat="1" applyFont="1" applyAlignment="1">
      <alignment vertical="center"/>
    </xf>
    <xf numFmtId="172" fontId="29" fillId="0" borderId="0" xfId="5" applyNumberFormat="1" applyFont="1" applyAlignment="1">
      <alignment vertical="center"/>
    </xf>
    <xf numFmtId="164" fontId="29" fillId="0" borderId="0" xfId="5" applyNumberFormat="1" applyFont="1" applyAlignment="1">
      <alignment vertical="center"/>
    </xf>
    <xf numFmtId="0" fontId="32" fillId="0" borderId="0" xfId="5" applyFont="1" applyAlignment="1">
      <alignment vertical="center"/>
    </xf>
    <xf numFmtId="171" fontId="32" fillId="0" borderId="0" xfId="6" applyNumberFormat="1" applyFont="1" applyAlignment="1">
      <alignment vertical="center"/>
    </xf>
    <xf numFmtId="166" fontId="28" fillId="9" borderId="1" xfId="8" applyNumberFormat="1" applyFont="1" applyBorder="1" applyAlignment="1">
      <alignment vertical="center" wrapText="1"/>
    </xf>
    <xf numFmtId="1" fontId="20" fillId="14" borderId="1" xfId="7" applyNumberFormat="1" applyFont="1" applyFill="1" applyBorder="1" applyAlignment="1">
      <alignment horizontal="center" vertical="center"/>
    </xf>
    <xf numFmtId="0" fontId="33" fillId="0" borderId="0" xfId="5" applyFont="1" applyAlignment="1">
      <alignment vertical="center"/>
    </xf>
    <xf numFmtId="0" fontId="33" fillId="0" borderId="0" xfId="5" applyFont="1" applyAlignment="1">
      <alignment horizontal="right" vertical="center" wrapText="1"/>
    </xf>
    <xf numFmtId="164" fontId="34" fillId="0" borderId="0" xfId="5" applyNumberFormat="1" applyFont="1" applyAlignment="1">
      <alignment horizontal="right" vertical="center"/>
    </xf>
    <xf numFmtId="164" fontId="33" fillId="0" borderId="0" xfId="5" applyNumberFormat="1" applyFont="1" applyAlignment="1">
      <alignment vertical="center"/>
    </xf>
    <xf numFmtId="0" fontId="5" fillId="13" borderId="17" xfId="13" applyBorder="1" applyAlignment="1">
      <alignment horizontal="center" vertical="center" wrapText="1"/>
    </xf>
    <xf numFmtId="1" fontId="5" fillId="13" borderId="12" xfId="13" applyNumberFormat="1" applyBorder="1" applyAlignment="1">
      <alignment horizontal="center" vertical="center" wrapText="1"/>
    </xf>
    <xf numFmtId="164" fontId="5" fillId="13" borderId="12" xfId="13" applyNumberFormat="1" applyBorder="1" applyAlignment="1">
      <alignment horizontal="center" vertical="center" wrapText="1"/>
    </xf>
    <xf numFmtId="0" fontId="5" fillId="13" borderId="1" xfId="13" applyBorder="1" applyAlignment="1">
      <alignment horizontal="center" vertical="center" wrapText="1"/>
    </xf>
    <xf numFmtId="1" fontId="5" fillId="13" borderId="1" xfId="13" applyNumberFormat="1" applyBorder="1" applyAlignment="1">
      <alignment horizontal="center" vertical="center"/>
    </xf>
    <xf numFmtId="164" fontId="5" fillId="13" borderId="1" xfId="13" applyNumberFormat="1" applyBorder="1" applyAlignment="1">
      <alignment vertical="center"/>
    </xf>
    <xf numFmtId="164" fontId="5" fillId="13" borderId="1" xfId="13" applyNumberFormat="1" applyBorder="1" applyAlignment="1">
      <alignment vertical="center" wrapText="1"/>
    </xf>
    <xf numFmtId="0" fontId="5" fillId="13" borderId="1" xfId="13" applyBorder="1" applyAlignment="1">
      <alignment vertical="center" wrapText="1"/>
    </xf>
    <xf numFmtId="168" fontId="5" fillId="13" borderId="1" xfId="13" applyNumberFormat="1" applyBorder="1" applyAlignment="1">
      <alignment horizontal="center" vertical="center" wrapText="1"/>
    </xf>
    <xf numFmtId="168" fontId="5" fillId="13" borderId="1" xfId="13" applyNumberFormat="1" applyBorder="1" applyAlignment="1">
      <alignment horizontal="center" vertical="center"/>
    </xf>
    <xf numFmtId="164" fontId="24" fillId="11" borderId="44" xfId="11" applyNumberFormat="1" applyAlignment="1">
      <alignment horizontal="center" wrapText="1"/>
    </xf>
    <xf numFmtId="1" fontId="24" fillId="11" borderId="1" xfId="11" applyNumberFormat="1" applyBorder="1" applyAlignment="1">
      <alignment horizontal="center" wrapText="1"/>
    </xf>
    <xf numFmtId="1" fontId="5" fillId="13" borderId="1" xfId="13" applyNumberFormat="1" applyBorder="1" applyAlignment="1">
      <alignment horizontal="center" vertical="center" wrapText="1"/>
    </xf>
    <xf numFmtId="164" fontId="5" fillId="13" borderId="1" xfId="13" applyNumberFormat="1" applyBorder="1" applyAlignment="1">
      <alignment horizontal="center" vertical="center" wrapText="1"/>
    </xf>
    <xf numFmtId="0" fontId="5" fillId="13" borderId="12" xfId="13" applyBorder="1" applyAlignment="1">
      <alignment horizontal="center" vertical="center" wrapText="1"/>
    </xf>
    <xf numFmtId="168" fontId="5" fillId="13" borderId="12" xfId="13" applyNumberFormat="1" applyBorder="1" applyAlignment="1">
      <alignment horizontal="center" vertical="center" wrapText="1"/>
    </xf>
    <xf numFmtId="0" fontId="5" fillId="13" borderId="4" xfId="13" applyBorder="1" applyAlignment="1">
      <alignment horizontal="center" vertical="center" wrapText="1"/>
    </xf>
    <xf numFmtId="1" fontId="5" fillId="13" borderId="4" xfId="13" applyNumberFormat="1" applyBorder="1" applyAlignment="1">
      <alignment horizontal="center" vertical="center" wrapText="1"/>
    </xf>
    <xf numFmtId="164" fontId="5" fillId="13" borderId="17" xfId="13" applyNumberFormat="1" applyBorder="1" applyAlignment="1">
      <alignment horizontal="center" vertical="center" wrapText="1"/>
    </xf>
    <xf numFmtId="164" fontId="5" fillId="13" borderId="6" xfId="13" applyNumberFormat="1" applyBorder="1" applyAlignment="1">
      <alignment horizontal="center" vertical="center" wrapText="1"/>
    </xf>
    <xf numFmtId="173" fontId="24" fillId="11" borderId="44" xfId="11" quotePrefix="1" applyNumberFormat="1" applyAlignment="1">
      <alignment horizontal="right" vertical="center"/>
    </xf>
    <xf numFmtId="173" fontId="24" fillId="11" borderId="44" xfId="11" applyNumberFormat="1" applyAlignment="1">
      <alignment vertical="center" wrapText="1"/>
    </xf>
    <xf numFmtId="1" fontId="5" fillId="13" borderId="17" xfId="13" applyNumberFormat="1" applyBorder="1" applyAlignment="1">
      <alignment horizontal="center" vertical="center" wrapText="1"/>
    </xf>
    <xf numFmtId="168" fontId="5" fillId="13" borderId="12" xfId="13" applyNumberFormat="1" applyBorder="1" applyAlignment="1">
      <alignment vertical="center" wrapText="1"/>
    </xf>
    <xf numFmtId="0" fontId="5" fillId="13" borderId="12" xfId="13" applyBorder="1" applyAlignment="1">
      <alignment vertical="center" wrapText="1"/>
    </xf>
    <xf numFmtId="164" fontId="5" fillId="13" borderId="1" xfId="13" applyNumberFormat="1" applyBorder="1" applyAlignment="1">
      <alignment horizontal="center" vertical="center"/>
    </xf>
    <xf numFmtId="0" fontId="30" fillId="3" borderId="18" xfId="0" applyFont="1" applyFill="1" applyBorder="1" applyAlignment="1">
      <alignment horizontal="center" vertical="center"/>
    </xf>
    <xf numFmtId="0" fontId="35" fillId="3" borderId="6"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20" fillId="3" borderId="1" xfId="0" applyFont="1" applyFill="1" applyBorder="1" applyAlignment="1">
      <alignment horizontal="center" vertical="center"/>
    </xf>
    <xf numFmtId="0" fontId="29" fillId="3" borderId="1" xfId="0" applyFont="1" applyFill="1" applyBorder="1" applyAlignment="1">
      <alignment horizontal="center" vertical="center" wrapText="1"/>
    </xf>
    <xf numFmtId="166" fontId="32" fillId="2" borderId="1" xfId="1" applyNumberFormat="1" applyFont="1" applyFill="1" applyBorder="1" applyAlignment="1">
      <alignment vertical="center" wrapText="1"/>
    </xf>
    <xf numFmtId="166" fontId="32" fillId="2" borderId="12" xfId="1" applyNumberFormat="1" applyFont="1" applyFill="1" applyBorder="1" applyAlignment="1">
      <alignment vertical="center" wrapText="1"/>
    </xf>
    <xf numFmtId="0" fontId="37" fillId="0" borderId="12" xfId="0" applyFont="1" applyBorder="1" applyAlignment="1">
      <alignment horizontal="center" vertical="center" wrapText="1"/>
    </xf>
    <xf numFmtId="1" fontId="20" fillId="0" borderId="12" xfId="0" applyNumberFormat="1" applyFont="1" applyBorder="1" applyAlignment="1">
      <alignment horizontal="center" vertical="center"/>
    </xf>
    <xf numFmtId="164" fontId="20" fillId="0" borderId="12" xfId="0" applyNumberFormat="1" applyFont="1" applyBorder="1" applyAlignment="1">
      <alignment vertical="center"/>
    </xf>
    <xf numFmtId="169" fontId="20" fillId="0" borderId="1" xfId="1" applyNumberFormat="1" applyFont="1" applyBorder="1" applyAlignment="1">
      <alignment horizontal="center" wrapText="1"/>
    </xf>
    <xf numFmtId="168" fontId="20" fillId="0" borderId="1" xfId="0" applyNumberFormat="1" applyFont="1" applyBorder="1" applyAlignment="1">
      <alignment horizontal="center" wrapText="1"/>
    </xf>
    <xf numFmtId="164" fontId="20" fillId="0" borderId="1" xfId="0" applyNumberFormat="1" applyFont="1" applyBorder="1" applyAlignment="1">
      <alignment horizontal="center" wrapText="1"/>
    </xf>
    <xf numFmtId="0" fontId="22" fillId="0" borderId="12"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2" fillId="0" borderId="1" xfId="0" applyFont="1" applyBorder="1" applyAlignment="1">
      <alignment vertical="center" wrapText="1"/>
    </xf>
    <xf numFmtId="0" fontId="20" fillId="0" borderId="16" xfId="0" applyFont="1" applyBorder="1" applyAlignment="1">
      <alignment horizontal="center" vertical="center"/>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164" fontId="20" fillId="0" borderId="2" xfId="0" applyNumberFormat="1" applyFont="1" applyBorder="1" applyAlignment="1">
      <alignment vertical="center"/>
    </xf>
    <xf numFmtId="164" fontId="20" fillId="0" borderId="2" xfId="0" applyNumberFormat="1" applyFont="1" applyBorder="1" applyAlignment="1">
      <alignment vertical="center" wrapText="1"/>
    </xf>
    <xf numFmtId="0" fontId="20" fillId="4" borderId="1" xfId="0" applyFont="1" applyFill="1" applyBorder="1" applyAlignment="1">
      <alignment vertical="center" wrapText="1"/>
    </xf>
    <xf numFmtId="166" fontId="20" fillId="0" borderId="1" xfId="1" applyNumberFormat="1" applyFont="1" applyBorder="1" applyAlignment="1">
      <alignment vertical="center" wrapText="1"/>
    </xf>
    <xf numFmtId="168" fontId="20" fillId="0" borderId="12" xfId="0" applyNumberFormat="1" applyFont="1" applyBorder="1" applyAlignment="1">
      <alignment horizontal="center"/>
    </xf>
    <xf numFmtId="164" fontId="20" fillId="0" borderId="0" xfId="0" applyNumberFormat="1" applyFont="1" applyAlignment="1">
      <alignment horizontal="center"/>
    </xf>
    <xf numFmtId="169" fontId="20" fillId="0" borderId="12" xfId="1" applyNumberFormat="1" applyFont="1" applyBorder="1" applyAlignment="1">
      <alignment horizontal="center" wrapText="1"/>
    </xf>
    <xf numFmtId="164" fontId="20" fillId="0" borderId="12" xfId="1" applyNumberFormat="1" applyFont="1" applyBorder="1" applyAlignment="1">
      <alignment horizontal="center" wrapText="1"/>
    </xf>
    <xf numFmtId="0" fontId="20" fillId="0" borderId="1" xfId="0" applyFont="1" applyBorder="1" applyAlignment="1">
      <alignment vertical="center"/>
    </xf>
    <xf numFmtId="0" fontId="33" fillId="0" borderId="16" xfId="0" applyFont="1" applyBorder="1" applyAlignment="1">
      <alignment horizontal="center" vertical="center"/>
    </xf>
    <xf numFmtId="0" fontId="33" fillId="0" borderId="2" xfId="0" applyFont="1" applyBorder="1" applyAlignment="1">
      <alignment horizontal="left" vertical="center" wrapText="1"/>
    </xf>
    <xf numFmtId="0" fontId="33" fillId="0" borderId="2" xfId="0" applyFont="1" applyBorder="1" applyAlignment="1">
      <alignment horizontal="center" vertical="center" wrapText="1"/>
    </xf>
    <xf numFmtId="0" fontId="33" fillId="0" borderId="12" xfId="0" applyFont="1" applyBorder="1" applyAlignment="1">
      <alignment horizontal="center" vertical="center" wrapText="1"/>
    </xf>
    <xf numFmtId="1" fontId="33" fillId="0" borderId="12" xfId="0" applyNumberFormat="1" applyFont="1" applyBorder="1" applyAlignment="1">
      <alignment horizontal="center" vertical="center"/>
    </xf>
    <xf numFmtId="164" fontId="33" fillId="0" borderId="12" xfId="0" applyNumberFormat="1" applyFont="1" applyBorder="1" applyAlignment="1">
      <alignment vertical="center"/>
    </xf>
    <xf numFmtId="164" fontId="33" fillId="0" borderId="2" xfId="0" applyNumberFormat="1" applyFont="1" applyBorder="1" applyAlignment="1">
      <alignment vertical="center"/>
    </xf>
    <xf numFmtId="164" fontId="33" fillId="0" borderId="2" xfId="0" applyNumberFormat="1" applyFont="1" applyBorder="1" applyAlignment="1">
      <alignment vertical="center" wrapText="1"/>
    </xf>
    <xf numFmtId="0" fontId="33" fillId="0" borderId="1" xfId="0" applyFont="1" applyBorder="1" applyAlignment="1">
      <alignment vertical="center" wrapText="1"/>
    </xf>
    <xf numFmtId="166" fontId="33" fillId="0" borderId="1" xfId="1" applyNumberFormat="1" applyFont="1" applyBorder="1" applyAlignment="1">
      <alignment vertical="center" wrapText="1"/>
    </xf>
    <xf numFmtId="1" fontId="33" fillId="0" borderId="1" xfId="1" applyNumberFormat="1" applyFont="1" applyBorder="1" applyAlignment="1">
      <alignment horizontal="center" wrapText="1"/>
    </xf>
    <xf numFmtId="168" fontId="33" fillId="0" borderId="1" xfId="1" applyNumberFormat="1" applyFont="1" applyBorder="1" applyAlignment="1">
      <alignment horizontal="center" wrapText="1"/>
    </xf>
    <xf numFmtId="164" fontId="33" fillId="0" borderId="1" xfId="1" applyNumberFormat="1" applyFont="1" applyBorder="1" applyAlignment="1">
      <alignment horizontal="center" wrapText="1"/>
    </xf>
    <xf numFmtId="166" fontId="22" fillId="0" borderId="1" xfId="1" applyNumberFormat="1" applyFont="1" applyBorder="1" applyAlignment="1">
      <alignment vertical="center" wrapText="1"/>
    </xf>
    <xf numFmtId="0" fontId="20" fillId="0" borderId="14" xfId="0" applyFont="1" applyBorder="1" applyAlignment="1">
      <alignment horizontal="center" vertical="center"/>
    </xf>
    <xf numFmtId="0" fontId="20" fillId="0" borderId="3" xfId="0" applyFont="1" applyBorder="1" applyAlignment="1">
      <alignment horizontal="left" vertical="center" wrapText="1"/>
    </xf>
    <xf numFmtId="0" fontId="20" fillId="0" borderId="3" xfId="0" applyFont="1" applyBorder="1" applyAlignment="1">
      <alignment horizontal="center" vertical="center" wrapText="1"/>
    </xf>
    <xf numFmtId="0" fontId="37" fillId="0" borderId="1" xfId="0" applyFont="1" applyBorder="1" applyAlignment="1">
      <alignment horizontal="center" vertical="center" wrapText="1"/>
    </xf>
    <xf numFmtId="1" fontId="20" fillId="0" borderId="1" xfId="0" applyNumberFormat="1" applyFont="1" applyBorder="1" applyAlignment="1">
      <alignment horizontal="center" vertical="center"/>
    </xf>
    <xf numFmtId="164" fontId="20" fillId="0" borderId="1" xfId="0" applyNumberFormat="1" applyFont="1" applyBorder="1" applyAlignment="1">
      <alignment vertical="center"/>
    </xf>
    <xf numFmtId="164" fontId="20" fillId="0" borderId="3" xfId="0" applyNumberFormat="1" applyFont="1" applyBorder="1" applyAlignment="1">
      <alignment vertical="center"/>
    </xf>
    <xf numFmtId="167" fontId="20" fillId="0" borderId="1" xfId="0" applyNumberFormat="1" applyFont="1" applyBorder="1" applyAlignment="1">
      <alignment vertical="center" wrapText="1"/>
    </xf>
    <xf numFmtId="0" fontId="20" fillId="0" borderId="1" xfId="0" applyFont="1" applyBorder="1"/>
    <xf numFmtId="164" fontId="20" fillId="0" borderId="1" xfId="0" applyNumberFormat="1" applyFont="1" applyBorder="1"/>
    <xf numFmtId="167" fontId="22" fillId="2" borderId="1" xfId="0" applyNumberFormat="1" applyFont="1" applyFill="1" applyBorder="1" applyAlignment="1">
      <alignment vertical="center" wrapText="1"/>
    </xf>
    <xf numFmtId="0" fontId="36" fillId="3" borderId="1" xfId="0" applyFont="1" applyFill="1" applyBorder="1" applyAlignment="1">
      <alignment horizontal="center" vertical="center" wrapText="1"/>
    </xf>
    <xf numFmtId="0" fontId="20" fillId="0" borderId="1" xfId="0" applyFont="1" applyBorder="1" applyAlignment="1">
      <alignment horizontal="left" vertical="center" wrapText="1"/>
    </xf>
    <xf numFmtId="1" fontId="20" fillId="7" borderId="1" xfId="0" applyNumberFormat="1" applyFont="1" applyFill="1" applyBorder="1" applyAlignment="1">
      <alignment horizontal="center" vertical="center"/>
    </xf>
    <xf numFmtId="164" fontId="20" fillId="0" borderId="1" xfId="0" applyNumberFormat="1" applyFont="1" applyBorder="1" applyAlignment="1">
      <alignment horizontal="center" vertical="center"/>
    </xf>
    <xf numFmtId="170" fontId="20"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3" fontId="20" fillId="0" borderId="3"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1" fontId="20" fillId="0" borderId="3" xfId="0" applyNumberFormat="1" applyFont="1" applyBorder="1" applyAlignment="1">
      <alignment horizontal="center" vertical="center" wrapText="1"/>
    </xf>
    <xf numFmtId="1" fontId="20" fillId="0" borderId="1" xfId="0" applyNumberFormat="1" applyFont="1" applyBorder="1" applyAlignment="1">
      <alignment vertical="center" wrapText="1"/>
    </xf>
    <xf numFmtId="0" fontId="38" fillId="0" borderId="22" xfId="0" applyFont="1" applyBorder="1" applyAlignment="1">
      <alignment horizontal="center" vertical="center"/>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1" fontId="38" fillId="0" borderId="1" xfId="0" applyNumberFormat="1" applyFont="1" applyBorder="1" applyAlignment="1">
      <alignment horizontal="center" vertical="center" wrapText="1"/>
    </xf>
    <xf numFmtId="164" fontId="38" fillId="0" borderId="1" xfId="0" applyNumberFormat="1" applyFont="1" applyBorder="1" applyAlignment="1">
      <alignment horizontal="center" vertical="center" wrapText="1"/>
    </xf>
    <xf numFmtId="164" fontId="38" fillId="0" borderId="1" xfId="0" applyNumberFormat="1" applyFont="1" applyBorder="1" applyAlignment="1">
      <alignment horizontal="center" vertical="center"/>
    </xf>
    <xf numFmtId="164" fontId="38" fillId="0" borderId="1" xfId="0" applyNumberFormat="1" applyFont="1" applyBorder="1" applyAlignment="1">
      <alignment vertical="center"/>
    </xf>
    <xf numFmtId="0" fontId="39" fillId="0" borderId="1" xfId="0" applyFont="1" applyBorder="1" applyAlignment="1">
      <alignment horizontal="center" vertical="center" wrapText="1"/>
    </xf>
    <xf numFmtId="0" fontId="38" fillId="0" borderId="20" xfId="0" applyFont="1" applyBorder="1" applyAlignment="1">
      <alignment horizontal="center" vertical="center" wrapText="1"/>
    </xf>
    <xf numFmtId="164" fontId="39" fillId="0" borderId="12" xfId="1" applyNumberFormat="1" applyFont="1" applyBorder="1" applyAlignment="1">
      <alignment horizontal="center" vertical="center" wrapText="1"/>
    </xf>
    <xf numFmtId="168" fontId="39" fillId="0" borderId="12" xfId="1" applyNumberFormat="1" applyFont="1" applyBorder="1" applyAlignment="1">
      <alignment horizontal="center" vertical="center" wrapText="1"/>
    </xf>
    <xf numFmtId="168" fontId="39" fillId="0" borderId="2" xfId="1" applyNumberFormat="1" applyFont="1" applyBorder="1" applyAlignment="1">
      <alignment horizontal="center" vertical="center" wrapText="1"/>
    </xf>
    <xf numFmtId="168" fontId="39" fillId="0" borderId="1" xfId="1" applyNumberFormat="1" applyFont="1" applyBorder="1" applyAlignment="1">
      <alignment horizontal="center" vertical="center" wrapText="1"/>
    </xf>
    <xf numFmtId="0" fontId="39" fillId="0" borderId="12" xfId="1" applyFont="1" applyBorder="1" applyAlignment="1">
      <alignment horizontal="center" vertical="center" wrapText="1"/>
    </xf>
    <xf numFmtId="164" fontId="39" fillId="0" borderId="1" xfId="0" applyNumberFormat="1" applyFont="1" applyBorder="1" applyAlignment="1">
      <alignment horizontal="center" vertical="center" wrapText="1"/>
    </xf>
    <xf numFmtId="0" fontId="29" fillId="3" borderId="4" xfId="0" applyFont="1" applyFill="1" applyBorder="1" applyAlignment="1">
      <alignment horizontal="center" vertical="center" wrapText="1"/>
    </xf>
    <xf numFmtId="0" fontId="29" fillId="3" borderId="1" xfId="0" applyFont="1" applyFill="1" applyBorder="1" applyAlignment="1">
      <alignment horizontal="center" vertical="center"/>
    </xf>
    <xf numFmtId="0" fontId="29" fillId="3" borderId="1" xfId="0" applyFont="1" applyFill="1" applyBorder="1" applyAlignment="1">
      <alignment horizontal="left" vertical="center" wrapText="1"/>
    </xf>
    <xf numFmtId="0" fontId="20" fillId="4" borderId="1" xfId="0" applyFont="1" applyFill="1" applyBorder="1" applyAlignment="1">
      <alignment horizontal="center" vertical="center"/>
    </xf>
    <xf numFmtId="1" fontId="20" fillId="4" borderId="1" xfId="0" applyNumberFormat="1" applyFont="1" applyFill="1" applyBorder="1" applyAlignment="1">
      <alignment horizontal="center" vertical="center"/>
    </xf>
    <xf numFmtId="164" fontId="20" fillId="4" borderId="1" xfId="0" applyNumberFormat="1" applyFont="1" applyFill="1" applyBorder="1" applyAlignment="1">
      <alignment horizontal="center" vertical="center"/>
    </xf>
    <xf numFmtId="168" fontId="20" fillId="0" borderId="1" xfId="0" applyNumberFormat="1" applyFont="1" applyBorder="1" applyAlignment="1">
      <alignment horizontal="center" vertical="center"/>
    </xf>
    <xf numFmtId="0" fontId="22" fillId="0" borderId="1" xfId="0" applyFont="1" applyBorder="1" applyAlignment="1">
      <alignment vertical="center"/>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164" fontId="20" fillId="4" borderId="1" xfId="2" applyFont="1" applyFill="1" applyBorder="1" applyAlignment="1">
      <alignment horizontal="left" vertical="center"/>
    </xf>
    <xf numFmtId="0" fontId="20" fillId="0" borderId="0" xfId="0" applyFont="1" applyAlignment="1">
      <alignment vertical="center"/>
    </xf>
    <xf numFmtId="0" fontId="20" fillId="0" borderId="20" xfId="0" applyFont="1" applyBorder="1" applyAlignment="1">
      <alignment vertical="center"/>
    </xf>
    <xf numFmtId="0" fontId="20" fillId="0" borderId="3" xfId="0" applyFont="1" applyBorder="1" applyAlignment="1">
      <alignment vertical="center" wrapText="1"/>
    </xf>
    <xf numFmtId="164" fontId="20" fillId="4" borderId="1" xfId="0" applyNumberFormat="1" applyFont="1" applyFill="1" applyBorder="1" applyAlignment="1">
      <alignment horizontal="left" vertical="center"/>
    </xf>
    <xf numFmtId="0" fontId="20" fillId="0" borderId="20" xfId="0" applyFont="1" applyBorder="1" applyAlignment="1">
      <alignment vertical="center" wrapText="1"/>
    </xf>
    <xf numFmtId="0" fontId="29" fillId="3" borderId="1" xfId="0" applyFont="1" applyFill="1" applyBorder="1" applyAlignment="1">
      <alignment horizontal="left" vertical="center"/>
    </xf>
    <xf numFmtId="0" fontId="20" fillId="4" borderId="1" xfId="0" applyFont="1" applyFill="1" applyBorder="1" applyAlignment="1">
      <alignment horizontal="left" vertical="center"/>
    </xf>
    <xf numFmtId="1" fontId="20" fillId="9" borderId="43" xfId="8" applyNumberFormat="1" applyFont="1" applyAlignment="1">
      <alignment horizontal="center" vertical="center"/>
    </xf>
    <xf numFmtId="164" fontId="20" fillId="0" borderId="1" xfId="2" applyFont="1" applyBorder="1" applyAlignment="1">
      <alignment horizontal="left" vertical="center"/>
    </xf>
    <xf numFmtId="0" fontId="20" fillId="4" borderId="4" xfId="0" applyFont="1" applyFill="1" applyBorder="1" applyAlignment="1">
      <alignment horizontal="center" vertical="center"/>
    </xf>
    <xf numFmtId="164" fontId="20" fillId="0" borderId="12" xfId="0" applyNumberFormat="1" applyFont="1" applyBorder="1" applyAlignment="1">
      <alignment horizontal="center" vertical="center"/>
    </xf>
    <xf numFmtId="168" fontId="20" fillId="0" borderId="12" xfId="0" applyNumberFormat="1" applyFont="1" applyBorder="1" applyAlignment="1">
      <alignment horizontal="center" vertical="center"/>
    </xf>
    <xf numFmtId="0" fontId="22" fillId="0" borderId="12" xfId="0" applyFont="1" applyBorder="1" applyAlignment="1">
      <alignment vertical="center"/>
    </xf>
    <xf numFmtId="0" fontId="29" fillId="3" borderId="17" xfId="0" applyFont="1" applyFill="1" applyBorder="1" applyAlignment="1">
      <alignment horizontal="center" vertical="center" wrapText="1"/>
    </xf>
    <xf numFmtId="0" fontId="20" fillId="3" borderId="15" xfId="0" applyFont="1" applyFill="1" applyBorder="1" applyAlignment="1">
      <alignment horizontal="center" vertical="center"/>
    </xf>
    <xf numFmtId="0" fontId="36" fillId="3" borderId="4" xfId="0" applyFont="1" applyFill="1" applyBorder="1" applyAlignment="1">
      <alignment horizontal="center" vertical="center" wrapText="1"/>
    </xf>
    <xf numFmtId="164" fontId="20" fillId="0" borderId="1" xfId="0" applyNumberFormat="1" applyFont="1" applyBorder="1" applyAlignment="1">
      <alignment vertical="center" wrapText="1"/>
    </xf>
    <xf numFmtId="164" fontId="20" fillId="0" borderId="1" xfId="0" applyNumberFormat="1" applyFont="1" applyBorder="1" applyAlignment="1">
      <alignment horizontal="center" vertical="center" wrapText="1"/>
    </xf>
    <xf numFmtId="168" fontId="20" fillId="0" borderId="1" xfId="0" applyNumberFormat="1" applyFont="1" applyBorder="1" applyAlignment="1">
      <alignment horizontal="center" vertical="center" wrapText="1"/>
    </xf>
    <xf numFmtId="0" fontId="20" fillId="0" borderId="1" xfId="0" applyFont="1" applyBorder="1" applyAlignment="1">
      <alignment horizontal="left" vertical="center"/>
    </xf>
    <xf numFmtId="0" fontId="20" fillId="0" borderId="1" xfId="0" applyFont="1" applyBorder="1" applyAlignment="1">
      <alignment horizontal="center" vertical="center"/>
    </xf>
    <xf numFmtId="1" fontId="20" fillId="0" borderId="1" xfId="2" applyNumberFormat="1" applyFont="1" applyBorder="1" applyAlignment="1">
      <alignment horizontal="center" vertical="center"/>
    </xf>
    <xf numFmtId="0" fontId="30" fillId="0" borderId="1" xfId="0" applyFont="1" applyBorder="1" applyAlignment="1">
      <alignment horizontal="center" vertical="center" wrapText="1"/>
    </xf>
    <xf numFmtId="0" fontId="37" fillId="0" borderId="1" xfId="0" applyFont="1" applyBorder="1" applyAlignment="1">
      <alignment horizontal="left" vertical="center" wrapText="1"/>
    </xf>
    <xf numFmtId="0" fontId="20" fillId="0" borderId="2" xfId="0" applyFont="1" applyBorder="1" applyAlignment="1">
      <alignment vertical="center" wrapText="1"/>
    </xf>
    <xf numFmtId="0" fontId="20" fillId="0" borderId="22" xfId="0" applyFont="1" applyBorder="1" applyAlignment="1">
      <alignment vertical="center"/>
    </xf>
    <xf numFmtId="0" fontId="20" fillId="0" borderId="15" xfId="0" applyFont="1" applyBorder="1" applyAlignment="1">
      <alignment horizontal="center" vertical="center"/>
    </xf>
    <xf numFmtId="0" fontId="37" fillId="0" borderId="4" xfId="0" applyFont="1" applyBorder="1" applyAlignment="1">
      <alignment horizontal="center" vertical="center" wrapText="1"/>
    </xf>
    <xf numFmtId="1" fontId="20" fillId="0" borderId="17" xfId="0" applyNumberFormat="1" applyFont="1" applyBorder="1" applyAlignment="1">
      <alignment horizontal="center" vertical="center"/>
    </xf>
    <xf numFmtId="164" fontId="20" fillId="0" borderId="17" xfId="0" applyNumberFormat="1" applyFont="1" applyBorder="1" applyAlignment="1">
      <alignment vertical="center"/>
    </xf>
    <xf numFmtId="164" fontId="20" fillId="0" borderId="6" xfId="0" applyNumberFormat="1" applyFont="1" applyBorder="1" applyAlignment="1">
      <alignment vertical="center"/>
    </xf>
    <xf numFmtId="164" fontId="20" fillId="0" borderId="6" xfId="0" applyNumberFormat="1" applyFont="1" applyBorder="1" applyAlignment="1">
      <alignment vertical="center" wrapText="1"/>
    </xf>
    <xf numFmtId="164" fontId="30" fillId="0" borderId="12" xfId="1" applyNumberFormat="1" applyFont="1" applyBorder="1" applyAlignment="1">
      <alignment horizontal="center" vertical="center" wrapText="1"/>
    </xf>
    <xf numFmtId="168" fontId="30" fillId="0" borderId="12" xfId="1" applyNumberFormat="1" applyFont="1" applyBorder="1" applyAlignment="1">
      <alignment horizontal="center" vertical="center" wrapText="1"/>
    </xf>
    <xf numFmtId="0" fontId="40" fillId="0" borderId="12" xfId="1" applyFont="1" applyBorder="1" applyAlignment="1">
      <alignment horizontal="center" vertical="center" wrapText="1"/>
    </xf>
    <xf numFmtId="0" fontId="20" fillId="0" borderId="12" xfId="0" applyFont="1" applyBorder="1" applyAlignment="1">
      <alignment horizontal="center" vertical="center"/>
    </xf>
    <xf numFmtId="0" fontId="20" fillId="0" borderId="12" xfId="0" applyFont="1" applyBorder="1" applyAlignment="1">
      <alignment horizontal="left" vertical="center"/>
    </xf>
    <xf numFmtId="0" fontId="20" fillId="0" borderId="12" xfId="0" applyFont="1" applyBorder="1" applyAlignment="1">
      <alignment vertical="center"/>
    </xf>
    <xf numFmtId="164" fontId="20" fillId="0" borderId="35" xfId="0" applyNumberFormat="1" applyFont="1" applyBorder="1" applyAlignment="1">
      <alignment horizontal="center" vertical="center"/>
    </xf>
    <xf numFmtId="0" fontId="30" fillId="0" borderId="12" xfId="0" applyFont="1" applyBorder="1" applyAlignment="1">
      <alignment horizontal="center" vertical="center" wrapText="1"/>
    </xf>
    <xf numFmtId="0" fontId="20" fillId="0" borderId="22" xfId="0" applyFont="1" applyBorder="1" applyAlignment="1">
      <alignment horizontal="center" vertical="center" wrapText="1"/>
    </xf>
    <xf numFmtId="0" fontId="20" fillId="3" borderId="33"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7" xfId="0" applyFont="1" applyFill="1" applyBorder="1" applyAlignment="1">
      <alignment horizontal="center" vertical="center" wrapText="1"/>
    </xf>
    <xf numFmtId="164" fontId="20" fillId="0" borderId="3" xfId="0" applyNumberFormat="1" applyFont="1" applyBorder="1" applyAlignment="1">
      <alignment vertical="center" wrapText="1"/>
    </xf>
    <xf numFmtId="1" fontId="20" fillId="14" borderId="1" xfId="0" applyNumberFormat="1" applyFont="1" applyFill="1" applyBorder="1" applyAlignment="1">
      <alignment horizontal="center" vertical="center"/>
    </xf>
    <xf numFmtId="164" fontId="30" fillId="0" borderId="1" xfId="0" applyNumberFormat="1" applyFont="1" applyBorder="1" applyAlignment="1">
      <alignment horizontal="center" vertical="center" wrapText="1"/>
    </xf>
    <xf numFmtId="164" fontId="31" fillId="0" borderId="1" xfId="0" applyNumberFormat="1" applyFont="1" applyBorder="1" applyAlignment="1">
      <alignment horizontal="center" vertical="center" wrapText="1"/>
    </xf>
    <xf numFmtId="0" fontId="20" fillId="3" borderId="12" xfId="0" applyFont="1" applyFill="1" applyBorder="1" applyAlignment="1">
      <alignment horizontal="center" vertical="center"/>
    </xf>
    <xf numFmtId="0" fontId="30" fillId="0" borderId="5" xfId="0" applyFont="1" applyBorder="1" applyAlignment="1">
      <alignment horizontal="center" vertical="center" wrapText="1"/>
    </xf>
    <xf numFmtId="0" fontId="20" fillId="0" borderId="20" xfId="0" applyFont="1" applyBorder="1" applyAlignment="1">
      <alignment horizontal="center" vertical="center" wrapText="1"/>
    </xf>
    <xf numFmtId="0" fontId="37" fillId="0" borderId="5" xfId="0" applyFont="1" applyBorder="1" applyAlignment="1">
      <alignment horizontal="left" vertical="center" wrapText="1"/>
    </xf>
    <xf numFmtId="0" fontId="37" fillId="0" borderId="5" xfId="0" applyFont="1" applyBorder="1" applyAlignment="1">
      <alignment horizontal="center" vertical="center" wrapText="1"/>
    </xf>
    <xf numFmtId="1" fontId="20" fillId="0" borderId="4" xfId="0" applyNumberFormat="1" applyFont="1" applyBorder="1" applyAlignment="1">
      <alignment horizontal="center" vertical="center"/>
    </xf>
    <xf numFmtId="164" fontId="20" fillId="0" borderId="4" xfId="0" applyNumberFormat="1" applyFont="1" applyBorder="1" applyAlignment="1">
      <alignment vertical="center"/>
    </xf>
    <xf numFmtId="164" fontId="20" fillId="0" borderId="5" xfId="0" applyNumberFormat="1" applyFont="1" applyBorder="1" applyAlignment="1">
      <alignment vertical="center"/>
    </xf>
    <xf numFmtId="164" fontId="20" fillId="0" borderId="20" xfId="0" applyNumberFormat="1" applyFont="1" applyBorder="1" applyAlignment="1">
      <alignment horizontal="center" vertical="center"/>
    </xf>
    <xf numFmtId="164" fontId="30" fillId="0" borderId="22" xfId="1" applyNumberFormat="1" applyFont="1" applyBorder="1" applyAlignment="1">
      <alignment horizontal="center" vertical="center" wrapText="1"/>
    </xf>
    <xf numFmtId="164" fontId="20" fillId="0" borderId="20" xfId="0" applyNumberFormat="1" applyFont="1" applyBorder="1" applyAlignment="1">
      <alignment horizontal="center" vertical="center" wrapText="1"/>
    </xf>
    <xf numFmtId="164" fontId="20" fillId="0" borderId="22" xfId="0" applyNumberFormat="1" applyFont="1" applyBorder="1" applyAlignment="1">
      <alignment horizontal="center" vertical="center" wrapText="1"/>
    </xf>
    <xf numFmtId="168" fontId="20" fillId="0" borderId="12" xfId="0" applyNumberFormat="1" applyFont="1" applyBorder="1" applyAlignment="1">
      <alignment horizontal="center" vertical="center" wrapText="1"/>
    </xf>
    <xf numFmtId="0" fontId="29" fillId="0" borderId="9" xfId="0" applyFont="1" applyBorder="1" applyAlignment="1">
      <alignment horizontal="center" vertical="center"/>
    </xf>
    <xf numFmtId="0" fontId="20" fillId="0" borderId="17" xfId="0" applyFont="1" applyBorder="1" applyAlignment="1">
      <alignment horizontal="center" vertical="center"/>
    </xf>
    <xf numFmtId="164" fontId="20" fillId="0" borderId="17" xfId="0" applyNumberFormat="1" applyFont="1" applyBorder="1" applyAlignment="1">
      <alignment horizontal="center" vertical="center"/>
    </xf>
    <xf numFmtId="164" fontId="30" fillId="0" borderId="6" xfId="0" applyNumberFormat="1" applyFont="1" applyBorder="1" applyAlignment="1">
      <alignment horizontal="center" vertical="center" wrapText="1"/>
    </xf>
    <xf numFmtId="0" fontId="3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1" fontId="20" fillId="0" borderId="0" xfId="0" applyNumberFormat="1" applyFont="1" applyAlignment="1">
      <alignment horizontal="center" vertical="center"/>
    </xf>
    <xf numFmtId="164" fontId="20" fillId="0" borderId="0" xfId="0" applyNumberFormat="1" applyFont="1" applyAlignment="1">
      <alignment vertical="center"/>
    </xf>
    <xf numFmtId="0" fontId="20" fillId="0" borderId="0" xfId="0" applyFont="1" applyAlignment="1">
      <alignment vertical="center" wrapText="1"/>
    </xf>
    <xf numFmtId="164" fontId="20" fillId="0" borderId="0" xfId="0" applyNumberFormat="1" applyFont="1" applyAlignment="1">
      <alignment horizontal="center" vertical="center"/>
    </xf>
    <xf numFmtId="168" fontId="20" fillId="0" borderId="0" xfId="0" applyNumberFormat="1" applyFont="1" applyAlignment="1">
      <alignment horizontal="center" vertical="center"/>
    </xf>
    <xf numFmtId="0" fontId="22" fillId="0" borderId="0" xfId="0" applyFont="1" applyAlignment="1">
      <alignment vertical="center"/>
    </xf>
    <xf numFmtId="0" fontId="20" fillId="0" borderId="36" xfId="0" applyFont="1" applyBorder="1" applyAlignment="1">
      <alignment horizontal="center" vertical="center"/>
    </xf>
    <xf numFmtId="0" fontId="37" fillId="0" borderId="6" xfId="0" applyFont="1" applyBorder="1" applyAlignment="1">
      <alignment horizontal="left" vertical="center" wrapText="1"/>
    </xf>
    <xf numFmtId="0" fontId="37" fillId="0" borderId="6" xfId="0" applyFont="1" applyBorder="1" applyAlignment="1">
      <alignment horizontal="center" vertical="center" wrapText="1"/>
    </xf>
    <xf numFmtId="0" fontId="37" fillId="0" borderId="17" xfId="0" applyFont="1" applyBorder="1" applyAlignment="1">
      <alignment horizontal="center" vertical="center" wrapText="1"/>
    </xf>
    <xf numFmtId="164" fontId="31" fillId="0" borderId="12" xfId="0" applyNumberFormat="1" applyFont="1" applyBorder="1" applyAlignment="1">
      <alignment horizontal="center" vertical="center" wrapText="1"/>
    </xf>
    <xf numFmtId="0" fontId="31" fillId="0" borderId="3" xfId="0" applyFont="1" applyBorder="1" applyAlignment="1">
      <alignment horizontal="center" vertical="center" wrapText="1"/>
    </xf>
    <xf numFmtId="0" fontId="20" fillId="0" borderId="13" xfId="0" applyFont="1" applyBorder="1" applyAlignment="1">
      <alignment horizontal="center" vertical="center" wrapText="1"/>
    </xf>
    <xf numFmtId="164" fontId="20" fillId="0" borderId="23" xfId="0" applyNumberFormat="1" applyFont="1" applyBorder="1" applyAlignment="1">
      <alignment horizontal="center" vertical="center"/>
    </xf>
    <xf numFmtId="168" fontId="20" fillId="0" borderId="23" xfId="0" applyNumberFormat="1" applyFont="1" applyBorder="1" applyAlignment="1">
      <alignment horizontal="center" vertical="center"/>
    </xf>
    <xf numFmtId="0" fontId="30" fillId="3" borderId="1" xfId="0" applyFont="1" applyFill="1" applyBorder="1" applyAlignment="1">
      <alignment horizontal="center" vertical="center"/>
    </xf>
    <xf numFmtId="0" fontId="35" fillId="3" borderId="1" xfId="0" applyFont="1" applyFill="1" applyBorder="1" applyAlignment="1">
      <alignment horizontal="center" vertical="center" wrapText="1"/>
    </xf>
    <xf numFmtId="164" fontId="20" fillId="0" borderId="6" xfId="0" applyNumberFormat="1" applyFont="1" applyBorder="1" applyAlignment="1">
      <alignment horizontal="center" vertical="center"/>
    </xf>
    <xf numFmtId="0" fontId="41" fillId="0" borderId="1" xfId="0" applyFont="1" applyBorder="1" applyAlignment="1">
      <alignment horizontal="center" vertical="center" wrapText="1"/>
    </xf>
    <xf numFmtId="1" fontId="31" fillId="0" borderId="1" xfId="0" applyNumberFormat="1" applyFont="1" applyBorder="1" applyAlignment="1">
      <alignment horizontal="center" vertical="center" wrapText="1"/>
    </xf>
    <xf numFmtId="164" fontId="20" fillId="0" borderId="13" xfId="0" applyNumberFormat="1" applyFont="1" applyBorder="1" applyAlignment="1">
      <alignment horizontal="center" vertical="center"/>
    </xf>
    <xf numFmtId="168" fontId="20" fillId="0" borderId="13" xfId="0" applyNumberFormat="1" applyFont="1" applyBorder="1" applyAlignment="1">
      <alignment horizontal="center" vertical="center"/>
    </xf>
    <xf numFmtId="0" fontId="20" fillId="0" borderId="6" xfId="0" applyFont="1" applyBorder="1" applyAlignment="1">
      <alignment horizontal="center" vertical="center"/>
    </xf>
    <xf numFmtId="164" fontId="20" fillId="0" borderId="0" xfId="0" applyNumberFormat="1" applyFont="1" applyAlignment="1">
      <alignment vertical="center" wrapText="1"/>
    </xf>
    <xf numFmtId="0" fontId="37" fillId="0" borderId="0" xfId="0" applyFont="1" applyAlignment="1">
      <alignment horizontal="center" vertical="center" wrapText="1"/>
    </xf>
    <xf numFmtId="0" fontId="20" fillId="0" borderId="7" xfId="0" applyFont="1" applyBorder="1" applyAlignment="1">
      <alignment horizontal="center" vertical="center"/>
    </xf>
    <xf numFmtId="0" fontId="20" fillId="0" borderId="8" xfId="0" applyFont="1" applyBorder="1" applyAlignment="1">
      <alignment horizontal="center" vertical="center" wrapText="1"/>
    </xf>
    <xf numFmtId="0" fontId="37" fillId="0" borderId="8" xfId="0" applyFont="1" applyBorder="1" applyAlignment="1">
      <alignment horizontal="center" vertical="center" wrapText="1"/>
    </xf>
    <xf numFmtId="1" fontId="20" fillId="0" borderId="8" xfId="0" applyNumberFormat="1" applyFont="1" applyBorder="1" applyAlignment="1">
      <alignment horizontal="center" vertical="center"/>
    </xf>
    <xf numFmtId="164" fontId="20" fillId="0" borderId="8" xfId="0" applyNumberFormat="1" applyFont="1" applyBorder="1" applyAlignment="1">
      <alignment vertical="center"/>
    </xf>
    <xf numFmtId="164" fontId="20" fillId="0" borderId="21" xfId="0" applyNumberFormat="1" applyFont="1" applyBorder="1" applyAlignment="1">
      <alignment vertical="center" wrapText="1"/>
    </xf>
    <xf numFmtId="0" fontId="20" fillId="0" borderId="9" xfId="0" applyFont="1" applyBorder="1" applyAlignment="1">
      <alignment horizontal="center" vertical="center"/>
    </xf>
    <xf numFmtId="164" fontId="20" fillId="0" borderId="19" xfId="0" applyNumberFormat="1" applyFont="1" applyBorder="1" applyAlignment="1">
      <alignment vertical="center" wrapText="1"/>
    </xf>
    <xf numFmtId="0" fontId="32" fillId="0" borderId="0" xfId="0" applyFont="1" applyAlignment="1">
      <alignment horizontal="center" vertical="center" wrapText="1"/>
    </xf>
    <xf numFmtId="164" fontId="32" fillId="0" borderId="19" xfId="0" applyNumberFormat="1" applyFont="1" applyBorder="1" applyAlignment="1">
      <alignment vertical="center"/>
    </xf>
    <xf numFmtId="0" fontId="20" fillId="2" borderId="0" xfId="0" applyFont="1" applyFill="1" applyAlignment="1">
      <alignment horizontal="center" vertical="center" wrapText="1"/>
    </xf>
    <xf numFmtId="1" fontId="20" fillId="2" borderId="0" xfId="0" applyNumberFormat="1" applyFont="1" applyFill="1" applyAlignment="1">
      <alignment horizontal="center" vertical="center"/>
    </xf>
    <xf numFmtId="164" fontId="20" fillId="2" borderId="0" xfId="0" applyNumberFormat="1" applyFont="1" applyFill="1" applyAlignment="1">
      <alignment vertical="center"/>
    </xf>
    <xf numFmtId="164" fontId="20" fillId="2" borderId="19" xfId="0" applyNumberFormat="1" applyFont="1" applyFill="1" applyBorder="1" applyAlignment="1">
      <alignment vertical="center"/>
    </xf>
    <xf numFmtId="164" fontId="20" fillId="0" borderId="19" xfId="0" applyNumberFormat="1" applyFont="1" applyBorder="1" applyAlignment="1">
      <alignment vertical="center"/>
    </xf>
    <xf numFmtId="0" fontId="29" fillId="0" borderId="0" xfId="0" applyFont="1" applyAlignment="1">
      <alignment horizontal="center" vertical="center" wrapText="1"/>
    </xf>
    <xf numFmtId="164" fontId="32" fillId="0" borderId="0" xfId="0" applyNumberFormat="1" applyFont="1" applyAlignment="1">
      <alignment vertical="center" wrapText="1"/>
    </xf>
    <xf numFmtId="164" fontId="29" fillId="0" borderId="19" xfId="0" applyNumberFormat="1" applyFont="1" applyBorder="1" applyAlignment="1">
      <alignment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wrapText="1"/>
    </xf>
    <xf numFmtId="0" fontId="20" fillId="0" borderId="11" xfId="0" applyFont="1" applyBorder="1" applyAlignment="1">
      <alignment horizontal="center" vertical="center"/>
    </xf>
    <xf numFmtId="1" fontId="20" fillId="0" borderId="11" xfId="0" applyNumberFormat="1" applyFont="1" applyBorder="1" applyAlignment="1">
      <alignment horizontal="center" vertical="center"/>
    </xf>
    <xf numFmtId="164" fontId="20" fillId="0" borderId="11" xfId="0" applyNumberFormat="1" applyFont="1" applyBorder="1" applyAlignment="1">
      <alignment vertical="center"/>
    </xf>
    <xf numFmtId="164" fontId="22" fillId="0" borderId="11" xfId="0" applyNumberFormat="1" applyFont="1" applyBorder="1" applyAlignment="1">
      <alignment horizontal="right" vertical="center"/>
    </xf>
    <xf numFmtId="164" fontId="22" fillId="0" borderId="34" xfId="0" applyNumberFormat="1" applyFont="1" applyBorder="1" applyAlignment="1">
      <alignment vertical="center"/>
    </xf>
    <xf numFmtId="164" fontId="22" fillId="0" borderId="0" xfId="0" applyNumberFormat="1" applyFont="1" applyAlignment="1">
      <alignment horizontal="center" vertical="center"/>
    </xf>
    <xf numFmtId="168" fontId="22" fillId="0" borderId="0" xfId="0" applyNumberFormat="1" applyFont="1" applyAlignment="1">
      <alignment horizontal="center" vertical="center"/>
    </xf>
    <xf numFmtId="0" fontId="20" fillId="0" borderId="12" xfId="0" applyFont="1" applyBorder="1"/>
    <xf numFmtId="164" fontId="20" fillId="0" borderId="12" xfId="0" applyNumberFormat="1" applyFont="1" applyBorder="1"/>
    <xf numFmtId="0" fontId="20" fillId="4" borderId="12" xfId="0" applyFont="1" applyFill="1" applyBorder="1" applyAlignment="1">
      <alignment vertical="center" wrapText="1"/>
    </xf>
    <xf numFmtId="166" fontId="20" fillId="0" borderId="12" xfId="1" applyNumberFormat="1" applyFont="1" applyBorder="1" applyAlignment="1">
      <alignment vertical="center" wrapText="1"/>
    </xf>
    <xf numFmtId="166" fontId="20" fillId="9" borderId="1" xfId="8" applyNumberFormat="1" applyFont="1" applyBorder="1" applyAlignment="1">
      <alignment vertical="center" wrapText="1"/>
    </xf>
    <xf numFmtId="167" fontId="20" fillId="9" borderId="1" xfId="8" applyNumberFormat="1" applyFont="1" applyBorder="1" applyAlignment="1">
      <alignment vertical="center" wrapText="1"/>
    </xf>
    <xf numFmtId="3" fontId="20" fillId="0" borderId="3" xfId="0" applyNumberFormat="1" applyFont="1" applyBorder="1" applyAlignment="1">
      <alignment vertical="center" wrapText="1"/>
    </xf>
    <xf numFmtId="1" fontId="20" fillId="0" borderId="3" xfId="0" applyNumberFormat="1" applyFont="1" applyBorder="1" applyAlignment="1">
      <alignment vertical="center" wrapText="1"/>
    </xf>
    <xf numFmtId="173" fontId="20" fillId="0" borderId="1" xfId="0" quotePrefix="1" applyNumberFormat="1" applyFont="1" applyBorder="1" applyAlignment="1">
      <alignment horizontal="right" vertical="center"/>
    </xf>
    <xf numFmtId="166" fontId="20" fillId="0" borderId="1" xfId="8" applyNumberFormat="1" applyFont="1" applyFill="1" applyBorder="1" applyAlignment="1">
      <alignment vertical="center" wrapText="1"/>
    </xf>
    <xf numFmtId="167" fontId="20" fillId="9" borderId="43" xfId="8" applyNumberFormat="1" applyFont="1" applyAlignment="1">
      <alignment vertical="center" wrapText="1"/>
    </xf>
    <xf numFmtId="0" fontId="32" fillId="3" borderId="30" xfId="0" applyFont="1" applyFill="1" applyBorder="1" applyAlignment="1">
      <alignment horizontal="center" vertical="center"/>
    </xf>
    <xf numFmtId="0" fontId="32" fillId="3" borderId="0" xfId="0" applyFont="1" applyFill="1" applyAlignment="1">
      <alignment vertical="center"/>
    </xf>
    <xf numFmtId="0" fontId="32" fillId="3" borderId="38" xfId="0" applyFont="1" applyFill="1" applyBorder="1" applyAlignment="1">
      <alignment horizontal="center" vertical="center"/>
    </xf>
    <xf numFmtId="0" fontId="32" fillId="3" borderId="39" xfId="0" applyFont="1" applyFill="1" applyBorder="1" applyAlignment="1">
      <alignment horizontal="center" vertical="center"/>
    </xf>
    <xf numFmtId="0" fontId="42" fillId="3" borderId="24" xfId="0" applyFont="1" applyFill="1" applyBorder="1" applyAlignment="1">
      <alignment horizontal="center" vertical="center"/>
    </xf>
    <xf numFmtId="0" fontId="43" fillId="6" borderId="16" xfId="0" applyFont="1" applyFill="1" applyBorder="1" applyAlignment="1">
      <alignment horizontal="right" vertical="center"/>
    </xf>
    <xf numFmtId="0" fontId="32" fillId="6" borderId="12" xfId="0" applyFont="1" applyFill="1" applyBorder="1" applyAlignment="1">
      <alignment horizontal="center" vertical="center"/>
    </xf>
    <xf numFmtId="0" fontId="40" fillId="6" borderId="2" xfId="0" applyFont="1" applyFill="1" applyBorder="1" applyAlignment="1">
      <alignment horizontal="center" vertical="center"/>
    </xf>
    <xf numFmtId="3" fontId="40" fillId="14" borderId="12" xfId="0" applyNumberFormat="1" applyFont="1" applyFill="1" applyBorder="1" applyAlignment="1">
      <alignment horizontal="center" vertical="center"/>
    </xf>
    <xf numFmtId="3" fontId="40" fillId="14" borderId="28" xfId="0" applyNumberFormat="1" applyFont="1" applyFill="1" applyBorder="1" applyAlignment="1">
      <alignment horizontal="center" vertical="center"/>
    </xf>
    <xf numFmtId="0" fontId="42" fillId="3" borderId="0" xfId="0" applyFont="1" applyFill="1" applyAlignment="1">
      <alignment horizontal="center" vertical="center"/>
    </xf>
    <xf numFmtId="0" fontId="44" fillId="3" borderId="0" xfId="0" applyFont="1" applyFill="1" applyAlignment="1">
      <alignment vertical="center"/>
    </xf>
    <xf numFmtId="0" fontId="44" fillId="0" borderId="0" xfId="0" applyFont="1" applyAlignment="1">
      <alignment vertical="center"/>
    </xf>
    <xf numFmtId="0" fontId="43" fillId="3" borderId="27" xfId="0" applyFont="1" applyFill="1" applyBorder="1" applyAlignment="1">
      <alignment horizontal="center" vertical="center"/>
    </xf>
    <xf numFmtId="0" fontId="44" fillId="3" borderId="25" xfId="0" applyFont="1" applyFill="1" applyBorder="1" applyAlignment="1">
      <alignment horizontal="center" vertical="center"/>
    </xf>
    <xf numFmtId="0" fontId="43" fillId="3" borderId="25" xfId="0" applyFont="1" applyFill="1" applyBorder="1" applyAlignment="1">
      <alignment horizontal="center" vertical="center"/>
    </xf>
    <xf numFmtId="1" fontId="43" fillId="3" borderId="25" xfId="0" applyNumberFormat="1" applyFont="1" applyFill="1" applyBorder="1" applyAlignment="1">
      <alignment horizontal="center" vertical="center"/>
    </xf>
    <xf numFmtId="164" fontId="43" fillId="3" borderId="26" xfId="0" applyNumberFormat="1" applyFont="1" applyFill="1" applyBorder="1" applyAlignment="1">
      <alignment horizontal="center" vertical="center"/>
    </xf>
    <xf numFmtId="0" fontId="30" fillId="0" borderId="0" xfId="0" applyFont="1" applyAlignment="1">
      <alignment horizontal="center" vertical="center"/>
    </xf>
    <xf numFmtId="0" fontId="33" fillId="0" borderId="0" xfId="0" applyFont="1" applyAlignment="1">
      <alignment vertical="center"/>
    </xf>
    <xf numFmtId="0" fontId="38" fillId="0" borderId="0" xfId="0" applyFont="1" applyAlignment="1">
      <alignment vertical="center"/>
    </xf>
    <xf numFmtId="0" fontId="32" fillId="3" borderId="7" xfId="0" applyFont="1" applyFill="1" applyBorder="1" applyAlignment="1">
      <alignment horizontal="center" vertical="center"/>
    </xf>
    <xf numFmtId="0" fontId="32" fillId="3" borderId="8" xfId="0" applyFont="1" applyFill="1" applyBorder="1" applyAlignment="1">
      <alignment horizontal="center" vertical="center"/>
    </xf>
    <xf numFmtId="0" fontId="32" fillId="3" borderId="0" xfId="0" applyFont="1" applyFill="1" applyAlignment="1">
      <alignment horizontal="center" vertical="center"/>
    </xf>
    <xf numFmtId="0" fontId="32" fillId="3" borderId="19" xfId="0" applyFont="1" applyFill="1" applyBorder="1" applyAlignment="1">
      <alignment horizontal="center" vertical="center"/>
    </xf>
    <xf numFmtId="0" fontId="42" fillId="3" borderId="30" xfId="0" applyFont="1" applyFill="1" applyBorder="1" applyAlignment="1">
      <alignment horizontal="center" vertical="center"/>
    </xf>
    <xf numFmtId="0" fontId="43" fillId="6" borderId="1" xfId="0" applyFont="1" applyFill="1" applyBorder="1" applyAlignment="1">
      <alignment horizontal="right" vertical="center"/>
    </xf>
    <xf numFmtId="0" fontId="20" fillId="0" borderId="0" xfId="0" applyFont="1"/>
    <xf numFmtId="0" fontId="42" fillId="3" borderId="14" xfId="0" applyFont="1" applyFill="1" applyBorder="1" applyAlignment="1">
      <alignment horizontal="center" vertical="center"/>
    </xf>
    <xf numFmtId="0" fontId="44" fillId="3" borderId="19" xfId="0" applyFont="1" applyFill="1" applyBorder="1" applyAlignment="1">
      <alignment vertical="center"/>
    </xf>
    <xf numFmtId="0" fontId="42" fillId="3" borderId="37" xfId="0" applyFont="1" applyFill="1" applyBorder="1" applyAlignment="1">
      <alignment horizontal="center" vertical="center"/>
    </xf>
    <xf numFmtId="0" fontId="42" fillId="3" borderId="11" xfId="0" applyFont="1" applyFill="1" applyBorder="1" applyAlignment="1">
      <alignment horizontal="center" vertical="center"/>
    </xf>
    <xf numFmtId="0" fontId="44" fillId="3" borderId="11" xfId="0" applyFont="1" applyFill="1" applyBorder="1" applyAlignment="1">
      <alignment vertical="center"/>
    </xf>
    <xf numFmtId="0" fontId="44" fillId="3" borderId="34" xfId="0" applyFont="1" applyFill="1" applyBorder="1" applyAlignment="1">
      <alignment vertical="center"/>
    </xf>
    <xf numFmtId="1" fontId="20" fillId="0" borderId="12" xfId="0" applyNumberFormat="1" applyFont="1" applyBorder="1" applyAlignment="1">
      <alignment horizontal="center"/>
    </xf>
    <xf numFmtId="1" fontId="20" fillId="0" borderId="45" xfId="8" applyNumberFormat="1" applyFont="1" applyFill="1" applyBorder="1" applyAlignment="1">
      <alignment horizontal="center"/>
    </xf>
    <xf numFmtId="1" fontId="20" fillId="0" borderId="1" xfId="0" applyNumberFormat="1" applyFont="1" applyBorder="1" applyAlignment="1">
      <alignment horizontal="center"/>
    </xf>
    <xf numFmtId="1" fontId="24" fillId="11" borderId="44" xfId="11" applyNumberFormat="1" applyAlignment="1">
      <alignment horizontal="center"/>
    </xf>
    <xf numFmtId="0" fontId="20" fillId="0" borderId="12" xfId="0" applyFont="1" applyBorder="1" applyAlignment="1">
      <alignment horizontal="center"/>
    </xf>
    <xf numFmtId="0" fontId="24" fillId="11" borderId="1" xfId="11" applyBorder="1" applyAlignment="1">
      <alignment horizontal="center"/>
    </xf>
    <xf numFmtId="164" fontId="20" fillId="0" borderId="4" xfId="0" applyNumberFormat="1" applyFont="1" applyBorder="1" applyAlignment="1">
      <alignment horizontal="center" vertical="center"/>
    </xf>
    <xf numFmtId="0" fontId="20" fillId="0" borderId="1" xfId="0" applyFont="1" applyBorder="1" applyAlignment="1">
      <alignment wrapText="1"/>
    </xf>
    <xf numFmtId="2" fontId="20" fillId="0" borderId="1" xfId="10" applyNumberFormat="1" applyFont="1" applyBorder="1" applyAlignment="1">
      <alignment horizontal="center"/>
    </xf>
    <xf numFmtId="2" fontId="27" fillId="12" borderId="44" xfId="12" applyNumberFormat="1" applyAlignment="1">
      <alignment horizontal="center"/>
    </xf>
    <xf numFmtId="9" fontId="20" fillId="2" borderId="0" xfId="0" applyNumberFormat="1" applyFont="1" applyFill="1" applyAlignment="1">
      <alignment horizontal="center" vertical="center"/>
    </xf>
    <xf numFmtId="9" fontId="37" fillId="0" borderId="0" xfId="10" applyFont="1" applyAlignment="1">
      <alignment horizontal="center" vertical="center" wrapText="1"/>
    </xf>
    <xf numFmtId="164" fontId="20" fillId="0" borderId="0" xfId="0" applyNumberFormat="1" applyFont="1" applyAlignment="1">
      <alignment horizontal="right" vertical="center"/>
    </xf>
    <xf numFmtId="164" fontId="20" fillId="0" borderId="0" xfId="0" applyNumberFormat="1" applyFont="1" applyAlignment="1">
      <alignment horizontal="right" vertical="center" wrapText="1"/>
    </xf>
    <xf numFmtId="9" fontId="20" fillId="0" borderId="0" xfId="10" applyFont="1" applyAlignment="1">
      <alignment horizontal="center" vertical="center"/>
    </xf>
    <xf numFmtId="9" fontId="20" fillId="2" borderId="0" xfId="10" applyFont="1" applyFill="1" applyAlignment="1">
      <alignment horizontal="center" vertical="center"/>
    </xf>
    <xf numFmtId="0" fontId="24" fillId="11" borderId="20" xfId="11" applyBorder="1" applyAlignment="1">
      <alignment horizontal="center"/>
    </xf>
    <xf numFmtId="1" fontId="20" fillId="0" borderId="22" xfId="8" applyNumberFormat="1" applyFont="1" applyFill="1" applyBorder="1" applyAlignment="1">
      <alignment horizontal="center" wrapText="1"/>
    </xf>
    <xf numFmtId="1" fontId="20" fillId="0" borderId="20" xfId="0" applyNumberFormat="1" applyFont="1" applyBorder="1" applyAlignment="1">
      <alignment horizontal="center" wrapText="1"/>
    </xf>
    <xf numFmtId="0" fontId="20" fillId="3" borderId="4" xfId="0" applyFont="1" applyFill="1" applyBorder="1" applyAlignment="1">
      <alignment horizontal="center" vertical="center"/>
    </xf>
    <xf numFmtId="1" fontId="5" fillId="13" borderId="4" xfId="13" applyNumberFormat="1" applyBorder="1" applyAlignment="1">
      <alignment horizontal="center" vertical="center"/>
    </xf>
    <xf numFmtId="164" fontId="5" fillId="13" borderId="4" xfId="13" applyNumberFormat="1" applyBorder="1" applyAlignment="1">
      <alignment vertical="center"/>
    </xf>
    <xf numFmtId="164" fontId="5" fillId="13" borderId="4" xfId="13" applyNumberFormat="1" applyBorder="1" applyAlignment="1">
      <alignment vertical="center" wrapText="1"/>
    </xf>
    <xf numFmtId="0" fontId="5" fillId="13" borderId="4" xfId="13" applyBorder="1" applyAlignment="1">
      <alignment vertical="center" wrapText="1"/>
    </xf>
    <xf numFmtId="0" fontId="29" fillId="0" borderId="1" xfId="0" applyFont="1" applyBorder="1" applyAlignment="1">
      <alignment horizontal="center" vertical="center" wrapText="1"/>
    </xf>
    <xf numFmtId="0" fontId="12" fillId="0" borderId="0" xfId="0" applyFont="1" applyAlignment="1">
      <alignment horizontal="right" vertical="center"/>
    </xf>
    <xf numFmtId="164" fontId="46" fillId="0" borderId="0" xfId="0" applyNumberFormat="1" applyFont="1" applyAlignment="1">
      <alignment vertical="center"/>
    </xf>
    <xf numFmtId="167" fontId="20" fillId="0" borderId="0" xfId="5" applyNumberFormat="1" applyFont="1" applyAlignment="1">
      <alignment vertical="center"/>
    </xf>
    <xf numFmtId="0" fontId="20" fillId="0" borderId="0" xfId="5" applyFont="1" applyAlignment="1">
      <alignment vertical="center" wrapText="1"/>
    </xf>
    <xf numFmtId="0" fontId="48" fillId="0" borderId="0" xfId="5" applyFont="1" applyAlignment="1">
      <alignment horizontal="left" vertical="center"/>
    </xf>
    <xf numFmtId="174" fontId="20" fillId="0" borderId="46" xfId="5" applyNumberFormat="1" applyFont="1" applyBorder="1" applyAlignment="1">
      <alignment vertical="center"/>
    </xf>
    <xf numFmtId="174" fontId="20" fillId="0" borderId="0" xfId="5" applyNumberFormat="1" applyFont="1" applyAlignment="1">
      <alignment vertical="center"/>
    </xf>
    <xf numFmtId="164" fontId="47" fillId="0" borderId="0" xfId="2" applyFont="1" applyAlignment="1">
      <alignment horizontal="center" vertical="center" wrapText="1"/>
    </xf>
    <xf numFmtId="0" fontId="20" fillId="0" borderId="23" xfId="5" applyFont="1" applyBorder="1" applyAlignment="1">
      <alignment vertical="center"/>
    </xf>
    <xf numFmtId="0" fontId="29" fillId="0" borderId="46" xfId="5" applyFont="1" applyBorder="1" applyAlignment="1">
      <alignment vertical="center"/>
    </xf>
    <xf numFmtId="173" fontId="20" fillId="0" borderId="0" xfId="5" applyNumberFormat="1" applyFont="1" applyAlignment="1">
      <alignment vertical="center"/>
    </xf>
    <xf numFmtId="0" fontId="4" fillId="0" borderId="0" xfId="14"/>
    <xf numFmtId="0" fontId="50" fillId="0" borderId="17" xfId="14" applyFont="1" applyBorder="1" applyAlignment="1">
      <alignment horizontal="center" vertical="center"/>
    </xf>
    <xf numFmtId="0" fontId="51" fillId="0" borderId="6" xfId="14" applyFont="1" applyBorder="1" applyAlignment="1">
      <alignment vertical="center" wrapText="1"/>
    </xf>
    <xf numFmtId="0" fontId="51" fillId="0" borderId="17" xfId="14" applyFont="1" applyBorder="1" applyAlignment="1">
      <alignment horizontal="center" vertical="center" wrapText="1"/>
    </xf>
    <xf numFmtId="1" fontId="51" fillId="0" borderId="17" xfId="14" applyNumberFormat="1" applyFont="1" applyBorder="1" applyAlignment="1">
      <alignment horizontal="center" vertical="center" wrapText="1"/>
    </xf>
    <xf numFmtId="0" fontId="50" fillId="16" borderId="3" xfId="14" applyFont="1" applyFill="1" applyBorder="1" applyAlignment="1">
      <alignment horizontal="center" vertical="center"/>
    </xf>
    <xf numFmtId="0" fontId="51" fillId="16" borderId="13" xfId="14" applyFont="1" applyFill="1" applyBorder="1" applyAlignment="1">
      <alignment vertical="center"/>
    </xf>
    <xf numFmtId="0" fontId="50" fillId="16" borderId="13" xfId="14" applyFont="1" applyFill="1" applyBorder="1" applyAlignment="1">
      <alignment vertical="center" wrapText="1"/>
    </xf>
    <xf numFmtId="1" fontId="50" fillId="16" borderId="13" xfId="14" applyNumberFormat="1" applyFont="1" applyFill="1" applyBorder="1" applyAlignment="1">
      <alignment horizontal="center" vertical="center"/>
    </xf>
    <xf numFmtId="4" fontId="50" fillId="16" borderId="13" xfId="14" applyNumberFormat="1" applyFont="1" applyFill="1" applyBorder="1" applyAlignment="1">
      <alignment vertical="center"/>
    </xf>
    <xf numFmtId="4" fontId="50" fillId="16" borderId="20" xfId="14" applyNumberFormat="1" applyFont="1" applyFill="1" applyBorder="1" applyAlignment="1">
      <alignment vertical="center" wrapText="1"/>
    </xf>
    <xf numFmtId="49" fontId="50" fillId="0" borderId="1" xfId="14" applyNumberFormat="1" applyFont="1" applyBorder="1" applyAlignment="1">
      <alignment horizontal="center" vertical="center"/>
    </xf>
    <xf numFmtId="0" fontId="50" fillId="0" borderId="1" xfId="14" applyFont="1" applyBorder="1" applyAlignment="1">
      <alignment vertical="center" wrapText="1"/>
    </xf>
    <xf numFmtId="0" fontId="50" fillId="0" borderId="1" xfId="14" applyFont="1" applyBorder="1" applyAlignment="1">
      <alignment horizontal="center" vertical="center" wrapText="1"/>
    </xf>
    <xf numFmtId="0" fontId="50" fillId="0" borderId="1" xfId="14" applyFont="1" applyBorder="1" applyAlignment="1">
      <alignment horizontal="center" vertical="center"/>
    </xf>
    <xf numFmtId="166" fontId="50" fillId="0" borderId="1" xfId="14" applyNumberFormat="1" applyFont="1" applyBorder="1" applyAlignment="1">
      <alignment vertical="center"/>
    </xf>
    <xf numFmtId="164" fontId="50" fillId="0" borderId="1" xfId="14" applyNumberFormat="1" applyFont="1" applyBorder="1" applyAlignment="1">
      <alignment vertical="center" wrapText="1"/>
    </xf>
    <xf numFmtId="0" fontId="4" fillId="0" borderId="0" xfId="14" applyAlignment="1">
      <alignment horizontal="center"/>
    </xf>
    <xf numFmtId="164" fontId="50" fillId="0" borderId="1" xfId="14" applyNumberFormat="1" applyFont="1" applyBorder="1" applyAlignment="1">
      <alignment vertical="center"/>
    </xf>
    <xf numFmtId="0" fontId="50" fillId="16" borderId="1" xfId="14" applyFont="1" applyFill="1" applyBorder="1" applyAlignment="1">
      <alignment horizontal="center" vertical="center"/>
    </xf>
    <xf numFmtId="0" fontId="51" fillId="16" borderId="1" xfId="14" applyFont="1" applyFill="1" applyBorder="1" applyAlignment="1">
      <alignment horizontal="left" vertical="center" wrapText="1"/>
    </xf>
    <xf numFmtId="0" fontId="51" fillId="16" borderId="1" xfId="14" applyFont="1" applyFill="1" applyBorder="1" applyAlignment="1">
      <alignment horizontal="center" vertical="center" wrapText="1"/>
    </xf>
    <xf numFmtId="1" fontId="51" fillId="16" borderId="1" xfId="14" applyNumberFormat="1" applyFont="1" applyFill="1" applyBorder="1" applyAlignment="1">
      <alignment horizontal="center" vertical="center" wrapText="1"/>
    </xf>
    <xf numFmtId="164" fontId="51" fillId="16" borderId="1" xfId="14" applyNumberFormat="1" applyFont="1" applyFill="1" applyBorder="1" applyAlignment="1">
      <alignment horizontal="center" vertical="center" wrapText="1"/>
    </xf>
    <xf numFmtId="0" fontId="51" fillId="0" borderId="1" xfId="14" applyFont="1" applyBorder="1" applyAlignment="1">
      <alignment vertical="center"/>
    </xf>
    <xf numFmtId="164" fontId="50" fillId="0" borderId="1" xfId="14" applyNumberFormat="1" applyFont="1" applyBorder="1" applyAlignment="1">
      <alignment horizontal="center" vertical="center"/>
    </xf>
    <xf numFmtId="0" fontId="51" fillId="16" borderId="1" xfId="14" applyFont="1" applyFill="1" applyBorder="1" applyAlignment="1">
      <alignment horizontal="center" vertical="center"/>
    </xf>
    <xf numFmtId="0" fontId="51" fillId="16" borderId="1" xfId="14" applyFont="1" applyFill="1" applyBorder="1" applyAlignment="1">
      <alignment vertical="center" wrapText="1"/>
    </xf>
    <xf numFmtId="164" fontId="50" fillId="16" borderId="1" xfId="14" applyNumberFormat="1" applyFont="1" applyFill="1" applyBorder="1" applyAlignment="1">
      <alignment horizontal="center" vertical="center"/>
    </xf>
    <xf numFmtId="164" fontId="50" fillId="16" borderId="1" xfId="14" applyNumberFormat="1" applyFont="1" applyFill="1" applyBorder="1" applyAlignment="1">
      <alignment vertical="center"/>
    </xf>
    <xf numFmtId="0" fontId="52" fillId="0" borderId="1" xfId="14" applyFont="1" applyBorder="1" applyAlignment="1">
      <alignment vertical="center" wrapText="1"/>
    </xf>
    <xf numFmtId="0" fontId="51" fillId="0" borderId="1" xfId="14" applyFont="1" applyBorder="1" applyAlignment="1">
      <alignment vertical="center" wrapText="1"/>
    </xf>
    <xf numFmtId="0" fontId="51" fillId="17" borderId="1" xfId="14" applyFont="1" applyFill="1" applyBorder="1" applyAlignment="1">
      <alignment vertical="center" wrapText="1"/>
    </xf>
    <xf numFmtId="0" fontId="51" fillId="0" borderId="1" xfId="14" applyFont="1" applyBorder="1" applyAlignment="1">
      <alignment vertical="top" wrapText="1"/>
    </xf>
    <xf numFmtId="0" fontId="50" fillId="0" borderId="1" xfId="14" applyFont="1" applyBorder="1" applyAlignment="1">
      <alignment horizontal="left" vertical="center" wrapText="1"/>
    </xf>
    <xf numFmtId="0" fontId="52" fillId="0" borderId="1" xfId="14" applyFont="1" applyBorder="1" applyAlignment="1">
      <alignment vertical="top" wrapText="1"/>
    </xf>
    <xf numFmtId="0" fontId="51" fillId="0" borderId="1" xfId="14" applyFont="1" applyBorder="1" applyAlignment="1">
      <alignment horizontal="left" vertical="center" wrapText="1"/>
    </xf>
    <xf numFmtId="175" fontId="50" fillId="0" borderId="1" xfId="14" applyNumberFormat="1" applyFont="1" applyBorder="1" applyAlignment="1">
      <alignment horizontal="center" vertical="center"/>
    </xf>
    <xf numFmtId="0" fontId="50" fillId="0" borderId="0" xfId="14" applyFont="1" applyAlignment="1">
      <alignment horizontal="center" vertical="center"/>
    </xf>
    <xf numFmtId="0" fontId="51" fillId="0" borderId="0" xfId="14" applyFont="1" applyAlignment="1">
      <alignment vertical="center"/>
    </xf>
    <xf numFmtId="0" fontId="50" fillId="0" borderId="0" xfId="14" applyFont="1" applyAlignment="1">
      <alignment vertical="center"/>
    </xf>
    <xf numFmtId="1" fontId="50" fillId="0" borderId="0" xfId="14" applyNumberFormat="1" applyFont="1" applyAlignment="1">
      <alignment horizontal="center" vertical="center"/>
    </xf>
    <xf numFmtId="164" fontId="51" fillId="0" borderId="0" xfId="14" applyNumberFormat="1" applyFont="1" applyAlignment="1">
      <alignment horizontal="right" vertical="center"/>
    </xf>
    <xf numFmtId="164" fontId="51" fillId="0" borderId="12" xfId="14" applyNumberFormat="1" applyFont="1" applyBorder="1" applyAlignment="1">
      <alignment vertical="center"/>
    </xf>
    <xf numFmtId="0" fontId="53" fillId="4" borderId="0" xfId="14" applyFont="1" applyFill="1"/>
    <xf numFmtId="0" fontId="53" fillId="4" borderId="0" xfId="14" applyFont="1" applyFill="1" applyAlignment="1">
      <alignment wrapText="1"/>
    </xf>
    <xf numFmtId="0" fontId="56" fillId="0" borderId="6" xfId="14" applyFont="1" applyBorder="1" applyAlignment="1">
      <alignment vertical="center" wrapText="1"/>
    </xf>
    <xf numFmtId="0" fontId="56" fillId="0" borderId="17" xfId="14" applyFont="1" applyBorder="1" applyAlignment="1">
      <alignment horizontal="center" vertical="center" wrapText="1"/>
    </xf>
    <xf numFmtId="0" fontId="51" fillId="4" borderId="1" xfId="14" applyFont="1" applyFill="1" applyBorder="1" applyAlignment="1">
      <alignment vertical="center" wrapText="1"/>
    </xf>
    <xf numFmtId="0" fontId="50" fillId="4" borderId="1" xfId="14" applyFont="1" applyFill="1" applyBorder="1" applyAlignment="1">
      <alignment horizontal="center" vertical="center"/>
    </xf>
    <xf numFmtId="167" fontId="50" fillId="16" borderId="1" xfId="14" applyNumberFormat="1" applyFont="1" applyFill="1" applyBorder="1" applyAlignment="1">
      <alignment horizontal="center" vertical="center"/>
    </xf>
    <xf numFmtId="167" fontId="50" fillId="0" borderId="1" xfId="14" applyNumberFormat="1" applyFont="1" applyBorder="1" applyAlignment="1">
      <alignment horizontal="center" vertical="center"/>
    </xf>
    <xf numFmtId="0" fontId="3" fillId="0" borderId="0" xfId="15"/>
    <xf numFmtId="0" fontId="50" fillId="0" borderId="17" xfId="15" applyFont="1" applyBorder="1" applyAlignment="1">
      <alignment horizontal="center" vertical="center"/>
    </xf>
    <xf numFmtId="0" fontId="51" fillId="0" borderId="6" xfId="15" applyFont="1" applyBorder="1" applyAlignment="1">
      <alignment vertical="center" wrapText="1"/>
    </xf>
    <xf numFmtId="0" fontId="51" fillId="0" borderId="17" xfId="15" applyFont="1" applyBorder="1" applyAlignment="1">
      <alignment horizontal="center" vertical="center" wrapText="1"/>
    </xf>
    <xf numFmtId="1" fontId="51" fillId="0" borderId="17" xfId="15" applyNumberFormat="1" applyFont="1" applyBorder="1" applyAlignment="1">
      <alignment horizontal="center" vertical="center" wrapText="1"/>
    </xf>
    <xf numFmtId="0" fontId="50" fillId="16" borderId="3" xfId="15" applyFont="1" applyFill="1" applyBorder="1" applyAlignment="1">
      <alignment horizontal="center" vertical="center"/>
    </xf>
    <xf numFmtId="0" fontId="51" fillId="16" borderId="13" xfId="15" applyFont="1" applyFill="1" applyBorder="1" applyAlignment="1">
      <alignment vertical="center"/>
    </xf>
    <xf numFmtId="0" fontId="50" fillId="16" borderId="13" xfId="15" applyFont="1" applyFill="1" applyBorder="1" applyAlignment="1">
      <alignment vertical="center" wrapText="1"/>
    </xf>
    <xf numFmtId="1" fontId="50" fillId="16" borderId="13" xfId="15" applyNumberFormat="1" applyFont="1" applyFill="1" applyBorder="1" applyAlignment="1">
      <alignment horizontal="center" vertical="center"/>
    </xf>
    <xf numFmtId="4" fontId="50" fillId="16" borderId="13" xfId="15" applyNumberFormat="1" applyFont="1" applyFill="1" applyBorder="1" applyAlignment="1">
      <alignment vertical="center"/>
    </xf>
    <xf numFmtId="4" fontId="50" fillId="16" borderId="20" xfId="15" applyNumberFormat="1" applyFont="1" applyFill="1" applyBorder="1" applyAlignment="1">
      <alignment vertical="center" wrapText="1"/>
    </xf>
    <xf numFmtId="49" fontId="50" fillId="0" borderId="1" xfId="15" applyNumberFormat="1" applyFont="1" applyBorder="1" applyAlignment="1">
      <alignment horizontal="center" vertical="center"/>
    </xf>
    <xf numFmtId="0" fontId="51" fillId="0" borderId="1" xfId="15" applyFont="1" applyBorder="1" applyAlignment="1">
      <alignment vertical="center" wrapText="1"/>
    </xf>
    <xf numFmtId="0" fontId="50" fillId="0" borderId="1" xfId="15" applyFont="1" applyBorder="1" applyAlignment="1">
      <alignment horizontal="center" vertical="center" wrapText="1"/>
    </xf>
    <xf numFmtId="0" fontId="50" fillId="0" borderId="1" xfId="15" applyFont="1" applyBorder="1" applyAlignment="1">
      <alignment horizontal="center" vertical="center"/>
    </xf>
    <xf numFmtId="166" fontId="50" fillId="0" borderId="1" xfId="15" applyNumberFormat="1" applyFont="1" applyBorder="1" applyAlignment="1">
      <alignment vertical="center"/>
    </xf>
    <xf numFmtId="164" fontId="50" fillId="0" borderId="1" xfId="15" applyNumberFormat="1" applyFont="1" applyBorder="1" applyAlignment="1">
      <alignment vertical="center" wrapText="1"/>
    </xf>
    <xf numFmtId="0" fontId="3" fillId="0" borderId="0" xfId="15" applyAlignment="1">
      <alignment horizontal="center"/>
    </xf>
    <xf numFmtId="0" fontId="50" fillId="0" borderId="1" xfId="15" applyFont="1" applyBorder="1" applyAlignment="1">
      <alignment vertical="center" wrapText="1"/>
    </xf>
    <xf numFmtId="164" fontId="50" fillId="0" borderId="1" xfId="15" applyNumberFormat="1" applyFont="1" applyBorder="1" applyAlignment="1">
      <alignment vertical="center"/>
    </xf>
    <xf numFmtId="0" fontId="50" fillId="16" borderId="1" xfId="15" applyFont="1" applyFill="1" applyBorder="1" applyAlignment="1">
      <alignment horizontal="center" vertical="center"/>
    </xf>
    <xf numFmtId="0" fontId="51" fillId="16" borderId="1" xfId="15" applyFont="1" applyFill="1" applyBorder="1" applyAlignment="1">
      <alignment horizontal="left" vertical="center" wrapText="1"/>
    </xf>
    <xf numFmtId="0" fontId="51" fillId="16" borderId="1" xfId="15" applyFont="1" applyFill="1" applyBorder="1" applyAlignment="1">
      <alignment horizontal="center" vertical="center" wrapText="1"/>
    </xf>
    <xf numFmtId="1" fontId="51" fillId="16" borderId="1" xfId="15" applyNumberFormat="1" applyFont="1" applyFill="1" applyBorder="1" applyAlignment="1">
      <alignment horizontal="center" vertical="center" wrapText="1"/>
    </xf>
    <xf numFmtId="164" fontId="51" fillId="16" borderId="1" xfId="15" applyNumberFormat="1" applyFont="1" applyFill="1" applyBorder="1" applyAlignment="1">
      <alignment horizontal="center" vertical="center" wrapText="1"/>
    </xf>
    <xf numFmtId="0" fontId="51" fillId="0" borderId="1" xfId="15" applyFont="1" applyBorder="1" applyAlignment="1">
      <alignment vertical="center"/>
    </xf>
    <xf numFmtId="0" fontId="58" fillId="0" borderId="1" xfId="15" applyFont="1" applyBorder="1" applyAlignment="1">
      <alignment horizontal="center" vertical="center"/>
    </xf>
    <xf numFmtId="164" fontId="50" fillId="0" borderId="1" xfId="15" applyNumberFormat="1" applyFont="1" applyBorder="1" applyAlignment="1">
      <alignment horizontal="center" vertical="center"/>
    </xf>
    <xf numFmtId="0" fontId="51" fillId="16" borderId="1" xfId="15" applyFont="1" applyFill="1" applyBorder="1" applyAlignment="1">
      <alignment horizontal="center" vertical="center"/>
    </xf>
    <xf numFmtId="0" fontId="51" fillId="16" borderId="1" xfId="15" applyFont="1" applyFill="1" applyBorder="1" applyAlignment="1">
      <alignment vertical="center" wrapText="1"/>
    </xf>
    <xf numFmtId="164" fontId="50" fillId="16" borderId="1" xfId="15" applyNumberFormat="1" applyFont="1" applyFill="1" applyBorder="1" applyAlignment="1">
      <alignment horizontal="center" vertical="center"/>
    </xf>
    <xf numFmtId="164" fontId="50" fillId="16" borderId="1" xfId="15" applyNumberFormat="1" applyFont="1" applyFill="1" applyBorder="1" applyAlignment="1">
      <alignment vertical="center"/>
    </xf>
    <xf numFmtId="0" fontId="52" fillId="0" borderId="1" xfId="15" applyFont="1" applyBorder="1" applyAlignment="1">
      <alignment vertical="center" wrapText="1"/>
    </xf>
    <xf numFmtId="0" fontId="60" fillId="0" borderId="0" xfId="15" applyFont="1"/>
    <xf numFmtId="0" fontId="51" fillId="17" borderId="1" xfId="15" applyFont="1" applyFill="1" applyBorder="1" applyAlignment="1">
      <alignment vertical="center" wrapText="1"/>
    </xf>
    <xf numFmtId="0" fontId="51" fillId="0" borderId="1" xfId="15" applyFont="1" applyBorder="1" applyAlignment="1">
      <alignment vertical="top" wrapText="1"/>
    </xf>
    <xf numFmtId="0" fontId="50" fillId="0" borderId="1" xfId="15" applyFont="1" applyBorder="1" applyAlignment="1">
      <alignment horizontal="left" vertical="center" wrapText="1"/>
    </xf>
    <xf numFmtId="0" fontId="52" fillId="0" borderId="1" xfId="15" applyFont="1" applyBorder="1" applyAlignment="1">
      <alignment vertical="top" wrapText="1"/>
    </xf>
    <xf numFmtId="0" fontId="51" fillId="0" borderId="1" xfId="15" applyFont="1" applyBorder="1" applyAlignment="1">
      <alignment horizontal="left" vertical="center" wrapText="1"/>
    </xf>
    <xf numFmtId="0" fontId="58" fillId="0" borderId="1" xfId="15" applyFont="1" applyBorder="1" applyAlignment="1">
      <alignment vertical="center" wrapText="1"/>
    </xf>
    <xf numFmtId="175" fontId="50" fillId="0" borderId="1" xfId="15" applyNumberFormat="1" applyFont="1" applyBorder="1" applyAlignment="1">
      <alignment horizontal="center" vertical="center"/>
    </xf>
    <xf numFmtId="0" fontId="50" fillId="0" borderId="0" xfId="15" applyFont="1" applyAlignment="1">
      <alignment horizontal="center" vertical="center"/>
    </xf>
    <xf numFmtId="0" fontId="51" fillId="0" borderId="0" xfId="15" applyFont="1" applyAlignment="1">
      <alignment vertical="center"/>
    </xf>
    <xf numFmtId="0" fontId="50" fillId="0" borderId="0" xfId="15" applyFont="1" applyAlignment="1">
      <alignment vertical="center"/>
    </xf>
    <xf numFmtId="1" fontId="50" fillId="0" borderId="0" xfId="15" applyNumberFormat="1" applyFont="1" applyAlignment="1">
      <alignment horizontal="center" vertical="center"/>
    </xf>
    <xf numFmtId="164" fontId="51" fillId="0" borderId="0" xfId="15" applyNumberFormat="1" applyFont="1" applyAlignment="1">
      <alignment horizontal="right" vertical="center"/>
    </xf>
    <xf numFmtId="164" fontId="51" fillId="0" borderId="12" xfId="15" applyNumberFormat="1" applyFont="1" applyBorder="1" applyAlignment="1">
      <alignment vertical="center"/>
    </xf>
    <xf numFmtId="0" fontId="53" fillId="4" borderId="0" xfId="15" applyFont="1" applyFill="1"/>
    <xf numFmtId="0" fontId="53" fillId="4" borderId="0" xfId="15" applyFont="1" applyFill="1" applyAlignment="1">
      <alignment wrapText="1"/>
    </xf>
    <xf numFmtId="0" fontId="56" fillId="0" borderId="6" xfId="15" applyFont="1" applyBorder="1" applyAlignment="1">
      <alignment vertical="center" wrapText="1"/>
    </xf>
    <xf numFmtId="0" fontId="56" fillId="0" borderId="17" xfId="15" applyFont="1" applyBorder="1" applyAlignment="1">
      <alignment horizontal="center" vertical="center" wrapText="1"/>
    </xf>
    <xf numFmtId="0" fontId="51" fillId="4" borderId="1" xfId="15" applyFont="1" applyFill="1" applyBorder="1" applyAlignment="1">
      <alignment vertical="center" wrapText="1"/>
    </xf>
    <xf numFmtId="0" fontId="50" fillId="4" borderId="1" xfId="15" applyFont="1" applyFill="1" applyBorder="1" applyAlignment="1">
      <alignment horizontal="center" vertical="center"/>
    </xf>
    <xf numFmtId="0" fontId="29" fillId="0" borderId="0" xfId="15" applyFont="1"/>
    <xf numFmtId="0" fontId="20" fillId="0" borderId="0" xfId="15" applyFont="1"/>
    <xf numFmtId="0" fontId="63" fillId="0" borderId="0" xfId="15" applyFont="1"/>
    <xf numFmtId="167" fontId="20" fillId="0" borderId="0" xfId="15" applyNumberFormat="1" applyFont="1"/>
    <xf numFmtId="0" fontId="64" fillId="0" borderId="0" xfId="15" applyFont="1"/>
    <xf numFmtId="167" fontId="3" fillId="0" borderId="0" xfId="15" applyNumberFormat="1"/>
    <xf numFmtId="0" fontId="50" fillId="0" borderId="1" xfId="0" applyFont="1" applyBorder="1" applyAlignment="1">
      <alignment vertical="center" wrapText="1"/>
    </xf>
    <xf numFmtId="167" fontId="50" fillId="0" borderId="1" xfId="15" applyNumberFormat="1" applyFont="1" applyBorder="1"/>
    <xf numFmtId="169" fontId="20" fillId="0" borderId="0" xfId="1" applyNumberFormat="1" applyFont="1" applyAlignment="1">
      <alignment horizontal="center" wrapText="1"/>
    </xf>
    <xf numFmtId="164" fontId="20" fillId="0" borderId="0" xfId="0" applyNumberFormat="1" applyFont="1" applyAlignment="1">
      <alignment horizontal="center" wrapText="1"/>
    </xf>
    <xf numFmtId="167" fontId="0" fillId="0" borderId="0" xfId="0" applyNumberFormat="1"/>
    <xf numFmtId="0" fontId="11" fillId="0" borderId="0" xfId="0" applyFont="1"/>
    <xf numFmtId="167" fontId="0" fillId="19" borderId="0" xfId="0" applyNumberFormat="1" applyFill="1"/>
    <xf numFmtId="0" fontId="11" fillId="19" borderId="0" xfId="0" applyFont="1" applyFill="1"/>
    <xf numFmtId="0" fontId="65" fillId="18" borderId="0" xfId="0" applyFont="1" applyFill="1"/>
    <xf numFmtId="0" fontId="65" fillId="14" borderId="0" xfId="0" applyFont="1" applyFill="1"/>
    <xf numFmtId="169" fontId="29" fillId="14" borderId="1" xfId="1" applyNumberFormat="1" applyFont="1" applyFill="1" applyBorder="1" applyAlignment="1">
      <alignment horizontal="left" wrapText="1"/>
    </xf>
    <xf numFmtId="164" fontId="29" fillId="14" borderId="1" xfId="0" applyNumberFormat="1" applyFont="1" applyFill="1" applyBorder="1" applyAlignment="1">
      <alignment horizontal="left" wrapText="1"/>
    </xf>
    <xf numFmtId="0" fontId="0" fillId="2" borderId="0" xfId="0" applyFill="1"/>
    <xf numFmtId="0" fontId="0" fillId="18" borderId="0" xfId="0" applyFill="1"/>
    <xf numFmtId="0" fontId="0" fillId="19" borderId="0" xfId="0" applyFill="1"/>
    <xf numFmtId="0" fontId="65" fillId="0" borderId="0" xfId="0" applyFont="1"/>
    <xf numFmtId="164" fontId="20" fillId="19" borderId="1" xfId="0" applyNumberFormat="1" applyFont="1" applyFill="1" applyBorder="1" applyAlignment="1">
      <alignment vertical="center"/>
    </xf>
    <xf numFmtId="164" fontId="20" fillId="19" borderId="12" xfId="0" applyNumberFormat="1" applyFont="1" applyFill="1" applyBorder="1" applyAlignment="1">
      <alignment vertical="center"/>
    </xf>
    <xf numFmtId="164" fontId="20" fillId="19" borderId="1" xfId="0" applyNumberFormat="1" applyFont="1" applyFill="1" applyBorder="1" applyAlignment="1">
      <alignment horizontal="center" vertical="center"/>
    </xf>
    <xf numFmtId="164" fontId="20" fillId="19" borderId="1" xfId="2" applyFont="1" applyFill="1" applyBorder="1" applyAlignment="1">
      <alignment horizontal="left" vertical="center"/>
    </xf>
    <xf numFmtId="164" fontId="20" fillId="18" borderId="1" xfId="0" applyNumberFormat="1" applyFont="1" applyFill="1" applyBorder="1" applyAlignment="1">
      <alignment vertical="center"/>
    </xf>
    <xf numFmtId="164" fontId="50" fillId="18" borderId="1" xfId="14" applyNumberFormat="1" applyFont="1" applyFill="1" applyBorder="1" applyAlignment="1">
      <alignment horizontal="center" vertical="center"/>
    </xf>
    <xf numFmtId="0" fontId="65" fillId="2" borderId="0" xfId="0" applyFont="1" applyFill="1"/>
    <xf numFmtId="164" fontId="20" fillId="18" borderId="1" xfId="0" applyNumberFormat="1" applyFont="1" applyFill="1" applyBorder="1" applyAlignment="1">
      <alignment horizontal="center" vertical="center"/>
    </xf>
    <xf numFmtId="164" fontId="50" fillId="2" borderId="1" xfId="14" applyNumberFormat="1" applyFont="1" applyFill="1" applyBorder="1" applyAlignment="1">
      <alignment horizontal="center" vertical="center"/>
    </xf>
    <xf numFmtId="164" fontId="20" fillId="2" borderId="1" xfId="0" applyNumberFormat="1" applyFont="1" applyFill="1" applyBorder="1" applyAlignment="1">
      <alignment horizontal="center" vertical="center"/>
    </xf>
    <xf numFmtId="167" fontId="50" fillId="2" borderId="1" xfId="14" applyNumberFormat="1" applyFont="1" applyFill="1" applyBorder="1"/>
    <xf numFmtId="164" fontId="3" fillId="0" borderId="0" xfId="15" applyNumberFormat="1"/>
    <xf numFmtId="0" fontId="20" fillId="0" borderId="22" xfId="0" applyFont="1" applyBorder="1"/>
    <xf numFmtId="0" fontId="20" fillId="0" borderId="2" xfId="0" applyFont="1" applyBorder="1"/>
    <xf numFmtId="164" fontId="20" fillId="0" borderId="0" xfId="0" applyNumberFormat="1" applyFont="1"/>
    <xf numFmtId="0" fontId="24" fillId="0" borderId="1" xfId="11" applyFill="1" applyBorder="1" applyAlignment="1">
      <alignment horizontal="center"/>
    </xf>
    <xf numFmtId="0" fontId="55" fillId="4" borderId="0" xfId="15" applyFont="1" applyFill="1" applyAlignment="1">
      <alignment wrapText="1"/>
    </xf>
    <xf numFmtId="164" fontId="51" fillId="0" borderId="0" xfId="15" applyNumberFormat="1" applyFont="1" applyAlignment="1">
      <alignment vertical="center"/>
    </xf>
    <xf numFmtId="1" fontId="66" fillId="0" borderId="17" xfId="15" applyNumberFormat="1" applyFont="1" applyBorder="1" applyAlignment="1">
      <alignment horizontal="center" vertical="center" wrapText="1"/>
    </xf>
    <xf numFmtId="0" fontId="66" fillId="0" borderId="17" xfId="15" applyFont="1" applyBorder="1" applyAlignment="1">
      <alignment horizontal="center" vertical="center" wrapText="1"/>
    </xf>
    <xf numFmtId="164" fontId="2" fillId="0" borderId="0" xfId="3" applyNumberFormat="1" applyFont="1"/>
    <xf numFmtId="0" fontId="2" fillId="0" borderId="1" xfId="3" applyFont="1" applyBorder="1"/>
    <xf numFmtId="0" fontId="2" fillId="0" borderId="0" xfId="3" applyFont="1"/>
    <xf numFmtId="0" fontId="2" fillId="0" borderId="12" xfId="3" applyFont="1" applyBorder="1"/>
    <xf numFmtId="164" fontId="2" fillId="0" borderId="1" xfId="9" applyNumberFormat="1" applyFont="1" applyFill="1" applyBorder="1" applyAlignment="1">
      <alignment horizontal="center" vertical="center"/>
    </xf>
    <xf numFmtId="1" fontId="2" fillId="0" borderId="0" xfId="3" applyNumberFormat="1" applyFont="1" applyAlignment="1">
      <alignment horizontal="center" vertical="center"/>
    </xf>
    <xf numFmtId="49" fontId="67" fillId="0" borderId="1" xfId="15" applyNumberFormat="1" applyFont="1" applyBorder="1" applyAlignment="1">
      <alignment horizontal="center" vertical="center"/>
    </xf>
    <xf numFmtId="0" fontId="67" fillId="0" borderId="1" xfId="0" applyFont="1" applyBorder="1" applyAlignment="1">
      <alignment vertical="center" wrapText="1"/>
    </xf>
    <xf numFmtId="0" fontId="67" fillId="0" borderId="1" xfId="15" applyFont="1" applyBorder="1" applyAlignment="1">
      <alignment horizontal="center" vertical="center" wrapText="1"/>
    </xf>
    <xf numFmtId="0" fontId="67" fillId="0" borderId="1" xfId="15" applyFont="1" applyBorder="1" applyAlignment="1">
      <alignment horizontal="center" vertical="center"/>
    </xf>
    <xf numFmtId="164" fontId="67" fillId="0" borderId="1" xfId="15" applyNumberFormat="1" applyFont="1" applyBorder="1" applyAlignment="1">
      <alignment vertical="center" wrapText="1"/>
    </xf>
    <xf numFmtId="0" fontId="67" fillId="0" borderId="1" xfId="15" applyFont="1" applyBorder="1" applyAlignment="1">
      <alignment vertical="center" wrapText="1"/>
    </xf>
    <xf numFmtId="0" fontId="67" fillId="16" borderId="1" xfId="15" applyFont="1" applyFill="1" applyBorder="1" applyAlignment="1">
      <alignment horizontal="center" vertical="center"/>
    </xf>
    <xf numFmtId="0" fontId="68" fillId="16" borderId="1" xfId="15" applyFont="1" applyFill="1" applyBorder="1" applyAlignment="1">
      <alignment horizontal="left" vertical="center" wrapText="1"/>
    </xf>
    <xf numFmtId="0" fontId="68" fillId="16" borderId="1" xfId="15" applyFont="1" applyFill="1" applyBorder="1" applyAlignment="1">
      <alignment horizontal="center" vertical="center" wrapText="1"/>
    </xf>
    <xf numFmtId="1" fontId="68" fillId="16" borderId="1" xfId="15" applyNumberFormat="1" applyFont="1" applyFill="1" applyBorder="1" applyAlignment="1">
      <alignment horizontal="center" vertical="center" wrapText="1"/>
    </xf>
    <xf numFmtId="164" fontId="68" fillId="16" borderId="1" xfId="15" applyNumberFormat="1" applyFont="1" applyFill="1" applyBorder="1" applyAlignment="1">
      <alignment horizontal="center" vertical="center" wrapText="1"/>
    </xf>
    <xf numFmtId="0" fontId="68" fillId="0" borderId="1" xfId="15" applyFont="1" applyBorder="1" applyAlignment="1">
      <alignment vertical="center"/>
    </xf>
    <xf numFmtId="0" fontId="68" fillId="16" borderId="1" xfId="15" applyFont="1" applyFill="1" applyBorder="1" applyAlignment="1">
      <alignment horizontal="center" vertical="center"/>
    </xf>
    <xf numFmtId="0" fontId="68" fillId="16" borderId="1" xfId="15" applyFont="1" applyFill="1" applyBorder="1" applyAlignment="1">
      <alignment vertical="center" wrapText="1"/>
    </xf>
    <xf numFmtId="164" fontId="67" fillId="16" borderId="1" xfId="15" applyNumberFormat="1" applyFont="1" applyFill="1" applyBorder="1" applyAlignment="1">
      <alignment horizontal="center" vertical="center"/>
    </xf>
    <xf numFmtId="164" fontId="67" fillId="16" borderId="1" xfId="15" applyNumberFormat="1" applyFont="1" applyFill="1" applyBorder="1" applyAlignment="1">
      <alignment vertical="center"/>
    </xf>
    <xf numFmtId="0" fontId="69" fillId="0" borderId="1" xfId="15" applyFont="1" applyBorder="1" applyAlignment="1">
      <alignment vertical="center" wrapText="1"/>
    </xf>
    <xf numFmtId="0" fontId="68" fillId="0" borderId="1" xfId="15" applyFont="1" applyBorder="1" applyAlignment="1">
      <alignment vertical="center" wrapText="1"/>
    </xf>
    <xf numFmtId="0" fontId="68" fillId="17" borderId="1" xfId="15" applyFont="1" applyFill="1" applyBorder="1" applyAlignment="1">
      <alignment vertical="center" wrapText="1"/>
    </xf>
    <xf numFmtId="0" fontId="68" fillId="0" borderId="1" xfId="15" applyFont="1" applyBorder="1" applyAlignment="1">
      <alignment vertical="top" wrapText="1"/>
    </xf>
    <xf numFmtId="0" fontId="67" fillId="0" borderId="1" xfId="15" applyFont="1" applyBorder="1" applyAlignment="1">
      <alignment horizontal="left" vertical="center" wrapText="1"/>
    </xf>
    <xf numFmtId="0" fontId="69" fillId="0" borderId="1" xfId="15" applyFont="1" applyBorder="1" applyAlignment="1">
      <alignment vertical="top" wrapText="1"/>
    </xf>
    <xf numFmtId="0" fontId="68" fillId="0" borderId="1" xfId="15" applyFont="1" applyBorder="1" applyAlignment="1">
      <alignment horizontal="left" vertical="center" wrapText="1"/>
    </xf>
    <xf numFmtId="0" fontId="67" fillId="0" borderId="1" xfId="15" applyFont="1" applyBorder="1" applyAlignment="1">
      <alignment vertical="top" wrapText="1"/>
    </xf>
    <xf numFmtId="164" fontId="51" fillId="0" borderId="17" xfId="15" applyNumberFormat="1" applyFont="1" applyBorder="1" applyAlignment="1">
      <alignment horizontal="center" vertical="center" wrapText="1"/>
    </xf>
    <xf numFmtId="164" fontId="50" fillId="16" borderId="13" xfId="15" applyNumberFormat="1" applyFont="1" applyFill="1" applyBorder="1" applyAlignment="1">
      <alignment vertical="center"/>
    </xf>
    <xf numFmtId="164" fontId="50" fillId="16" borderId="1" xfId="15" applyNumberFormat="1" applyFont="1" applyFill="1" applyBorder="1" applyAlignment="1">
      <alignment horizontal="center" vertical="center"/>
    </xf>
    <xf numFmtId="164" fontId="50" fillId="0" borderId="1" xfId="15" applyNumberFormat="1" applyFont="1" applyBorder="1" applyAlignment="1">
      <alignment horizontal="center" vertical="center"/>
    </xf>
    <xf numFmtId="164" fontId="51" fillId="0" borderId="0" xfId="15" applyNumberFormat="1" applyFont="1" applyAlignment="1">
      <alignment horizontal="right" vertical="center"/>
    </xf>
    <xf numFmtId="164" fontId="3" fillId="0" borderId="0" xfId="15" applyNumberFormat="1"/>
    <xf numFmtId="168" fontId="50" fillId="0" borderId="1" xfId="15" applyNumberFormat="1" applyFont="1" applyFill="1" applyBorder="1" applyAlignment="1">
      <alignment horizontal="center" vertical="center"/>
    </xf>
    <xf numFmtId="168" fontId="50" fillId="0" borderId="1" xfId="15" applyNumberFormat="1" applyFont="1" applyFill="1" applyBorder="1" applyAlignment="1">
      <alignment vertical="center"/>
    </xf>
    <xf numFmtId="168" fontId="67" fillId="5" borderId="1" xfId="15" applyNumberFormat="1" applyFont="1" applyFill="1" applyBorder="1" applyAlignment="1">
      <alignment horizontal="center" vertical="center"/>
    </xf>
    <xf numFmtId="168" fontId="67" fillId="5" borderId="1" xfId="15" quotePrefix="1" applyNumberFormat="1" applyFont="1" applyFill="1" applyBorder="1" applyAlignment="1">
      <alignment horizontal="center" vertical="center"/>
    </xf>
    <xf numFmtId="168" fontId="67" fillId="5" borderId="1" xfId="15" applyNumberFormat="1" applyFont="1" applyFill="1" applyBorder="1" applyAlignment="1">
      <alignment vertical="center"/>
    </xf>
    <xf numFmtId="164" fontId="1" fillId="20" borderId="1" xfId="16" applyNumberFormat="1" applyFill="1" applyBorder="1" applyAlignment="1" applyProtection="1">
      <alignment vertical="center"/>
      <protection locked="0"/>
    </xf>
    <xf numFmtId="164" fontId="68" fillId="16" borderId="1" xfId="15" applyNumberFormat="1" applyFont="1" applyFill="1" applyBorder="1" applyAlignment="1" applyProtection="1">
      <alignment horizontal="center" vertical="center" wrapText="1"/>
      <protection locked="0"/>
    </xf>
    <xf numFmtId="164" fontId="67" fillId="20" borderId="1" xfId="15" applyNumberFormat="1" applyFont="1" applyFill="1" applyBorder="1" applyAlignment="1" applyProtection="1">
      <alignment horizontal="center" vertical="center"/>
      <protection locked="0"/>
    </xf>
    <xf numFmtId="164" fontId="67" fillId="16" borderId="1" xfId="15" applyNumberFormat="1" applyFont="1" applyFill="1" applyBorder="1" applyAlignment="1" applyProtection="1">
      <alignment horizontal="center" vertical="center"/>
      <protection locked="0"/>
    </xf>
    <xf numFmtId="164" fontId="67" fillId="20" borderId="1" xfId="15" applyNumberFormat="1" applyFont="1" applyFill="1" applyBorder="1" applyProtection="1">
      <protection locked="0"/>
    </xf>
    <xf numFmtId="0" fontId="50" fillId="0" borderId="17" xfId="15" applyFont="1" applyBorder="1" applyAlignment="1" applyProtection="1">
      <alignment horizontal="center" vertical="center"/>
      <protection locked="0"/>
    </xf>
    <xf numFmtId="0" fontId="56" fillId="0" borderId="6" xfId="15" applyFont="1" applyBorder="1" applyAlignment="1" applyProtection="1">
      <alignment vertical="center" wrapText="1"/>
      <protection locked="0"/>
    </xf>
    <xf numFmtId="0" fontId="56" fillId="0" borderId="17" xfId="15" applyFont="1" applyBorder="1" applyAlignment="1" applyProtection="1">
      <alignment horizontal="center" vertical="center" wrapText="1"/>
      <protection locked="0"/>
    </xf>
    <xf numFmtId="1" fontId="51" fillId="0" borderId="17" xfId="15" applyNumberFormat="1" applyFont="1" applyBorder="1" applyAlignment="1" applyProtection="1">
      <alignment horizontal="center" vertical="center" wrapText="1"/>
      <protection locked="0"/>
    </xf>
    <xf numFmtId="164" fontId="51" fillId="0" borderId="17" xfId="15" applyNumberFormat="1" applyFont="1" applyBorder="1" applyAlignment="1" applyProtection="1">
      <alignment horizontal="center" vertical="center" wrapText="1"/>
      <protection locked="0"/>
    </xf>
    <xf numFmtId="0" fontId="51" fillId="0" borderId="17" xfId="15" applyFont="1" applyBorder="1" applyAlignment="1" applyProtection="1">
      <alignment horizontal="center" vertical="center" wrapText="1"/>
      <protection locked="0"/>
    </xf>
    <xf numFmtId="0" fontId="50" fillId="0" borderId="1" xfId="15" applyFont="1" applyBorder="1" applyAlignment="1" applyProtection="1">
      <alignment horizontal="center" vertical="center"/>
      <protection locked="0"/>
    </xf>
    <xf numFmtId="0" fontId="50" fillId="0" borderId="1" xfId="15" applyFont="1" applyBorder="1" applyAlignment="1" applyProtection="1">
      <alignment vertical="center" wrapText="1"/>
      <protection locked="0"/>
    </xf>
    <xf numFmtId="164" fontId="50" fillId="0" borderId="1" xfId="15" applyNumberFormat="1" applyFont="1" applyBorder="1" applyAlignment="1" applyProtection="1">
      <alignment horizontal="center" vertical="center"/>
      <protection locked="0"/>
    </xf>
    <xf numFmtId="164" fontId="50" fillId="0" borderId="1" xfId="15" applyNumberFormat="1" applyFont="1" applyBorder="1" applyAlignment="1" applyProtection="1">
      <alignment horizontal="center" vertical="center"/>
      <protection locked="0"/>
    </xf>
    <xf numFmtId="164" fontId="50" fillId="0" borderId="1" xfId="15" applyNumberFormat="1" applyFont="1" applyBorder="1" applyAlignment="1" applyProtection="1">
      <alignment vertical="center"/>
      <protection locked="0"/>
    </xf>
    <xf numFmtId="0" fontId="51" fillId="4" borderId="1" xfId="15" applyFont="1" applyFill="1" applyBorder="1" applyAlignment="1" applyProtection="1">
      <alignment vertical="center" wrapText="1"/>
      <protection locked="0"/>
    </xf>
    <xf numFmtId="0" fontId="50" fillId="4" borderId="1" xfId="15" applyFont="1" applyFill="1" applyBorder="1" applyAlignment="1" applyProtection="1">
      <alignment horizontal="center" vertical="center"/>
      <protection locked="0"/>
    </xf>
    <xf numFmtId="0" fontId="51" fillId="0" borderId="1" xfId="15" applyFont="1" applyBorder="1" applyAlignment="1" applyProtection="1">
      <alignment vertical="center" wrapText="1"/>
      <protection locked="0"/>
    </xf>
    <xf numFmtId="0" fontId="52" fillId="0" borderId="1" xfId="15" applyFont="1" applyBorder="1" applyAlignment="1" applyProtection="1">
      <alignment vertical="center" wrapText="1"/>
      <protection locked="0"/>
    </xf>
    <xf numFmtId="0" fontId="20" fillId="0" borderId="3" xfId="0" applyFont="1" applyBorder="1" applyAlignment="1">
      <alignment horizontal="center" vertical="center" wrapText="1"/>
    </xf>
    <xf numFmtId="0" fontId="20" fillId="0" borderId="20" xfId="0" applyFont="1" applyBorder="1" applyAlignment="1">
      <alignment horizontal="center" vertical="center" wrapText="1"/>
    </xf>
    <xf numFmtId="0" fontId="5" fillId="13" borderId="3" xfId="13" applyBorder="1" applyAlignment="1">
      <alignment horizontal="center" vertical="center" wrapText="1"/>
    </xf>
    <xf numFmtId="0" fontId="5" fillId="13" borderId="13" xfId="13" applyBorder="1" applyAlignment="1">
      <alignment horizontal="center" vertical="center" wrapText="1"/>
    </xf>
    <xf numFmtId="0" fontId="31" fillId="0" borderId="3" xfId="0" applyFont="1" applyBorder="1" applyAlignment="1">
      <alignment horizontal="center" vertical="center" wrapText="1"/>
    </xf>
    <xf numFmtId="0" fontId="5" fillId="13" borderId="20" xfId="13"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vertical="center"/>
    </xf>
    <xf numFmtId="0" fontId="20" fillId="0" borderId="3" xfId="0" applyFont="1" applyBorder="1" applyAlignment="1">
      <alignment vertical="center" wrapText="1"/>
    </xf>
    <xf numFmtId="0" fontId="20" fillId="0" borderId="20" xfId="0" applyFont="1" applyBorder="1" applyAlignment="1">
      <alignment vertical="center"/>
    </xf>
    <xf numFmtId="0" fontId="5" fillId="13" borderId="1" xfId="13" applyBorder="1" applyAlignment="1">
      <alignment horizontal="center" vertical="center" wrapText="1"/>
    </xf>
    <xf numFmtId="0" fontId="5" fillId="13" borderId="5" xfId="13" applyBorder="1" applyAlignment="1">
      <alignment horizontal="center" vertical="center" wrapText="1"/>
    </xf>
    <xf numFmtId="0" fontId="20" fillId="0" borderId="20" xfId="0" applyFont="1" applyBorder="1" applyAlignment="1">
      <alignment vertical="center" wrapText="1"/>
    </xf>
    <xf numFmtId="0" fontId="5" fillId="13" borderId="2" xfId="13" applyBorder="1" applyAlignment="1">
      <alignment horizontal="center" vertical="center" wrapText="1"/>
    </xf>
    <xf numFmtId="0" fontId="15" fillId="3" borderId="7" xfId="0" applyFont="1" applyFill="1" applyBorder="1" applyAlignment="1">
      <alignment horizontal="center" vertical="center"/>
    </xf>
    <xf numFmtId="0" fontId="15" fillId="3" borderId="8" xfId="0" applyFont="1" applyFill="1" applyBorder="1" applyAlignment="1">
      <alignment vertical="center"/>
    </xf>
    <xf numFmtId="0" fontId="15" fillId="3" borderId="21" xfId="0" applyFont="1" applyFill="1" applyBorder="1" applyAlignment="1">
      <alignment vertical="center"/>
    </xf>
    <xf numFmtId="0" fontId="43" fillId="14" borderId="16" xfId="0" applyFont="1" applyFill="1" applyBorder="1" applyAlignment="1">
      <alignment horizontal="right" vertical="center" wrapText="1"/>
    </xf>
    <xf numFmtId="0" fontId="43" fillId="14" borderId="12" xfId="0" applyFont="1" applyFill="1" applyBorder="1" applyAlignment="1">
      <alignment horizontal="right" vertical="center"/>
    </xf>
    <xf numFmtId="0" fontId="43" fillId="3" borderId="27" xfId="0" applyFont="1" applyFill="1" applyBorder="1" applyAlignment="1">
      <alignment horizontal="center" vertical="center" wrapText="1"/>
    </xf>
    <xf numFmtId="0" fontId="43" fillId="0" borderId="29" xfId="0" applyFont="1" applyBorder="1" applyAlignment="1">
      <alignment horizontal="center" vertical="center"/>
    </xf>
    <xf numFmtId="0" fontId="5" fillId="13" borderId="23" xfId="13" applyBorder="1" applyAlignment="1">
      <alignment horizontal="center" vertical="center" wrapText="1"/>
    </xf>
    <xf numFmtId="0" fontId="18" fillId="3" borderId="30" xfId="0" applyFont="1" applyFill="1" applyBorder="1" applyAlignment="1">
      <alignment horizontal="center" vertical="center"/>
    </xf>
    <xf numFmtId="0" fontId="15" fillId="3" borderId="31" xfId="0" applyFont="1" applyFill="1" applyBorder="1" applyAlignment="1">
      <alignment vertical="center"/>
    </xf>
    <xf numFmtId="0" fontId="15" fillId="3" borderId="32" xfId="0" applyFont="1" applyFill="1" applyBorder="1" applyAlignment="1">
      <alignment vertical="center"/>
    </xf>
    <xf numFmtId="0" fontId="15" fillId="3" borderId="30" xfId="0" applyFont="1" applyFill="1" applyBorder="1" applyAlignment="1">
      <alignment horizontal="center" vertical="center"/>
    </xf>
    <xf numFmtId="0" fontId="49" fillId="15" borderId="30" xfId="14" applyFont="1" applyFill="1" applyBorder="1" applyAlignment="1">
      <alignment horizontal="center" vertical="center"/>
    </xf>
    <xf numFmtId="0" fontId="49" fillId="15" borderId="31" xfId="14" applyFont="1" applyFill="1" applyBorder="1" applyAlignment="1">
      <alignment horizontal="center" vertical="center"/>
    </xf>
    <xf numFmtId="0" fontId="49" fillId="15" borderId="32" xfId="14" applyFont="1" applyFill="1" applyBorder="1" applyAlignment="1">
      <alignment horizontal="center" vertical="center"/>
    </xf>
    <xf numFmtId="0" fontId="49" fillId="15" borderId="30" xfId="15" applyFont="1" applyFill="1" applyBorder="1" applyAlignment="1">
      <alignment horizontal="center" vertical="center"/>
    </xf>
    <xf numFmtId="0" fontId="49" fillId="15" borderId="31" xfId="15" applyFont="1" applyFill="1" applyBorder="1" applyAlignment="1">
      <alignment horizontal="center" vertical="center"/>
    </xf>
    <xf numFmtId="0" fontId="49" fillId="15" borderId="32" xfId="15" applyFont="1" applyFill="1" applyBorder="1" applyAlignment="1">
      <alignment horizontal="center" vertical="center"/>
    </xf>
    <xf numFmtId="0" fontId="49" fillId="15" borderId="30" xfId="15" applyFont="1" applyFill="1" applyBorder="1" applyAlignment="1" applyProtection="1">
      <alignment horizontal="center" vertical="center"/>
      <protection locked="0"/>
    </xf>
    <xf numFmtId="0" fontId="49" fillId="15" borderId="31" xfId="15" applyFont="1" applyFill="1" applyBorder="1" applyAlignment="1" applyProtection="1">
      <alignment horizontal="center" vertical="center"/>
      <protection locked="0"/>
    </xf>
    <xf numFmtId="0" fontId="49" fillId="15" borderId="32" xfId="15" applyFont="1" applyFill="1" applyBorder="1" applyAlignment="1" applyProtection="1">
      <alignment horizontal="center" vertical="center"/>
      <protection locked="0"/>
    </xf>
  </cellXfs>
  <cellStyles count="17">
    <cellStyle name="20% - Accent1" xfId="16" builtinId="30"/>
    <cellStyle name="20% - Accent3" xfId="9" builtinId="38"/>
    <cellStyle name="20% - Accent5" xfId="13" builtinId="46"/>
    <cellStyle name="Berekening" xfId="12" builtinId="22"/>
    <cellStyle name="Hyperlink" xfId="1" builtinId="8"/>
    <cellStyle name="Invoer" xfId="11" builtinId="20"/>
    <cellStyle name="Komma" xfId="6" builtinId="3"/>
    <cellStyle name="Neutraal" xfId="7" builtinId="28"/>
    <cellStyle name="Notitie" xfId="8" builtinId="10"/>
    <cellStyle name="Procent" xfId="10" builtinId="5"/>
    <cellStyle name="Standaard" xfId="0" builtinId="0"/>
    <cellStyle name="Standaard 2" xfId="3"/>
    <cellStyle name="Standaard 3" xfId="4"/>
    <cellStyle name="Standaard 4" xfId="5"/>
    <cellStyle name="Standaard 5" xfId="14"/>
    <cellStyle name="Standaard 6" xfId="15"/>
    <cellStyle name="Valuta" xfId="2" builtinId="4"/>
  </cellStyles>
  <dxfs count="0"/>
  <tableStyles count="0" defaultTableStyle="TableStyleMedium2" defaultPivotStyle="PivotStyleLight16"/>
  <colors>
    <mruColors>
      <color rgb="FFFFEB9C"/>
      <color rgb="FFF7FA82"/>
      <color rgb="FFDDFA82"/>
      <color rgb="FFE8F8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zoomScale="85" zoomScaleNormal="85" workbookViewId="0">
      <pane ySplit="5" topLeftCell="A183" activePane="bottomLeft" state="frozen"/>
      <selection activeCell="D259" sqref="D259"/>
      <selection pane="bottomLeft" activeCell="F188" sqref="F188"/>
    </sheetView>
  </sheetViews>
  <sheetFormatPr defaultColWidth="9.140625" defaultRowHeight="15"/>
  <cols>
    <col min="1" max="1" width="8" style="1" customWidth="1"/>
    <col min="2" max="2" width="48.5703125" style="9" customWidth="1"/>
    <col min="3" max="3" width="5.140625" style="9" customWidth="1"/>
    <col min="4" max="4" width="11.42578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2.7109375" style="6" customWidth="1"/>
    <col min="12" max="12" width="19" style="7" bestFit="1" customWidth="1"/>
    <col min="13" max="13" width="12.5703125" style="7" customWidth="1"/>
    <col min="14" max="14" width="10.42578125" style="7" customWidth="1"/>
    <col min="15" max="15" width="16.5703125" style="7" customWidth="1"/>
    <col min="16" max="16" width="48.85546875" style="8" customWidth="1"/>
    <col min="17" max="16384" width="9.140625" style="3"/>
  </cols>
  <sheetData>
    <row r="1" spans="1:17" ht="32.25" customHeight="1" thickBot="1">
      <c r="A1" s="575" t="s">
        <v>0</v>
      </c>
      <c r="B1" s="576"/>
      <c r="C1" s="576"/>
      <c r="D1" s="576"/>
      <c r="E1" s="576"/>
      <c r="F1" s="576"/>
      <c r="G1" s="576"/>
      <c r="H1" s="576"/>
      <c r="I1" s="576"/>
      <c r="J1" s="576"/>
      <c r="K1" s="576"/>
      <c r="L1" s="576"/>
      <c r="M1" s="576"/>
      <c r="N1" s="576"/>
      <c r="O1" s="576"/>
      <c r="P1" s="577"/>
    </row>
    <row r="2" spans="1:17" s="12" customFormat="1" ht="24.75" customHeigh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c r="A3" s="311" t="s">
        <v>4</v>
      </c>
      <c r="B3" s="309" t="s">
        <v>5</v>
      </c>
      <c r="C3" s="289">
        <v>100</v>
      </c>
      <c r="D3" s="290">
        <f>C4*C3</f>
        <v>300</v>
      </c>
      <c r="E3" s="578" t="s">
        <v>6</v>
      </c>
      <c r="F3" s="579"/>
      <c r="G3" s="291">
        <v>20</v>
      </c>
      <c r="H3" s="292">
        <f>G3*G4</f>
        <v>180</v>
      </c>
      <c r="I3" s="293"/>
      <c r="J3" s="293"/>
      <c r="K3" s="294"/>
      <c r="L3" s="294"/>
      <c r="M3" s="294"/>
      <c r="N3" s="294"/>
      <c r="O3" s="294"/>
      <c r="P3" s="312"/>
      <c r="Q3" s="295"/>
    </row>
    <row r="4" spans="1:17" s="10" customFormat="1" ht="35.25" customHeight="1" thickBot="1">
      <c r="A4" s="313">
        <v>5</v>
      </c>
      <c r="B4" s="296" t="s">
        <v>7</v>
      </c>
      <c r="C4" s="297">
        <v>3</v>
      </c>
      <c r="D4" s="298" t="s">
        <v>8</v>
      </c>
      <c r="E4" s="580" t="s">
        <v>9</v>
      </c>
      <c r="F4" s="581"/>
      <c r="G4" s="299">
        <v>9</v>
      </c>
      <c r="H4" s="300" t="s">
        <v>8</v>
      </c>
      <c r="I4" s="314"/>
      <c r="J4" s="314"/>
      <c r="K4" s="315"/>
      <c r="L4" s="315"/>
      <c r="M4" s="315"/>
      <c r="N4" s="315"/>
      <c r="O4" s="315"/>
      <c r="P4" s="316"/>
      <c r="Q4" s="295"/>
    </row>
    <row r="5" spans="1:17" s="5" customFormat="1" ht="46.5" customHeight="1">
      <c r="A5" s="61" t="s">
        <v>10</v>
      </c>
      <c r="B5" s="62" t="s">
        <v>11</v>
      </c>
      <c r="C5" s="63"/>
      <c r="D5" s="35" t="s">
        <v>12</v>
      </c>
      <c r="E5" s="36" t="s">
        <v>13</v>
      </c>
      <c r="F5" s="37" t="s">
        <v>14</v>
      </c>
      <c r="G5" s="37" t="s">
        <v>15</v>
      </c>
      <c r="H5" s="37" t="s">
        <v>16</v>
      </c>
      <c r="I5" s="574" t="s">
        <v>17</v>
      </c>
      <c r="J5" s="582"/>
      <c r="K5" s="582"/>
      <c r="L5" s="582"/>
      <c r="M5" s="582"/>
      <c r="N5" s="582"/>
      <c r="O5" s="582"/>
      <c r="P5" s="49" t="s">
        <v>18</v>
      </c>
      <c r="Q5" s="301"/>
    </row>
    <row r="6" spans="1:17" ht="40.5"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c r="A7" s="112"/>
      <c r="B7" s="112"/>
      <c r="C7" s="112"/>
      <c r="D7" s="112"/>
      <c r="E7" s="112"/>
      <c r="F7" s="112"/>
      <c r="G7" s="112"/>
      <c r="H7" s="112"/>
      <c r="I7" s="112"/>
      <c r="J7" s="112"/>
      <c r="K7" s="322">
        <v>3</v>
      </c>
      <c r="L7" s="112" t="s">
        <v>22</v>
      </c>
      <c r="M7" s="112"/>
      <c r="N7" s="112"/>
      <c r="O7" s="112"/>
      <c r="P7" s="112"/>
      <c r="Q7" s="151"/>
    </row>
    <row r="8" spans="1:17">
      <c r="A8" s="272"/>
      <c r="B8" s="272"/>
      <c r="C8" s="272"/>
      <c r="D8" s="272"/>
      <c r="E8" s="272"/>
      <c r="F8" s="272"/>
      <c r="G8" s="272"/>
      <c r="H8" s="272"/>
      <c r="I8" s="272"/>
      <c r="J8" s="272"/>
      <c r="K8" s="322">
        <v>1</v>
      </c>
      <c r="L8" s="272" t="s">
        <v>23</v>
      </c>
      <c r="M8" s="272"/>
      <c r="N8" s="272"/>
      <c r="O8" s="272"/>
      <c r="P8" s="272"/>
      <c r="Q8" s="151"/>
    </row>
    <row r="9" spans="1:17" customFormat="1" ht="17.25" customHeight="1">
      <c r="A9" s="272"/>
      <c r="B9" s="272"/>
      <c r="C9" s="272"/>
      <c r="D9" s="272"/>
      <c r="E9" s="272"/>
      <c r="F9" s="272"/>
      <c r="G9" s="272"/>
      <c r="H9" s="272"/>
      <c r="I9" s="272"/>
      <c r="J9" s="272"/>
      <c r="K9" s="318">
        <f>($K$7*2)+($K$8*2)+1+1</f>
        <v>10</v>
      </c>
      <c r="L9" s="272" t="str">
        <f>Rekenblad!L9</f>
        <v>man in de binding</v>
      </c>
      <c r="M9" s="273">
        <f>Rekenblad!M9</f>
        <v>116.03999999999999</v>
      </c>
      <c r="N9" s="272" t="str">
        <f>Rekenblad!N9</f>
        <v>/man/week</v>
      </c>
      <c r="O9" s="273"/>
      <c r="P9" s="272"/>
      <c r="Q9" s="310"/>
    </row>
    <row r="10" spans="1:17" customFormat="1" ht="17.25" customHeight="1">
      <c r="A10" s="112"/>
      <c r="B10" s="112"/>
      <c r="C10" s="112"/>
      <c r="D10" s="112"/>
      <c r="E10" s="112"/>
      <c r="F10" s="112"/>
      <c r="G10" s="112"/>
      <c r="H10" s="112"/>
      <c r="I10" s="112"/>
      <c r="J10" s="112"/>
      <c r="K10" s="319">
        <f>K9</f>
        <v>10</v>
      </c>
      <c r="L10" s="112" t="str">
        <f>Rekenblad!L10</f>
        <v>Telefoon abonnement</v>
      </c>
      <c r="M10" s="113">
        <f>Rekenblad!M10</f>
        <v>60</v>
      </c>
      <c r="N10" s="112" t="str">
        <f>Rekenblad!N10</f>
        <v>/maand</v>
      </c>
      <c r="O10" s="113"/>
      <c r="P10" s="112"/>
      <c r="Q10" s="310"/>
    </row>
    <row r="11" spans="1:17" ht="35.450000000000003" customHeight="1">
      <c r="A11" s="78" t="s">
        <v>24</v>
      </c>
      <c r="B11" s="79" t="s">
        <v>25</v>
      </c>
      <c r="C11" s="80" t="s">
        <v>26</v>
      </c>
      <c r="D11" s="68" t="s">
        <v>27</v>
      </c>
      <c r="E11" s="69">
        <v>60</v>
      </c>
      <c r="F11" s="70">
        <f>O11</f>
        <v>5628.4</v>
      </c>
      <c r="G11" s="81">
        <f>H11/5</f>
        <v>67540.800000000003</v>
      </c>
      <c r="H11" s="82">
        <f>F11*E11</f>
        <v>337704</v>
      </c>
      <c r="I11" s="274" t="s">
        <v>28</v>
      </c>
      <c r="J11" s="275" t="s">
        <v>29</v>
      </c>
      <c r="K11" s="319"/>
      <c r="L11" s="112"/>
      <c r="M11" s="86"/>
      <c r="N11" s="112"/>
      <c r="O11" s="113">
        <f>(K9*(M9*(52/12)))+K10*M10</f>
        <v>5628.4</v>
      </c>
      <c r="P11" s="29" t="s">
        <v>30</v>
      </c>
      <c r="Q11" s="151"/>
    </row>
    <row r="12" spans="1:17" s="20" customFormat="1">
      <c r="A12" s="90" t="s">
        <v>31</v>
      </c>
      <c r="B12" s="91" t="s">
        <v>32</v>
      </c>
      <c r="C12" s="92" t="s">
        <v>33</v>
      </c>
      <c r="D12" s="93" t="s">
        <v>27</v>
      </c>
      <c r="E12" s="94">
        <v>60</v>
      </c>
      <c r="F12" s="95">
        <v>10000</v>
      </c>
      <c r="G12" s="96">
        <f>F12*12</f>
        <v>120000</v>
      </c>
      <c r="H12" s="97"/>
      <c r="I12" s="98"/>
      <c r="J12" s="99"/>
      <c r="K12" s="319"/>
      <c r="L12" s="112"/>
      <c r="M12" s="113"/>
      <c r="N12" s="112"/>
      <c r="O12" s="113"/>
      <c r="P12" s="99"/>
      <c r="Q12" s="302"/>
    </row>
    <row r="13" spans="1:17" ht="67.5">
      <c r="A13" s="78" t="s">
        <v>34</v>
      </c>
      <c r="B13" s="79" t="s">
        <v>35</v>
      </c>
      <c r="C13" s="80" t="s">
        <v>26</v>
      </c>
      <c r="D13" s="68" t="s">
        <v>27</v>
      </c>
      <c r="E13" s="69">
        <v>60</v>
      </c>
      <c r="F13" s="70">
        <f>O13</f>
        <v>9352.6312499999985</v>
      </c>
      <c r="G13" s="81">
        <f>H13/5</f>
        <v>112231.57499999998</v>
      </c>
      <c r="H13" s="82">
        <f>F13*E13</f>
        <v>561157.87499999988</v>
      </c>
      <c r="I13" s="76" t="s">
        <v>36</v>
      </c>
      <c r="J13" s="84" t="s">
        <v>37</v>
      </c>
      <c r="K13" s="325">
        <f>Rekenblad!K13</f>
        <v>3.75</v>
      </c>
      <c r="L13" s="324" t="s">
        <v>38</v>
      </c>
      <c r="M13" s="500">
        <f>K7*(F16+F17)+K8*F18</f>
        <v>2494.0349999999999</v>
      </c>
      <c r="N13" s="324" t="s">
        <v>39</v>
      </c>
      <c r="O13" s="113">
        <f>(M13*K13)</f>
        <v>9352.6312499999985</v>
      </c>
      <c r="P13" s="103" t="s">
        <v>40</v>
      </c>
      <c r="Q13" s="151"/>
    </row>
    <row r="14" spans="1:17" ht="69.599999999999994" customHeight="1">
      <c r="A14" s="104" t="s">
        <v>41</v>
      </c>
      <c r="B14" s="105" t="s">
        <v>42</v>
      </c>
      <c r="C14" s="106" t="s">
        <v>26</v>
      </c>
      <c r="D14" s="107" t="s">
        <v>27</v>
      </c>
      <c r="E14" s="108">
        <v>60</v>
      </c>
      <c r="F14" s="109">
        <f>O14</f>
        <v>1360</v>
      </c>
      <c r="G14" s="81">
        <f>H14/5</f>
        <v>16320</v>
      </c>
      <c r="H14" s="82">
        <f>F14*E14</f>
        <v>81600</v>
      </c>
      <c r="I14" s="83" t="s">
        <v>43</v>
      </c>
      <c r="J14" s="111" t="s">
        <v>44</v>
      </c>
      <c r="K14" s="320">
        <v>16</v>
      </c>
      <c r="L14" s="112" t="s">
        <v>8</v>
      </c>
      <c r="M14" s="113">
        <v>85</v>
      </c>
      <c r="N14" s="112" t="s">
        <v>8</v>
      </c>
      <c r="O14" s="113">
        <f>M14*K14</f>
        <v>1360</v>
      </c>
      <c r="P14" s="282" t="s">
        <v>45</v>
      </c>
      <c r="Q14" s="151"/>
    </row>
    <row r="15" spans="1:17" ht="33.75">
      <c r="A15" s="64">
        <v>2</v>
      </c>
      <c r="B15" s="115" t="s">
        <v>46</v>
      </c>
      <c r="C15" s="115"/>
      <c r="D15" s="38" t="s">
        <v>12</v>
      </c>
      <c r="E15" s="47" t="s">
        <v>13</v>
      </c>
      <c r="F15" s="48" t="s">
        <v>14</v>
      </c>
      <c r="G15" s="48" t="s">
        <v>15</v>
      </c>
      <c r="H15" s="48" t="s">
        <v>16</v>
      </c>
      <c r="I15" s="38" t="s">
        <v>17</v>
      </c>
      <c r="J15" s="49" t="s">
        <v>47</v>
      </c>
      <c r="K15" s="37" t="s">
        <v>48</v>
      </c>
      <c r="L15" s="50" t="s">
        <v>49</v>
      </c>
      <c r="M15" s="58" t="s">
        <v>50</v>
      </c>
      <c r="N15" s="58"/>
      <c r="O15" s="59"/>
      <c r="P15" s="49" t="s">
        <v>18</v>
      </c>
      <c r="Q15" s="151"/>
    </row>
    <row r="16" spans="1:17" ht="96" customHeight="1">
      <c r="A16" s="78" t="s">
        <v>51</v>
      </c>
      <c r="B16" s="116" t="s">
        <v>52</v>
      </c>
      <c r="C16" s="75" t="s">
        <v>53</v>
      </c>
      <c r="D16" s="107" t="s">
        <v>8</v>
      </c>
      <c r="E16" s="117">
        <f>D3</f>
        <v>300</v>
      </c>
      <c r="F16" s="118">
        <f>Rekenblad!F16</f>
        <v>530.56499999999994</v>
      </c>
      <c r="G16" s="118">
        <f>E16*F16</f>
        <v>159169.49999999997</v>
      </c>
      <c r="H16" s="109">
        <f>A4*G16</f>
        <v>795847.49999999988</v>
      </c>
      <c r="I16" s="76" t="s">
        <v>54</v>
      </c>
      <c r="J16" s="76" t="s">
        <v>55</v>
      </c>
      <c r="K16" s="119">
        <v>100</v>
      </c>
      <c r="L16" s="120">
        <v>500</v>
      </c>
      <c r="M16" s="278">
        <v>3</v>
      </c>
      <c r="N16" s="278"/>
      <c r="O16" s="76"/>
      <c r="P16" s="77"/>
      <c r="Q16" s="151"/>
    </row>
    <row r="17" spans="1:17" ht="96" customHeight="1">
      <c r="A17" s="78" t="s">
        <v>51</v>
      </c>
      <c r="B17" s="116" t="s">
        <v>56</v>
      </c>
      <c r="C17" s="75" t="s">
        <v>57</v>
      </c>
      <c r="D17" s="107" t="s">
        <v>8</v>
      </c>
      <c r="E17" s="108"/>
      <c r="F17" s="118">
        <f>Rekenblad!F17</f>
        <v>225.58499999999998</v>
      </c>
      <c r="G17" s="118"/>
      <c r="H17" s="109"/>
      <c r="I17" s="76" t="s">
        <v>58</v>
      </c>
      <c r="J17" s="76"/>
      <c r="K17" s="119"/>
      <c r="L17" s="120"/>
      <c r="M17" s="121"/>
      <c r="N17" s="121"/>
      <c r="O17" s="75"/>
      <c r="P17" s="77"/>
      <c r="Q17" s="151"/>
    </row>
    <row r="18" spans="1:17" ht="71.25" customHeight="1">
      <c r="A18" s="104" t="s">
        <v>59</v>
      </c>
      <c r="B18" s="116" t="s">
        <v>60</v>
      </c>
      <c r="C18" s="75" t="s">
        <v>53</v>
      </c>
      <c r="D18" s="107" t="s">
        <v>8</v>
      </c>
      <c r="E18" s="30">
        <f>H3</f>
        <v>180</v>
      </c>
      <c r="F18" s="118">
        <f>Rekenblad!F18</f>
        <v>225.58499999999998</v>
      </c>
      <c r="G18" s="118">
        <f>F18*E18</f>
        <v>40605.299999999996</v>
      </c>
      <c r="H18" s="109">
        <f>A4*G18</f>
        <v>203026.49999999997</v>
      </c>
      <c r="I18" s="76" t="s">
        <v>61</v>
      </c>
      <c r="J18" s="76" t="s">
        <v>62</v>
      </c>
      <c r="K18" s="122">
        <v>10</v>
      </c>
      <c r="L18" s="122">
        <v>50</v>
      </c>
      <c r="M18" s="279">
        <v>4</v>
      </c>
      <c r="N18" s="279"/>
      <c r="O18" s="124"/>
      <c r="P18" s="77"/>
      <c r="Q18" s="151"/>
    </row>
    <row r="19" spans="1:17" s="19" customFormat="1" ht="47.25" customHeight="1">
      <c r="A19" s="125" t="s">
        <v>63</v>
      </c>
      <c r="B19" s="126" t="s">
        <v>64</v>
      </c>
      <c r="C19" s="127" t="s">
        <v>33</v>
      </c>
      <c r="D19" s="127" t="s">
        <v>8</v>
      </c>
      <c r="E19" s="128">
        <f>E16</f>
        <v>300</v>
      </c>
      <c r="F19" s="130">
        <f>Rekenblad!F19</f>
        <v>424</v>
      </c>
      <c r="G19" s="130">
        <f>F19*E19</f>
        <v>127200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f>H3</f>
        <v>180</v>
      </c>
      <c r="F20" s="130">
        <f>Rekenblad!F20</f>
        <v>689</v>
      </c>
      <c r="G20" s="130">
        <f>F20*E20</f>
        <v>124020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30">
        <f>Rekenblad!F21</f>
        <v>2031.6666666666702</v>
      </c>
      <c r="G21" s="130">
        <f t="shared" ref="G21:G22" si="0">F21*E21</f>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30">
        <f>Rekenblad!F22</f>
        <v>3445</v>
      </c>
      <c r="G22" s="130">
        <f t="shared" si="0"/>
        <v>0</v>
      </c>
      <c r="H22" s="139"/>
      <c r="I22" s="132"/>
      <c r="J22" s="133"/>
      <c r="K22" s="134"/>
      <c r="L22" s="135"/>
      <c r="M22" s="136"/>
      <c r="N22" s="136"/>
      <c r="O22" s="137"/>
      <c r="P22" s="138"/>
      <c r="Q22" s="303"/>
    </row>
    <row r="23" spans="1:17" ht="59.25" customHeight="1">
      <c r="A23" s="64">
        <v>3</v>
      </c>
      <c r="B23" s="65" t="s">
        <v>71</v>
      </c>
      <c r="C23" s="140"/>
      <c r="D23" s="51" t="s">
        <v>12</v>
      </c>
      <c r="E23" s="52" t="s">
        <v>13</v>
      </c>
      <c r="F23" s="60" t="str">
        <f>Rekenblad!F23</f>
        <v>bedrag per eenheid (excl. btw)</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18"/>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533.33333333333326</v>
      </c>
      <c r="F25" s="118">
        <f>Rekenblad!F25</f>
        <v>55.650000000000006</v>
      </c>
      <c r="G25" s="145" t="s">
        <v>77</v>
      </c>
      <c r="H25" s="145">
        <f>E25*F25</f>
        <v>29680</v>
      </c>
      <c r="I25" s="280">
        <f>Rekenblad!I25</f>
        <v>0.66666666666666663</v>
      </c>
      <c r="J25" s="151"/>
      <c r="K25" s="118"/>
      <c r="L25" s="146"/>
      <c r="M25" s="146"/>
      <c r="N25" s="146"/>
      <c r="O25" s="146"/>
      <c r="P25" s="147"/>
      <c r="Q25" s="151"/>
    </row>
    <row r="26" spans="1:17" ht="30" customHeight="1">
      <c r="A26" s="143"/>
      <c r="B26" s="148" t="s">
        <v>78</v>
      </c>
      <c r="C26" s="149" t="s">
        <v>76</v>
      </c>
      <c r="D26" s="143" t="s">
        <v>8</v>
      </c>
      <c r="E26" s="108">
        <f>((1/3)*($D$3+$H$3)*$A$4)*I26</f>
        <v>133.33333333333331</v>
      </c>
      <c r="F26" s="118">
        <f>Rekenblad!F26</f>
        <v>68.900000000000006</v>
      </c>
      <c r="G26" s="145" t="s">
        <v>77</v>
      </c>
      <c r="H26" s="145">
        <f t="shared" ref="H26:H30" si="1">E26*F26</f>
        <v>9186.6666666666661</v>
      </c>
      <c r="I26" s="280">
        <f>Rekenblad!I26</f>
        <v>0.16666666666666666</v>
      </c>
      <c r="J26" s="152"/>
      <c r="K26" s="118"/>
      <c r="L26" s="146"/>
      <c r="M26" s="146"/>
      <c r="N26" s="146"/>
      <c r="O26" s="146"/>
      <c r="P26" s="147"/>
      <c r="Q26" s="151"/>
    </row>
    <row r="27" spans="1:17" ht="30" customHeight="1">
      <c r="A27" s="143"/>
      <c r="B27" s="148" t="s">
        <v>79</v>
      </c>
      <c r="C27" s="149" t="s">
        <v>76</v>
      </c>
      <c r="D27" s="143" t="s">
        <v>8</v>
      </c>
      <c r="E27" s="108">
        <f>((1/3)*($D$3+$H$3)*$A$4)*I27</f>
        <v>66.666666666666657</v>
      </c>
      <c r="F27" s="118">
        <f>+Blad3!F48</f>
        <v>99.6</v>
      </c>
      <c r="G27" s="145" t="s">
        <v>77</v>
      </c>
      <c r="H27" s="145">
        <f t="shared" si="1"/>
        <v>6639.9999999999991</v>
      </c>
      <c r="I27" s="280">
        <f>Rekenblad!I27</f>
        <v>8.3333333333333329E-2</v>
      </c>
      <c r="J27" s="152"/>
      <c r="K27" s="118"/>
      <c r="L27" s="146"/>
      <c r="M27" s="146"/>
      <c r="N27" s="146"/>
      <c r="O27" s="146"/>
      <c r="P27" s="147"/>
      <c r="Q27" s="151"/>
    </row>
    <row r="28" spans="1:17" ht="30" customHeight="1">
      <c r="A28" s="143"/>
      <c r="B28" s="148" t="s">
        <v>80</v>
      </c>
      <c r="C28" s="149" t="s">
        <v>76</v>
      </c>
      <c r="D28" s="143" t="s">
        <v>8</v>
      </c>
      <c r="E28" s="108">
        <f>((1/3)*($D$3+$H$3)*$A$4)*I28</f>
        <v>66.666666666666657</v>
      </c>
      <c r="F28" s="118">
        <f>Rekenblad!F28</f>
        <v>100.7</v>
      </c>
      <c r="G28" s="145" t="s">
        <v>77</v>
      </c>
      <c r="H28" s="145">
        <f t="shared" si="1"/>
        <v>6713.3333333333321</v>
      </c>
      <c r="I28" s="280">
        <f>Rekenblad!I28</f>
        <v>8.3333333333333329E-2</v>
      </c>
      <c r="J28" s="152"/>
      <c r="K28" s="118"/>
      <c r="L28" s="146"/>
      <c r="M28" s="146"/>
      <c r="N28" s="146"/>
      <c r="O28" s="146"/>
      <c r="P28" s="147"/>
      <c r="Q28" s="151"/>
    </row>
    <row r="29" spans="1:17" ht="30" customHeight="1">
      <c r="A29" s="143"/>
      <c r="B29" s="148" t="s">
        <v>81</v>
      </c>
      <c r="C29" s="149" t="s">
        <v>33</v>
      </c>
      <c r="D29" s="143" t="s">
        <v>8</v>
      </c>
      <c r="E29" s="108">
        <f>Rekenblad!E29</f>
        <v>0</v>
      </c>
      <c r="F29" s="118">
        <f>Rekenblad!F29</f>
        <v>76.850000000000009</v>
      </c>
      <c r="G29" s="145" t="s">
        <v>77</v>
      </c>
      <c r="H29" s="145">
        <f t="shared" si="1"/>
        <v>0</v>
      </c>
      <c r="I29" s="153"/>
      <c r="J29" s="152"/>
      <c r="K29" s="118"/>
      <c r="L29" s="146"/>
      <c r="M29" s="146"/>
      <c r="N29" s="146"/>
      <c r="O29" s="146"/>
      <c r="P29" s="147"/>
      <c r="Q29" s="151"/>
    </row>
    <row r="30" spans="1:17" ht="30" customHeight="1">
      <c r="A30" s="143"/>
      <c r="B30" s="148" t="s">
        <v>82</v>
      </c>
      <c r="C30" s="149" t="s">
        <v>57</v>
      </c>
      <c r="D30" s="143" t="s">
        <v>8</v>
      </c>
      <c r="E30" s="108">
        <f>Rekenblad!E30</f>
        <v>0</v>
      </c>
      <c r="F30" s="118">
        <f>Rekenblad!F30</f>
        <v>113.102</v>
      </c>
      <c r="G30" s="145" t="s">
        <v>77</v>
      </c>
      <c r="H30" s="145">
        <f t="shared" si="1"/>
        <v>0</v>
      </c>
      <c r="I30" s="153"/>
      <c r="J30" s="152"/>
      <c r="K30" s="118"/>
      <c r="L30" s="146"/>
      <c r="M30" s="146"/>
      <c r="N30" s="146"/>
      <c r="O30" s="146"/>
      <c r="P30" s="147"/>
      <c r="Q30" s="151"/>
    </row>
    <row r="31" spans="1:17" ht="30" customHeight="1">
      <c r="A31" s="143"/>
      <c r="B31" s="148"/>
      <c r="C31" s="149"/>
      <c r="D31" s="143"/>
      <c r="E31" s="108"/>
      <c r="F31" s="118"/>
      <c r="G31" s="145"/>
      <c r="H31" s="145"/>
      <c r="I31" s="153"/>
      <c r="J31" s="152"/>
      <c r="K31" s="118"/>
      <c r="L31" s="146"/>
      <c r="M31" s="146"/>
      <c r="N31" s="146"/>
      <c r="O31" s="146"/>
      <c r="P31" s="147"/>
      <c r="Q31" s="151"/>
    </row>
    <row r="32" spans="1:17" ht="30" customHeight="1">
      <c r="A32" s="141" t="s">
        <v>83</v>
      </c>
      <c r="B32" s="142" t="s">
        <v>84</v>
      </c>
      <c r="C32" s="65"/>
      <c r="D32" s="64"/>
      <c r="E32" s="108"/>
      <c r="F32" s="118"/>
      <c r="G32" s="145"/>
      <c r="H32" s="145"/>
      <c r="I32" s="153"/>
      <c r="J32" s="155"/>
      <c r="K32" s="118"/>
      <c r="L32" s="146"/>
      <c r="M32" s="146"/>
      <c r="N32" s="146"/>
      <c r="O32" s="146"/>
      <c r="P32" s="147"/>
      <c r="Q32" s="151"/>
    </row>
    <row r="33" spans="1:17" ht="30" customHeight="1">
      <c r="A33" s="143"/>
      <c r="B33" s="148" t="s">
        <v>75</v>
      </c>
      <c r="C33" s="149" t="s">
        <v>76</v>
      </c>
      <c r="D33" s="143" t="s">
        <v>8</v>
      </c>
      <c r="E33" s="108">
        <f>Rekenblad!E33</f>
        <v>0</v>
      </c>
      <c r="F33" s="118">
        <f>Rekenblad!F33</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f>Rekenblad!E34</f>
        <v>0</v>
      </c>
      <c r="F34" s="118">
        <f>Rekenblad!F34</f>
        <v>63.6</v>
      </c>
      <c r="G34" s="145"/>
      <c r="H34" s="145">
        <f t="shared" ref="H34:H41" si="2">F34*E34</f>
        <v>0</v>
      </c>
      <c r="I34" s="569"/>
      <c r="J34" s="573"/>
      <c r="K34" s="118"/>
      <c r="L34" s="146"/>
      <c r="M34" s="146"/>
      <c r="N34" s="146"/>
      <c r="O34" s="146"/>
      <c r="P34" s="147"/>
      <c r="Q34" s="151"/>
    </row>
    <row r="35" spans="1:17" ht="30" customHeight="1">
      <c r="A35" s="143"/>
      <c r="B35" s="148" t="s">
        <v>79</v>
      </c>
      <c r="C35" s="149" t="s">
        <v>76</v>
      </c>
      <c r="D35" s="143" t="s">
        <v>8</v>
      </c>
      <c r="E35" s="108">
        <f>Rekenblad!E35</f>
        <v>0</v>
      </c>
      <c r="F35" s="118">
        <f>+Blad3!F46</f>
        <v>75.239999999999995</v>
      </c>
      <c r="G35" s="145"/>
      <c r="H35" s="145">
        <f t="shared" si="2"/>
        <v>0</v>
      </c>
      <c r="I35" s="569"/>
      <c r="J35" s="573"/>
      <c r="K35" s="118"/>
      <c r="L35" s="146"/>
      <c r="M35" s="146"/>
      <c r="N35" s="146"/>
      <c r="O35" s="146"/>
      <c r="P35" s="147"/>
      <c r="Q35" s="151"/>
    </row>
    <row r="36" spans="1:17" ht="30" customHeight="1">
      <c r="A36" s="143"/>
      <c r="B36" s="148" t="s">
        <v>80</v>
      </c>
      <c r="C36" s="149" t="s">
        <v>76</v>
      </c>
      <c r="D36" s="143" t="s">
        <v>8</v>
      </c>
      <c r="E36" s="108">
        <f>Rekenblad!E36</f>
        <v>0</v>
      </c>
      <c r="F36" s="489">
        <f>Rekenblad!F36</f>
        <v>84.800000000000011</v>
      </c>
      <c r="G36" s="145"/>
      <c r="H36" s="145">
        <f t="shared" si="2"/>
        <v>0</v>
      </c>
      <c r="I36" s="569"/>
      <c r="J36" s="573"/>
      <c r="K36" s="118"/>
      <c r="L36" s="146"/>
      <c r="M36" s="146"/>
      <c r="N36" s="146"/>
      <c r="O36" s="146"/>
      <c r="P36" s="147"/>
      <c r="Q36" s="151"/>
    </row>
    <row r="37" spans="1:17" ht="30" customHeight="1">
      <c r="A37" s="141" t="s">
        <v>85</v>
      </c>
      <c r="B37" s="156" t="s">
        <v>86</v>
      </c>
      <c r="C37" s="141"/>
      <c r="D37" s="64"/>
      <c r="E37" s="108"/>
      <c r="F37" s="118"/>
      <c r="G37" s="145"/>
      <c r="H37" s="145">
        <f t="shared" si="2"/>
        <v>0</v>
      </c>
      <c r="I37" s="569"/>
      <c r="J37" s="573"/>
      <c r="K37" s="118"/>
      <c r="L37" s="146"/>
      <c r="M37" s="146"/>
      <c r="N37" s="146"/>
      <c r="O37" s="146"/>
      <c r="P37" s="147"/>
      <c r="Q37" s="151"/>
    </row>
    <row r="38" spans="1:17" ht="30" customHeight="1">
      <c r="A38" s="143"/>
      <c r="B38" s="157" t="s">
        <v>75</v>
      </c>
      <c r="C38" s="143" t="s">
        <v>76</v>
      </c>
      <c r="D38" s="143" t="s">
        <v>8</v>
      </c>
      <c r="E38" s="108">
        <f>Rekenblad!E38</f>
        <v>0</v>
      </c>
      <c r="F38" s="118">
        <f>Rekenblad!F38</f>
        <v>50.88</v>
      </c>
      <c r="G38" s="145"/>
      <c r="H38" s="145">
        <f t="shared" si="2"/>
        <v>0</v>
      </c>
      <c r="I38" s="569"/>
      <c r="J38" s="573"/>
      <c r="K38" s="118"/>
      <c r="L38" s="146"/>
      <c r="M38" s="146"/>
      <c r="N38" s="146"/>
      <c r="O38" s="146"/>
      <c r="P38" s="147"/>
      <c r="Q38" s="151"/>
    </row>
    <row r="39" spans="1:17" ht="30" customHeight="1">
      <c r="A39" s="143"/>
      <c r="B39" s="157" t="s">
        <v>78</v>
      </c>
      <c r="C39" s="143" t="s">
        <v>76</v>
      </c>
      <c r="D39" s="143" t="s">
        <v>8</v>
      </c>
      <c r="E39" s="108">
        <f>Rekenblad!E39</f>
        <v>0</v>
      </c>
      <c r="F39" s="118">
        <f>Rekenblad!F39</f>
        <v>58.300000000000004</v>
      </c>
      <c r="G39" s="145"/>
      <c r="H39" s="145">
        <f t="shared" si="2"/>
        <v>0</v>
      </c>
      <c r="I39" s="569"/>
      <c r="J39" s="573"/>
      <c r="K39" s="118"/>
      <c r="L39" s="146"/>
      <c r="M39" s="146"/>
      <c r="N39" s="146"/>
      <c r="O39" s="146"/>
      <c r="P39" s="147"/>
      <c r="Q39" s="151"/>
    </row>
    <row r="40" spans="1:17" ht="30" customHeight="1">
      <c r="A40" s="143"/>
      <c r="B40" s="157" t="s">
        <v>79</v>
      </c>
      <c r="C40" s="143" t="s">
        <v>76</v>
      </c>
      <c r="D40" s="143" t="s">
        <v>8</v>
      </c>
      <c r="E40" s="108">
        <f>Rekenblad!E40</f>
        <v>0</v>
      </c>
      <c r="F40" s="118">
        <f>Rekenblad!F40</f>
        <v>68.900000000000006</v>
      </c>
      <c r="G40" s="145"/>
      <c r="H40" s="145">
        <f t="shared" si="2"/>
        <v>0</v>
      </c>
      <c r="I40" s="569"/>
      <c r="J40" s="573"/>
      <c r="K40" s="118"/>
      <c r="L40" s="146"/>
      <c r="M40" s="146"/>
      <c r="N40" s="146"/>
      <c r="O40" s="146"/>
      <c r="P40" s="147"/>
      <c r="Q40" s="151"/>
    </row>
    <row r="41" spans="1:17" ht="30" customHeight="1">
      <c r="A41" s="143"/>
      <c r="B41" s="157" t="s">
        <v>80</v>
      </c>
      <c r="C41" s="143" t="s">
        <v>76</v>
      </c>
      <c r="D41" s="143" t="s">
        <v>8</v>
      </c>
      <c r="E41" s="108">
        <f>Rekenblad!E41</f>
        <v>0</v>
      </c>
      <c r="F41" s="118">
        <f>Rekenblad!F41</f>
        <v>79.5</v>
      </c>
      <c r="G41" s="145"/>
      <c r="H41" s="145">
        <f t="shared" si="2"/>
        <v>0</v>
      </c>
      <c r="I41" s="569"/>
      <c r="J41" s="573"/>
      <c r="K41" s="118"/>
      <c r="L41" s="146"/>
      <c r="M41" s="146"/>
      <c r="N41" s="146"/>
      <c r="O41" s="146"/>
      <c r="P41" s="147"/>
      <c r="Q41" s="151"/>
    </row>
    <row r="42" spans="1:17" ht="30" customHeight="1">
      <c r="A42" s="141" t="s">
        <v>87</v>
      </c>
      <c r="B42" s="142" t="s">
        <v>88</v>
      </c>
      <c r="C42" s="65"/>
      <c r="D42" s="64"/>
      <c r="E42" s="108"/>
      <c r="F42" s="118"/>
      <c r="G42" s="145"/>
      <c r="H42" s="145"/>
      <c r="I42" s="569"/>
      <c r="J42" s="573"/>
      <c r="K42" s="118"/>
      <c r="L42" s="146"/>
      <c r="M42" s="146"/>
      <c r="N42" s="146"/>
      <c r="O42" s="146"/>
      <c r="P42" s="147"/>
      <c r="Q42" s="151"/>
    </row>
    <row r="43" spans="1:17" ht="30" customHeight="1">
      <c r="A43" s="143"/>
      <c r="B43" s="148" t="s">
        <v>75</v>
      </c>
      <c r="C43" s="149" t="s">
        <v>76</v>
      </c>
      <c r="D43" s="143" t="s">
        <v>8</v>
      </c>
      <c r="E43" s="108">
        <f>Rekenblad!E43</f>
        <v>0</v>
      </c>
      <c r="F43" s="118">
        <f>Rekenblad!F43</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f>Rekenblad!E44</f>
        <v>0</v>
      </c>
      <c r="F44" s="118">
        <f>Rekenblad!F44</f>
        <v>53</v>
      </c>
      <c r="G44" s="145"/>
      <c r="H44" s="145">
        <f t="shared" ref="H44:H46" si="3">E44*F44</f>
        <v>0</v>
      </c>
      <c r="I44" s="569"/>
      <c r="J44" s="573"/>
      <c r="K44" s="118"/>
      <c r="L44" s="146"/>
      <c r="M44" s="146"/>
      <c r="N44" s="146"/>
      <c r="O44" s="146"/>
      <c r="P44" s="147"/>
      <c r="Q44" s="151"/>
    </row>
    <row r="45" spans="1:17" ht="30" customHeight="1">
      <c r="A45" s="143"/>
      <c r="B45" s="148" t="s">
        <v>79</v>
      </c>
      <c r="C45" s="149" t="s">
        <v>76</v>
      </c>
      <c r="D45" s="143" t="s">
        <v>8</v>
      </c>
      <c r="E45" s="108">
        <f>Rekenblad!E45</f>
        <v>0</v>
      </c>
      <c r="F45" s="118">
        <f>Rekenblad!F45</f>
        <v>63.6</v>
      </c>
      <c r="G45" s="145"/>
      <c r="H45" s="145">
        <f t="shared" si="3"/>
        <v>0</v>
      </c>
      <c r="I45" s="569"/>
      <c r="J45" s="573"/>
      <c r="K45" s="118"/>
      <c r="L45" s="146"/>
      <c r="M45" s="146"/>
      <c r="N45" s="146"/>
      <c r="O45" s="146"/>
      <c r="P45" s="147"/>
      <c r="Q45" s="151"/>
    </row>
    <row r="46" spans="1:17" ht="30" customHeight="1">
      <c r="A46" s="143"/>
      <c r="B46" s="148" t="s">
        <v>80</v>
      </c>
      <c r="C46" s="149" t="s">
        <v>76</v>
      </c>
      <c r="D46" s="143" t="s">
        <v>8</v>
      </c>
      <c r="E46" s="108">
        <f>Rekenblad!E46</f>
        <v>0</v>
      </c>
      <c r="F46" s="118">
        <f>Rekenblad!F46</f>
        <v>79.5</v>
      </c>
      <c r="G46" s="145"/>
      <c r="H46" s="145">
        <f t="shared" si="3"/>
        <v>0</v>
      </c>
      <c r="I46" s="569"/>
      <c r="J46" s="573"/>
      <c r="K46" s="118"/>
      <c r="L46" s="146"/>
      <c r="M46" s="146"/>
      <c r="N46" s="146"/>
      <c r="O46" s="146"/>
      <c r="P46" s="147"/>
      <c r="Q46" s="151"/>
    </row>
    <row r="47" spans="1:17" ht="30" customHeight="1">
      <c r="A47" s="143"/>
      <c r="B47" s="148" t="s">
        <v>89</v>
      </c>
      <c r="C47" s="149" t="s">
        <v>33</v>
      </c>
      <c r="D47" s="143" t="s">
        <v>8</v>
      </c>
      <c r="E47" s="108">
        <f>Rekenblad!E47</f>
        <v>16</v>
      </c>
      <c r="F47" s="118">
        <f>Rekenblad!F47</f>
        <v>111.83000000000001</v>
      </c>
      <c r="G47" s="118"/>
      <c r="H47" s="118">
        <f>E47*F47</f>
        <v>1789.2800000000002</v>
      </c>
      <c r="I47" s="569" t="s">
        <v>90</v>
      </c>
      <c r="J47" s="573"/>
      <c r="K47" s="118"/>
      <c r="L47" s="146"/>
      <c r="M47" s="146"/>
      <c r="N47" s="146"/>
      <c r="O47" s="146"/>
      <c r="P47" s="147"/>
      <c r="Q47" s="151"/>
    </row>
    <row r="48" spans="1:17" ht="30" customHeight="1">
      <c r="A48" s="143"/>
      <c r="B48" s="148" t="s">
        <v>91</v>
      </c>
      <c r="C48" s="149" t="s">
        <v>33</v>
      </c>
      <c r="D48" s="143" t="s">
        <v>8</v>
      </c>
      <c r="E48" s="108">
        <f>Rekenblad!E48</f>
        <v>2</v>
      </c>
      <c r="F48" s="118">
        <f>Rekenblad!F48</f>
        <v>97.52000000000001</v>
      </c>
      <c r="G48" s="118"/>
      <c r="H48" s="118">
        <f t="shared" ref="H48:H60" si="4">E48*F48</f>
        <v>195.04000000000002</v>
      </c>
      <c r="I48" s="569" t="s">
        <v>92</v>
      </c>
      <c r="J48" s="573"/>
      <c r="K48" s="118"/>
      <c r="L48" s="146"/>
      <c r="M48" s="146"/>
      <c r="N48" s="146"/>
      <c r="O48" s="146"/>
      <c r="P48" s="147"/>
      <c r="Q48" s="151"/>
    </row>
    <row r="49" spans="1:17" ht="30" customHeight="1">
      <c r="A49" s="143"/>
      <c r="B49" s="148" t="s">
        <v>93</v>
      </c>
      <c r="C49" s="149" t="s">
        <v>33</v>
      </c>
      <c r="D49" s="143" t="s">
        <v>8</v>
      </c>
      <c r="E49" s="108">
        <f>Rekenblad!E49</f>
        <v>40</v>
      </c>
      <c r="F49" s="118">
        <f>Rekenblad!F49</f>
        <v>68.37</v>
      </c>
      <c r="G49" s="118"/>
      <c r="H49" s="118">
        <f t="shared" si="4"/>
        <v>2734.8</v>
      </c>
      <c r="I49" s="569" t="s">
        <v>94</v>
      </c>
      <c r="J49" s="573"/>
      <c r="K49" s="118"/>
      <c r="L49" s="146"/>
      <c r="M49" s="146"/>
      <c r="N49" s="146"/>
      <c r="O49" s="146"/>
      <c r="P49" s="147"/>
      <c r="Q49" s="151"/>
    </row>
    <row r="50" spans="1:17" ht="30" customHeight="1">
      <c r="A50" s="143"/>
      <c r="B50" s="148" t="s">
        <v>95</v>
      </c>
      <c r="C50" s="149" t="s">
        <v>33</v>
      </c>
      <c r="D50" s="143" t="s">
        <v>8</v>
      </c>
      <c r="E50" s="108">
        <f>Rekenblad!E50</f>
        <v>2</v>
      </c>
      <c r="F50" s="118">
        <f>Rekenblad!F50</f>
        <v>68.37</v>
      </c>
      <c r="G50" s="118"/>
      <c r="H50" s="118">
        <f t="shared" si="4"/>
        <v>136.74</v>
      </c>
      <c r="I50" s="569" t="s">
        <v>92</v>
      </c>
      <c r="J50" s="573"/>
      <c r="K50" s="118"/>
      <c r="L50" s="146"/>
      <c r="M50" s="146"/>
      <c r="N50" s="146"/>
      <c r="O50" s="146"/>
      <c r="P50" s="147"/>
      <c r="Q50" s="151"/>
    </row>
    <row r="51" spans="1:17" ht="30" customHeight="1">
      <c r="A51" s="143"/>
      <c r="B51" s="148" t="s">
        <v>96</v>
      </c>
      <c r="C51" s="149" t="s">
        <v>33</v>
      </c>
      <c r="D51" s="143" t="s">
        <v>8</v>
      </c>
      <c r="E51" s="108">
        <f>Rekenblad!E51</f>
        <v>2</v>
      </c>
      <c r="F51" s="118">
        <f>Rekenblad!F51</f>
        <v>82.68</v>
      </c>
      <c r="G51" s="118"/>
      <c r="H51" s="118">
        <f t="shared" si="4"/>
        <v>165.36</v>
      </c>
      <c r="I51" s="569" t="s">
        <v>92</v>
      </c>
      <c r="J51" s="573"/>
      <c r="K51" s="118"/>
      <c r="L51" s="146"/>
      <c r="M51" s="146"/>
      <c r="N51" s="146"/>
      <c r="O51" s="146"/>
      <c r="P51" s="147"/>
      <c r="Q51" s="151"/>
    </row>
    <row r="52" spans="1:17" ht="30" customHeight="1">
      <c r="A52" s="143"/>
      <c r="B52" s="157" t="s">
        <v>97</v>
      </c>
      <c r="C52" s="160" t="s">
        <v>33</v>
      </c>
      <c r="D52" s="143" t="s">
        <v>8</v>
      </c>
      <c r="E52" s="108">
        <f>Rekenblad!E52</f>
        <v>40</v>
      </c>
      <c r="F52" s="118">
        <f>Rekenblad!F52</f>
        <v>100.17</v>
      </c>
      <c r="G52" s="118"/>
      <c r="H52" s="118">
        <f t="shared" si="4"/>
        <v>4006.8</v>
      </c>
      <c r="I52" s="569" t="s">
        <v>94</v>
      </c>
      <c r="J52" s="573"/>
      <c r="K52" s="161"/>
      <c r="L52" s="162"/>
      <c r="M52" s="162"/>
      <c r="N52" s="162"/>
      <c r="O52" s="162"/>
      <c r="P52" s="163"/>
      <c r="Q52" s="151"/>
    </row>
    <row r="53" spans="1:17" ht="30" customHeight="1">
      <c r="A53" s="143"/>
      <c r="B53" s="157" t="s">
        <v>98</v>
      </c>
      <c r="C53" s="160" t="s">
        <v>57</v>
      </c>
      <c r="D53" s="143" t="s">
        <v>8</v>
      </c>
      <c r="E53" s="108">
        <f>Rekenblad!E53</f>
        <v>5</v>
      </c>
      <c r="F53" s="118">
        <f>Rekenblad!F53</f>
        <v>113.102</v>
      </c>
      <c r="G53" s="118"/>
      <c r="H53" s="118">
        <f t="shared" si="4"/>
        <v>565.51</v>
      </c>
      <c r="I53" s="153" t="s">
        <v>99</v>
      </c>
      <c r="J53" s="155"/>
      <c r="K53" s="161"/>
      <c r="L53" s="162"/>
      <c r="M53" s="162"/>
      <c r="N53" s="162"/>
      <c r="O53" s="162"/>
      <c r="P53" s="163"/>
      <c r="Q53" s="151"/>
    </row>
    <row r="54" spans="1:17" ht="30" customHeight="1">
      <c r="A54" s="143"/>
      <c r="B54" s="157" t="s">
        <v>100</v>
      </c>
      <c r="C54" s="160" t="s">
        <v>101</v>
      </c>
      <c r="D54" s="143" t="s">
        <v>8</v>
      </c>
      <c r="E54" s="108">
        <f>Rekenblad!E54</f>
        <v>0</v>
      </c>
      <c r="F54" s="118">
        <f>Rekenblad!F54</f>
        <v>42.400000000000006</v>
      </c>
      <c r="G54" s="145"/>
      <c r="H54" s="118">
        <f t="shared" si="4"/>
        <v>0</v>
      </c>
      <c r="I54" s="153"/>
      <c r="J54" s="155"/>
      <c r="K54" s="161"/>
      <c r="L54" s="162"/>
      <c r="M54" s="162"/>
      <c r="N54" s="162"/>
      <c r="O54" s="162"/>
      <c r="P54" s="163"/>
      <c r="Q54" s="151"/>
    </row>
    <row r="55" spans="1:17" ht="30" customHeight="1">
      <c r="A55" s="143"/>
      <c r="B55" s="157"/>
      <c r="C55" s="160"/>
      <c r="D55" s="143"/>
      <c r="E55" s="118"/>
      <c r="F55" s="118"/>
      <c r="G55" s="145"/>
      <c r="H55" s="145"/>
      <c r="I55" s="153"/>
      <c r="J55" s="155"/>
      <c r="K55" s="161"/>
      <c r="L55" s="162"/>
      <c r="M55" s="162"/>
      <c r="N55" s="162"/>
      <c r="O55" s="162"/>
      <c r="P55" s="163"/>
      <c r="Q55" s="151"/>
    </row>
    <row r="56" spans="1:17" ht="30" customHeight="1">
      <c r="A56" s="64" t="s">
        <v>102</v>
      </c>
      <c r="B56" s="156" t="s">
        <v>103</v>
      </c>
      <c r="C56" s="141"/>
      <c r="D56" s="64"/>
      <c r="E56" s="108"/>
      <c r="F56" s="118"/>
      <c r="G56" s="145"/>
      <c r="H56" s="145"/>
      <c r="I56" s="569"/>
      <c r="J56" s="573"/>
      <c r="K56" s="118"/>
      <c r="L56" s="146"/>
      <c r="M56" s="146"/>
      <c r="N56" s="146"/>
      <c r="O56" s="146"/>
      <c r="P56" s="147"/>
      <c r="Q56" s="151"/>
    </row>
    <row r="57" spans="1:17" ht="30" customHeight="1">
      <c r="A57" s="143"/>
      <c r="B57" s="157" t="s">
        <v>75</v>
      </c>
      <c r="C57" s="143" t="s">
        <v>76</v>
      </c>
      <c r="D57" s="143" t="s">
        <v>8</v>
      </c>
      <c r="E57" s="108">
        <f>Rekenblad!E57</f>
        <v>0</v>
      </c>
      <c r="F57" s="118">
        <f>Rekenblad!F57</f>
        <v>47.7</v>
      </c>
      <c r="G57" s="145"/>
      <c r="H57" s="145">
        <f t="shared" si="4"/>
        <v>0</v>
      </c>
      <c r="I57" s="569"/>
      <c r="J57" s="573"/>
      <c r="K57" s="118"/>
      <c r="L57" s="146"/>
      <c r="M57" s="146"/>
      <c r="N57" s="146"/>
      <c r="O57" s="146"/>
      <c r="P57" s="147"/>
      <c r="Q57" s="151"/>
    </row>
    <row r="58" spans="1:17" ht="30" customHeight="1">
      <c r="A58" s="143"/>
      <c r="B58" s="157" t="s">
        <v>78</v>
      </c>
      <c r="C58" s="143" t="s">
        <v>76</v>
      </c>
      <c r="D58" s="143" t="s">
        <v>8</v>
      </c>
      <c r="E58" s="108">
        <f>Rekenblad!E58</f>
        <v>0</v>
      </c>
      <c r="F58" s="118">
        <f>Rekenblad!F58</f>
        <v>58.300000000000004</v>
      </c>
      <c r="G58" s="145"/>
      <c r="H58" s="145">
        <f t="shared" si="4"/>
        <v>0</v>
      </c>
      <c r="I58" s="569"/>
      <c r="J58" s="573"/>
      <c r="K58" s="118"/>
      <c r="L58" s="146"/>
      <c r="M58" s="146"/>
      <c r="N58" s="146"/>
      <c r="O58" s="146"/>
      <c r="P58" s="147"/>
      <c r="Q58" s="151"/>
    </row>
    <row r="59" spans="1:17" ht="30" customHeight="1">
      <c r="A59" s="143"/>
      <c r="B59" s="157" t="s">
        <v>79</v>
      </c>
      <c r="C59" s="143" t="s">
        <v>76</v>
      </c>
      <c r="D59" s="143" t="s">
        <v>8</v>
      </c>
      <c r="E59" s="108">
        <f>Rekenblad!E59</f>
        <v>0</v>
      </c>
      <c r="F59" s="118">
        <f>Rekenblad!F59</f>
        <v>68.900000000000006</v>
      </c>
      <c r="G59" s="145"/>
      <c r="H59" s="145">
        <f t="shared" si="4"/>
        <v>0</v>
      </c>
      <c r="I59" s="569"/>
      <c r="J59" s="573"/>
      <c r="K59" s="118"/>
      <c r="L59" s="146"/>
      <c r="M59" s="146"/>
      <c r="N59" s="146"/>
      <c r="O59" s="146"/>
      <c r="P59" s="147"/>
      <c r="Q59" s="151"/>
    </row>
    <row r="60" spans="1:17" ht="30" customHeight="1">
      <c r="A60" s="143"/>
      <c r="B60" s="157" t="s">
        <v>80</v>
      </c>
      <c r="C60" s="143" t="s">
        <v>76</v>
      </c>
      <c r="D60" s="143" t="s">
        <v>8</v>
      </c>
      <c r="E60" s="108">
        <f>Rekenblad!E60</f>
        <v>0</v>
      </c>
      <c r="F60" s="118">
        <f>Rekenblad!F60</f>
        <v>95.4</v>
      </c>
      <c r="G60" s="145"/>
      <c r="H60" s="145">
        <f t="shared" si="4"/>
        <v>0</v>
      </c>
      <c r="I60" s="569"/>
      <c r="J60" s="573"/>
      <c r="K60" s="118"/>
      <c r="L60" s="146"/>
      <c r="M60" s="146"/>
      <c r="N60" s="146"/>
      <c r="O60" s="146"/>
      <c r="P60" s="147"/>
      <c r="Q60" s="151"/>
    </row>
    <row r="61" spans="1:17" ht="30" customHeight="1">
      <c r="A61" s="143"/>
      <c r="B61" s="157"/>
      <c r="C61" s="143"/>
      <c r="D61" s="143"/>
      <c r="E61" s="108"/>
      <c r="F61" s="118"/>
      <c r="G61" s="145"/>
      <c r="H61" s="145"/>
      <c r="I61" s="569"/>
      <c r="J61" s="573"/>
      <c r="K61" s="161"/>
      <c r="L61" s="162"/>
      <c r="M61" s="162"/>
      <c r="N61" s="162"/>
      <c r="O61" s="162"/>
      <c r="P61" s="163"/>
      <c r="Q61" s="151"/>
    </row>
    <row r="62" spans="1:17" ht="30" customHeight="1">
      <c r="A62" s="64" t="s">
        <v>104</v>
      </c>
      <c r="B62" s="65" t="s">
        <v>105</v>
      </c>
      <c r="C62" s="164"/>
      <c r="D62" s="35" t="s">
        <v>12</v>
      </c>
      <c r="E62" s="57" t="s">
        <v>13</v>
      </c>
      <c r="F62" s="60" t="str">
        <f>Rekenblad!F62</f>
        <v>bedrag per eenheid (excl. btw)</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f>Rekenblad!E63</f>
        <v>20</v>
      </c>
      <c r="F63" s="118">
        <f>Rekenblad!F63</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f>Rekenblad!E64</f>
        <v>0</v>
      </c>
      <c r="F64" s="118">
        <f>Rekenblad!F64</f>
        <v>238.5</v>
      </c>
      <c r="G64" s="145"/>
      <c r="H64" s="145">
        <f t="shared" ref="H64:H67" si="5">E64*F64</f>
        <v>0</v>
      </c>
      <c r="I64" s="569"/>
      <c r="J64" s="573"/>
      <c r="K64" s="118"/>
      <c r="L64" s="146"/>
      <c r="M64" s="146"/>
      <c r="N64" s="146"/>
      <c r="O64" s="146"/>
      <c r="P64" s="147"/>
      <c r="Q64" s="151"/>
    </row>
    <row r="65" spans="1:17" ht="30" customHeight="1">
      <c r="A65" s="143"/>
      <c r="B65" s="148" t="s">
        <v>79</v>
      </c>
      <c r="C65" s="149" t="s">
        <v>26</v>
      </c>
      <c r="D65" s="143" t="s">
        <v>8</v>
      </c>
      <c r="E65" s="108">
        <f>Rekenblad!E65</f>
        <v>0</v>
      </c>
      <c r="F65" s="489">
        <f>+Blad3!F47</f>
        <v>1759.2</v>
      </c>
      <c r="G65" s="145"/>
      <c r="H65" s="145">
        <f t="shared" si="5"/>
        <v>0</v>
      </c>
      <c r="I65" s="569"/>
      <c r="J65" s="573"/>
      <c r="K65" s="118"/>
      <c r="L65" s="146"/>
      <c r="M65" s="146"/>
      <c r="N65" s="146"/>
      <c r="O65" s="146"/>
      <c r="P65" s="147"/>
      <c r="Q65" s="151"/>
    </row>
    <row r="66" spans="1:17" ht="30" customHeight="1">
      <c r="A66" s="143"/>
      <c r="B66" s="148" t="s">
        <v>80</v>
      </c>
      <c r="C66" s="149" t="s">
        <v>26</v>
      </c>
      <c r="D66" s="143" t="s">
        <v>8</v>
      </c>
      <c r="E66" s="108">
        <f>Rekenblad!E66</f>
        <v>0</v>
      </c>
      <c r="F66" s="118">
        <f>Rekenblad!F66</f>
        <v>344.5</v>
      </c>
      <c r="G66" s="145"/>
      <c r="H66" s="145">
        <f t="shared" si="5"/>
        <v>0</v>
      </c>
      <c r="I66" s="569"/>
      <c r="J66" s="573"/>
      <c r="K66" s="118"/>
      <c r="L66" s="146"/>
      <c r="M66" s="146"/>
      <c r="N66" s="146"/>
      <c r="O66" s="146"/>
      <c r="P66" s="147"/>
      <c r="Q66" s="151"/>
    </row>
    <row r="67" spans="1:17" ht="30" customHeight="1">
      <c r="A67" s="143"/>
      <c r="B67" s="148" t="s">
        <v>107</v>
      </c>
      <c r="C67" s="149" t="s">
        <v>57</v>
      </c>
      <c r="D67" s="143" t="s">
        <v>8</v>
      </c>
      <c r="E67" s="108">
        <f>Rekenblad!E67</f>
        <v>0</v>
      </c>
      <c r="F67" s="118">
        <f>Rekenblad!F67</f>
        <v>339.20000000000005</v>
      </c>
      <c r="G67" s="145"/>
      <c r="H67" s="145">
        <f t="shared" si="5"/>
        <v>0</v>
      </c>
      <c r="I67" s="153"/>
      <c r="J67" s="155"/>
      <c r="K67" s="118"/>
      <c r="L67" s="146"/>
      <c r="M67" s="146"/>
      <c r="N67" s="146"/>
      <c r="O67" s="146"/>
      <c r="P67" s="147"/>
      <c r="Q67" s="151"/>
    </row>
    <row r="68" spans="1:17" ht="30" customHeight="1">
      <c r="A68" s="143"/>
      <c r="B68" s="148"/>
      <c r="C68" s="149"/>
      <c r="D68" s="143"/>
      <c r="E68" s="108"/>
      <c r="F68" s="118"/>
      <c r="G68" s="145"/>
      <c r="H68" s="145"/>
      <c r="I68" s="569"/>
      <c r="J68" s="573"/>
      <c r="K68" s="118"/>
      <c r="L68" s="146"/>
      <c r="M68" s="146"/>
      <c r="N68" s="146"/>
      <c r="O68" s="146"/>
      <c r="P68" s="147"/>
      <c r="Q68" s="151"/>
    </row>
    <row r="69" spans="1:17" ht="30" customHeight="1">
      <c r="A69" s="165">
        <v>4</v>
      </c>
      <c r="B69" s="166" t="s">
        <v>108</v>
      </c>
      <c r="C69" s="166"/>
      <c r="D69" s="51" t="s">
        <v>12</v>
      </c>
      <c r="E69" s="52" t="s">
        <v>13</v>
      </c>
      <c r="F69" s="60" t="str">
        <f>Rekenblad!F69</f>
        <v>bedrag per eenheid (excl. btw)</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Rekenblad!E70</f>
        <v>40</v>
      </c>
      <c r="F70" s="118">
        <f>Rekenblad!F70</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Rekenblad!E71</f>
        <v>40</v>
      </c>
      <c r="F71" s="118">
        <f>Rekenblad!F71</f>
        <v>220.64400000000001</v>
      </c>
      <c r="G71" s="109"/>
      <c r="H71" s="167">
        <f t="shared" ref="H71:H76" si="6">E71*F71</f>
        <v>8825.76</v>
      </c>
      <c r="I71" s="569" t="s">
        <v>114</v>
      </c>
      <c r="J71" s="573"/>
      <c r="K71" s="118"/>
      <c r="L71" s="146"/>
      <c r="M71" s="146"/>
      <c r="N71" s="146"/>
      <c r="O71" s="146"/>
      <c r="P71" s="77"/>
      <c r="Q71" s="151"/>
    </row>
    <row r="72" spans="1:17" ht="30" customHeight="1">
      <c r="A72" s="78" t="s">
        <v>115</v>
      </c>
      <c r="B72" s="170" t="s">
        <v>116</v>
      </c>
      <c r="C72" s="89" t="s">
        <v>117</v>
      </c>
      <c r="D72" s="171" t="s">
        <v>118</v>
      </c>
      <c r="E72" s="108">
        <f>Rekenblad!E72</f>
        <v>0</v>
      </c>
      <c r="F72" s="118">
        <f>Rekenblad!F72</f>
        <v>39.75</v>
      </c>
      <c r="G72" s="109"/>
      <c r="H72" s="167">
        <f t="shared" si="6"/>
        <v>0</v>
      </c>
      <c r="I72" s="153"/>
      <c r="J72" s="152"/>
      <c r="K72" s="161"/>
      <c r="L72" s="162"/>
      <c r="M72" s="162"/>
      <c r="N72" s="162"/>
      <c r="O72" s="162"/>
      <c r="P72" s="163"/>
      <c r="Q72" s="151"/>
    </row>
    <row r="73" spans="1:17" ht="30" customHeight="1">
      <c r="A73" s="78" t="s">
        <v>119</v>
      </c>
      <c r="B73" s="170" t="s">
        <v>120</v>
      </c>
      <c r="C73" s="89" t="s">
        <v>117</v>
      </c>
      <c r="D73" s="171" t="s">
        <v>118</v>
      </c>
      <c r="E73" s="108">
        <f>Rekenblad!E73</f>
        <v>0</v>
      </c>
      <c r="F73" s="118">
        <f>Rekenblad!F73</f>
        <v>39.75</v>
      </c>
      <c r="G73" s="109"/>
      <c r="H73" s="167">
        <f t="shared" si="6"/>
        <v>0</v>
      </c>
      <c r="I73" s="153"/>
      <c r="J73" s="152"/>
      <c r="K73" s="161"/>
      <c r="L73" s="162"/>
      <c r="M73" s="162"/>
      <c r="N73" s="162"/>
      <c r="O73" s="162"/>
      <c r="P73" s="163"/>
      <c r="Q73" s="151"/>
    </row>
    <row r="74" spans="1:17" ht="30" customHeight="1">
      <c r="A74" s="78" t="s">
        <v>121</v>
      </c>
      <c r="B74" s="116" t="s">
        <v>122</v>
      </c>
      <c r="C74" s="75" t="s">
        <v>26</v>
      </c>
      <c r="D74" s="107" t="s">
        <v>8</v>
      </c>
      <c r="E74" s="108">
        <f>Rekenblad!E74</f>
        <v>40</v>
      </c>
      <c r="F74" s="118">
        <f>Rekenblad!F74</f>
        <v>82.987400000000008</v>
      </c>
      <c r="G74" s="109"/>
      <c r="H74" s="167">
        <f t="shared" si="6"/>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Rekenblad!E75</f>
        <v>40</v>
      </c>
      <c r="F75" s="118">
        <f>+Blad3!F45</f>
        <v>145.08000000000001</v>
      </c>
      <c r="G75" s="109"/>
      <c r="H75" s="167">
        <f t="shared" si="6"/>
        <v>5803.2000000000007</v>
      </c>
      <c r="I75" s="569" t="s">
        <v>127</v>
      </c>
      <c r="J75" s="573"/>
      <c r="K75" s="168"/>
      <c r="L75" s="169"/>
      <c r="M75" s="169"/>
      <c r="N75" s="169"/>
      <c r="O75" s="169"/>
      <c r="P75" s="77"/>
      <c r="Q75" s="151"/>
    </row>
    <row r="76" spans="1:17" ht="30" customHeight="1">
      <c r="A76" s="171" t="s">
        <v>128</v>
      </c>
      <c r="B76" s="116" t="s">
        <v>129</v>
      </c>
      <c r="C76" s="75"/>
      <c r="D76" s="171" t="s">
        <v>126</v>
      </c>
      <c r="E76" s="108">
        <f>Rekenblad!E76</f>
        <v>0</v>
      </c>
      <c r="F76" s="118">
        <f>+Blad3!F44</f>
        <v>193.43999999999997</v>
      </c>
      <c r="G76" s="109"/>
      <c r="H76" s="167">
        <f t="shared" si="6"/>
        <v>0</v>
      </c>
      <c r="I76" s="567"/>
      <c r="J76" s="567"/>
      <c r="K76" s="168"/>
      <c r="L76" s="169"/>
      <c r="M76" s="169"/>
      <c r="N76" s="169"/>
      <c r="O76" s="169"/>
      <c r="P76" s="77"/>
      <c r="Q76" s="151"/>
    </row>
    <row r="77" spans="1:17" ht="30" customHeight="1">
      <c r="A77" s="171" t="s">
        <v>130</v>
      </c>
      <c r="B77" s="116" t="s">
        <v>131</v>
      </c>
      <c r="C77" s="75"/>
      <c r="D77" s="171" t="s">
        <v>126</v>
      </c>
      <c r="E77" s="108">
        <f>Rekenblad!E77</f>
        <v>5</v>
      </c>
      <c r="F77" s="118">
        <f>Rekenblad!F77</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f>Rekenblad!E78</f>
        <v>0</v>
      </c>
      <c r="F78" s="118">
        <f>Rekenblad!F78</f>
        <v>68.900000000000006</v>
      </c>
      <c r="G78" s="109"/>
      <c r="H78" s="167">
        <f t="shared" ref="H78:H80" si="7">F78*E78</f>
        <v>0</v>
      </c>
      <c r="I78" s="76"/>
      <c r="J78" s="89"/>
      <c r="K78" s="161"/>
      <c r="L78" s="162"/>
      <c r="M78" s="162"/>
      <c r="N78" s="162"/>
      <c r="O78" s="162"/>
      <c r="P78" s="163"/>
      <c r="Q78" s="151"/>
    </row>
    <row r="79" spans="1:17" ht="30" customHeight="1">
      <c r="A79" s="171" t="s">
        <v>135</v>
      </c>
      <c r="B79" s="89" t="s">
        <v>136</v>
      </c>
      <c r="C79" s="89" t="s">
        <v>117</v>
      </c>
      <c r="D79" s="171" t="s">
        <v>118</v>
      </c>
      <c r="E79" s="108">
        <f>Rekenblad!E79</f>
        <v>0</v>
      </c>
      <c r="F79" s="118">
        <f>Rekenblad!F79</f>
        <v>196.10000000000002</v>
      </c>
      <c r="G79" s="109"/>
      <c r="H79" s="167">
        <f t="shared" si="7"/>
        <v>0</v>
      </c>
      <c r="I79" s="76"/>
      <c r="J79" s="89"/>
      <c r="K79" s="161"/>
      <c r="L79" s="162"/>
      <c r="M79" s="162"/>
      <c r="N79" s="162"/>
      <c r="O79" s="162"/>
      <c r="P79" s="163"/>
      <c r="Q79" s="151"/>
    </row>
    <row r="80" spans="1:17" ht="30" customHeight="1">
      <c r="A80" s="171" t="s">
        <v>137</v>
      </c>
      <c r="B80" s="89" t="s">
        <v>138</v>
      </c>
      <c r="C80" s="89" t="s">
        <v>117</v>
      </c>
      <c r="D80" s="171" t="s">
        <v>139</v>
      </c>
      <c r="E80" s="108">
        <f>Rekenblad!E80</f>
        <v>0</v>
      </c>
      <c r="F80" s="118">
        <f>Rekenblad!F80</f>
        <v>174.9</v>
      </c>
      <c r="G80" s="118"/>
      <c r="H80" s="167">
        <f t="shared" si="7"/>
        <v>0</v>
      </c>
      <c r="I80" s="173"/>
      <c r="J80" s="75"/>
      <c r="K80" s="37"/>
      <c r="L80" s="50"/>
      <c r="M80" s="50"/>
      <c r="N80" s="50"/>
      <c r="O80" s="50"/>
      <c r="P80" s="49"/>
      <c r="Q80" s="151"/>
    </row>
    <row r="81" spans="1:17" ht="30" customHeight="1">
      <c r="A81" s="171" t="s">
        <v>140</v>
      </c>
      <c r="B81" s="174" t="s">
        <v>141</v>
      </c>
      <c r="C81" s="107" t="s">
        <v>26</v>
      </c>
      <c r="D81" s="107" t="s">
        <v>8</v>
      </c>
      <c r="E81" s="108">
        <f>Rekenblad!E81</f>
        <v>40</v>
      </c>
      <c r="F81" s="118">
        <f>Rekenblad!F81</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Rekenblad!E82</f>
        <v>40</v>
      </c>
      <c r="F82" s="118">
        <f>Rekenblad!F82</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f>Rekenblad!E83</f>
        <v>0</v>
      </c>
      <c r="F83" s="118">
        <f>Rekenblad!F83</f>
        <v>0</v>
      </c>
      <c r="G83" s="109"/>
      <c r="H83" s="167">
        <f t="shared" ref="H83:H89" si="8">SUM(E83*F83)</f>
        <v>0</v>
      </c>
      <c r="I83" s="76"/>
      <c r="J83" s="89"/>
      <c r="K83" s="161"/>
      <c r="L83" s="162"/>
      <c r="M83" s="162"/>
      <c r="N83" s="162"/>
      <c r="O83" s="162"/>
      <c r="P83" s="163"/>
      <c r="Q83" s="151"/>
    </row>
    <row r="84" spans="1:17" ht="30" customHeight="1">
      <c r="A84" s="171" t="s">
        <v>148</v>
      </c>
      <c r="B84" s="89" t="s">
        <v>149</v>
      </c>
      <c r="C84" s="89" t="s">
        <v>117</v>
      </c>
      <c r="D84" s="171" t="s">
        <v>118</v>
      </c>
      <c r="E84" s="108">
        <f>Rekenblad!E84</f>
        <v>0</v>
      </c>
      <c r="F84" s="118">
        <f>Rekenblad!F84</f>
        <v>0</v>
      </c>
      <c r="G84" s="109"/>
      <c r="H84" s="167">
        <f t="shared" si="8"/>
        <v>0</v>
      </c>
      <c r="I84" s="175"/>
      <c r="J84" s="176"/>
      <c r="K84" s="161"/>
      <c r="L84" s="162"/>
      <c r="M84" s="162"/>
      <c r="N84" s="162"/>
      <c r="O84" s="162"/>
      <c r="P84" s="163"/>
      <c r="Q84" s="151"/>
    </row>
    <row r="85" spans="1:17" ht="30" customHeight="1">
      <c r="A85" s="171" t="s">
        <v>150</v>
      </c>
      <c r="B85" s="89" t="s">
        <v>151</v>
      </c>
      <c r="C85" s="89" t="s">
        <v>117</v>
      </c>
      <c r="D85" s="171" t="s">
        <v>118</v>
      </c>
      <c r="E85" s="108">
        <f>Rekenblad!E85</f>
        <v>0</v>
      </c>
      <c r="F85" s="118">
        <f>Rekenblad!F85</f>
        <v>174.9</v>
      </c>
      <c r="G85" s="109"/>
      <c r="H85" s="167">
        <f t="shared" si="8"/>
        <v>0</v>
      </c>
      <c r="I85" s="153"/>
      <c r="J85" s="152"/>
      <c r="K85" s="161"/>
      <c r="L85" s="162"/>
      <c r="M85" s="162"/>
      <c r="N85" s="162"/>
      <c r="O85" s="162"/>
      <c r="P85" s="163"/>
      <c r="Q85" s="151"/>
    </row>
    <row r="86" spans="1:17" ht="30" customHeight="1">
      <c r="A86" s="171" t="s">
        <v>152</v>
      </c>
      <c r="B86" s="170" t="s">
        <v>153</v>
      </c>
      <c r="C86" s="89" t="s">
        <v>117</v>
      </c>
      <c r="D86" s="171" t="s">
        <v>118</v>
      </c>
      <c r="E86" s="108">
        <f>Rekenblad!E86</f>
        <v>0</v>
      </c>
      <c r="F86" s="118">
        <f>Rekenblad!F86</f>
        <v>156.35</v>
      </c>
      <c r="G86" s="109"/>
      <c r="H86" s="167">
        <f t="shared" si="8"/>
        <v>0</v>
      </c>
      <c r="I86" s="153"/>
      <c r="J86" s="152"/>
      <c r="K86" s="161"/>
      <c r="L86" s="162"/>
      <c r="M86" s="162"/>
      <c r="N86" s="162"/>
      <c r="O86" s="162"/>
      <c r="P86" s="163"/>
      <c r="Q86" s="151"/>
    </row>
    <row r="87" spans="1:17" ht="30" customHeight="1">
      <c r="A87" s="171" t="s">
        <v>154</v>
      </c>
      <c r="B87" s="170" t="s">
        <v>153</v>
      </c>
      <c r="C87" s="89" t="s">
        <v>117</v>
      </c>
      <c r="D87" s="171" t="s">
        <v>118</v>
      </c>
      <c r="E87" s="108">
        <f>Rekenblad!E87</f>
        <v>0</v>
      </c>
      <c r="F87" s="118">
        <f>Rekenblad!F87</f>
        <v>234.52500000000001</v>
      </c>
      <c r="G87" s="109"/>
      <c r="H87" s="167">
        <f t="shared" si="8"/>
        <v>0</v>
      </c>
      <c r="I87" s="153"/>
      <c r="J87" s="152"/>
      <c r="K87" s="161"/>
      <c r="L87" s="162"/>
      <c r="M87" s="162"/>
      <c r="N87" s="162"/>
      <c r="O87" s="162"/>
      <c r="P87" s="163"/>
      <c r="Q87" s="151"/>
    </row>
    <row r="88" spans="1:17" ht="30" customHeight="1">
      <c r="A88" s="171" t="s">
        <v>155</v>
      </c>
      <c r="B88" s="170" t="s">
        <v>153</v>
      </c>
      <c r="C88" s="89" t="s">
        <v>117</v>
      </c>
      <c r="D88" s="171" t="s">
        <v>118</v>
      </c>
      <c r="E88" s="108">
        <f>Rekenblad!E88</f>
        <v>0</v>
      </c>
      <c r="F88" s="118">
        <f>Rekenblad!F88</f>
        <v>340.71600000000001</v>
      </c>
      <c r="G88" s="109"/>
      <c r="H88" s="167">
        <f t="shared" si="8"/>
        <v>0</v>
      </c>
      <c r="I88" s="153"/>
      <c r="J88" s="152"/>
      <c r="K88" s="161"/>
      <c r="L88" s="162"/>
      <c r="M88" s="162"/>
      <c r="N88" s="162"/>
      <c r="O88" s="162"/>
      <c r="P88" s="163"/>
      <c r="Q88" s="151"/>
    </row>
    <row r="89" spans="1:17" ht="30" customHeight="1">
      <c r="A89" s="171" t="s">
        <v>156</v>
      </c>
      <c r="B89" s="170" t="s">
        <v>153</v>
      </c>
      <c r="C89" s="89" t="s">
        <v>117</v>
      </c>
      <c r="D89" s="171" t="s">
        <v>118</v>
      </c>
      <c r="E89" s="108">
        <f>Rekenblad!E89</f>
        <v>0</v>
      </c>
      <c r="F89" s="118">
        <f>Rekenblad!F89</f>
        <v>312.7</v>
      </c>
      <c r="G89" s="109"/>
      <c r="H89" s="167">
        <f t="shared" si="8"/>
        <v>0</v>
      </c>
      <c r="I89" s="153"/>
      <c r="J89" s="152"/>
      <c r="K89" s="161"/>
      <c r="L89" s="162"/>
      <c r="M89" s="162"/>
      <c r="N89" s="162"/>
      <c r="O89" s="162"/>
      <c r="P89" s="163"/>
      <c r="Q89" s="151"/>
    </row>
    <row r="90" spans="1:17" ht="30" customHeight="1">
      <c r="A90" s="177"/>
      <c r="B90" s="174"/>
      <c r="C90" s="178"/>
      <c r="D90" s="178"/>
      <c r="E90" s="204"/>
      <c r="F90" s="323"/>
      <c r="G90" s="181"/>
      <c r="H90" s="182"/>
      <c r="I90" s="153"/>
      <c r="J90" s="152"/>
      <c r="K90" s="161"/>
      <c r="L90" s="162"/>
      <c r="M90" s="162"/>
      <c r="N90" s="162"/>
      <c r="O90" s="162"/>
      <c r="P90" s="163"/>
      <c r="Q90" s="151"/>
    </row>
    <row r="91" spans="1:17" ht="30" customHeight="1">
      <c r="A91" s="165">
        <v>5</v>
      </c>
      <c r="B91" s="115" t="s">
        <v>157</v>
      </c>
      <c r="C91" s="166"/>
      <c r="D91" s="38" t="s">
        <v>12</v>
      </c>
      <c r="E91" s="47" t="s">
        <v>13</v>
      </c>
      <c r="F91" s="60" t="str">
        <f>Rekenblad!F91</f>
        <v>bedrag per eenheid (excl. btw)</v>
      </c>
      <c r="G91" s="48" t="s">
        <v>15</v>
      </c>
      <c r="H91" s="48" t="s">
        <v>16</v>
      </c>
      <c r="I91" s="563" t="s">
        <v>17</v>
      </c>
      <c r="J91" s="566"/>
      <c r="K91" s="37"/>
      <c r="L91" s="50"/>
      <c r="M91" s="50"/>
      <c r="N91" s="50"/>
      <c r="O91" s="50"/>
      <c r="P91" s="49" t="s">
        <v>18</v>
      </c>
      <c r="Q91" s="151"/>
    </row>
    <row r="92" spans="1:17" ht="30" customHeight="1">
      <c r="A92" s="171" t="s">
        <v>158</v>
      </c>
      <c r="B92" s="116" t="s">
        <v>159</v>
      </c>
      <c r="C92" s="75"/>
      <c r="D92" s="171" t="s">
        <v>8</v>
      </c>
      <c r="E92" s="108">
        <f>Rekenblad!E92</f>
        <v>0</v>
      </c>
      <c r="F92" s="118">
        <f>Rekenblad!F92</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Rekenblad!E93</f>
        <v>40</v>
      </c>
      <c r="F93" s="489">
        <f>+Blad3!F43</f>
        <v>109.68</v>
      </c>
      <c r="G93" s="109"/>
      <c r="H93" s="167">
        <f>F93*E93</f>
        <v>4387.2000000000007</v>
      </c>
      <c r="I93" s="569" t="s">
        <v>163</v>
      </c>
      <c r="J93" s="573"/>
      <c r="K93" s="168"/>
      <c r="L93" s="169"/>
      <c r="M93" s="169"/>
      <c r="N93" s="169"/>
      <c r="O93" s="169"/>
      <c r="P93" s="77"/>
      <c r="Q93" s="151"/>
    </row>
    <row r="94" spans="1:17" ht="30" customHeight="1">
      <c r="A94" s="171" t="s">
        <v>164</v>
      </c>
      <c r="B94" s="174" t="s">
        <v>165</v>
      </c>
      <c r="C94" s="107"/>
      <c r="D94" s="107" t="s">
        <v>8</v>
      </c>
      <c r="E94" s="108">
        <f>Rekenblad!E94</f>
        <v>40</v>
      </c>
      <c r="F94" s="118">
        <f>Rekenblad!F94</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f>Rekenblad!E95</f>
        <v>0</v>
      </c>
      <c r="F95" s="118">
        <f>Rekenblad!F95</f>
        <v>0</v>
      </c>
      <c r="G95" s="109"/>
      <c r="H95" s="167">
        <f t="shared" ref="H95:H98" si="9">E95*5</f>
        <v>0</v>
      </c>
      <c r="I95" s="76"/>
      <c r="J95" s="89"/>
      <c r="K95" s="161"/>
      <c r="L95" s="162"/>
      <c r="M95" s="162"/>
      <c r="N95" s="162"/>
      <c r="O95" s="162"/>
      <c r="P95" s="163"/>
      <c r="Q95" s="151"/>
    </row>
    <row r="96" spans="1:17" ht="30" customHeight="1">
      <c r="A96" s="171" t="s">
        <v>168</v>
      </c>
      <c r="B96" s="170" t="s">
        <v>169</v>
      </c>
      <c r="C96" s="89" t="s">
        <v>117</v>
      </c>
      <c r="D96" s="171" t="s">
        <v>118</v>
      </c>
      <c r="E96" s="108">
        <f>Rekenblad!E96</f>
        <v>0</v>
      </c>
      <c r="F96" s="118">
        <f>Rekenblad!F96</f>
        <v>0</v>
      </c>
      <c r="G96" s="109"/>
      <c r="H96" s="167">
        <f t="shared" si="9"/>
        <v>0</v>
      </c>
      <c r="I96" s="76"/>
      <c r="J96" s="89"/>
      <c r="K96" s="161"/>
      <c r="L96" s="162"/>
      <c r="M96" s="162"/>
      <c r="N96" s="162"/>
      <c r="O96" s="162"/>
      <c r="P96" s="163"/>
      <c r="Q96" s="151"/>
    </row>
    <row r="97" spans="1:17" ht="30" customHeight="1">
      <c r="A97" s="171" t="s">
        <v>170</v>
      </c>
      <c r="B97" s="170" t="s">
        <v>171</v>
      </c>
      <c r="C97" s="89" t="s">
        <v>117</v>
      </c>
      <c r="D97" s="171" t="s">
        <v>118</v>
      </c>
      <c r="E97" s="108">
        <f>Rekenblad!E97</f>
        <v>0</v>
      </c>
      <c r="F97" s="118">
        <f>Rekenblad!F97</f>
        <v>0</v>
      </c>
      <c r="G97" s="109"/>
      <c r="H97" s="167">
        <f t="shared" si="9"/>
        <v>0</v>
      </c>
      <c r="I97" s="76"/>
      <c r="J97" s="89"/>
      <c r="K97" s="161"/>
      <c r="L97" s="162"/>
      <c r="M97" s="162"/>
      <c r="N97" s="162"/>
      <c r="O97" s="162"/>
      <c r="P97" s="163"/>
      <c r="Q97" s="151"/>
    </row>
    <row r="98" spans="1:17" ht="30" customHeight="1">
      <c r="A98" s="171" t="s">
        <v>172</v>
      </c>
      <c r="B98" s="170" t="s">
        <v>173</v>
      </c>
      <c r="C98" s="89" t="s">
        <v>117</v>
      </c>
      <c r="D98" s="171" t="s">
        <v>118</v>
      </c>
      <c r="E98" s="108">
        <f>Rekenblad!E98</f>
        <v>0</v>
      </c>
      <c r="F98" s="118">
        <f>Rekenblad!F98</f>
        <v>0</v>
      </c>
      <c r="G98" s="109"/>
      <c r="H98" s="167">
        <f t="shared" si="9"/>
        <v>0</v>
      </c>
      <c r="I98" s="76"/>
      <c r="J98" s="89"/>
      <c r="K98" s="161"/>
      <c r="L98" s="162"/>
      <c r="M98" s="162"/>
      <c r="N98" s="162"/>
      <c r="O98" s="162"/>
      <c r="P98" s="163"/>
      <c r="Q98" s="151"/>
    </row>
    <row r="99" spans="1:17" ht="30" customHeight="1">
      <c r="A99" s="171" t="s">
        <v>174</v>
      </c>
      <c r="B99" s="116" t="s">
        <v>175</v>
      </c>
      <c r="C99" s="75" t="s">
        <v>57</v>
      </c>
      <c r="D99" s="107" t="s">
        <v>8</v>
      </c>
      <c r="E99" s="108">
        <f>Rekenblad!E99</f>
        <v>24</v>
      </c>
      <c r="F99" s="118">
        <f>Rekenblad!F99</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f>Rekenblad!E100</f>
        <v>0</v>
      </c>
      <c r="F100" s="118">
        <f>Rekenblad!F100</f>
        <v>36.887999999999998</v>
      </c>
      <c r="G100" s="109"/>
      <c r="H100" s="167">
        <f t="shared" ref="H100:H102" si="10">E100*5</f>
        <v>0</v>
      </c>
      <c r="I100" s="76"/>
      <c r="J100" s="89"/>
      <c r="K100" s="161"/>
      <c r="L100" s="162"/>
      <c r="M100" s="162"/>
      <c r="N100" s="162"/>
      <c r="O100" s="162"/>
      <c r="P100" s="163"/>
      <c r="Q100" s="151"/>
    </row>
    <row r="101" spans="1:17" ht="30" customHeight="1">
      <c r="A101" s="171" t="s">
        <v>179</v>
      </c>
      <c r="B101" s="89" t="s">
        <v>180</v>
      </c>
      <c r="C101" s="89" t="s">
        <v>117</v>
      </c>
      <c r="D101" s="171" t="s">
        <v>118</v>
      </c>
      <c r="E101" s="108">
        <f>Rekenblad!E101</f>
        <v>0</v>
      </c>
      <c r="F101" s="118">
        <f>Rekenblad!F101</f>
        <v>185.5</v>
      </c>
      <c r="G101" s="118"/>
      <c r="H101" s="167">
        <f t="shared" si="10"/>
        <v>0</v>
      </c>
      <c r="I101" s="173"/>
      <c r="J101" s="75"/>
      <c r="K101" s="183"/>
      <c r="L101" s="184"/>
      <c r="M101" s="184"/>
      <c r="N101" s="184"/>
      <c r="O101" s="184"/>
      <c r="P101" s="185"/>
      <c r="Q101" s="151"/>
    </row>
    <row r="102" spans="1:17" ht="30" customHeight="1">
      <c r="A102" s="186" t="s">
        <v>181</v>
      </c>
      <c r="B102" s="187" t="s">
        <v>182</v>
      </c>
      <c r="C102" s="188" t="s">
        <v>117</v>
      </c>
      <c r="D102" s="186" t="s">
        <v>118</v>
      </c>
      <c r="E102" s="108">
        <f>Rekenblad!E102</f>
        <v>0</v>
      </c>
      <c r="F102" s="118">
        <f>Rekenblad!F102</f>
        <v>0</v>
      </c>
      <c r="G102" s="189"/>
      <c r="H102" s="167">
        <f t="shared" si="10"/>
        <v>0</v>
      </c>
      <c r="I102" s="190"/>
      <c r="J102" s="191"/>
      <c r="K102" s="183"/>
      <c r="L102" s="184"/>
      <c r="M102" s="184"/>
      <c r="N102" s="184"/>
      <c r="O102" s="184"/>
      <c r="P102" s="185"/>
      <c r="Q102" s="151"/>
    </row>
    <row r="103" spans="1:17" ht="30" customHeight="1">
      <c r="A103" s="171"/>
      <c r="B103" s="116"/>
      <c r="C103" s="75"/>
      <c r="D103" s="107"/>
      <c r="E103" s="108"/>
      <c r="F103" s="118"/>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60" t="str">
        <f>Rekenblad!F104</f>
        <v>bedrag per eenheid (excl. btw)</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f>Rekenblad!E105</f>
        <v>0</v>
      </c>
      <c r="F105" s="118">
        <f>Rekenblad!F105</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f>Rekenblad!E106</f>
        <v>16</v>
      </c>
      <c r="F106" s="118">
        <f>Rekenblad!F106</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f>Rekenblad!E107</f>
        <v>8</v>
      </c>
      <c r="F107" s="118">
        <f>Rekenblad!F107</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Rekenblad!E108</f>
        <v>40</v>
      </c>
      <c r="F108" s="118">
        <f>Rekenblad!F108</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20</v>
      </c>
      <c r="F109" s="118">
        <f>Rekenblad!F109</f>
        <v>74.2</v>
      </c>
      <c r="G109" s="118"/>
      <c r="H109" s="195">
        <f t="shared" ref="H109:H120" si="11">SUM(E109*F109)</f>
        <v>1484</v>
      </c>
      <c r="I109" s="569" t="s">
        <v>197</v>
      </c>
      <c r="J109" s="570"/>
      <c r="K109" s="161"/>
      <c r="L109" s="162"/>
      <c r="M109" s="162"/>
      <c r="N109" s="162"/>
      <c r="O109" s="162"/>
      <c r="P109" s="163"/>
      <c r="Q109" s="151"/>
    </row>
    <row r="110" spans="1:17" ht="30" customHeight="1">
      <c r="A110" s="104" t="s">
        <v>198</v>
      </c>
      <c r="B110" s="170" t="s">
        <v>199</v>
      </c>
      <c r="C110" s="171" t="s">
        <v>76</v>
      </c>
      <c r="D110" s="171" t="s">
        <v>8</v>
      </c>
      <c r="E110" s="108">
        <f>Rekenblad!E110</f>
        <v>0</v>
      </c>
      <c r="F110" s="118">
        <f>+Blad3!F50</f>
        <v>300</v>
      </c>
      <c r="G110" s="118"/>
      <c r="H110" s="167">
        <f t="shared" si="11"/>
        <v>0</v>
      </c>
      <c r="I110" s="567"/>
      <c r="J110" s="568"/>
      <c r="K110" s="161"/>
      <c r="L110" s="162"/>
      <c r="M110" s="162"/>
      <c r="N110" s="162"/>
      <c r="O110" s="162"/>
      <c r="P110" s="163"/>
      <c r="Q110" s="151"/>
    </row>
    <row r="111" spans="1:17" ht="30" customHeight="1">
      <c r="A111" s="104" t="s">
        <v>200</v>
      </c>
      <c r="B111" s="170" t="s">
        <v>201</v>
      </c>
      <c r="C111" s="171" t="s">
        <v>76</v>
      </c>
      <c r="D111" s="171" t="s">
        <v>8</v>
      </c>
      <c r="E111" s="108">
        <f>Rekenblad!E111</f>
        <v>0</v>
      </c>
      <c r="F111" s="118">
        <f>Rekenblad!F111</f>
        <v>296.8</v>
      </c>
      <c r="G111" s="118"/>
      <c r="H111" s="167">
        <f t="shared" si="11"/>
        <v>0</v>
      </c>
      <c r="I111" s="567"/>
      <c r="J111" s="568"/>
      <c r="K111" s="161"/>
      <c r="L111" s="162"/>
      <c r="M111" s="162"/>
      <c r="N111" s="162"/>
      <c r="O111" s="162"/>
      <c r="P111" s="163"/>
      <c r="Q111" s="151"/>
    </row>
    <row r="112" spans="1:17" ht="30" customHeight="1">
      <c r="A112" s="104" t="s">
        <v>202</v>
      </c>
      <c r="B112" s="170" t="s">
        <v>203</v>
      </c>
      <c r="C112" s="171" t="s">
        <v>57</v>
      </c>
      <c r="D112" s="171" t="s">
        <v>8</v>
      </c>
      <c r="E112" s="108">
        <f>Rekenblad!E112</f>
        <v>0</v>
      </c>
      <c r="F112" s="118">
        <f>Rekenblad!F112</f>
        <v>307.40000000000003</v>
      </c>
      <c r="G112" s="118"/>
      <c r="H112" s="167">
        <f t="shared" si="11"/>
        <v>0</v>
      </c>
      <c r="I112" s="567"/>
      <c r="J112" s="568"/>
      <c r="K112" s="161"/>
      <c r="L112" s="162"/>
      <c r="M112" s="162"/>
      <c r="N112" s="162"/>
      <c r="O112" s="162"/>
      <c r="P112" s="163"/>
      <c r="Q112" s="151"/>
    </row>
    <row r="113" spans="1:17" ht="30" customHeight="1">
      <c r="A113" s="104" t="s">
        <v>204</v>
      </c>
      <c r="B113" s="89" t="s">
        <v>205</v>
      </c>
      <c r="C113" s="89" t="s">
        <v>117</v>
      </c>
      <c r="D113" s="171" t="s">
        <v>118</v>
      </c>
      <c r="E113" s="108">
        <f>Rekenblad!E113</f>
        <v>0</v>
      </c>
      <c r="F113" s="118">
        <f>Rekenblad!F113</f>
        <v>47.7</v>
      </c>
      <c r="G113" s="118"/>
      <c r="H113" s="197">
        <f t="shared" si="11"/>
        <v>0</v>
      </c>
      <c r="I113" s="567"/>
      <c r="J113" s="568"/>
      <c r="K113" s="183"/>
      <c r="L113" s="184"/>
      <c r="M113" s="184"/>
      <c r="N113" s="184"/>
      <c r="O113" s="184"/>
      <c r="P113" s="185"/>
      <c r="Q113" s="151"/>
    </row>
    <row r="114" spans="1:17" ht="30" customHeight="1">
      <c r="A114" s="104" t="s">
        <v>206</v>
      </c>
      <c r="B114" s="170" t="s">
        <v>207</v>
      </c>
      <c r="C114" s="171" t="s">
        <v>57</v>
      </c>
      <c r="D114" s="171" t="s">
        <v>8</v>
      </c>
      <c r="E114" s="108">
        <f>Rekenblad!E114</f>
        <v>0</v>
      </c>
      <c r="F114" s="118">
        <f>Rekenblad!F114</f>
        <v>19.080000000000002</v>
      </c>
      <c r="G114" s="118"/>
      <c r="H114" s="167">
        <f t="shared" si="11"/>
        <v>0</v>
      </c>
      <c r="I114" s="567"/>
      <c r="J114" s="568"/>
      <c r="K114" s="161"/>
      <c r="L114" s="162"/>
      <c r="M114" s="162"/>
      <c r="N114" s="162"/>
      <c r="O114" s="162"/>
      <c r="P114" s="163"/>
      <c r="Q114" s="151"/>
    </row>
    <row r="115" spans="1:17" ht="30" customHeight="1">
      <c r="A115" s="104" t="s">
        <v>208</v>
      </c>
      <c r="B115" s="89" t="s">
        <v>209</v>
      </c>
      <c r="C115" s="89" t="s">
        <v>117</v>
      </c>
      <c r="D115" s="171" t="s">
        <v>118</v>
      </c>
      <c r="E115" s="196">
        <f>G3</f>
        <v>20</v>
      </c>
      <c r="F115" s="118">
        <f>Rekenblad!F115</f>
        <v>101.23</v>
      </c>
      <c r="G115" s="118"/>
      <c r="H115" s="198">
        <f t="shared" si="11"/>
        <v>2024.6000000000001</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f>Rekenblad!E116</f>
        <v>0</v>
      </c>
      <c r="F116" s="118">
        <f>Rekenblad!F116</f>
        <v>66.25</v>
      </c>
      <c r="G116" s="118"/>
      <c r="H116" s="197">
        <f t="shared" si="11"/>
        <v>0</v>
      </c>
      <c r="I116" s="567"/>
      <c r="J116" s="568"/>
      <c r="K116" s="183"/>
      <c r="L116" s="184"/>
      <c r="M116" s="184"/>
      <c r="N116" s="184"/>
      <c r="O116" s="184"/>
      <c r="P116" s="185"/>
      <c r="Q116" s="151"/>
    </row>
    <row r="117" spans="1:17" ht="30" customHeight="1">
      <c r="A117" s="104" t="s">
        <v>212</v>
      </c>
      <c r="B117" s="89" t="s">
        <v>213</v>
      </c>
      <c r="C117" s="89" t="s">
        <v>117</v>
      </c>
      <c r="D117" s="171" t="s">
        <v>118</v>
      </c>
      <c r="E117" s="108">
        <f>Rekenblad!E117</f>
        <v>0</v>
      </c>
      <c r="F117" s="118">
        <f>Rekenblad!F117</f>
        <v>0</v>
      </c>
      <c r="G117" s="118"/>
      <c r="H117" s="197">
        <f t="shared" si="11"/>
        <v>0</v>
      </c>
      <c r="I117" s="567"/>
      <c r="J117" s="568"/>
      <c r="K117" s="183"/>
      <c r="L117" s="184"/>
      <c r="M117" s="184"/>
      <c r="N117" s="184"/>
      <c r="O117" s="184"/>
      <c r="P117" s="185"/>
      <c r="Q117" s="151"/>
    </row>
    <row r="118" spans="1:17" ht="30" customHeight="1">
      <c r="A118" s="104" t="s">
        <v>214</v>
      </c>
      <c r="B118" s="170" t="s">
        <v>215</v>
      </c>
      <c r="C118" s="89" t="s">
        <v>117</v>
      </c>
      <c r="D118" s="171" t="s">
        <v>118</v>
      </c>
      <c r="E118" s="108">
        <f>Rekenblad!E118</f>
        <v>0</v>
      </c>
      <c r="F118" s="118">
        <f>Rekenblad!F118</f>
        <v>0</v>
      </c>
      <c r="G118" s="118"/>
      <c r="H118" s="197">
        <f t="shared" si="11"/>
        <v>0</v>
      </c>
      <c r="I118" s="567"/>
      <c r="J118" s="568"/>
      <c r="K118" s="183"/>
      <c r="L118" s="184"/>
      <c r="M118" s="184"/>
      <c r="N118" s="184"/>
      <c r="O118" s="184"/>
      <c r="P118" s="185"/>
      <c r="Q118" s="151"/>
    </row>
    <row r="119" spans="1:17" ht="30" customHeight="1">
      <c r="A119" s="104" t="s">
        <v>216</v>
      </c>
      <c r="B119" s="170" t="s">
        <v>217</v>
      </c>
      <c r="C119" s="89" t="s">
        <v>117</v>
      </c>
      <c r="D119" s="171" t="s">
        <v>218</v>
      </c>
      <c r="E119" s="108">
        <f>Rekenblad!E119</f>
        <v>0</v>
      </c>
      <c r="F119" s="118">
        <f>Rekenblad!F119</f>
        <v>13.25</v>
      </c>
      <c r="G119" s="118"/>
      <c r="H119" s="197">
        <f t="shared" si="11"/>
        <v>0</v>
      </c>
      <c r="I119" s="567"/>
      <c r="J119" s="568"/>
      <c r="K119" s="183"/>
      <c r="L119" s="184"/>
      <c r="M119" s="184"/>
      <c r="N119" s="184"/>
      <c r="O119" s="184"/>
      <c r="P119" s="185"/>
      <c r="Q119" s="151"/>
    </row>
    <row r="120" spans="1:17" ht="30" customHeight="1">
      <c r="A120" s="104" t="s">
        <v>219</v>
      </c>
      <c r="B120" s="89" t="s">
        <v>220</v>
      </c>
      <c r="C120" s="89" t="s">
        <v>117</v>
      </c>
      <c r="D120" s="171" t="s">
        <v>118</v>
      </c>
      <c r="E120" s="108">
        <f>Rekenblad!E120</f>
        <v>0</v>
      </c>
      <c r="F120" s="118">
        <f>Rekenblad!F120</f>
        <v>0</v>
      </c>
      <c r="G120" s="118"/>
      <c r="H120" s="197">
        <f t="shared" si="11"/>
        <v>0</v>
      </c>
      <c r="I120" s="567"/>
      <c r="J120" s="568"/>
      <c r="K120" s="183"/>
      <c r="L120" s="184"/>
      <c r="M120" s="184"/>
      <c r="N120" s="184"/>
      <c r="O120" s="184"/>
      <c r="P120" s="185"/>
      <c r="Q120" s="151"/>
    </row>
    <row r="121" spans="1:17" ht="30" customHeight="1">
      <c r="A121" s="143"/>
      <c r="B121" s="149"/>
      <c r="C121" s="149"/>
      <c r="D121" s="143"/>
      <c r="E121" s="108"/>
      <c r="F121" s="118"/>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60" t="str">
        <f>Rekenblad!F122</f>
        <v>bedrag per eenheid (excl. btw)</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f>Rekenblad!E123</f>
        <v>0</v>
      </c>
      <c r="F123" s="118">
        <f>Rekenblad!F123</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f>Rekenblad!E124</f>
        <v>0</v>
      </c>
      <c r="F124" s="118">
        <f>Rekenblad!F124</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Rekenblad!E125</f>
        <v>200</v>
      </c>
      <c r="F125" s="118">
        <f>Rekenblad!F125</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Rekenblad!E126</f>
        <v>200</v>
      </c>
      <c r="F126" s="118">
        <f>Rekenblad!F126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f>Rekenblad!E127</f>
        <v>0</v>
      </c>
      <c r="F127" s="118">
        <f>Rekenblad!F127</f>
        <v>609.5</v>
      </c>
      <c r="G127" s="109"/>
      <c r="H127" s="167">
        <f t="shared" ref="H127:H136" si="12">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f>Rekenblad!E128</f>
        <v>0</v>
      </c>
      <c r="F128" s="118">
        <f>Rekenblad!F128</f>
        <v>676.28000000000009</v>
      </c>
      <c r="G128" s="109"/>
      <c r="H128" s="167">
        <f t="shared" si="12"/>
        <v>0</v>
      </c>
      <c r="I128" s="569"/>
      <c r="J128" s="570"/>
      <c r="K128" s="118"/>
      <c r="L128" s="146"/>
      <c r="M128" s="146"/>
      <c r="N128" s="146"/>
      <c r="O128" s="146"/>
      <c r="P128" s="147"/>
      <c r="Q128" s="151"/>
    </row>
    <row r="129" spans="1:17" ht="30" customHeight="1">
      <c r="A129" s="171" t="s">
        <v>236</v>
      </c>
      <c r="B129" s="89" t="s">
        <v>237</v>
      </c>
      <c r="C129" s="89" t="s">
        <v>117</v>
      </c>
      <c r="D129" s="171" t="s">
        <v>118</v>
      </c>
      <c r="E129" s="108">
        <f>Rekenblad!E129</f>
        <v>0</v>
      </c>
      <c r="F129" s="118">
        <f>Rekenblad!F129</f>
        <v>318</v>
      </c>
      <c r="G129" s="118"/>
      <c r="H129" s="167">
        <f t="shared" si="12"/>
        <v>0</v>
      </c>
      <c r="I129" s="569"/>
      <c r="J129" s="570"/>
      <c r="K129" s="183"/>
      <c r="L129" s="184"/>
      <c r="M129" s="184"/>
      <c r="N129" s="184"/>
      <c r="O129" s="184"/>
      <c r="P129" s="185"/>
      <c r="Q129" s="151"/>
    </row>
    <row r="130" spans="1:17" ht="30" customHeight="1">
      <c r="A130" s="171" t="s">
        <v>238</v>
      </c>
      <c r="B130" s="89" t="s">
        <v>239</v>
      </c>
      <c r="C130" s="89" t="s">
        <v>117</v>
      </c>
      <c r="D130" s="171" t="s">
        <v>118</v>
      </c>
      <c r="E130" s="108">
        <f>Rekenblad!E130</f>
        <v>0</v>
      </c>
      <c r="F130" s="118">
        <f>Rekenblad!F130</f>
        <v>0</v>
      </c>
      <c r="G130" s="118"/>
      <c r="H130" s="167">
        <f t="shared" si="12"/>
        <v>0</v>
      </c>
      <c r="I130" s="569"/>
      <c r="J130" s="570"/>
      <c r="K130" s="183"/>
      <c r="L130" s="184"/>
      <c r="M130" s="184"/>
      <c r="N130" s="184"/>
      <c r="O130" s="184"/>
      <c r="P130" s="185"/>
      <c r="Q130" s="151"/>
    </row>
    <row r="131" spans="1:17" ht="30" customHeight="1">
      <c r="A131" s="171" t="s">
        <v>240</v>
      </c>
      <c r="B131" s="89" t="s">
        <v>241</v>
      </c>
      <c r="C131" s="89" t="s">
        <v>117</v>
      </c>
      <c r="D131" s="171" t="s">
        <v>118</v>
      </c>
      <c r="E131" s="108">
        <f>Rekenblad!E131</f>
        <v>0</v>
      </c>
      <c r="F131" s="118">
        <f>Rekenblad!F131</f>
        <v>206.70000000000002</v>
      </c>
      <c r="G131" s="118"/>
      <c r="H131" s="167">
        <f t="shared" si="12"/>
        <v>0</v>
      </c>
      <c r="I131" s="569"/>
      <c r="J131" s="570"/>
      <c r="K131" s="183"/>
      <c r="L131" s="184"/>
      <c r="M131" s="184"/>
      <c r="N131" s="184"/>
      <c r="O131" s="184"/>
      <c r="P131" s="185"/>
      <c r="Q131" s="151"/>
    </row>
    <row r="132" spans="1:17" ht="30" customHeight="1">
      <c r="A132" s="171" t="s">
        <v>242</v>
      </c>
      <c r="B132" s="89" t="s">
        <v>243</v>
      </c>
      <c r="C132" s="89" t="s">
        <v>117</v>
      </c>
      <c r="D132" s="171" t="s">
        <v>118</v>
      </c>
      <c r="E132" s="108">
        <f>Rekenblad!E132</f>
        <v>0</v>
      </c>
      <c r="F132" s="118">
        <f>Rekenblad!F132</f>
        <v>0</v>
      </c>
      <c r="G132" s="118"/>
      <c r="H132" s="167">
        <f t="shared" si="12"/>
        <v>0</v>
      </c>
      <c r="I132" s="569"/>
      <c r="J132" s="570"/>
      <c r="K132" s="183"/>
      <c r="L132" s="184"/>
      <c r="M132" s="184"/>
      <c r="N132" s="184"/>
      <c r="O132" s="184"/>
      <c r="P132" s="185"/>
      <c r="Q132" s="151"/>
    </row>
    <row r="133" spans="1:17" ht="30" customHeight="1">
      <c r="A133" s="171" t="s">
        <v>244</v>
      </c>
      <c r="B133" s="174" t="s">
        <v>245</v>
      </c>
      <c r="C133" s="107" t="s">
        <v>57</v>
      </c>
      <c r="D133" s="107" t="s">
        <v>8</v>
      </c>
      <c r="E133" s="108">
        <f>Rekenblad!E133</f>
        <v>0</v>
      </c>
      <c r="F133" s="118">
        <f>Rekenblad!F133</f>
        <v>212.952</v>
      </c>
      <c r="G133" s="109"/>
      <c r="H133" s="167">
        <f t="shared" si="12"/>
        <v>0</v>
      </c>
      <c r="I133" s="569"/>
      <c r="J133" s="570"/>
      <c r="K133" s="118"/>
      <c r="L133" s="146"/>
      <c r="M133" s="146"/>
      <c r="N133" s="146"/>
      <c r="O133" s="146"/>
      <c r="P133" s="147"/>
      <c r="Q133" s="151"/>
    </row>
    <row r="134" spans="1:17" ht="30" customHeight="1">
      <c r="A134" s="171" t="s">
        <v>246</v>
      </c>
      <c r="B134" s="202" t="s">
        <v>247</v>
      </c>
      <c r="C134" s="203" t="s">
        <v>57</v>
      </c>
      <c r="D134" s="178" t="s">
        <v>8</v>
      </c>
      <c r="E134" s="108">
        <f>Rekenblad!E134</f>
        <v>0</v>
      </c>
      <c r="F134" s="118">
        <f>+Blad3!F39</f>
        <v>320.23200000000003</v>
      </c>
      <c r="G134" s="206"/>
      <c r="H134" s="167">
        <f t="shared" si="12"/>
        <v>0</v>
      </c>
      <c r="I134" s="569"/>
      <c r="J134" s="570"/>
      <c r="K134" s="118"/>
      <c r="L134" s="146"/>
      <c r="M134" s="146"/>
      <c r="N134" s="146"/>
      <c r="O134" s="146"/>
      <c r="P134" s="147"/>
      <c r="Q134" s="151"/>
    </row>
    <row r="135" spans="1:17" ht="30" customHeight="1">
      <c r="A135" s="171" t="s">
        <v>248</v>
      </c>
      <c r="B135" s="174" t="s">
        <v>249</v>
      </c>
      <c r="C135" s="107" t="s">
        <v>57</v>
      </c>
      <c r="D135" s="107" t="s">
        <v>8</v>
      </c>
      <c r="E135" s="108">
        <f>Rekenblad!E135</f>
        <v>0</v>
      </c>
      <c r="F135" s="118">
        <f>Rekenblad!F135</f>
        <v>872.38</v>
      </c>
      <c r="G135" s="109"/>
      <c r="H135" s="167">
        <f t="shared" si="12"/>
        <v>0</v>
      </c>
      <c r="I135" s="569"/>
      <c r="J135" s="570"/>
      <c r="K135" s="207"/>
      <c r="L135" s="146"/>
      <c r="M135" s="146"/>
      <c r="N135" s="146"/>
      <c r="O135" s="146"/>
      <c r="P135" s="147"/>
      <c r="Q135" s="151"/>
    </row>
    <row r="136" spans="1:17" ht="30" customHeight="1">
      <c r="A136" s="171" t="s">
        <v>250</v>
      </c>
      <c r="B136" s="89" t="s">
        <v>251</v>
      </c>
      <c r="C136" s="89" t="s">
        <v>117</v>
      </c>
      <c r="D136" s="171" t="s">
        <v>118</v>
      </c>
      <c r="E136" s="108">
        <f>Rekenblad!E136</f>
        <v>0</v>
      </c>
      <c r="F136" s="118">
        <f>Rekenblad!F136</f>
        <v>0</v>
      </c>
      <c r="G136" s="118"/>
      <c r="H136" s="167">
        <f t="shared" si="12"/>
        <v>0</v>
      </c>
      <c r="I136" s="569"/>
      <c r="J136" s="570"/>
      <c r="K136" s="208"/>
      <c r="L136" s="184"/>
      <c r="M136" s="184"/>
      <c r="N136" s="184"/>
      <c r="O136" s="184"/>
      <c r="P136" s="185"/>
      <c r="Q136" s="151"/>
    </row>
    <row r="137" spans="1:17" ht="30" customHeight="1">
      <c r="A137" s="171" t="s">
        <v>252</v>
      </c>
      <c r="B137" s="116" t="s">
        <v>253</v>
      </c>
      <c r="C137" s="75" t="s">
        <v>76</v>
      </c>
      <c r="D137" s="107" t="s">
        <v>8</v>
      </c>
      <c r="E137" s="108">
        <f>Rekenblad!E137</f>
        <v>64</v>
      </c>
      <c r="F137" s="118">
        <f>+Blad3!F42</f>
        <v>251.60799999999998</v>
      </c>
      <c r="G137" s="118"/>
      <c r="H137" s="109">
        <f>SUM(F137*E137)</f>
        <v>16102.911999999998</v>
      </c>
      <c r="I137" s="569" t="s">
        <v>254</v>
      </c>
      <c r="J137" s="570"/>
      <c r="K137" s="209"/>
      <c r="L137" s="169"/>
      <c r="M137" s="169"/>
      <c r="N137" s="169"/>
      <c r="O137" s="169"/>
      <c r="P137" s="77"/>
      <c r="Q137" s="151"/>
    </row>
    <row r="138" spans="1:17" ht="30" customHeight="1">
      <c r="A138" s="171" t="s">
        <v>255</v>
      </c>
      <c r="B138" s="116" t="s">
        <v>256</v>
      </c>
      <c r="C138" s="75" t="s">
        <v>57</v>
      </c>
      <c r="D138" s="107" t="s">
        <v>257</v>
      </c>
      <c r="E138" s="108">
        <f>Rekenblad!E138</f>
        <v>0</v>
      </c>
      <c r="F138" s="118">
        <f>Rekenblad!F138</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f>Rekenblad!E139</f>
        <v>0</v>
      </c>
      <c r="F139" s="118">
        <f>+Blad3!F41</f>
        <v>862.66800000000001</v>
      </c>
      <c r="G139" s="118"/>
      <c r="H139" s="109">
        <f t="shared" ref="H139:H149" si="13">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f>Rekenblad!E140</f>
        <v>0</v>
      </c>
      <c r="F140" s="118">
        <f>Rekenblad!F140</f>
        <v>206.70000000000002</v>
      </c>
      <c r="G140" s="118"/>
      <c r="H140" s="109">
        <f t="shared" si="13"/>
        <v>0</v>
      </c>
      <c r="I140" s="567"/>
      <c r="J140" s="567"/>
      <c r="K140" s="210"/>
      <c r="L140" s="211"/>
      <c r="M140" s="211"/>
      <c r="N140" s="211"/>
      <c r="O140" s="211"/>
      <c r="P140" s="74"/>
      <c r="Q140" s="151"/>
    </row>
    <row r="141" spans="1:17" ht="30" customHeight="1">
      <c r="A141" s="171" t="s">
        <v>262</v>
      </c>
      <c r="B141" s="116" t="s">
        <v>263</v>
      </c>
      <c r="C141" s="75" t="s">
        <v>57</v>
      </c>
      <c r="D141" s="107" t="s">
        <v>8</v>
      </c>
      <c r="E141" s="108">
        <f>Rekenblad!E141</f>
        <v>0</v>
      </c>
      <c r="F141" s="118">
        <f>Rekenblad!F141</f>
        <v>291.5</v>
      </c>
      <c r="G141" s="118"/>
      <c r="H141" s="109">
        <f t="shared" si="13"/>
        <v>0</v>
      </c>
      <c r="I141" s="567"/>
      <c r="J141" s="567"/>
      <c r="K141" s="210"/>
      <c r="L141" s="211"/>
      <c r="M141" s="211"/>
      <c r="N141" s="211"/>
      <c r="O141" s="211"/>
      <c r="P141" s="74"/>
      <c r="Q141" s="151"/>
    </row>
    <row r="142" spans="1:17" ht="30" customHeight="1">
      <c r="A142" s="171" t="s">
        <v>264</v>
      </c>
      <c r="B142" s="116" t="s">
        <v>265</v>
      </c>
      <c r="C142" s="75" t="s">
        <v>57</v>
      </c>
      <c r="D142" s="107" t="s">
        <v>8</v>
      </c>
      <c r="E142" s="108">
        <f>Rekenblad!E142</f>
        <v>0</v>
      </c>
      <c r="F142" s="118">
        <f>Rekenblad!F142</f>
        <v>312.7</v>
      </c>
      <c r="G142" s="118"/>
      <c r="H142" s="109">
        <f t="shared" si="13"/>
        <v>0</v>
      </c>
      <c r="I142" s="567"/>
      <c r="J142" s="567"/>
      <c r="K142" s="210"/>
      <c r="L142" s="211"/>
      <c r="M142" s="211"/>
      <c r="N142" s="211"/>
      <c r="O142" s="211"/>
      <c r="P142" s="74"/>
      <c r="Q142" s="151"/>
    </row>
    <row r="143" spans="1:17" ht="30" customHeight="1">
      <c r="A143" s="171" t="s">
        <v>266</v>
      </c>
      <c r="B143" s="89" t="s">
        <v>267</v>
      </c>
      <c r="C143" s="89" t="s">
        <v>117</v>
      </c>
      <c r="D143" s="171" t="s">
        <v>118</v>
      </c>
      <c r="E143" s="108">
        <f>Rekenblad!E143</f>
        <v>0</v>
      </c>
      <c r="F143" s="118">
        <f>Rekenblad!F143</f>
        <v>243.8</v>
      </c>
      <c r="G143" s="118"/>
      <c r="H143" s="109">
        <f t="shared" si="13"/>
        <v>0</v>
      </c>
      <c r="I143" s="567"/>
      <c r="J143" s="567"/>
      <c r="K143" s="208"/>
      <c r="L143" s="184"/>
      <c r="M143" s="184"/>
      <c r="N143" s="184"/>
      <c r="O143" s="184"/>
      <c r="P143" s="185"/>
      <c r="Q143" s="151"/>
    </row>
    <row r="144" spans="1:17" ht="30" customHeight="1">
      <c r="A144" s="171" t="s">
        <v>268</v>
      </c>
      <c r="B144" s="89" t="s">
        <v>269</v>
      </c>
      <c r="C144" s="89" t="s">
        <v>117</v>
      </c>
      <c r="D144" s="171" t="s">
        <v>118</v>
      </c>
      <c r="E144" s="108">
        <f>Rekenblad!E144</f>
        <v>0</v>
      </c>
      <c r="F144" s="118">
        <f>Rekenblad!F144</f>
        <v>0</v>
      </c>
      <c r="G144" s="118"/>
      <c r="H144" s="109">
        <f t="shared" si="13"/>
        <v>0</v>
      </c>
      <c r="I144" s="567"/>
      <c r="J144" s="567"/>
      <c r="K144" s="208"/>
      <c r="L144" s="184"/>
      <c r="M144" s="184"/>
      <c r="N144" s="184"/>
      <c r="O144" s="184"/>
      <c r="P144" s="185"/>
      <c r="Q144" s="151"/>
    </row>
    <row r="145" spans="1:17" ht="30" customHeight="1">
      <c r="A145" s="171" t="s">
        <v>270</v>
      </c>
      <c r="B145" s="89" t="s">
        <v>271</v>
      </c>
      <c r="C145" s="89" t="s">
        <v>117</v>
      </c>
      <c r="D145" s="171" t="s">
        <v>118</v>
      </c>
      <c r="E145" s="108">
        <f>Rekenblad!E145</f>
        <v>0</v>
      </c>
      <c r="F145" s="118">
        <f>Rekenblad!F145</f>
        <v>0</v>
      </c>
      <c r="G145" s="118"/>
      <c r="H145" s="109">
        <f t="shared" si="13"/>
        <v>0</v>
      </c>
      <c r="I145" s="567"/>
      <c r="J145" s="567"/>
      <c r="K145" s="208"/>
      <c r="L145" s="184"/>
      <c r="M145" s="184"/>
      <c r="N145" s="184"/>
      <c r="O145" s="184"/>
      <c r="P145" s="185"/>
      <c r="Q145" s="151"/>
    </row>
    <row r="146" spans="1:17" ht="30" customHeight="1">
      <c r="A146" s="171" t="s">
        <v>272</v>
      </c>
      <c r="B146" s="89" t="s">
        <v>273</v>
      </c>
      <c r="C146" s="89" t="s">
        <v>117</v>
      </c>
      <c r="D146" s="171" t="s">
        <v>118</v>
      </c>
      <c r="E146" s="108">
        <f>Rekenblad!E146</f>
        <v>0</v>
      </c>
      <c r="F146" s="118">
        <f>Rekenblad!F146</f>
        <v>0</v>
      </c>
      <c r="G146" s="118"/>
      <c r="H146" s="109">
        <f t="shared" si="13"/>
        <v>0</v>
      </c>
      <c r="I146" s="567"/>
      <c r="J146" s="567"/>
      <c r="K146" s="208"/>
      <c r="L146" s="184"/>
      <c r="M146" s="184"/>
      <c r="N146" s="184"/>
      <c r="O146" s="184"/>
      <c r="P146" s="185"/>
      <c r="Q146" s="151"/>
    </row>
    <row r="147" spans="1:17" ht="30" customHeight="1">
      <c r="A147" s="171" t="s">
        <v>274</v>
      </c>
      <c r="B147" s="89" t="s">
        <v>275</v>
      </c>
      <c r="C147" s="89" t="s">
        <v>117</v>
      </c>
      <c r="D147" s="171" t="s">
        <v>118</v>
      </c>
      <c r="E147" s="108">
        <f>Rekenblad!E147</f>
        <v>0</v>
      </c>
      <c r="F147" s="118">
        <f>Rekenblad!F147</f>
        <v>58.300000000000004</v>
      </c>
      <c r="G147" s="118"/>
      <c r="H147" s="109">
        <f t="shared" si="13"/>
        <v>0</v>
      </c>
      <c r="I147" s="567"/>
      <c r="J147" s="567"/>
      <c r="K147" s="208"/>
      <c r="L147" s="184"/>
      <c r="M147" s="184"/>
      <c r="N147" s="184"/>
      <c r="O147" s="184"/>
      <c r="P147" s="185"/>
      <c r="Q147" s="151"/>
    </row>
    <row r="148" spans="1:17" ht="30" customHeight="1">
      <c r="A148" s="171" t="s">
        <v>276</v>
      </c>
      <c r="B148" s="89" t="s">
        <v>277</v>
      </c>
      <c r="C148" s="89" t="s">
        <v>117</v>
      </c>
      <c r="D148" s="171" t="s">
        <v>118</v>
      </c>
      <c r="E148" s="108">
        <f>Rekenblad!E148</f>
        <v>0</v>
      </c>
      <c r="F148" s="118">
        <f>Rekenblad!F148</f>
        <v>0</v>
      </c>
      <c r="G148" s="118"/>
      <c r="H148" s="109">
        <f t="shared" si="13"/>
        <v>0</v>
      </c>
      <c r="I148" s="567"/>
      <c r="J148" s="567"/>
      <c r="K148" s="208"/>
      <c r="L148" s="184"/>
      <c r="M148" s="184"/>
      <c r="N148" s="184"/>
      <c r="O148" s="184"/>
      <c r="P148" s="185"/>
      <c r="Q148" s="151"/>
    </row>
    <row r="149" spans="1:17" ht="30" customHeight="1">
      <c r="A149" s="171" t="s">
        <v>278</v>
      </c>
      <c r="B149" s="89" t="s">
        <v>279</v>
      </c>
      <c r="C149" s="89" t="s">
        <v>117</v>
      </c>
      <c r="D149" s="171" t="s">
        <v>118</v>
      </c>
      <c r="E149" s="108">
        <f>Rekenblad!E149</f>
        <v>0</v>
      </c>
      <c r="F149" s="118">
        <f>Rekenblad!F149</f>
        <v>0</v>
      </c>
      <c r="G149" s="118"/>
      <c r="H149" s="109">
        <f t="shared" si="13"/>
        <v>0</v>
      </c>
      <c r="I149" s="567"/>
      <c r="J149" s="567"/>
      <c r="K149" s="208"/>
      <c r="L149" s="184"/>
      <c r="M149" s="184"/>
      <c r="N149" s="184"/>
      <c r="O149" s="184"/>
      <c r="P149" s="185"/>
      <c r="Q149" s="151"/>
    </row>
    <row r="150" spans="1:17" ht="30" customHeight="1">
      <c r="A150" s="212"/>
      <c r="B150" s="151"/>
      <c r="C150" s="151"/>
      <c r="D150" s="213"/>
      <c r="E150" s="108"/>
      <c r="F150" s="118"/>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60" t="str">
        <f>Rekenblad!F151</f>
        <v>bedrag per eenheid (excl. btw)</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f>Rekenblad!E152</f>
        <v>0</v>
      </c>
      <c r="F152" s="118">
        <f>Rekenblad!F152</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Rekenblad!E153</f>
        <v>5</v>
      </c>
      <c r="F153" s="489">
        <f>+Blad3!F60</f>
        <v>408.76499999999999</v>
      </c>
      <c r="G153" s="109"/>
      <c r="H153" s="167">
        <f>SUM(E153*F153)</f>
        <v>2043.8249999999998</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f>Rekenblad!E154</f>
        <v>0</v>
      </c>
      <c r="F154" s="118">
        <f>Rekenblad!F154</f>
        <v>397.5</v>
      </c>
      <c r="G154" s="109"/>
      <c r="H154" s="167"/>
      <c r="I154" s="153"/>
      <c r="J154" s="152"/>
      <c r="K154" s="118"/>
      <c r="L154" s="146"/>
      <c r="M154" s="146"/>
      <c r="N154" s="146"/>
      <c r="O154" s="146"/>
      <c r="P154" s="147"/>
      <c r="Q154" s="151"/>
    </row>
    <row r="155" spans="1:17" ht="30" customHeight="1">
      <c r="A155" s="171"/>
      <c r="B155" s="116"/>
      <c r="C155" s="75"/>
      <c r="D155" s="171"/>
      <c r="E155" s="108">
        <f>Rekenblad!E155</f>
        <v>0</v>
      </c>
      <c r="F155" s="118">
        <f>Rekenblad!F155</f>
        <v>0</v>
      </c>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60" t="str">
        <f>Rekenblad!F156</f>
        <v>bedrag per eenheid (excl. btw)</v>
      </c>
      <c r="G156" s="48" t="s">
        <v>15</v>
      </c>
      <c r="H156" s="48" t="s">
        <v>16</v>
      </c>
      <c r="I156" s="571" t="s">
        <v>17</v>
      </c>
      <c r="J156" s="571"/>
      <c r="K156" s="37"/>
      <c r="L156" s="50"/>
      <c r="M156" s="50"/>
      <c r="N156" s="50"/>
      <c r="O156" s="50"/>
      <c r="P156" s="49" t="s">
        <v>18</v>
      </c>
      <c r="Q156" s="151"/>
    </row>
    <row r="157" spans="1:17">
      <c r="A157" s="218"/>
      <c r="B157" s="219"/>
      <c r="C157" s="219"/>
      <c r="D157" s="218"/>
      <c r="E157" s="220"/>
      <c r="F157" s="118">
        <f>Rekenblad!F157</f>
        <v>0</v>
      </c>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100</v>
      </c>
      <c r="F158" s="118">
        <f>+Blad3!F54</f>
        <v>30</v>
      </c>
      <c r="G158" s="109"/>
      <c r="H158" s="167">
        <f>E158*F158</f>
        <v>3000</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f>Rekenblad!E159</f>
        <v>0</v>
      </c>
      <c r="F159" s="118">
        <f>Rekenblad!F159</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Rekenblad!E160</f>
        <v>10</v>
      </c>
      <c r="F160" s="118">
        <f>+Blad3!F55</f>
        <v>300</v>
      </c>
      <c r="G160" s="109"/>
      <c r="H160" s="167">
        <f t="shared" ref="H160:H193" si="14">SUM(E160*F160)</f>
        <v>3000</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100</v>
      </c>
      <c r="F161" s="489">
        <f>+Blad3!F51</f>
        <v>200</v>
      </c>
      <c r="G161" s="109"/>
      <c r="H161" s="167">
        <f t="shared" si="14"/>
        <v>20000</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f>Rekenblad!E162</f>
        <v>0</v>
      </c>
      <c r="F162" s="118">
        <f>Rekenblad!F162</f>
        <v>154.44200000000001</v>
      </c>
      <c r="G162" s="109"/>
      <c r="H162" s="167">
        <f t="shared" si="14"/>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100</v>
      </c>
      <c r="F163" s="118">
        <f>Rekenblad!F163</f>
        <v>66.25</v>
      </c>
      <c r="G163" s="118"/>
      <c r="H163" s="168">
        <f t="shared" si="14"/>
        <v>6625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f>Rekenblad!E164</f>
        <v>0</v>
      </c>
      <c r="F164" s="118">
        <f>Rekenblad!F164</f>
        <v>180.20000000000002</v>
      </c>
      <c r="G164" s="118"/>
      <c r="H164" s="197">
        <f t="shared" si="14"/>
        <v>0</v>
      </c>
      <c r="I164" s="569"/>
      <c r="J164" s="570"/>
      <c r="K164" s="183"/>
      <c r="L164" s="184"/>
      <c r="M164" s="184"/>
      <c r="N164" s="184"/>
      <c r="O164" s="184"/>
      <c r="P164" s="185"/>
      <c r="Q164" s="151"/>
    </row>
    <row r="165" spans="1:17" ht="30" customHeight="1">
      <c r="A165" s="171" t="s">
        <v>311</v>
      </c>
      <c r="B165" s="174" t="s">
        <v>312</v>
      </c>
      <c r="C165" s="107" t="s">
        <v>33</v>
      </c>
      <c r="D165" s="107" t="s">
        <v>313</v>
      </c>
      <c r="E165" s="108">
        <f>Rekenblad!E165</f>
        <v>0</v>
      </c>
      <c r="F165" s="118">
        <f>Rekenblad!F165</f>
        <v>180.20000000000002</v>
      </c>
      <c r="G165" s="109"/>
      <c r="H165" s="167">
        <f t="shared" si="14"/>
        <v>0</v>
      </c>
      <c r="I165" s="569"/>
      <c r="J165" s="570"/>
      <c r="K165" s="118"/>
      <c r="L165" s="146"/>
      <c r="M165" s="146"/>
      <c r="N165" s="146"/>
      <c r="O165" s="146"/>
      <c r="P165" s="147"/>
      <c r="Q165" s="151"/>
    </row>
    <row r="166" spans="1:17" ht="30" customHeight="1">
      <c r="A166" s="171" t="s">
        <v>314</v>
      </c>
      <c r="B166" s="174" t="s">
        <v>315</v>
      </c>
      <c r="C166" s="107" t="s">
        <v>57</v>
      </c>
      <c r="D166" s="107" t="s">
        <v>316</v>
      </c>
      <c r="E166" s="108">
        <f>Rekenblad!E166</f>
        <v>0</v>
      </c>
      <c r="F166" s="118">
        <f>Rekenblad!F166</f>
        <v>1679.0400000000002</v>
      </c>
      <c r="G166" s="109"/>
      <c r="H166" s="167">
        <f t="shared" si="14"/>
        <v>0</v>
      </c>
      <c r="I166" s="569"/>
      <c r="J166" s="570"/>
      <c r="K166" s="118"/>
      <c r="L166" s="146"/>
      <c r="M166" s="146"/>
      <c r="N166" s="146"/>
      <c r="O166" s="146"/>
      <c r="P166" s="147"/>
      <c r="Q166" s="151"/>
    </row>
    <row r="167" spans="1:17" ht="30" customHeight="1">
      <c r="A167" s="171" t="s">
        <v>317</v>
      </c>
      <c r="B167" s="89" t="s">
        <v>318</v>
      </c>
      <c r="C167" s="89" t="s">
        <v>117</v>
      </c>
      <c r="D167" s="171" t="s">
        <v>118</v>
      </c>
      <c r="E167" s="108">
        <f>Rekenblad!E167</f>
        <v>0</v>
      </c>
      <c r="F167" s="118">
        <f>Rekenblad!F167</f>
        <v>10.865</v>
      </c>
      <c r="G167" s="118"/>
      <c r="H167" s="197">
        <f t="shared" si="14"/>
        <v>0</v>
      </c>
      <c r="I167" s="569"/>
      <c r="J167" s="570"/>
      <c r="K167" s="183"/>
      <c r="L167" s="184"/>
      <c r="M167" s="184"/>
      <c r="N167" s="184"/>
      <c r="O167" s="184"/>
      <c r="P167" s="185"/>
      <c r="Q167" s="151"/>
    </row>
    <row r="168" spans="1:17" ht="30" customHeight="1">
      <c r="A168" s="171" t="s">
        <v>319</v>
      </c>
      <c r="B168" s="174" t="s">
        <v>320</v>
      </c>
      <c r="C168" s="107" t="s">
        <v>57</v>
      </c>
      <c r="D168" s="107" t="s">
        <v>316</v>
      </c>
      <c r="E168" s="108">
        <f>Rekenblad!E168</f>
        <v>0</v>
      </c>
      <c r="F168" s="118">
        <f>Rekenblad!F168</f>
        <v>1007.424</v>
      </c>
      <c r="G168" s="109"/>
      <c r="H168" s="167">
        <f t="shared" si="14"/>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f>Rekenblad!E169</f>
        <v>0</v>
      </c>
      <c r="F169" s="118">
        <f>Rekenblad!F169</f>
        <v>13.515000000000001</v>
      </c>
      <c r="G169" s="118"/>
      <c r="H169" s="197">
        <f t="shared" si="14"/>
        <v>0</v>
      </c>
      <c r="I169" s="569"/>
      <c r="J169" s="570"/>
      <c r="K169" s="183"/>
      <c r="L169" s="184"/>
      <c r="M169" s="184"/>
      <c r="N169" s="184"/>
      <c r="O169" s="184"/>
      <c r="P169" s="185"/>
      <c r="Q169" s="151"/>
    </row>
    <row r="170" spans="1:17" ht="30" customHeight="1">
      <c r="A170" s="171" t="s">
        <v>324</v>
      </c>
      <c r="B170" s="174" t="s">
        <v>325</v>
      </c>
      <c r="C170" s="107"/>
      <c r="D170" s="107" t="s">
        <v>326</v>
      </c>
      <c r="E170" s="196">
        <f>$G$3*$A$4</f>
        <v>100</v>
      </c>
      <c r="F170" s="489">
        <f>+Blad3!F52</f>
        <v>85</v>
      </c>
      <c r="G170" s="109"/>
      <c r="H170" s="167">
        <f t="shared" si="14"/>
        <v>8500</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f>Rekenblad!E171</f>
        <v>0</v>
      </c>
      <c r="F171" s="489">
        <f>+Blad3!F53</f>
        <v>300</v>
      </c>
      <c r="G171" s="109"/>
      <c r="H171" s="167">
        <f t="shared" si="14"/>
        <v>0</v>
      </c>
      <c r="I171" s="569"/>
      <c r="J171" s="570"/>
      <c r="K171" s="118"/>
      <c r="L171" s="146"/>
      <c r="M171" s="146"/>
      <c r="N171" s="146"/>
      <c r="O171" s="146"/>
      <c r="P171" s="147"/>
      <c r="Q171" s="151"/>
    </row>
    <row r="172" spans="1:17" ht="30" customHeight="1">
      <c r="A172" s="171" t="s">
        <v>330</v>
      </c>
      <c r="B172" s="89" t="s">
        <v>331</v>
      </c>
      <c r="C172" s="89" t="s">
        <v>117</v>
      </c>
      <c r="D172" s="171" t="s">
        <v>118</v>
      </c>
      <c r="E172" s="108">
        <f>Rekenblad!E172</f>
        <v>0</v>
      </c>
      <c r="F172" s="118">
        <f>Rekenblad!F172</f>
        <v>95.4</v>
      </c>
      <c r="G172" s="118"/>
      <c r="H172" s="197">
        <f t="shared" si="14"/>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100</v>
      </c>
      <c r="F173" s="118">
        <f>Rekenblad!F173</f>
        <v>33.814</v>
      </c>
      <c r="G173" s="109"/>
      <c r="H173" s="167">
        <f t="shared" si="14"/>
        <v>3381.4</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100</v>
      </c>
      <c r="F174" s="489">
        <f>+Blad3!F56</f>
        <v>50</v>
      </c>
      <c r="G174" s="109"/>
      <c r="H174" s="167">
        <f t="shared" si="14"/>
        <v>5000</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100</v>
      </c>
      <c r="F175" s="489">
        <f>+Blad3!F58</f>
        <v>546.3359999999999</v>
      </c>
      <c r="G175" s="109"/>
      <c r="H175" s="167">
        <f t="shared" si="14"/>
        <v>54633.599999999991</v>
      </c>
      <c r="I175" s="569" t="s">
        <v>343</v>
      </c>
      <c r="J175" s="570"/>
      <c r="K175" s="118"/>
      <c r="L175" s="146"/>
      <c r="M175" s="146"/>
      <c r="N175" s="146"/>
      <c r="O175" s="146"/>
      <c r="P175" s="147"/>
      <c r="Q175" s="151"/>
    </row>
    <row r="176" spans="1:17" ht="30" customHeight="1">
      <c r="A176" s="171" t="s">
        <v>344</v>
      </c>
      <c r="B176" s="116" t="s">
        <v>345</v>
      </c>
      <c r="C176" s="75" t="s">
        <v>26</v>
      </c>
      <c r="D176" s="171" t="s">
        <v>291</v>
      </c>
      <c r="E176" s="108">
        <f>Rekenblad!E176</f>
        <v>0</v>
      </c>
      <c r="F176" s="489">
        <f>+Blad3!F59</f>
        <v>888.84</v>
      </c>
      <c r="G176" s="109"/>
      <c r="H176" s="167">
        <f t="shared" ref="H176" si="15">SUM(E176*F176)</f>
        <v>0</v>
      </c>
      <c r="I176" s="569" t="s">
        <v>346</v>
      </c>
      <c r="J176" s="570"/>
      <c r="K176" s="118"/>
      <c r="L176" s="146"/>
      <c r="M176" s="146"/>
      <c r="N176" s="146"/>
      <c r="O176" s="146"/>
      <c r="P176" s="147"/>
      <c r="Q176" s="151"/>
    </row>
    <row r="177" spans="1:17" ht="30" customHeight="1">
      <c r="A177" s="171" t="s">
        <v>347</v>
      </c>
      <c r="B177" s="116" t="s">
        <v>348</v>
      </c>
      <c r="C177" s="75" t="s">
        <v>57</v>
      </c>
      <c r="D177" s="107" t="s">
        <v>291</v>
      </c>
      <c r="E177" s="108">
        <f>Rekenblad!E178</f>
        <v>50</v>
      </c>
      <c r="F177" s="489">
        <f>+Blad3!F57</f>
        <v>25</v>
      </c>
      <c r="G177" s="109"/>
      <c r="H177" s="167">
        <f t="shared" si="14"/>
        <v>1250</v>
      </c>
      <c r="I177" s="569" t="s">
        <v>349</v>
      </c>
      <c r="J177" s="570"/>
      <c r="K177" s="118"/>
      <c r="L177" s="146"/>
      <c r="M177" s="146"/>
      <c r="N177" s="146"/>
      <c r="O177" s="146"/>
      <c r="P177" s="147"/>
      <c r="Q177" s="151"/>
    </row>
    <row r="178" spans="1:17" ht="30" customHeight="1">
      <c r="A178" s="171" t="s">
        <v>350</v>
      </c>
      <c r="B178" s="116" t="s">
        <v>351</v>
      </c>
      <c r="C178" s="75" t="s">
        <v>57</v>
      </c>
      <c r="D178" s="107" t="s">
        <v>257</v>
      </c>
      <c r="E178" s="108">
        <f>Rekenblad!E179</f>
        <v>0</v>
      </c>
      <c r="F178" s="118">
        <f>Rekenblad!F179</f>
        <v>59.466000000000001</v>
      </c>
      <c r="G178" s="109"/>
      <c r="H178" s="167">
        <f t="shared" si="14"/>
        <v>0</v>
      </c>
      <c r="I178" s="569"/>
      <c r="J178" s="570"/>
      <c r="K178" s="118"/>
      <c r="L178" s="146"/>
      <c r="M178" s="146"/>
      <c r="N178" s="146"/>
      <c r="O178" s="146"/>
      <c r="P178" s="147"/>
      <c r="Q178" s="151"/>
    </row>
    <row r="179" spans="1:17" ht="30" customHeight="1">
      <c r="A179" s="171" t="s">
        <v>352</v>
      </c>
      <c r="B179" s="89" t="s">
        <v>353</v>
      </c>
      <c r="C179" s="89" t="s">
        <v>117</v>
      </c>
      <c r="D179" s="171" t="s">
        <v>118</v>
      </c>
      <c r="E179" s="108">
        <f>Rekenblad!E180</f>
        <v>0</v>
      </c>
      <c r="F179" s="118">
        <f>Rekenblad!F180</f>
        <v>0</v>
      </c>
      <c r="G179" s="118"/>
      <c r="H179" s="197">
        <f t="shared" si="14"/>
        <v>0</v>
      </c>
      <c r="I179" s="569"/>
      <c r="J179" s="570"/>
      <c r="K179" s="183"/>
      <c r="L179" s="184"/>
      <c r="M179" s="184"/>
      <c r="N179" s="184"/>
      <c r="O179" s="184"/>
      <c r="P179" s="185"/>
      <c r="Q179" s="151"/>
    </row>
    <row r="180" spans="1:17" ht="30" customHeight="1">
      <c r="A180" s="171" t="s">
        <v>354</v>
      </c>
      <c r="B180" s="89" t="s">
        <v>355</v>
      </c>
      <c r="C180" s="89" t="s">
        <v>117</v>
      </c>
      <c r="D180" s="171" t="s">
        <v>356</v>
      </c>
      <c r="E180" s="108">
        <f>Rekenblad!E181</f>
        <v>0</v>
      </c>
      <c r="F180" s="118">
        <f>Rekenblad!F181</f>
        <v>53</v>
      </c>
      <c r="G180" s="109"/>
      <c r="H180" s="167">
        <f t="shared" si="14"/>
        <v>0</v>
      </c>
      <c r="I180" s="569"/>
      <c r="J180" s="570"/>
      <c r="K180" s="118"/>
      <c r="L180" s="146"/>
      <c r="M180" s="146"/>
      <c r="N180" s="146"/>
      <c r="O180" s="146"/>
      <c r="P180" s="147"/>
      <c r="Q180" s="151"/>
    </row>
    <row r="181" spans="1:17" ht="30" customHeight="1">
      <c r="A181" s="171" t="s">
        <v>357</v>
      </c>
      <c r="B181" s="89" t="s">
        <v>358</v>
      </c>
      <c r="C181" s="89" t="s">
        <v>117</v>
      </c>
      <c r="D181" s="171" t="s">
        <v>359</v>
      </c>
      <c r="E181" s="108">
        <f>Rekenblad!E182</f>
        <v>0</v>
      </c>
      <c r="F181" s="118">
        <f>Rekenblad!F182</f>
        <v>1.7489999999999999</v>
      </c>
      <c r="G181" s="109"/>
      <c r="H181" s="167">
        <f t="shared" si="14"/>
        <v>0</v>
      </c>
      <c r="I181" s="569"/>
      <c r="J181" s="570"/>
      <c r="K181" s="118"/>
      <c r="L181" s="146"/>
      <c r="M181" s="146"/>
      <c r="N181" s="146"/>
      <c r="O181" s="146"/>
      <c r="P181" s="147"/>
      <c r="Q181" s="151"/>
    </row>
    <row r="182" spans="1:17" ht="30" customHeight="1">
      <c r="A182" s="171" t="s">
        <v>360</v>
      </c>
      <c r="B182" s="89" t="s">
        <v>361</v>
      </c>
      <c r="C182" s="89" t="s">
        <v>117</v>
      </c>
      <c r="D182" s="171" t="s">
        <v>362</v>
      </c>
      <c r="E182" s="108">
        <f>Rekenblad!E183</f>
        <v>0</v>
      </c>
      <c r="F182" s="118">
        <f>Rekenblad!F183</f>
        <v>58.300000000000004</v>
      </c>
      <c r="G182" s="109"/>
      <c r="H182" s="167">
        <f t="shared" si="14"/>
        <v>0</v>
      </c>
      <c r="I182" s="569"/>
      <c r="J182" s="570"/>
      <c r="K182" s="118"/>
      <c r="L182" s="146"/>
      <c r="M182" s="146"/>
      <c r="N182" s="146"/>
      <c r="O182" s="146"/>
      <c r="P182" s="147"/>
      <c r="Q182" s="151"/>
    </row>
    <row r="183" spans="1:17" ht="30" customHeight="1">
      <c r="A183" s="171" t="s">
        <v>363</v>
      </c>
      <c r="B183" s="89" t="s">
        <v>364</v>
      </c>
      <c r="C183" s="89" t="s">
        <v>117</v>
      </c>
      <c r="D183" s="171" t="s">
        <v>304</v>
      </c>
      <c r="E183" s="196">
        <f>$G$3*$A$4</f>
        <v>100</v>
      </c>
      <c r="F183" s="118">
        <f>Rekenblad!F184</f>
        <v>331.78000000000003</v>
      </c>
      <c r="G183" s="109"/>
      <c r="H183" s="167">
        <f t="shared" si="14"/>
        <v>33178</v>
      </c>
      <c r="I183" s="569" t="s">
        <v>365</v>
      </c>
      <c r="J183" s="570"/>
      <c r="K183" s="118"/>
      <c r="L183" s="146"/>
      <c r="M183" s="146"/>
      <c r="N183" s="146"/>
      <c r="O183" s="146"/>
      <c r="P183" s="147"/>
      <c r="Q183" s="151"/>
    </row>
    <row r="184" spans="1:17" ht="30" customHeight="1">
      <c r="A184" s="171" t="s">
        <v>366</v>
      </c>
      <c r="B184" s="89" t="s">
        <v>367</v>
      </c>
      <c r="C184" s="89" t="s">
        <v>117</v>
      </c>
      <c r="D184" s="171" t="s">
        <v>362</v>
      </c>
      <c r="E184" s="108">
        <f>Rekenblad!E185</f>
        <v>0</v>
      </c>
      <c r="F184" s="118">
        <f>Rekenblad!F185</f>
        <v>0</v>
      </c>
      <c r="G184" s="109"/>
      <c r="H184" s="167">
        <f t="shared" si="14"/>
        <v>0</v>
      </c>
      <c r="I184" s="567"/>
      <c r="J184" s="568"/>
      <c r="K184" s="118"/>
      <c r="L184" s="146"/>
      <c r="M184" s="146"/>
      <c r="N184" s="146"/>
      <c r="O184" s="146"/>
      <c r="P184" s="147"/>
      <c r="Q184" s="151"/>
    </row>
    <row r="185" spans="1:17" ht="30" customHeight="1">
      <c r="A185" s="171" t="s">
        <v>368</v>
      </c>
      <c r="B185" s="89" t="s">
        <v>369</v>
      </c>
      <c r="C185" s="89" t="s">
        <v>117</v>
      </c>
      <c r="D185" s="171" t="s">
        <v>370</v>
      </c>
      <c r="E185" s="108">
        <f>Rekenblad!E186</f>
        <v>0</v>
      </c>
      <c r="F185" s="118">
        <f>Rekenblad!F186</f>
        <v>0</v>
      </c>
      <c r="G185" s="109"/>
      <c r="H185" s="167">
        <f t="shared" si="14"/>
        <v>0</v>
      </c>
      <c r="I185" s="567"/>
      <c r="J185" s="568"/>
      <c r="K185" s="161"/>
      <c r="L185" s="162"/>
      <c r="M185" s="162"/>
      <c r="N185" s="162"/>
      <c r="O185" s="162"/>
      <c r="P185" s="163"/>
      <c r="Q185" s="151"/>
    </row>
    <row r="186" spans="1:17" ht="30" customHeight="1">
      <c r="A186" s="171" t="s">
        <v>371</v>
      </c>
      <c r="B186" s="89" t="s">
        <v>372</v>
      </c>
      <c r="C186" s="89" t="s">
        <v>117</v>
      </c>
      <c r="D186" s="171" t="s">
        <v>304</v>
      </c>
      <c r="E186" s="196">
        <f>$G$3*$A$4</f>
        <v>100</v>
      </c>
      <c r="F186" s="118">
        <f>Rekenblad!F187</f>
        <v>312.7</v>
      </c>
      <c r="G186" s="109"/>
      <c r="H186" s="167">
        <f t="shared" si="14"/>
        <v>31270</v>
      </c>
      <c r="I186" s="567" t="s">
        <v>365</v>
      </c>
      <c r="J186" s="568"/>
      <c r="K186" s="161"/>
      <c r="L186" s="162"/>
      <c r="M186" s="162"/>
      <c r="N186" s="162"/>
      <c r="O186" s="162"/>
      <c r="P186" s="163"/>
      <c r="Q186" s="151"/>
    </row>
    <row r="187" spans="1:17" ht="30" customHeight="1">
      <c r="A187" s="171" t="s">
        <v>373</v>
      </c>
      <c r="B187" s="116" t="s">
        <v>374</v>
      </c>
      <c r="C187" s="75" t="s">
        <v>101</v>
      </c>
      <c r="D187" s="107" t="s">
        <v>359</v>
      </c>
      <c r="E187" s="108">
        <f>Rekenblad!E188</f>
        <v>0</v>
      </c>
      <c r="F187" s="118">
        <f>Rekenblad!F188</f>
        <v>1.06</v>
      </c>
      <c r="G187" s="109"/>
      <c r="H187" s="167">
        <f t="shared" si="14"/>
        <v>0</v>
      </c>
      <c r="I187" s="567"/>
      <c r="J187" s="568"/>
      <c r="K187" s="118"/>
      <c r="L187" s="146"/>
      <c r="M187" s="146"/>
      <c r="N187" s="146"/>
      <c r="O187" s="146"/>
      <c r="P187" s="147"/>
      <c r="Q187" s="151"/>
    </row>
    <row r="188" spans="1:17" ht="30" customHeight="1">
      <c r="A188" s="171" t="s">
        <v>375</v>
      </c>
      <c r="B188" s="116" t="s">
        <v>374</v>
      </c>
      <c r="C188" s="75" t="s">
        <v>57</v>
      </c>
      <c r="D188" s="107" t="s">
        <v>376</v>
      </c>
      <c r="E188" s="196">
        <f>$G$3*$A$4*3</f>
        <v>300</v>
      </c>
      <c r="F188" s="489">
        <f>+Blad3!F61</f>
        <v>145.52999999999997</v>
      </c>
      <c r="G188" s="109"/>
      <c r="H188" s="167">
        <f>E188*F188</f>
        <v>43658.999999999993</v>
      </c>
      <c r="I188" s="567" t="s">
        <v>377</v>
      </c>
      <c r="J188" s="568"/>
      <c r="K188" s="118"/>
      <c r="L188" s="146"/>
      <c r="M188" s="146"/>
      <c r="N188" s="146"/>
      <c r="O188" s="146"/>
      <c r="P188" s="147"/>
      <c r="Q188" s="151"/>
    </row>
    <row r="189" spans="1:17" ht="30" customHeight="1">
      <c r="A189" s="171" t="s">
        <v>378</v>
      </c>
      <c r="B189" s="116" t="s">
        <v>379</v>
      </c>
      <c r="C189" s="75" t="s">
        <v>33</v>
      </c>
      <c r="D189" s="107" t="s">
        <v>359</v>
      </c>
      <c r="E189" s="108">
        <v>0</v>
      </c>
      <c r="F189" s="118">
        <f>Rekenblad!F190</f>
        <v>0.84800000000000009</v>
      </c>
      <c r="G189" s="109"/>
      <c r="H189" s="167">
        <f t="shared" si="14"/>
        <v>0</v>
      </c>
      <c r="I189" s="567"/>
      <c r="J189" s="568"/>
      <c r="K189" s="118"/>
      <c r="L189" s="146"/>
      <c r="M189" s="146"/>
      <c r="N189" s="146"/>
      <c r="O189" s="146"/>
      <c r="P189" s="147"/>
      <c r="Q189" s="151"/>
    </row>
    <row r="190" spans="1:17" ht="30" customHeight="1">
      <c r="A190" s="171" t="s">
        <v>380</v>
      </c>
      <c r="B190" s="116" t="s">
        <v>381</v>
      </c>
      <c r="C190" s="75" t="s">
        <v>33</v>
      </c>
      <c r="D190" s="107" t="s">
        <v>359</v>
      </c>
      <c r="E190" s="108">
        <f>Rekenblad!E191</f>
        <v>0</v>
      </c>
      <c r="F190" s="118">
        <f>Rekenblad!F191</f>
        <v>1.3250000000000002</v>
      </c>
      <c r="G190" s="109"/>
      <c r="H190" s="167">
        <f t="shared" si="14"/>
        <v>0</v>
      </c>
      <c r="I190" s="567"/>
      <c r="J190" s="568"/>
      <c r="K190" s="118"/>
      <c r="L190" s="146"/>
      <c r="M190" s="146"/>
      <c r="N190" s="146"/>
      <c r="O190" s="146"/>
      <c r="P190" s="147"/>
      <c r="Q190" s="151"/>
    </row>
    <row r="191" spans="1:17" ht="30" customHeight="1">
      <c r="A191" s="171" t="s">
        <v>382</v>
      </c>
      <c r="B191" s="116" t="s">
        <v>383</v>
      </c>
      <c r="C191" s="75" t="s">
        <v>33</v>
      </c>
      <c r="D191" s="107" t="s">
        <v>384</v>
      </c>
      <c r="E191" s="108">
        <f>Rekenblad!E192</f>
        <v>0</v>
      </c>
      <c r="F191" s="118">
        <f>Rekenblad!F192</f>
        <v>172.78</v>
      </c>
      <c r="G191" s="109"/>
      <c r="H191" s="167">
        <f t="shared" si="14"/>
        <v>0</v>
      </c>
      <c r="I191" s="567"/>
      <c r="J191" s="568"/>
      <c r="K191" s="118"/>
      <c r="L191" s="146"/>
      <c r="M191" s="146"/>
      <c r="N191" s="146"/>
      <c r="O191" s="146"/>
      <c r="P191" s="147"/>
      <c r="Q191" s="151"/>
    </row>
    <row r="192" spans="1:17" ht="30" customHeight="1">
      <c r="A192" s="171" t="s">
        <v>385</v>
      </c>
      <c r="B192" s="116" t="s">
        <v>386</v>
      </c>
      <c r="C192" s="75" t="s">
        <v>57</v>
      </c>
      <c r="D192" s="107" t="s">
        <v>387</v>
      </c>
      <c r="E192" s="108">
        <f>Rekenblad!E193</f>
        <v>0</v>
      </c>
      <c r="F192" s="118">
        <f>Rekenblad!F193</f>
        <v>689</v>
      </c>
      <c r="G192" s="109"/>
      <c r="H192" s="167">
        <f t="shared" si="14"/>
        <v>0</v>
      </c>
      <c r="I192" s="567"/>
      <c r="J192" s="568"/>
      <c r="K192" s="118"/>
      <c r="L192" s="146"/>
      <c r="M192" s="146"/>
      <c r="N192" s="146"/>
      <c r="O192" s="146"/>
      <c r="P192" s="147"/>
      <c r="Q192" s="151"/>
    </row>
    <row r="193" spans="1:17" ht="30" customHeight="1">
      <c r="A193" s="171" t="s">
        <v>388</v>
      </c>
      <c r="B193" s="116" t="s">
        <v>389</v>
      </c>
      <c r="C193" s="75" t="s">
        <v>57</v>
      </c>
      <c r="D193" s="107" t="s">
        <v>387</v>
      </c>
      <c r="E193" s="108">
        <f>Rekenblad!E194</f>
        <v>0</v>
      </c>
      <c r="F193" s="118">
        <f>Rekenblad!F194</f>
        <v>371</v>
      </c>
      <c r="G193" s="109"/>
      <c r="H193" s="167">
        <f t="shared" si="14"/>
        <v>0</v>
      </c>
      <c r="I193" s="567"/>
      <c r="J193" s="568"/>
      <c r="K193" s="118"/>
      <c r="L193" s="146"/>
      <c r="M193" s="146"/>
      <c r="N193" s="146"/>
      <c r="O193" s="146"/>
      <c r="P193" s="147"/>
      <c r="Q193" s="151"/>
    </row>
    <row r="194" spans="1:17" ht="30" customHeight="1">
      <c r="A194" s="226"/>
      <c r="B194" s="227"/>
      <c r="C194" s="228"/>
      <c r="D194" s="229"/>
      <c r="E194" s="179"/>
      <c r="F194" s="118"/>
      <c r="G194" s="230"/>
      <c r="H194" s="230"/>
      <c r="I194" s="231"/>
      <c r="J194" s="232"/>
      <c r="K194" s="233"/>
      <c r="L194" s="234"/>
      <c r="M194" s="234"/>
      <c r="N194" s="234"/>
      <c r="O194" s="234"/>
      <c r="P194" s="163"/>
      <c r="Q194" s="151"/>
    </row>
    <row r="195" spans="1:17" s="5" customFormat="1" ht="65.25" customHeight="1">
      <c r="A195" s="235">
        <v>10</v>
      </c>
      <c r="B195" s="236" t="s">
        <v>390</v>
      </c>
      <c r="C195" s="115"/>
      <c r="D195" s="38" t="s">
        <v>12</v>
      </c>
      <c r="E195" s="47" t="s">
        <v>13</v>
      </c>
      <c r="F195" s="60" t="str">
        <f>Rekenblad!F196</f>
        <v>bedrag per eenheid (excl. btw)</v>
      </c>
      <c r="G195" s="37" t="s">
        <v>15</v>
      </c>
      <c r="H195" s="37" t="s">
        <v>16</v>
      </c>
      <c r="I195" s="563" t="s">
        <v>17</v>
      </c>
      <c r="J195" s="564"/>
      <c r="K195" s="564"/>
      <c r="L195" s="564"/>
      <c r="M195" s="564"/>
      <c r="N195" s="564"/>
      <c r="O195" s="564"/>
      <c r="P195" s="38" t="s">
        <v>18</v>
      </c>
      <c r="Q195" s="301"/>
    </row>
    <row r="196" spans="1:17" ht="30" customHeight="1">
      <c r="A196" s="171" t="s">
        <v>391</v>
      </c>
      <c r="B196" s="89" t="s">
        <v>392</v>
      </c>
      <c r="C196" s="89" t="s">
        <v>117</v>
      </c>
      <c r="D196" s="171" t="s">
        <v>393</v>
      </c>
      <c r="E196" s="108">
        <f>Rekenblad!E197</f>
        <v>0</v>
      </c>
      <c r="F196" s="118">
        <f>Rekenblad!F197</f>
        <v>7.7485999999999997</v>
      </c>
      <c r="G196" s="198"/>
      <c r="H196" s="198">
        <f>1*G196</f>
        <v>0</v>
      </c>
      <c r="I196" s="565"/>
      <c r="J196" s="562"/>
      <c r="K196" s="161"/>
      <c r="L196" s="162"/>
      <c r="M196" s="162"/>
      <c r="N196" s="162"/>
      <c r="O196" s="162"/>
      <c r="P196" s="163"/>
      <c r="Q196" s="151"/>
    </row>
    <row r="197" spans="1:17" ht="30" customHeight="1">
      <c r="A197" s="171" t="s">
        <v>394</v>
      </c>
      <c r="B197" s="89" t="s">
        <v>395</v>
      </c>
      <c r="C197" s="89" t="s">
        <v>117</v>
      </c>
      <c r="D197" s="171" t="s">
        <v>393</v>
      </c>
      <c r="E197" s="108">
        <f>Rekenblad!E198</f>
        <v>0</v>
      </c>
      <c r="F197" s="118">
        <f>Rekenblad!F198</f>
        <v>7.7380000000000004</v>
      </c>
      <c r="G197" s="198"/>
      <c r="H197" s="198">
        <f t="shared" ref="H197:H221" si="16">1*G197</f>
        <v>0</v>
      </c>
      <c r="I197" s="565"/>
      <c r="J197" s="562"/>
      <c r="K197" s="161"/>
      <c r="L197" s="162"/>
      <c r="M197" s="162"/>
      <c r="N197" s="162"/>
      <c r="O197" s="162"/>
      <c r="P197" s="163"/>
      <c r="Q197" s="151"/>
    </row>
    <row r="198" spans="1:17" ht="30" customHeight="1">
      <c r="A198" s="171" t="s">
        <v>396</v>
      </c>
      <c r="B198" s="89" t="s">
        <v>397</v>
      </c>
      <c r="C198" s="89" t="s">
        <v>117</v>
      </c>
      <c r="D198" s="171" t="s">
        <v>398</v>
      </c>
      <c r="E198" s="108">
        <f>Rekenblad!E199</f>
        <v>0</v>
      </c>
      <c r="F198" s="118">
        <f>Rekenblad!F199</f>
        <v>58.300000000000004</v>
      </c>
      <c r="G198" s="198"/>
      <c r="H198" s="198">
        <f t="shared" si="16"/>
        <v>0</v>
      </c>
      <c r="I198" s="565"/>
      <c r="J198" s="562"/>
      <c r="K198" s="161"/>
      <c r="L198" s="162"/>
      <c r="M198" s="162"/>
      <c r="N198" s="162"/>
      <c r="O198" s="162"/>
      <c r="P198" s="163"/>
      <c r="Q198" s="151"/>
    </row>
    <row r="199" spans="1:17" ht="30" customHeight="1">
      <c r="A199" s="171" t="s">
        <v>399</v>
      </c>
      <c r="B199" s="89" t="s">
        <v>400</v>
      </c>
      <c r="C199" s="89" t="s">
        <v>117</v>
      </c>
      <c r="D199" s="171" t="s">
        <v>401</v>
      </c>
      <c r="E199" s="108">
        <f>Rekenblad!E200</f>
        <v>0</v>
      </c>
      <c r="F199" s="118">
        <f>Rekenblad!F200</f>
        <v>14.31</v>
      </c>
      <c r="G199" s="198"/>
      <c r="H199" s="198">
        <f t="shared" si="16"/>
        <v>0</v>
      </c>
      <c r="I199" s="565"/>
      <c r="J199" s="562"/>
      <c r="K199" s="161"/>
      <c r="L199" s="162"/>
      <c r="M199" s="162"/>
      <c r="N199" s="162"/>
      <c r="O199" s="162"/>
      <c r="P199" s="163"/>
      <c r="Q199" s="151"/>
    </row>
    <row r="200" spans="1:17" ht="30" customHeight="1">
      <c r="A200" s="171" t="s">
        <v>402</v>
      </c>
      <c r="B200" s="89" t="s">
        <v>403</v>
      </c>
      <c r="C200" s="89" t="s">
        <v>117</v>
      </c>
      <c r="D200" s="171" t="s">
        <v>401</v>
      </c>
      <c r="E200" s="108">
        <f>Rekenblad!E201</f>
        <v>0</v>
      </c>
      <c r="F200" s="118">
        <f>Rekenblad!F201</f>
        <v>14.31</v>
      </c>
      <c r="G200" s="198"/>
      <c r="H200" s="198">
        <f t="shared" si="16"/>
        <v>0</v>
      </c>
      <c r="I200" s="565"/>
      <c r="J200" s="562"/>
      <c r="K200" s="161"/>
      <c r="L200" s="162"/>
      <c r="M200" s="162"/>
      <c r="N200" s="162"/>
      <c r="O200" s="162"/>
      <c r="P200" s="163"/>
      <c r="Q200" s="151"/>
    </row>
    <row r="201" spans="1:17" ht="30" customHeight="1">
      <c r="A201" s="171" t="s">
        <v>404</v>
      </c>
      <c r="B201" s="89" t="s">
        <v>405</v>
      </c>
      <c r="C201" s="89" t="s">
        <v>117</v>
      </c>
      <c r="D201" s="171" t="s">
        <v>401</v>
      </c>
      <c r="E201" s="108">
        <f>Rekenblad!E202</f>
        <v>0</v>
      </c>
      <c r="F201" s="118">
        <f>Rekenblad!F202</f>
        <v>14.31</v>
      </c>
      <c r="G201" s="198"/>
      <c r="H201" s="198">
        <f t="shared" si="16"/>
        <v>0</v>
      </c>
      <c r="I201" s="565"/>
      <c r="J201" s="562"/>
      <c r="K201" s="161"/>
      <c r="L201" s="162"/>
      <c r="M201" s="162"/>
      <c r="N201" s="162"/>
      <c r="O201" s="162"/>
      <c r="P201" s="163"/>
      <c r="Q201" s="151"/>
    </row>
    <row r="202" spans="1:17" ht="30" customHeight="1">
      <c r="A202" s="171" t="s">
        <v>406</v>
      </c>
      <c r="B202" s="89" t="s">
        <v>407</v>
      </c>
      <c r="C202" s="89" t="s">
        <v>117</v>
      </c>
      <c r="D202" s="171" t="s">
        <v>401</v>
      </c>
      <c r="E202" s="108">
        <f>Rekenblad!E203</f>
        <v>0</v>
      </c>
      <c r="F202" s="118">
        <f>Rekenblad!F203</f>
        <v>14.31</v>
      </c>
      <c r="G202" s="198"/>
      <c r="H202" s="198">
        <f t="shared" si="16"/>
        <v>0</v>
      </c>
      <c r="I202" s="565"/>
      <c r="J202" s="562"/>
      <c r="K202" s="161"/>
      <c r="L202" s="162"/>
      <c r="M202" s="162"/>
      <c r="N202" s="162"/>
      <c r="O202" s="162"/>
      <c r="P202" s="163"/>
      <c r="Q202" s="151"/>
    </row>
    <row r="203" spans="1:17" ht="30" customHeight="1">
      <c r="A203" s="171" t="s">
        <v>408</v>
      </c>
      <c r="B203" s="89" t="s">
        <v>409</v>
      </c>
      <c r="C203" s="89" t="s">
        <v>117</v>
      </c>
      <c r="D203" s="171" t="s">
        <v>401</v>
      </c>
      <c r="E203" s="108">
        <f>Rekenblad!E204</f>
        <v>0</v>
      </c>
      <c r="F203" s="118">
        <f>Rekenblad!F204</f>
        <v>14.31</v>
      </c>
      <c r="G203" s="198"/>
      <c r="H203" s="198">
        <f t="shared" si="16"/>
        <v>0</v>
      </c>
      <c r="I203" s="565"/>
      <c r="J203" s="562"/>
      <c r="K203" s="161"/>
      <c r="L203" s="162"/>
      <c r="M203" s="162"/>
      <c r="N203" s="162"/>
      <c r="O203" s="162"/>
      <c r="P203" s="163"/>
      <c r="Q203" s="151"/>
    </row>
    <row r="204" spans="1:17" ht="30" customHeight="1">
      <c r="A204" s="171" t="s">
        <v>410</v>
      </c>
      <c r="B204" s="89" t="s">
        <v>411</v>
      </c>
      <c r="C204" s="89" t="s">
        <v>117</v>
      </c>
      <c r="D204" s="171" t="s">
        <v>401</v>
      </c>
      <c r="E204" s="108">
        <f>Rekenblad!E205</f>
        <v>0</v>
      </c>
      <c r="F204" s="118">
        <f>Rekenblad!F205</f>
        <v>14.31</v>
      </c>
      <c r="G204" s="198"/>
      <c r="H204" s="198">
        <f t="shared" si="16"/>
        <v>0</v>
      </c>
      <c r="I204" s="565"/>
      <c r="J204" s="562"/>
      <c r="K204" s="161"/>
      <c r="L204" s="162"/>
      <c r="M204" s="162"/>
      <c r="N204" s="162"/>
      <c r="O204" s="162"/>
      <c r="P204" s="163"/>
      <c r="Q204" s="151"/>
    </row>
    <row r="205" spans="1:17" ht="30" customHeight="1">
      <c r="A205" s="171" t="s">
        <v>412</v>
      </c>
      <c r="B205" s="89" t="s">
        <v>413</v>
      </c>
      <c r="C205" s="89" t="s">
        <v>117</v>
      </c>
      <c r="D205" s="171" t="s">
        <v>414</v>
      </c>
      <c r="E205" s="108">
        <f>Rekenblad!E206</f>
        <v>0</v>
      </c>
      <c r="F205" s="118">
        <f>Rekenblad!F206</f>
        <v>90.100000000000009</v>
      </c>
      <c r="G205" s="198"/>
      <c r="H205" s="198">
        <f t="shared" si="16"/>
        <v>0</v>
      </c>
      <c r="I205" s="565"/>
      <c r="J205" s="562"/>
      <c r="K205" s="161"/>
      <c r="L205" s="162"/>
      <c r="M205" s="162"/>
      <c r="N205" s="162"/>
      <c r="O205" s="162"/>
      <c r="P205" s="163"/>
      <c r="Q205" s="151"/>
    </row>
    <row r="206" spans="1:17" ht="30" customHeight="1">
      <c r="A206" s="171" t="s">
        <v>415</v>
      </c>
      <c r="B206" s="89" t="s">
        <v>416</v>
      </c>
      <c r="C206" s="89" t="s">
        <v>117</v>
      </c>
      <c r="D206" s="171" t="s">
        <v>401</v>
      </c>
      <c r="E206" s="108">
        <f>Rekenblad!E207</f>
        <v>0</v>
      </c>
      <c r="F206" s="118">
        <f>Rekenblad!F207</f>
        <v>14.31</v>
      </c>
      <c r="G206" s="198"/>
      <c r="H206" s="198">
        <f t="shared" si="16"/>
        <v>0</v>
      </c>
      <c r="I206" s="565"/>
      <c r="J206" s="562"/>
      <c r="K206" s="161"/>
      <c r="L206" s="162"/>
      <c r="M206" s="162"/>
      <c r="N206" s="162"/>
      <c r="O206" s="162"/>
      <c r="P206" s="163"/>
      <c r="Q206" s="151"/>
    </row>
    <row r="207" spans="1:17" ht="30" customHeight="1">
      <c r="A207" s="171" t="s">
        <v>417</v>
      </c>
      <c r="B207" s="89" t="s">
        <v>418</v>
      </c>
      <c r="C207" s="89" t="s">
        <v>117</v>
      </c>
      <c r="D207" s="171" t="s">
        <v>401</v>
      </c>
      <c r="E207" s="108">
        <f>Rekenblad!E208</f>
        <v>0</v>
      </c>
      <c r="F207" s="118">
        <f>Rekenblad!F208</f>
        <v>2.6500000000000004</v>
      </c>
      <c r="G207" s="198"/>
      <c r="H207" s="198">
        <f t="shared" si="16"/>
        <v>0</v>
      </c>
      <c r="I207" s="565"/>
      <c r="J207" s="562"/>
      <c r="K207" s="161"/>
      <c r="L207" s="162"/>
      <c r="M207" s="162"/>
      <c r="N207" s="162"/>
      <c r="O207" s="162"/>
      <c r="P207" s="163"/>
      <c r="Q207" s="151"/>
    </row>
    <row r="208" spans="1:17" ht="30" customHeight="1">
      <c r="A208" s="171" t="s">
        <v>419</v>
      </c>
      <c r="B208" s="89" t="s">
        <v>420</v>
      </c>
      <c r="C208" s="89" t="s">
        <v>117</v>
      </c>
      <c r="D208" s="171" t="s">
        <v>304</v>
      </c>
      <c r="E208" s="108">
        <f>Rekenblad!E209</f>
        <v>0</v>
      </c>
      <c r="F208" s="118">
        <f>Rekenblad!F209</f>
        <v>14.84</v>
      </c>
      <c r="G208" s="198"/>
      <c r="H208" s="198">
        <f t="shared" si="16"/>
        <v>0</v>
      </c>
      <c r="I208" s="565"/>
      <c r="J208" s="562"/>
      <c r="K208" s="161"/>
      <c r="L208" s="162"/>
      <c r="M208" s="162"/>
      <c r="N208" s="162"/>
      <c r="O208" s="162"/>
      <c r="P208" s="163"/>
      <c r="Q208" s="151"/>
    </row>
    <row r="209" spans="1:17" ht="30" customHeight="1">
      <c r="A209" s="171" t="s">
        <v>421</v>
      </c>
      <c r="B209" s="89" t="s">
        <v>422</v>
      </c>
      <c r="C209" s="89" t="s">
        <v>117</v>
      </c>
      <c r="D209" s="171" t="s">
        <v>401</v>
      </c>
      <c r="E209" s="108">
        <f>Rekenblad!E210</f>
        <v>0</v>
      </c>
      <c r="F209" s="118">
        <f>Rekenblad!F210</f>
        <v>15.158000000000001</v>
      </c>
      <c r="G209" s="198"/>
      <c r="H209" s="198">
        <f t="shared" si="16"/>
        <v>0</v>
      </c>
      <c r="I209" s="565"/>
      <c r="J209" s="562"/>
      <c r="K209" s="161"/>
      <c r="L209" s="162"/>
      <c r="M209" s="162"/>
      <c r="N209" s="162"/>
      <c r="O209" s="162"/>
      <c r="P209" s="163"/>
      <c r="Q209" s="151"/>
    </row>
    <row r="210" spans="1:17" ht="30" customHeight="1">
      <c r="A210" s="171" t="s">
        <v>423</v>
      </c>
      <c r="B210" s="89" t="s">
        <v>424</v>
      </c>
      <c r="C210" s="89" t="s">
        <v>117</v>
      </c>
      <c r="D210" s="171" t="s">
        <v>304</v>
      </c>
      <c r="E210" s="108">
        <f>Rekenblad!E211</f>
        <v>0</v>
      </c>
      <c r="F210" s="118">
        <f>Rekenblad!F211</f>
        <v>90.100000000000009</v>
      </c>
      <c r="G210" s="198"/>
      <c r="H210" s="198">
        <f t="shared" si="16"/>
        <v>0</v>
      </c>
      <c r="I210" s="565"/>
      <c r="J210" s="562"/>
      <c r="K210" s="161"/>
      <c r="L210" s="162"/>
      <c r="M210" s="162"/>
      <c r="N210" s="162"/>
      <c r="O210" s="162"/>
      <c r="P210" s="163"/>
      <c r="Q210" s="151"/>
    </row>
    <row r="211" spans="1:17" ht="30" customHeight="1">
      <c r="A211" s="171" t="s">
        <v>425</v>
      </c>
      <c r="B211" s="89" t="s">
        <v>426</v>
      </c>
      <c r="C211" s="89" t="s">
        <v>117</v>
      </c>
      <c r="D211" s="171" t="s">
        <v>427</v>
      </c>
      <c r="E211" s="108">
        <f>Rekenblad!E212</f>
        <v>0</v>
      </c>
      <c r="F211" s="118">
        <f>Rekenblad!F212</f>
        <v>106</v>
      </c>
      <c r="G211" s="198"/>
      <c r="H211" s="198">
        <f t="shared" si="16"/>
        <v>0</v>
      </c>
      <c r="I211" s="565"/>
      <c r="J211" s="562"/>
      <c r="K211" s="161"/>
      <c r="L211" s="162"/>
      <c r="M211" s="162"/>
      <c r="N211" s="162"/>
      <c r="O211" s="162"/>
      <c r="P211" s="163"/>
      <c r="Q211" s="151"/>
    </row>
    <row r="212" spans="1:17" ht="30" customHeight="1">
      <c r="A212" s="171" t="s">
        <v>428</v>
      </c>
      <c r="B212" s="89" t="s">
        <v>429</v>
      </c>
      <c r="C212" s="89" t="s">
        <v>117</v>
      </c>
      <c r="D212" s="171" t="s">
        <v>304</v>
      </c>
      <c r="E212" s="108">
        <f>Rekenblad!E213</f>
        <v>0</v>
      </c>
      <c r="F212" s="118">
        <f>Rekenblad!F213</f>
        <v>0</v>
      </c>
      <c r="G212" s="198"/>
      <c r="H212" s="198">
        <f t="shared" si="16"/>
        <v>0</v>
      </c>
      <c r="I212" s="565"/>
      <c r="J212" s="562"/>
      <c r="K212" s="161"/>
      <c r="L212" s="162"/>
      <c r="M212" s="162"/>
      <c r="N212" s="162"/>
      <c r="O212" s="162"/>
      <c r="P212" s="163"/>
      <c r="Q212" s="151"/>
    </row>
    <row r="213" spans="1:17" ht="30" customHeight="1">
      <c r="A213" s="171" t="s">
        <v>430</v>
      </c>
      <c r="B213" s="89" t="s">
        <v>431</v>
      </c>
      <c r="C213" s="89" t="s">
        <v>117</v>
      </c>
      <c r="D213" s="171" t="s">
        <v>432</v>
      </c>
      <c r="E213" s="108">
        <f>Rekenblad!E214</f>
        <v>0</v>
      </c>
      <c r="F213" s="118">
        <f>Rekenblad!F214</f>
        <v>24.380000000000003</v>
      </c>
      <c r="G213" s="198"/>
      <c r="H213" s="198">
        <f t="shared" si="16"/>
        <v>0</v>
      </c>
      <c r="I213" s="565"/>
      <c r="J213" s="562"/>
      <c r="K213" s="161"/>
      <c r="L213" s="162"/>
      <c r="M213" s="162"/>
      <c r="N213" s="162"/>
      <c r="O213" s="162"/>
      <c r="P213" s="163"/>
      <c r="Q213" s="151"/>
    </row>
    <row r="214" spans="1:17" ht="30" customHeight="1">
      <c r="A214" s="171" t="s">
        <v>433</v>
      </c>
      <c r="B214" s="89" t="s">
        <v>434</v>
      </c>
      <c r="C214" s="89" t="s">
        <v>117</v>
      </c>
      <c r="D214" s="171" t="s">
        <v>435</v>
      </c>
      <c r="E214" s="108">
        <f>Rekenblad!E215</f>
        <v>0</v>
      </c>
      <c r="F214" s="118">
        <f>Rekenblad!F215</f>
        <v>121.9</v>
      </c>
      <c r="G214" s="198"/>
      <c r="H214" s="198">
        <f t="shared" si="16"/>
        <v>0</v>
      </c>
      <c r="I214" s="565"/>
      <c r="J214" s="562"/>
      <c r="K214" s="161"/>
      <c r="L214" s="162"/>
      <c r="M214" s="162"/>
      <c r="N214" s="162"/>
      <c r="O214" s="162"/>
      <c r="P214" s="163"/>
      <c r="Q214" s="151"/>
    </row>
    <row r="215" spans="1:17" ht="30" customHeight="1">
      <c r="A215" s="171" t="s">
        <v>436</v>
      </c>
      <c r="B215" s="76" t="s">
        <v>437</v>
      </c>
      <c r="C215" s="89" t="s">
        <v>117</v>
      </c>
      <c r="D215" s="171" t="s">
        <v>438</v>
      </c>
      <c r="E215" s="108">
        <f>Rekenblad!E216</f>
        <v>0</v>
      </c>
      <c r="F215" s="118">
        <f>Rekenblad!F216</f>
        <v>0</v>
      </c>
      <c r="G215" s="198"/>
      <c r="H215" s="198">
        <f t="shared" si="16"/>
        <v>0</v>
      </c>
      <c r="I215" s="565"/>
      <c r="J215" s="562"/>
      <c r="K215" s="161"/>
      <c r="L215" s="162"/>
      <c r="M215" s="162"/>
      <c r="N215" s="162"/>
      <c r="O215" s="162"/>
      <c r="P215" s="163"/>
      <c r="Q215" s="151"/>
    </row>
    <row r="216" spans="1:17" ht="30" customHeight="1">
      <c r="A216" s="171" t="s">
        <v>439</v>
      </c>
      <c r="B216" s="89" t="s">
        <v>440</v>
      </c>
      <c r="C216" s="89" t="s">
        <v>117</v>
      </c>
      <c r="D216" s="171" t="s">
        <v>304</v>
      </c>
      <c r="E216" s="108">
        <f>Rekenblad!E217</f>
        <v>0</v>
      </c>
      <c r="F216" s="118">
        <f>Rekenblad!F217</f>
        <v>0</v>
      </c>
      <c r="G216" s="198"/>
      <c r="H216" s="198">
        <f t="shared" si="16"/>
        <v>0</v>
      </c>
      <c r="I216" s="565"/>
      <c r="J216" s="562"/>
      <c r="K216" s="161"/>
      <c r="L216" s="162"/>
      <c r="M216" s="162"/>
      <c r="N216" s="162"/>
      <c r="O216" s="162"/>
      <c r="P216" s="163"/>
      <c r="Q216" s="151"/>
    </row>
    <row r="217" spans="1:17" ht="30" customHeight="1">
      <c r="A217" s="171" t="s">
        <v>441</v>
      </c>
      <c r="B217" s="89" t="s">
        <v>442</v>
      </c>
      <c r="C217" s="89" t="s">
        <v>117</v>
      </c>
      <c r="D217" s="171" t="s">
        <v>304</v>
      </c>
      <c r="E217" s="108">
        <f>Rekenblad!E218</f>
        <v>0</v>
      </c>
      <c r="F217" s="118">
        <f>Rekenblad!F218</f>
        <v>3.71</v>
      </c>
      <c r="G217" s="198"/>
      <c r="H217" s="198">
        <f t="shared" si="16"/>
        <v>0</v>
      </c>
      <c r="I217" s="565"/>
      <c r="J217" s="562"/>
      <c r="K217" s="161"/>
      <c r="L217" s="162"/>
      <c r="M217" s="162"/>
      <c r="N217" s="162"/>
      <c r="O217" s="162"/>
      <c r="P217" s="163"/>
      <c r="Q217" s="151"/>
    </row>
    <row r="218" spans="1:17" ht="30" customHeight="1">
      <c r="A218" s="171" t="s">
        <v>443</v>
      </c>
      <c r="B218" s="89" t="s">
        <v>444</v>
      </c>
      <c r="C218" s="89" t="s">
        <v>117</v>
      </c>
      <c r="D218" s="171" t="s">
        <v>304</v>
      </c>
      <c r="E218" s="108">
        <f>Rekenblad!E219</f>
        <v>0</v>
      </c>
      <c r="F218" s="118">
        <f>Rekenblad!F219</f>
        <v>21.200000000000003</v>
      </c>
      <c r="G218" s="198"/>
      <c r="H218" s="198">
        <f t="shared" si="16"/>
        <v>0</v>
      </c>
      <c r="I218" s="565"/>
      <c r="J218" s="562"/>
      <c r="K218" s="161"/>
      <c r="L218" s="162"/>
      <c r="M218" s="162"/>
      <c r="N218" s="162"/>
      <c r="O218" s="162"/>
      <c r="P218" s="163"/>
      <c r="Q218" s="151"/>
    </row>
    <row r="219" spans="1:17" ht="30" customHeight="1">
      <c r="A219" s="171" t="s">
        <v>445</v>
      </c>
      <c r="B219" s="89" t="s">
        <v>446</v>
      </c>
      <c r="C219" s="89" t="s">
        <v>117</v>
      </c>
      <c r="D219" s="171" t="s">
        <v>139</v>
      </c>
      <c r="E219" s="108">
        <f>Rekenblad!E220</f>
        <v>0</v>
      </c>
      <c r="F219" s="118">
        <f>Rekenblad!F220</f>
        <v>47.7</v>
      </c>
      <c r="G219" s="109"/>
      <c r="H219" s="198">
        <f t="shared" si="16"/>
        <v>0</v>
      </c>
      <c r="I219" s="565"/>
      <c r="J219" s="562"/>
      <c r="K219" s="118"/>
      <c r="L219" s="146"/>
      <c r="M219" s="146"/>
      <c r="N219" s="146"/>
      <c r="O219" s="146"/>
      <c r="P219" s="147"/>
      <c r="Q219" s="151"/>
    </row>
    <row r="220" spans="1:17" ht="30" customHeight="1">
      <c r="A220" s="171" t="s">
        <v>447</v>
      </c>
      <c r="B220" s="89" t="s">
        <v>448</v>
      </c>
      <c r="C220" s="89" t="s">
        <v>117</v>
      </c>
      <c r="D220" s="171" t="s">
        <v>304</v>
      </c>
      <c r="E220" s="108">
        <f>Rekenblad!E221</f>
        <v>0</v>
      </c>
      <c r="F220" s="118">
        <f>Rekenblad!F221</f>
        <v>47.7</v>
      </c>
      <c r="G220" s="109"/>
      <c r="H220" s="198">
        <f t="shared" si="16"/>
        <v>0</v>
      </c>
      <c r="I220" s="565"/>
      <c r="J220" s="562"/>
      <c r="K220" s="118"/>
      <c r="L220" s="146"/>
      <c r="M220" s="146"/>
      <c r="N220" s="146"/>
      <c r="O220" s="146"/>
      <c r="P220" s="147"/>
      <c r="Q220" s="151"/>
    </row>
    <row r="221" spans="1:17" ht="30" customHeight="1">
      <c r="A221" s="171" t="s">
        <v>449</v>
      </c>
      <c r="B221" s="89" t="s">
        <v>450</v>
      </c>
      <c r="C221" s="89" t="s">
        <v>117</v>
      </c>
      <c r="D221" s="171" t="s">
        <v>304</v>
      </c>
      <c r="E221" s="108">
        <f>Rekenblad!E222</f>
        <v>0</v>
      </c>
      <c r="F221" s="118">
        <f>Rekenblad!F222</f>
        <v>26.5</v>
      </c>
      <c r="G221" s="109"/>
      <c r="H221" s="198">
        <f t="shared" si="16"/>
        <v>0</v>
      </c>
      <c r="I221" s="565"/>
      <c r="J221" s="562"/>
      <c r="K221" s="118"/>
      <c r="L221" s="146"/>
      <c r="M221" s="146"/>
      <c r="N221" s="146"/>
      <c r="O221" s="146"/>
      <c r="P221" s="147"/>
      <c r="Q221" s="151"/>
    </row>
    <row r="222" spans="1:17" ht="30" customHeight="1">
      <c r="A222" s="218"/>
      <c r="B222" s="151"/>
      <c r="C222" s="151"/>
      <c r="D222" s="213"/>
      <c r="E222" s="179"/>
      <c r="F222" s="118"/>
      <c r="G222" s="109"/>
      <c r="H222" s="237"/>
      <c r="I222" s="565"/>
      <c r="J222" s="562"/>
      <c r="K222" s="161"/>
      <c r="L222" s="162"/>
      <c r="M222" s="162"/>
      <c r="N222" s="162"/>
      <c r="O222" s="162"/>
      <c r="P222" s="163"/>
      <c r="Q222" s="151"/>
    </row>
    <row r="223" spans="1:17" ht="30" customHeight="1">
      <c r="A223" s="141">
        <v>11</v>
      </c>
      <c r="B223" s="65" t="s">
        <v>451</v>
      </c>
      <c r="C223" s="65"/>
      <c r="D223" s="38" t="s">
        <v>12</v>
      </c>
      <c r="E223" s="47" t="s">
        <v>13</v>
      </c>
      <c r="F223" s="60" t="str">
        <f>Rekenblad!F224</f>
        <v>bedrag per eenheid (excl. btw)</v>
      </c>
      <c r="G223" s="53" t="s">
        <v>15</v>
      </c>
      <c r="H223" s="48" t="s">
        <v>16</v>
      </c>
      <c r="I223" s="563" t="s">
        <v>17</v>
      </c>
      <c r="J223" s="566"/>
      <c r="K223" s="37"/>
      <c r="L223" s="50"/>
      <c r="M223" s="50"/>
      <c r="N223" s="50"/>
      <c r="O223" s="50"/>
      <c r="P223" s="49" t="s">
        <v>18</v>
      </c>
      <c r="Q223" s="151"/>
    </row>
    <row r="224" spans="1:17" ht="30" customHeight="1">
      <c r="A224" s="171" t="s">
        <v>452</v>
      </c>
      <c r="B224" s="116" t="s">
        <v>453</v>
      </c>
      <c r="C224" s="75" t="s">
        <v>33</v>
      </c>
      <c r="D224" s="238" t="s">
        <v>8</v>
      </c>
      <c r="E224" s="108">
        <f>Rekenblad!E225</f>
        <v>4</v>
      </c>
      <c r="F224" s="118">
        <f>Rekenblad!F225</f>
        <v>76.850000000000009</v>
      </c>
      <c r="G224" s="198">
        <f>E224*F224</f>
        <v>307.40000000000003</v>
      </c>
      <c r="H224" s="198">
        <f>1*G224</f>
        <v>307.40000000000003</v>
      </c>
      <c r="I224" s="561" t="s">
        <v>454</v>
      </c>
      <c r="J224" s="562"/>
      <c r="K224" s="183"/>
      <c r="L224" s="184"/>
      <c r="M224" s="184"/>
      <c r="N224" s="184"/>
      <c r="O224" s="184"/>
      <c r="P224" s="185"/>
      <c r="Q224" s="151"/>
    </row>
    <row r="225" spans="1:17" ht="30" customHeight="1">
      <c r="A225" s="171" t="s">
        <v>455</v>
      </c>
      <c r="B225" s="116" t="s">
        <v>453</v>
      </c>
      <c r="C225" s="75" t="s">
        <v>33</v>
      </c>
      <c r="D225" s="238" t="s">
        <v>8</v>
      </c>
      <c r="E225" s="108">
        <f>Rekenblad!E226</f>
        <v>4</v>
      </c>
      <c r="F225" s="118">
        <f>Rekenblad!F226</f>
        <v>63.6</v>
      </c>
      <c r="G225" s="198">
        <f t="shared" ref="G225:G232" si="17">E225*F225</f>
        <v>254.4</v>
      </c>
      <c r="H225" s="198">
        <f t="shared" ref="H225:H232" si="18">1*G225</f>
        <v>254.4</v>
      </c>
      <c r="I225" s="561"/>
      <c r="J225" s="562"/>
      <c r="K225" s="183"/>
      <c r="L225" s="184"/>
      <c r="M225" s="184"/>
      <c r="N225" s="184"/>
      <c r="O225" s="184"/>
      <c r="P225" s="185"/>
      <c r="Q225" s="151"/>
    </row>
    <row r="226" spans="1:17" ht="30" customHeight="1">
      <c r="A226" s="171" t="s">
        <v>456</v>
      </c>
      <c r="B226" s="116" t="s">
        <v>453</v>
      </c>
      <c r="C226" s="75" t="s">
        <v>33</v>
      </c>
      <c r="D226" s="238" t="s">
        <v>8</v>
      </c>
      <c r="E226" s="108">
        <f>Rekenblad!E227</f>
        <v>4</v>
      </c>
      <c r="F226" s="118">
        <f>Rekenblad!F227</f>
        <v>63.6</v>
      </c>
      <c r="G226" s="198">
        <f t="shared" si="17"/>
        <v>254.4</v>
      </c>
      <c r="H226" s="198">
        <f t="shared" si="18"/>
        <v>254.4</v>
      </c>
      <c r="I226" s="561"/>
      <c r="J226" s="562"/>
      <c r="K226" s="183"/>
      <c r="L226" s="184"/>
      <c r="M226" s="184"/>
      <c r="N226" s="184"/>
      <c r="O226" s="184"/>
      <c r="P226" s="185"/>
      <c r="Q226" s="151"/>
    </row>
    <row r="227" spans="1:17" ht="30" customHeight="1">
      <c r="A227" s="171" t="s">
        <v>457</v>
      </c>
      <c r="B227" s="116" t="s">
        <v>458</v>
      </c>
      <c r="C227" s="75" t="s">
        <v>33</v>
      </c>
      <c r="D227" s="238" t="s">
        <v>8</v>
      </c>
      <c r="E227" s="108">
        <f>Rekenblad!E228</f>
        <v>8</v>
      </c>
      <c r="F227" s="118">
        <f>Rekenblad!F228</f>
        <v>115.01</v>
      </c>
      <c r="G227" s="198">
        <f t="shared" si="17"/>
        <v>920.08</v>
      </c>
      <c r="H227" s="198">
        <f t="shared" si="18"/>
        <v>920.08</v>
      </c>
      <c r="I227" s="561"/>
      <c r="J227" s="562"/>
      <c r="K227" s="183"/>
      <c r="L227" s="184"/>
      <c r="M227" s="184"/>
      <c r="N227" s="184"/>
      <c r="O227" s="184"/>
      <c r="P227" s="185"/>
      <c r="Q227" s="151"/>
    </row>
    <row r="228" spans="1:17" ht="30" customHeight="1">
      <c r="A228" s="171" t="s">
        <v>459</v>
      </c>
      <c r="B228" s="174" t="s">
        <v>460</v>
      </c>
      <c r="C228" s="107" t="s">
        <v>33</v>
      </c>
      <c r="D228" s="107" t="s">
        <v>8</v>
      </c>
      <c r="E228" s="108">
        <f>Rekenblad!E229</f>
        <v>8</v>
      </c>
      <c r="F228" s="118">
        <f>Rekenblad!F229</f>
        <v>79.5</v>
      </c>
      <c r="G228" s="198">
        <f t="shared" si="17"/>
        <v>636</v>
      </c>
      <c r="H228" s="198">
        <f t="shared" si="18"/>
        <v>636</v>
      </c>
      <c r="I228" s="561"/>
      <c r="J228" s="562"/>
      <c r="K228" s="161"/>
      <c r="L228" s="162"/>
      <c r="M228" s="162"/>
      <c r="N228" s="162"/>
      <c r="O228" s="162"/>
      <c r="P228" s="163"/>
      <c r="Q228" s="151"/>
    </row>
    <row r="229" spans="1:17" ht="30" customHeight="1">
      <c r="A229" s="171" t="s">
        <v>461</v>
      </c>
      <c r="B229" s="174" t="s">
        <v>462</v>
      </c>
      <c r="C229" s="107" t="s">
        <v>53</v>
      </c>
      <c r="D229" s="107" t="s">
        <v>463</v>
      </c>
      <c r="E229" s="108">
        <f>Rekenblad!E230</f>
        <v>1</v>
      </c>
      <c r="F229" s="118">
        <f>+Blad3!F49</f>
        <v>550</v>
      </c>
      <c r="G229" s="198">
        <f t="shared" si="17"/>
        <v>550</v>
      </c>
      <c r="H229" s="198">
        <f t="shared" si="18"/>
        <v>550</v>
      </c>
      <c r="I229" s="561"/>
      <c r="J229" s="562"/>
      <c r="K229" s="118"/>
      <c r="L229" s="146"/>
      <c r="M229" s="146"/>
      <c r="N229" s="146"/>
      <c r="O229" s="146"/>
      <c r="P229" s="147"/>
      <c r="Q229" s="151"/>
    </row>
    <row r="230" spans="1:17" ht="30" customHeight="1">
      <c r="A230" s="171" t="s">
        <v>464</v>
      </c>
      <c r="B230" s="89" t="s">
        <v>465</v>
      </c>
      <c r="C230" s="89" t="s">
        <v>101</v>
      </c>
      <c r="D230" s="171"/>
      <c r="E230" s="108">
        <f>Rekenblad!E231</f>
        <v>0</v>
      </c>
      <c r="F230" s="118">
        <f>Rekenblad!F231</f>
        <v>81.62</v>
      </c>
      <c r="G230" s="118">
        <f t="shared" si="17"/>
        <v>0</v>
      </c>
      <c r="H230" s="197">
        <f t="shared" si="18"/>
        <v>0</v>
      </c>
      <c r="I230" s="561"/>
      <c r="J230" s="562"/>
      <c r="K230" s="183"/>
      <c r="L230" s="184"/>
      <c r="M230" s="184"/>
      <c r="N230" s="184"/>
      <c r="O230" s="184"/>
      <c r="P230" s="185"/>
      <c r="Q230" s="151"/>
    </row>
    <row r="231" spans="1:17" ht="30" customHeight="1">
      <c r="A231" s="171" t="s">
        <v>466</v>
      </c>
      <c r="B231" s="89" t="s">
        <v>467</v>
      </c>
      <c r="C231" s="89" t="s">
        <v>101</v>
      </c>
      <c r="D231" s="171"/>
      <c r="E231" s="108">
        <f>Rekenblad!E232</f>
        <v>0</v>
      </c>
      <c r="F231" s="118">
        <f>Rekenblad!F232</f>
        <v>51.982399999999998</v>
      </c>
      <c r="G231" s="118">
        <f t="shared" si="17"/>
        <v>0</v>
      </c>
      <c r="H231" s="197">
        <f t="shared" si="18"/>
        <v>0</v>
      </c>
      <c r="I231" s="561"/>
      <c r="J231" s="562"/>
      <c r="K231" s="183"/>
      <c r="L231" s="184"/>
      <c r="M231" s="184"/>
      <c r="N231" s="184"/>
      <c r="O231" s="184"/>
      <c r="P231" s="185"/>
      <c r="Q231" s="151"/>
    </row>
    <row r="232" spans="1:17" ht="30" customHeight="1">
      <c r="A232" s="171" t="s">
        <v>468</v>
      </c>
      <c r="B232" s="174" t="s">
        <v>469</v>
      </c>
      <c r="C232" s="107" t="s">
        <v>33</v>
      </c>
      <c r="D232" s="107" t="s">
        <v>470</v>
      </c>
      <c r="E232" s="108">
        <f>Rekenblad!E233</f>
        <v>12</v>
      </c>
      <c r="F232" s="118">
        <f>Rekenblad!F233</f>
        <v>63.6</v>
      </c>
      <c r="G232" s="198">
        <f t="shared" si="17"/>
        <v>763.2</v>
      </c>
      <c r="H232" s="198">
        <f t="shared" si="18"/>
        <v>763.2</v>
      </c>
      <c r="I232" s="561" t="s">
        <v>471</v>
      </c>
      <c r="J232" s="562"/>
      <c r="K232" s="161"/>
      <c r="L232" s="162"/>
      <c r="M232" s="162"/>
      <c r="N232" s="162"/>
      <c r="O232" s="162"/>
      <c r="P232" s="163"/>
      <c r="Q232" s="151"/>
    </row>
    <row r="233" spans="1:17" ht="30" customHeight="1">
      <c r="A233" s="171"/>
      <c r="B233" s="89"/>
      <c r="C233" s="89"/>
      <c r="D233" s="171"/>
      <c r="E233" s="108"/>
      <c r="F233" s="118"/>
      <c r="G233" s="109"/>
      <c r="H233" s="167"/>
      <c r="I233" s="231"/>
      <c r="J233" s="232"/>
      <c r="K233" s="240"/>
      <c r="L233" s="241"/>
      <c r="M233" s="241"/>
      <c r="N233" s="241"/>
      <c r="O233" s="241"/>
      <c r="P233" s="147"/>
      <c r="Q233" s="151"/>
    </row>
    <row r="234" spans="1:17" s="5" customFormat="1" ht="65.25" customHeight="1">
      <c r="A234" s="61" t="s">
        <v>10</v>
      </c>
      <c r="B234" s="62" t="s">
        <v>11</v>
      </c>
      <c r="C234" s="63"/>
      <c r="D234" s="35" t="s">
        <v>12</v>
      </c>
      <c r="E234" s="36" t="s">
        <v>13</v>
      </c>
      <c r="F234" s="60" t="str">
        <f>Rekenblad!F235</f>
        <v>bedrag per eenheid (excl. btw)</v>
      </c>
      <c r="G234" s="37" t="s">
        <v>15</v>
      </c>
      <c r="H234" s="37" t="s">
        <v>16</v>
      </c>
      <c r="I234" s="563" t="s">
        <v>17</v>
      </c>
      <c r="J234" s="564"/>
      <c r="K234" s="564"/>
      <c r="L234" s="564"/>
      <c r="M234" s="564"/>
      <c r="N234" s="564"/>
      <c r="O234" s="564"/>
      <c r="P234" s="38" t="s">
        <v>18</v>
      </c>
      <c r="Q234" s="301"/>
    </row>
    <row r="235" spans="1:17">
      <c r="A235" s="218"/>
      <c r="B235" s="219"/>
      <c r="C235" s="219"/>
      <c r="D235" s="218"/>
      <c r="E235" s="220"/>
      <c r="F235" s="118">
        <f>Rekenblad!F236</f>
        <v>0</v>
      </c>
      <c r="G235" s="221"/>
      <c r="H235" s="221"/>
      <c r="I235" s="222"/>
      <c r="J235" s="151"/>
      <c r="K235" s="223"/>
      <c r="L235" s="224"/>
      <c r="M235" s="224"/>
      <c r="N235" s="224"/>
      <c r="O235" s="224"/>
      <c r="P235" s="225"/>
      <c r="Q235" s="151"/>
    </row>
    <row r="236" spans="1:17" ht="30" customHeight="1">
      <c r="A236" s="171" t="s">
        <v>472</v>
      </c>
      <c r="B236" s="116" t="s">
        <v>473</v>
      </c>
      <c r="C236" s="75"/>
      <c r="D236" s="107" t="s">
        <v>474</v>
      </c>
      <c r="E236" s="108">
        <f>Rekenblad!E237</f>
        <v>5</v>
      </c>
      <c r="F236" s="118">
        <f>Rekenblad!F237</f>
        <v>1060</v>
      </c>
      <c r="G236" s="109"/>
      <c r="H236" s="167">
        <f t="shared" ref="H236:H237" si="19">SUM(E236*F236)</f>
        <v>5300</v>
      </c>
      <c r="I236" s="76"/>
      <c r="J236" s="89"/>
      <c r="K236" s="118"/>
      <c r="L236" s="146"/>
      <c r="M236" s="146"/>
      <c r="N236" s="146"/>
      <c r="O236" s="146"/>
      <c r="P236" s="147"/>
      <c r="Q236" s="151"/>
    </row>
    <row r="237" spans="1:17" ht="30" customHeight="1">
      <c r="A237" s="171" t="s">
        <v>475</v>
      </c>
      <c r="B237" s="116" t="s">
        <v>476</v>
      </c>
      <c r="C237" s="75"/>
      <c r="D237" s="171" t="s">
        <v>477</v>
      </c>
      <c r="E237" s="108">
        <f>Rekenblad!E238</f>
        <v>5</v>
      </c>
      <c r="F237" s="118">
        <f>Rekenblad!F238</f>
        <v>21200</v>
      </c>
      <c r="G237" s="109"/>
      <c r="H237" s="167">
        <f t="shared" si="19"/>
        <v>106000</v>
      </c>
      <c r="I237" s="76"/>
      <c r="J237" s="89"/>
      <c r="K237" s="118"/>
      <c r="L237" s="146"/>
      <c r="M237" s="146"/>
      <c r="N237" s="146"/>
      <c r="O237" s="146"/>
      <c r="P237" s="147"/>
      <c r="Q237" s="151"/>
    </row>
    <row r="238" spans="1:17" ht="30" customHeight="1">
      <c r="A238" s="171" t="s">
        <v>478</v>
      </c>
      <c r="B238" s="116" t="s">
        <v>479</v>
      </c>
      <c r="C238" s="75"/>
      <c r="D238" s="107" t="s">
        <v>477</v>
      </c>
      <c r="E238" s="108">
        <f>Rekenblad!E239</f>
        <v>5</v>
      </c>
      <c r="F238" s="118">
        <f>Rekenblad!F239</f>
        <v>21200</v>
      </c>
      <c r="G238" s="109"/>
      <c r="H238" s="167">
        <f>E238*F238</f>
        <v>106000</v>
      </c>
      <c r="I238" s="76"/>
      <c r="J238" s="89"/>
      <c r="K238" s="118"/>
      <c r="L238" s="146"/>
      <c r="M238" s="146"/>
      <c r="N238" s="146"/>
      <c r="O238" s="146"/>
      <c r="P238" s="147"/>
      <c r="Q238" s="151"/>
    </row>
    <row r="239" spans="1:17">
      <c r="A239" s="218"/>
      <c r="B239" s="219"/>
      <c r="C239" s="219"/>
      <c r="D239" s="218"/>
      <c r="E239" s="220"/>
      <c r="F239" s="221"/>
      <c r="G239" s="221"/>
      <c r="H239" s="221">
        <v>0</v>
      </c>
      <c r="I239" s="222"/>
      <c r="J239" s="151"/>
      <c r="K239" s="223"/>
      <c r="L239" s="224"/>
      <c r="M239" s="224"/>
      <c r="N239" s="224"/>
      <c r="O239" s="224"/>
      <c r="P239" s="225"/>
      <c r="Q239" s="151"/>
    </row>
    <row r="240" spans="1:17">
      <c r="A240" s="242"/>
      <c r="B240" s="219"/>
      <c r="C240" s="219"/>
      <c r="D240" s="218"/>
      <c r="E240" s="220"/>
      <c r="F240" s="221"/>
      <c r="G240" s="221"/>
      <c r="H240" s="243"/>
      <c r="I240" s="222"/>
      <c r="J240" s="151"/>
      <c r="K240" s="223"/>
      <c r="L240" s="224"/>
      <c r="M240" s="224"/>
      <c r="N240" s="224"/>
      <c r="O240" s="224"/>
      <c r="P240" s="225"/>
      <c r="Q240" s="151"/>
    </row>
    <row r="241" spans="1:17" ht="15" customHeight="1" thickBot="1">
      <c r="A241" s="218"/>
      <c r="B241" s="219"/>
      <c r="C241" s="219"/>
      <c r="D241" s="244"/>
      <c r="E241" s="220"/>
      <c r="F241" s="221"/>
      <c r="G241" s="329" t="s">
        <v>480</v>
      </c>
      <c r="H241" s="330" t="s">
        <v>481</v>
      </c>
      <c r="I241" s="222"/>
      <c r="J241" s="151"/>
      <c r="K241" s="223"/>
      <c r="L241" s="224"/>
      <c r="M241" s="224"/>
      <c r="N241" s="224"/>
      <c r="O241" s="224"/>
      <c r="P241" s="225"/>
      <c r="Q241" s="151"/>
    </row>
    <row r="242" spans="1:17" ht="15" customHeight="1">
      <c r="A242" s="245"/>
      <c r="B242" s="246" t="s">
        <v>482</v>
      </c>
      <c r="C242" s="246"/>
      <c r="D242" s="247"/>
      <c r="E242" s="248"/>
      <c r="F242" s="249"/>
      <c r="G242" s="249">
        <f>H242/5</f>
        <v>531021.85080000001</v>
      </c>
      <c r="H242" s="250">
        <f>SUM(H11:H241)</f>
        <v>2655109.2540000002</v>
      </c>
      <c r="I242" s="222"/>
      <c r="J242" s="151"/>
      <c r="K242" s="223"/>
      <c r="L242" s="224"/>
      <c r="M242" s="224"/>
      <c r="N242" s="224"/>
      <c r="O242" s="224"/>
      <c r="P242" s="225"/>
      <c r="Q242" s="151"/>
    </row>
    <row r="243" spans="1:17" ht="15" customHeight="1">
      <c r="A243" s="251"/>
      <c r="B243" s="219" t="s">
        <v>483</v>
      </c>
      <c r="C243" s="219"/>
      <c r="D243" s="328">
        <v>0.16</v>
      </c>
      <c r="E243" s="220"/>
      <c r="F243" s="221"/>
      <c r="G243" s="221">
        <f>H243/5</f>
        <v>84963.496127999999</v>
      </c>
      <c r="H243" s="252">
        <f>D243*H242</f>
        <v>424817.48064000002</v>
      </c>
      <c r="I243" s="222"/>
      <c r="J243" s="151"/>
      <c r="K243" s="223"/>
      <c r="L243" s="224"/>
      <c r="M243" s="224"/>
      <c r="N243" s="224"/>
      <c r="O243" s="224"/>
      <c r="P243" s="225"/>
      <c r="Q243" s="151"/>
    </row>
    <row r="244" spans="1:17">
      <c r="A244" s="251"/>
      <c r="B244" s="219"/>
      <c r="C244" s="219"/>
      <c r="D244" s="218"/>
      <c r="E244" s="220"/>
      <c r="F244" s="221"/>
      <c r="G244" s="221"/>
      <c r="H244" s="252"/>
      <c r="I244" s="222"/>
      <c r="J244" s="151"/>
      <c r="K244" s="223"/>
      <c r="L244" s="224"/>
      <c r="M244" s="224"/>
      <c r="N244" s="224"/>
      <c r="O244" s="224"/>
      <c r="P244" s="225"/>
      <c r="Q244" s="151"/>
    </row>
    <row r="245" spans="1:17">
      <c r="A245" s="251"/>
      <c r="B245" s="253" t="s">
        <v>484</v>
      </c>
      <c r="C245" s="253"/>
      <c r="D245" s="218"/>
      <c r="E245" s="220"/>
      <c r="F245" s="221"/>
      <c r="G245" s="221">
        <f>H245/5</f>
        <v>615985.3469280001</v>
      </c>
      <c r="H245" s="254">
        <f>SUM(H242:H243)</f>
        <v>3079926.7346400004</v>
      </c>
      <c r="I245" s="222"/>
      <c r="J245" s="151"/>
      <c r="K245" s="223"/>
      <c r="L245" s="224"/>
      <c r="M245" s="224"/>
      <c r="N245" s="224"/>
      <c r="O245" s="224"/>
      <c r="P245" s="225"/>
      <c r="Q245" s="151"/>
    </row>
    <row r="246" spans="1:17">
      <c r="A246" s="251"/>
      <c r="B246" s="255" t="s">
        <v>485</v>
      </c>
      <c r="C246" s="255"/>
      <c r="D246" s="327">
        <v>0.21</v>
      </c>
      <c r="E246" s="256"/>
      <c r="F246" s="257"/>
      <c r="G246" s="257">
        <f>H246/5</f>
        <v>129356.92285488002</v>
      </c>
      <c r="H246" s="258">
        <f>D246*H245</f>
        <v>646784.61427440005</v>
      </c>
      <c r="I246" s="222"/>
      <c r="J246" s="151"/>
      <c r="K246" s="223"/>
      <c r="L246" s="224"/>
      <c r="M246" s="224"/>
      <c r="N246" s="224"/>
      <c r="O246" s="224"/>
      <c r="P246" s="225"/>
      <c r="Q246" s="151"/>
    </row>
    <row r="247" spans="1:17">
      <c r="A247" s="251"/>
      <c r="B247" s="219"/>
      <c r="C247" s="219"/>
      <c r="D247" s="218"/>
      <c r="E247" s="220"/>
      <c r="F247" s="221"/>
      <c r="G247" s="221"/>
      <c r="H247" s="259"/>
      <c r="I247" s="222"/>
      <c r="J247" s="151"/>
      <c r="K247" s="223"/>
      <c r="L247" s="224"/>
      <c r="M247" s="224"/>
      <c r="N247" s="224"/>
      <c r="O247" s="224"/>
      <c r="P247" s="225"/>
      <c r="Q247" s="151"/>
    </row>
    <row r="248" spans="1:17">
      <c r="A248" s="251"/>
      <c r="B248" s="260" t="s">
        <v>486</v>
      </c>
      <c r="C248" s="260"/>
      <c r="D248" s="218"/>
      <c r="E248" s="220"/>
      <c r="F248" s="221"/>
      <c r="G248" s="261">
        <f>H248/5</f>
        <v>745342.26978288009</v>
      </c>
      <c r="H248" s="262">
        <f>SUM(H245:H246)</f>
        <v>3726711.3489144007</v>
      </c>
      <c r="I248" s="222"/>
      <c r="J248" s="151"/>
      <c r="K248" s="223"/>
      <c r="L248" s="224"/>
      <c r="M248" s="224"/>
      <c r="N248" s="224"/>
      <c r="O248" s="224"/>
      <c r="P248" s="225"/>
      <c r="Q248" s="151"/>
    </row>
    <row r="249" spans="1:17" ht="15.75" thickBot="1">
      <c r="A249" s="263"/>
      <c r="B249" s="264"/>
      <c r="C249" s="264"/>
      <c r="D249" s="265"/>
      <c r="E249" s="266"/>
      <c r="F249" s="267"/>
      <c r="G249" s="268"/>
      <c r="H249" s="269"/>
      <c r="I249" s="222"/>
      <c r="J249" s="225"/>
      <c r="K249" s="270"/>
      <c r="L249" s="271"/>
      <c r="M249" s="271"/>
      <c r="N249" s="271"/>
      <c r="O249" s="271"/>
      <c r="P249" s="225"/>
      <c r="Q249" s="151"/>
    </row>
    <row r="250" spans="1:17">
      <c r="A250" s="218"/>
      <c r="B250" s="219"/>
      <c r="C250" s="219"/>
      <c r="D250" s="218"/>
      <c r="E250" s="220"/>
      <c r="F250" s="221"/>
      <c r="G250" s="221"/>
      <c r="H250" s="221"/>
      <c r="I250" s="222"/>
      <c r="J250" s="151"/>
      <c r="K250" s="223"/>
      <c r="L250" s="224"/>
      <c r="M250" s="224"/>
      <c r="N250" s="224"/>
      <c r="O250" s="224"/>
      <c r="P250" s="225"/>
      <c r="Q250" s="151"/>
    </row>
    <row r="251" spans="1:17">
      <c r="A251" s="218"/>
      <c r="B251" s="219" t="s">
        <v>487</v>
      </c>
      <c r="C251" s="219"/>
      <c r="D251" s="218"/>
      <c r="E251" s="220"/>
      <c r="F251" s="221"/>
      <c r="G251" s="221">
        <f>H251/5</f>
        <v>275235.25754999992</v>
      </c>
      <c r="H251" s="221">
        <f>SUM(H11:H14)*(1+$D$243)*(1+$D$246)</f>
        <v>1376176.2877499997</v>
      </c>
      <c r="I251" s="222"/>
      <c r="J251" s="151"/>
      <c r="K251" s="223"/>
      <c r="L251" s="224"/>
      <c r="M251" s="224"/>
      <c r="N251" s="224"/>
      <c r="O251" s="224"/>
      <c r="P251" s="225"/>
      <c r="Q251" s="151"/>
    </row>
    <row r="252" spans="1:17">
      <c r="A252" s="218"/>
      <c r="B252" s="219" t="s">
        <v>488</v>
      </c>
      <c r="C252" s="219"/>
      <c r="D252" s="218"/>
      <c r="E252" s="220"/>
      <c r="F252" s="221"/>
      <c r="G252" s="221">
        <f>H252/5</f>
        <v>470107.01223287993</v>
      </c>
      <c r="H252" s="221">
        <f>SUM(H16:H238)*(1+$D$243)*(1+$D$246)</f>
        <v>2350535.0611643996</v>
      </c>
      <c r="I252" s="222"/>
      <c r="J252" s="151"/>
      <c r="K252" s="223"/>
      <c r="L252" s="224"/>
      <c r="M252" s="224"/>
      <c r="N252" s="224"/>
      <c r="O252" s="224"/>
      <c r="P252" s="225"/>
      <c r="Q252" s="151"/>
    </row>
  </sheetData>
  <mergeCells count="172">
    <mergeCell ref="I23:J23"/>
    <mergeCell ref="I24:J24"/>
    <mergeCell ref="A1:P1"/>
    <mergeCell ref="E3:F3"/>
    <mergeCell ref="E4:F4"/>
    <mergeCell ref="I5:O5"/>
    <mergeCell ref="I39:J39"/>
    <mergeCell ref="I40:J40"/>
    <mergeCell ref="I41:J41"/>
    <mergeCell ref="I42:J42"/>
    <mergeCell ref="I43:J43"/>
    <mergeCell ref="I44:J44"/>
    <mergeCell ref="I33:J33"/>
    <mergeCell ref="I34:J34"/>
    <mergeCell ref="I35:J35"/>
    <mergeCell ref="I36:J36"/>
    <mergeCell ref="I37:J37"/>
    <mergeCell ref="I38:J38"/>
    <mergeCell ref="I51:J51"/>
    <mergeCell ref="I52:J52"/>
    <mergeCell ref="I56:J56"/>
    <mergeCell ref="I57:J57"/>
    <mergeCell ref="I58:J58"/>
    <mergeCell ref="I59:J59"/>
    <mergeCell ref="I45:J45"/>
    <mergeCell ref="I46:J46"/>
    <mergeCell ref="I47:J47"/>
    <mergeCell ref="I48:J48"/>
    <mergeCell ref="I49:J49"/>
    <mergeCell ref="I50:J50"/>
    <mergeCell ref="I66:J66"/>
    <mergeCell ref="I68:J68"/>
    <mergeCell ref="I69:J69"/>
    <mergeCell ref="I70:J70"/>
    <mergeCell ref="I71:J71"/>
    <mergeCell ref="I74:J74"/>
    <mergeCell ref="I60:J60"/>
    <mergeCell ref="I61:J61"/>
    <mergeCell ref="I62:J62"/>
    <mergeCell ref="I63:J63"/>
    <mergeCell ref="I64:J64"/>
    <mergeCell ref="I65:J65"/>
    <mergeCell ref="I92:J92"/>
    <mergeCell ref="I93:J93"/>
    <mergeCell ref="I94:J94"/>
    <mergeCell ref="I99:J99"/>
    <mergeCell ref="I104:J104"/>
    <mergeCell ref="I108:J108"/>
    <mergeCell ref="I75:J75"/>
    <mergeCell ref="I76:J76"/>
    <mergeCell ref="I77:J77"/>
    <mergeCell ref="I81:J81"/>
    <mergeCell ref="I82:J82"/>
    <mergeCell ref="I91:J91"/>
    <mergeCell ref="I115:J115"/>
    <mergeCell ref="I116:J116"/>
    <mergeCell ref="I117:J117"/>
    <mergeCell ref="I118:J118"/>
    <mergeCell ref="I119:J119"/>
    <mergeCell ref="I120:J120"/>
    <mergeCell ref="I109:J109"/>
    <mergeCell ref="I110:J110"/>
    <mergeCell ref="I111:J111"/>
    <mergeCell ref="I112:J112"/>
    <mergeCell ref="I113:J113"/>
    <mergeCell ref="I114:J114"/>
    <mergeCell ref="I129:J129"/>
    <mergeCell ref="I130:J130"/>
    <mergeCell ref="I131:J131"/>
    <mergeCell ref="I132:J132"/>
    <mergeCell ref="I133:J133"/>
    <mergeCell ref="I134:J134"/>
    <mergeCell ref="I121:J121"/>
    <mergeCell ref="I122:J122"/>
    <mergeCell ref="I125:J125"/>
    <mergeCell ref="I126:J126"/>
    <mergeCell ref="I127:J127"/>
    <mergeCell ref="I128:J128"/>
    <mergeCell ref="I141:J141"/>
    <mergeCell ref="I142:J142"/>
    <mergeCell ref="I143:J143"/>
    <mergeCell ref="I144:J144"/>
    <mergeCell ref="I145:J145"/>
    <mergeCell ref="I146:J146"/>
    <mergeCell ref="I135:J135"/>
    <mergeCell ref="I136:J136"/>
    <mergeCell ref="I137:J137"/>
    <mergeCell ref="I138:J138"/>
    <mergeCell ref="I139:J139"/>
    <mergeCell ref="I140:J140"/>
    <mergeCell ref="I167:J167"/>
    <mergeCell ref="I168:J168"/>
    <mergeCell ref="I169:J169"/>
    <mergeCell ref="I170:J170"/>
    <mergeCell ref="I171:J171"/>
    <mergeCell ref="I172:J172"/>
    <mergeCell ref="I161:J161"/>
    <mergeCell ref="I162:J162"/>
    <mergeCell ref="I163:J163"/>
    <mergeCell ref="I164:J164"/>
    <mergeCell ref="I165:J165"/>
    <mergeCell ref="I166:J166"/>
    <mergeCell ref="I155:J155"/>
    <mergeCell ref="I156:J156"/>
    <mergeCell ref="I158:J158"/>
    <mergeCell ref="I159:J159"/>
    <mergeCell ref="I160:J160"/>
    <mergeCell ref="I147:J147"/>
    <mergeCell ref="I148:J148"/>
    <mergeCell ref="I149:J149"/>
    <mergeCell ref="I151:J151"/>
    <mergeCell ref="I152:J152"/>
    <mergeCell ref="I153:J153"/>
    <mergeCell ref="I181:J181"/>
    <mergeCell ref="I182:J182"/>
    <mergeCell ref="I183:J183"/>
    <mergeCell ref="I184:J184"/>
    <mergeCell ref="I185:J185"/>
    <mergeCell ref="I186:J186"/>
    <mergeCell ref="I174:J174"/>
    <mergeCell ref="I175:J175"/>
    <mergeCell ref="I177:J177"/>
    <mergeCell ref="I178:J178"/>
    <mergeCell ref="I179:J179"/>
    <mergeCell ref="I180:J180"/>
    <mergeCell ref="I176:J176"/>
    <mergeCell ref="I193:J193"/>
    <mergeCell ref="I195:O195"/>
    <mergeCell ref="I196:J196"/>
    <mergeCell ref="I197:J197"/>
    <mergeCell ref="I198:J198"/>
    <mergeCell ref="I199:J199"/>
    <mergeCell ref="I187:J187"/>
    <mergeCell ref="I188:J188"/>
    <mergeCell ref="I189:J189"/>
    <mergeCell ref="I190:J190"/>
    <mergeCell ref="I191:J191"/>
    <mergeCell ref="I192:J192"/>
    <mergeCell ref="I206:J206"/>
    <mergeCell ref="I207:J207"/>
    <mergeCell ref="I208:J208"/>
    <mergeCell ref="I209:J209"/>
    <mergeCell ref="I210:J210"/>
    <mergeCell ref="I211:J211"/>
    <mergeCell ref="I200:J200"/>
    <mergeCell ref="I201:J201"/>
    <mergeCell ref="I202:J202"/>
    <mergeCell ref="I203:J203"/>
    <mergeCell ref="I204:J204"/>
    <mergeCell ref="I205:J205"/>
    <mergeCell ref="I218:J218"/>
    <mergeCell ref="I219:J219"/>
    <mergeCell ref="I220:J220"/>
    <mergeCell ref="I221:J221"/>
    <mergeCell ref="I222:J222"/>
    <mergeCell ref="I223:J223"/>
    <mergeCell ref="I212:J212"/>
    <mergeCell ref="I213:J213"/>
    <mergeCell ref="I214:J214"/>
    <mergeCell ref="I215:J215"/>
    <mergeCell ref="I216:J216"/>
    <mergeCell ref="I217:J217"/>
    <mergeCell ref="I232:J232"/>
    <mergeCell ref="I234:O234"/>
    <mergeCell ref="I230:J230"/>
    <mergeCell ref="I231:J231"/>
    <mergeCell ref="I224:J224"/>
    <mergeCell ref="I225:J225"/>
    <mergeCell ref="I226:J226"/>
    <mergeCell ref="I227:J227"/>
    <mergeCell ref="I228:J228"/>
    <mergeCell ref="I229:J22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3"/>
  <sheetViews>
    <sheetView topLeftCell="A34" workbookViewId="0">
      <selection activeCell="D61" sqref="D61"/>
    </sheetView>
  </sheetViews>
  <sheetFormatPr defaultRowHeight="12.75"/>
  <cols>
    <col min="1" max="1" width="1.85546875" customWidth="1"/>
    <col min="2" max="2" width="122.42578125" customWidth="1"/>
    <col min="3" max="3" width="7.7109375" customWidth="1"/>
    <col min="4" max="4" width="10.42578125" bestFit="1" customWidth="1"/>
    <col min="5" max="5" width="12.42578125" customWidth="1"/>
    <col min="6" max="6" width="9.5703125" bestFit="1" customWidth="1"/>
    <col min="7" max="7" width="30.28515625" customWidth="1"/>
  </cols>
  <sheetData>
    <row r="1" spans="2:8">
      <c r="D1" s="469" t="s">
        <v>551</v>
      </c>
      <c r="E1" t="s">
        <v>552</v>
      </c>
      <c r="F1" t="s">
        <v>553</v>
      </c>
    </row>
    <row r="3" spans="2:8">
      <c r="B3" s="474" t="s">
        <v>530</v>
      </c>
      <c r="C3" s="466"/>
      <c r="D3" s="466"/>
      <c r="E3" s="466"/>
      <c r="F3" s="45">
        <f>13.59*5+20.91+27.18</f>
        <v>116.03999999999999</v>
      </c>
      <c r="G3" s="72" t="s">
        <v>531</v>
      </c>
      <c r="H3" t="s">
        <v>554</v>
      </c>
    </row>
    <row r="4" spans="2:8">
      <c r="B4" s="475" t="s">
        <v>532</v>
      </c>
      <c r="C4" s="467"/>
      <c r="D4" s="467"/>
      <c r="E4" s="467"/>
      <c r="F4" s="45">
        <v>60</v>
      </c>
      <c r="G4" s="72" t="s">
        <v>533</v>
      </c>
      <c r="H4" t="s">
        <v>555</v>
      </c>
    </row>
    <row r="6" spans="2:8">
      <c r="B6" s="473" t="s">
        <v>556</v>
      </c>
      <c r="E6" s="470">
        <v>91.15</v>
      </c>
      <c r="F6" s="468">
        <f>+E6*1.2</f>
        <v>109.38000000000001</v>
      </c>
      <c r="G6" t="s">
        <v>8</v>
      </c>
    </row>
    <row r="7" spans="2:8">
      <c r="B7" s="479"/>
      <c r="E7" s="470"/>
      <c r="F7" s="468"/>
    </row>
    <row r="8" spans="2:8">
      <c r="B8" s="469" t="s">
        <v>557</v>
      </c>
      <c r="C8" s="471">
        <v>48.51</v>
      </c>
      <c r="D8" s="469">
        <f>+C8*1.25</f>
        <v>60.637499999999996</v>
      </c>
      <c r="H8" s="469" t="s">
        <v>558</v>
      </c>
    </row>
    <row r="9" spans="2:8">
      <c r="B9" s="469" t="s">
        <v>559</v>
      </c>
      <c r="C9" s="471">
        <v>50.16</v>
      </c>
      <c r="D9" s="469">
        <f>+C9*1.25</f>
        <v>62.699999999999996</v>
      </c>
      <c r="H9" s="469" t="s">
        <v>558</v>
      </c>
    </row>
    <row r="10" spans="2:8">
      <c r="B10" s="469" t="s">
        <v>560</v>
      </c>
      <c r="C10" s="478">
        <v>50.83</v>
      </c>
      <c r="D10" s="469">
        <f>+C10*5</f>
        <v>254.14999999999998</v>
      </c>
      <c r="H10" s="469" t="s">
        <v>561</v>
      </c>
    </row>
    <row r="11" spans="2:8">
      <c r="B11" s="469" t="s">
        <v>562</v>
      </c>
      <c r="D11" s="471">
        <v>61.29</v>
      </c>
      <c r="H11" s="469"/>
    </row>
    <row r="12" spans="2:8">
      <c r="B12" s="469" t="s">
        <v>563</v>
      </c>
      <c r="D12" s="471">
        <v>3.36</v>
      </c>
      <c r="H12" s="469"/>
    </row>
    <row r="13" spans="2:8">
      <c r="B13" s="473" t="s">
        <v>52</v>
      </c>
      <c r="E13">
        <f>+D12+D11+D10+D9+D8</f>
        <v>442.13749999999993</v>
      </c>
      <c r="F13">
        <f>+E13*1.2</f>
        <v>530.56499999999994</v>
      </c>
    </row>
    <row r="14" spans="2:8">
      <c r="B14" s="479"/>
    </row>
    <row r="15" spans="2:8">
      <c r="B15" t="str">
        <f>+B8</f>
        <v>CAO Waterbouw schaal 7</v>
      </c>
      <c r="D15">
        <f>+D8</f>
        <v>60.637499999999996</v>
      </c>
    </row>
    <row r="16" spans="2:8">
      <c r="B16" t="str">
        <f>+B9</f>
        <v>CAO Waterbouw schaal 9</v>
      </c>
      <c r="D16">
        <f>+D9</f>
        <v>62.699999999999996</v>
      </c>
    </row>
    <row r="17" spans="2:8">
      <c r="B17" t="str">
        <f>+B11</f>
        <v>bedrijfswagen bus</v>
      </c>
      <c r="D17">
        <f>+D11</f>
        <v>61.29</v>
      </c>
    </row>
    <row r="18" spans="2:8">
      <c r="B18" t="str">
        <f>+B12</f>
        <v>aanhanger</v>
      </c>
      <c r="D18">
        <f>+D12</f>
        <v>3.36</v>
      </c>
    </row>
    <row r="19" spans="2:8">
      <c r="B19" s="473" t="s">
        <v>56</v>
      </c>
      <c r="E19">
        <f>+D18+D17+D16+D15</f>
        <v>187.98749999999998</v>
      </c>
      <c r="F19">
        <f>+E19*1.2</f>
        <v>225.58499999999998</v>
      </c>
    </row>
    <row r="20" spans="2:8">
      <c r="B20" s="479"/>
    </row>
    <row r="21" spans="2:8">
      <c r="B21" s="473" t="s">
        <v>60</v>
      </c>
      <c r="E21">
        <f>+E19</f>
        <v>187.98749999999998</v>
      </c>
      <c r="F21">
        <f>+F19</f>
        <v>225.58499999999998</v>
      </c>
    </row>
    <row r="22" spans="2:8">
      <c r="B22" s="479"/>
    </row>
    <row r="23" spans="2:8">
      <c r="B23" s="469" t="s">
        <v>562</v>
      </c>
      <c r="C23">
        <f>+D11</f>
        <v>61.29</v>
      </c>
      <c r="D23">
        <f>+C23*3</f>
        <v>183.87</v>
      </c>
      <c r="H23" s="469" t="s">
        <v>564</v>
      </c>
    </row>
    <row r="24" spans="2:8">
      <c r="B24" s="473" t="s">
        <v>113</v>
      </c>
      <c r="F24">
        <f>+D23*1.2</f>
        <v>220.64400000000001</v>
      </c>
    </row>
    <row r="25" spans="2:8">
      <c r="B25" s="473" t="s">
        <v>565</v>
      </c>
      <c r="D25" s="478">
        <v>70.739999999999995</v>
      </c>
      <c r="F25">
        <f>+D25*1.2</f>
        <v>84.887999999999991</v>
      </c>
    </row>
    <row r="26" spans="2:8">
      <c r="B26" s="473" t="s">
        <v>175</v>
      </c>
      <c r="D26" s="478">
        <v>118.46</v>
      </c>
      <c r="F26">
        <f>+D26*1.2</f>
        <v>142.15199999999999</v>
      </c>
    </row>
    <row r="27" spans="2:8">
      <c r="B27" s="472" t="s">
        <v>141</v>
      </c>
      <c r="D27" s="477">
        <v>101.96</v>
      </c>
      <c r="F27">
        <f>+D27*1.2</f>
        <v>122.35199999999999</v>
      </c>
    </row>
    <row r="28" spans="2:8">
      <c r="B28" s="473" t="s">
        <v>566</v>
      </c>
      <c r="D28" s="477">
        <v>125</v>
      </c>
      <c r="F28">
        <f>+D28*1.2</f>
        <v>150</v>
      </c>
    </row>
    <row r="29" spans="2:8">
      <c r="B29" s="479"/>
      <c r="D29" s="477"/>
    </row>
    <row r="30" spans="2:8">
      <c r="B30" s="479" t="s">
        <v>567</v>
      </c>
      <c r="D30" s="477">
        <v>283.93</v>
      </c>
    </row>
    <row r="31" spans="2:8">
      <c r="B31" s="472" t="s">
        <v>153</v>
      </c>
      <c r="E31">
        <f>+D30</f>
        <v>283.93</v>
      </c>
      <c r="F31">
        <f>+E31*1.2</f>
        <v>340.71600000000001</v>
      </c>
    </row>
    <row r="32" spans="2:8">
      <c r="B32" s="479"/>
    </row>
    <row r="33" spans="2:8">
      <c r="B33" s="469" t="s">
        <v>568</v>
      </c>
      <c r="D33" s="477">
        <v>119.52</v>
      </c>
      <c r="E33">
        <f>+D33*2</f>
        <v>239.04</v>
      </c>
      <c r="H33" s="469" t="s">
        <v>569</v>
      </c>
    </row>
    <row r="34" spans="2:8">
      <c r="B34" s="472" t="s">
        <v>187</v>
      </c>
      <c r="F34">
        <f>+E33*1.2</f>
        <v>286.84799999999996</v>
      </c>
    </row>
    <row r="35" spans="2:8">
      <c r="B35" s="472" t="s">
        <v>190</v>
      </c>
      <c r="F35">
        <v>200</v>
      </c>
      <c r="H35" s="469" t="s">
        <v>570</v>
      </c>
    </row>
    <row r="36" spans="2:8">
      <c r="B36" s="479"/>
      <c r="H36" s="469"/>
    </row>
    <row r="37" spans="2:8">
      <c r="B37" s="479" t="s">
        <v>571</v>
      </c>
      <c r="E37" s="476">
        <v>177.46</v>
      </c>
    </row>
    <row r="38" spans="2:8">
      <c r="B38" s="486" t="s">
        <v>572</v>
      </c>
      <c r="F38">
        <f>+E37*1.2</f>
        <v>212.952</v>
      </c>
    </row>
    <row r="39" spans="2:8">
      <c r="B39" s="486" t="s">
        <v>573</v>
      </c>
      <c r="D39">
        <v>266.86</v>
      </c>
      <c r="F39">
        <f>+D39*1.2</f>
        <v>320.23200000000003</v>
      </c>
      <c r="H39" t="s">
        <v>574</v>
      </c>
    </row>
    <row r="40" spans="2:8">
      <c r="B40" s="479"/>
    </row>
    <row r="41" spans="2:8">
      <c r="B41" s="469" t="s">
        <v>575</v>
      </c>
      <c r="D41">
        <v>718.89</v>
      </c>
      <c r="F41">
        <f>+D41*1.2</f>
        <v>862.66800000000001</v>
      </c>
    </row>
    <row r="42" spans="2:8">
      <c r="B42" s="469" t="s">
        <v>576</v>
      </c>
      <c r="D42">
        <v>179.72</v>
      </c>
      <c r="F42">
        <f>+D42*1.4</f>
        <v>251.60799999999998</v>
      </c>
    </row>
    <row r="43" spans="2:8">
      <c r="B43" t="s">
        <v>577</v>
      </c>
      <c r="D43">
        <v>91.4</v>
      </c>
      <c r="F43" s="469">
        <f t="shared" ref="F43:F48" si="0">+D43*1.2</f>
        <v>109.68</v>
      </c>
    </row>
    <row r="44" spans="2:8">
      <c r="B44" t="s">
        <v>578</v>
      </c>
      <c r="D44">
        <v>161.19999999999999</v>
      </c>
      <c r="F44">
        <f t="shared" si="0"/>
        <v>193.43999999999997</v>
      </c>
    </row>
    <row r="45" spans="2:8">
      <c r="B45" t="s">
        <v>579</v>
      </c>
      <c r="D45">
        <v>120.9</v>
      </c>
      <c r="F45">
        <f t="shared" si="0"/>
        <v>145.08000000000001</v>
      </c>
    </row>
    <row r="46" spans="2:8">
      <c r="B46" t="s">
        <v>580</v>
      </c>
      <c r="D46">
        <f>+D16</f>
        <v>62.699999999999996</v>
      </c>
      <c r="F46">
        <f t="shared" si="0"/>
        <v>75.239999999999995</v>
      </c>
    </row>
    <row r="47" spans="2:8">
      <c r="B47" t="s">
        <v>581</v>
      </c>
      <c r="D47">
        <v>1466</v>
      </c>
      <c r="F47">
        <f t="shared" si="0"/>
        <v>1759.2</v>
      </c>
    </row>
    <row r="48" spans="2:8">
      <c r="B48" t="s">
        <v>582</v>
      </c>
      <c r="D48">
        <v>83</v>
      </c>
      <c r="F48">
        <f t="shared" si="0"/>
        <v>99.6</v>
      </c>
    </row>
    <row r="49" spans="2:8">
      <c r="B49" t="s">
        <v>583</v>
      </c>
      <c r="F49">
        <v>550</v>
      </c>
      <c r="H49" t="s">
        <v>570</v>
      </c>
    </row>
    <row r="50" spans="2:8">
      <c r="B50" t="s">
        <v>203</v>
      </c>
      <c r="F50">
        <v>300</v>
      </c>
      <c r="H50" t="s">
        <v>570</v>
      </c>
    </row>
    <row r="51" spans="2:8">
      <c r="B51" t="s">
        <v>584</v>
      </c>
      <c r="F51">
        <v>200</v>
      </c>
      <c r="H51" t="s">
        <v>570</v>
      </c>
    </row>
    <row r="52" spans="2:8">
      <c r="B52" t="s">
        <v>585</v>
      </c>
      <c r="F52">
        <v>85</v>
      </c>
      <c r="H52" t="s">
        <v>570</v>
      </c>
    </row>
    <row r="53" spans="2:8">
      <c r="B53" t="s">
        <v>585</v>
      </c>
      <c r="F53">
        <v>300</v>
      </c>
      <c r="H53" t="s">
        <v>570</v>
      </c>
    </row>
    <row r="54" spans="2:8">
      <c r="B54" t="s">
        <v>586</v>
      </c>
      <c r="F54">
        <v>30</v>
      </c>
      <c r="H54" t="s">
        <v>570</v>
      </c>
    </row>
    <row r="55" spans="2:8">
      <c r="B55" t="s">
        <v>296</v>
      </c>
      <c r="F55">
        <v>300</v>
      </c>
      <c r="H55" t="s">
        <v>570</v>
      </c>
    </row>
    <row r="56" spans="2:8">
      <c r="B56" t="s">
        <v>587</v>
      </c>
      <c r="F56">
        <v>50</v>
      </c>
      <c r="H56" t="s">
        <v>570</v>
      </c>
    </row>
    <row r="57" spans="2:8">
      <c r="B57" t="s">
        <v>588</v>
      </c>
      <c r="F57">
        <v>25</v>
      </c>
    </row>
    <row r="58" spans="2:8">
      <c r="B58" t="s">
        <v>589</v>
      </c>
      <c r="D58">
        <v>455.28</v>
      </c>
      <c r="F58">
        <f>+D58*1.2</f>
        <v>546.3359999999999</v>
      </c>
    </row>
    <row r="59" spans="2:8">
      <c r="B59" t="s">
        <v>589</v>
      </c>
      <c r="D59">
        <v>740.7</v>
      </c>
      <c r="F59">
        <f>+D59*1.2</f>
        <v>888.84</v>
      </c>
    </row>
    <row r="60" spans="2:8">
      <c r="B60" t="s">
        <v>282</v>
      </c>
      <c r="D60">
        <v>272.51</v>
      </c>
      <c r="F60">
        <f>+D60*1.5</f>
        <v>408.76499999999999</v>
      </c>
    </row>
    <row r="61" spans="2:8">
      <c r="B61" t="s">
        <v>590</v>
      </c>
      <c r="D61">
        <f>+D8*2</f>
        <v>121.27499999999999</v>
      </c>
      <c r="F61">
        <f>+D61*1.2</f>
        <v>145.52999999999997</v>
      </c>
    </row>
    <row r="63" spans="2:8">
      <c r="B63" s="469" t="s">
        <v>591</v>
      </c>
      <c r="D63">
        <v>200</v>
      </c>
      <c r="F63">
        <f>+D63</f>
        <v>200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253"/>
  <sheetViews>
    <sheetView zoomScale="85" zoomScaleNormal="85" workbookViewId="0">
      <pane ySplit="5" topLeftCell="A6" activePane="bottomLeft" state="frozen"/>
      <selection activeCell="I8" sqref="I8"/>
      <selection pane="bottomLeft" activeCell="L10" sqref="L10:N10"/>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3.28515625" style="6" customWidth="1"/>
    <col min="12" max="12" width="30.28515625" style="7" customWidth="1"/>
    <col min="13" max="13" width="21.5703125" style="7" customWidth="1"/>
    <col min="14" max="14" width="14.85546875" style="7" customWidth="1"/>
    <col min="15" max="15" width="16.5703125" style="7" customWidth="1"/>
    <col min="16" max="16" width="52.42578125" style="8" customWidth="1"/>
    <col min="17" max="18" width="3.140625" style="3" customWidth="1"/>
    <col min="19" max="19" width="3.28515625" style="3" bestFit="1" customWidth="1"/>
    <col min="20" max="20" width="14.7109375" style="3" bestFit="1" customWidth="1"/>
    <col min="21" max="21" width="38.5703125" style="3" bestFit="1" customWidth="1"/>
    <col min="22" max="22" width="11.7109375" style="3" bestFit="1" customWidth="1"/>
    <col min="23" max="23" width="14.85546875" style="3" customWidth="1"/>
    <col min="24" max="24" width="11.7109375" style="3" bestFit="1" customWidth="1"/>
    <col min="25" max="16384" width="9.140625" style="3"/>
  </cols>
  <sheetData>
    <row r="1" spans="1:24" ht="32.25" customHeight="1" thickBot="1">
      <c r="A1" s="586" t="s">
        <v>592</v>
      </c>
      <c r="B1" s="584"/>
      <c r="C1" s="584"/>
      <c r="D1" s="584"/>
      <c r="E1" s="584"/>
      <c r="F1" s="584"/>
      <c r="G1" s="584"/>
      <c r="H1" s="584"/>
      <c r="I1" s="584"/>
      <c r="J1" s="584"/>
      <c r="K1" s="584"/>
      <c r="L1" s="584"/>
      <c r="M1" s="584"/>
      <c r="N1" s="584"/>
      <c r="O1" s="584"/>
      <c r="P1" s="585"/>
    </row>
    <row r="2" spans="1:24" ht="24.75" customHeight="1" thickBot="1">
      <c r="A2" s="283"/>
      <c r="B2" s="284"/>
      <c r="C2" s="285" t="s">
        <v>1</v>
      </c>
      <c r="D2" s="285" t="s">
        <v>2</v>
      </c>
      <c r="E2" s="285"/>
      <c r="F2" s="285"/>
      <c r="G2" s="285" t="s">
        <v>3</v>
      </c>
      <c r="H2" s="286" t="s">
        <v>2</v>
      </c>
      <c r="I2" s="284"/>
      <c r="J2" s="284"/>
      <c r="K2" s="284"/>
      <c r="L2" s="284"/>
      <c r="M2" s="284"/>
      <c r="N2" s="284"/>
      <c r="O2" s="284"/>
      <c r="P2" s="284"/>
      <c r="Q2" s="151"/>
    </row>
    <row r="3" spans="1:24" s="10" customFormat="1" ht="35.25" customHeight="1" thickBot="1">
      <c r="A3" s="287" t="s">
        <v>4</v>
      </c>
      <c r="B3" s="288" t="s">
        <v>5</v>
      </c>
      <c r="C3" s="289">
        <v>100</v>
      </c>
      <c r="D3" s="290">
        <f>C4*C3</f>
        <v>300</v>
      </c>
      <c r="E3" s="578" t="s">
        <v>6</v>
      </c>
      <c r="F3" s="579"/>
      <c r="G3" s="291">
        <v>10</v>
      </c>
      <c r="H3" s="292">
        <f>G3*G4</f>
        <v>90</v>
      </c>
      <c r="I3" s="293"/>
      <c r="J3" s="293"/>
      <c r="K3" s="294"/>
      <c r="L3" s="294"/>
      <c r="M3" s="294"/>
      <c r="N3" s="294"/>
      <c r="O3" s="294"/>
      <c r="P3" s="294"/>
      <c r="Q3" s="295"/>
    </row>
    <row r="4" spans="1:24"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24" s="5" customFormat="1" ht="46.5" customHeight="1">
      <c r="A5" s="61" t="s">
        <v>10</v>
      </c>
      <c r="B5" s="62" t="s">
        <v>11</v>
      </c>
      <c r="C5" s="63" t="s">
        <v>524</v>
      </c>
      <c r="D5" s="35" t="s">
        <v>12</v>
      </c>
      <c r="E5" s="36" t="s">
        <v>13</v>
      </c>
      <c r="F5" s="37" t="s">
        <v>14</v>
      </c>
      <c r="G5" s="37" t="s">
        <v>15</v>
      </c>
      <c r="H5" s="37" t="s">
        <v>16</v>
      </c>
      <c r="I5" s="563" t="s">
        <v>17</v>
      </c>
      <c r="J5" s="564"/>
      <c r="K5" s="564"/>
      <c r="L5" s="564"/>
      <c r="M5" s="564"/>
      <c r="N5" s="564"/>
      <c r="O5" s="564"/>
      <c r="P5" s="38" t="s">
        <v>18</v>
      </c>
      <c r="Q5" s="301"/>
    </row>
    <row r="6" spans="1:24" ht="34.9" customHeight="1">
      <c r="A6" s="336">
        <v>1</v>
      </c>
      <c r="B6" s="140" t="s">
        <v>19</v>
      </c>
      <c r="C6" s="140"/>
      <c r="D6" s="51"/>
      <c r="E6" s="337"/>
      <c r="F6" s="338"/>
      <c r="G6" s="338"/>
      <c r="H6" s="339"/>
      <c r="I6" s="51" t="s">
        <v>20</v>
      </c>
      <c r="J6" s="340"/>
      <c r="K6" s="43" t="s">
        <v>525</v>
      </c>
      <c r="L6" s="44" t="s">
        <v>526</v>
      </c>
      <c r="M6" s="44" t="s">
        <v>527</v>
      </c>
      <c r="N6" s="43" t="s">
        <v>528</v>
      </c>
      <c r="O6" s="43" t="s">
        <v>21</v>
      </c>
      <c r="P6" s="42"/>
      <c r="Q6" s="151"/>
    </row>
    <row r="7" spans="1:24" s="22" customFormat="1" ht="22.5">
      <c r="A7" s="501"/>
      <c r="B7" s="501"/>
      <c r="C7" s="501"/>
      <c r="D7" s="501"/>
      <c r="E7" s="501"/>
      <c r="F7" s="501"/>
      <c r="G7" s="501"/>
      <c r="H7" s="501"/>
      <c r="I7" s="501"/>
      <c r="J7" s="501"/>
      <c r="K7" s="333">
        <v>3</v>
      </c>
      <c r="L7" s="501" t="s">
        <v>22</v>
      </c>
      <c r="M7" s="501"/>
      <c r="N7" s="501"/>
      <c r="O7" s="501"/>
      <c r="P7" s="66" t="s">
        <v>529</v>
      </c>
      <c r="Q7" s="502"/>
    </row>
    <row r="8" spans="1:24" s="22" customFormat="1" ht="11.25">
      <c r="A8" s="501"/>
      <c r="B8" s="501"/>
      <c r="C8" s="501"/>
      <c r="D8" s="501"/>
      <c r="E8" s="501"/>
      <c r="F8" s="501"/>
      <c r="G8" s="501"/>
      <c r="H8" s="501"/>
      <c r="I8" s="501"/>
      <c r="J8" s="501"/>
      <c r="K8" s="333">
        <v>1</v>
      </c>
      <c r="L8" s="501" t="s">
        <v>23</v>
      </c>
      <c r="M8" s="501"/>
      <c r="N8" s="501"/>
      <c r="O8" s="501"/>
      <c r="P8" s="67"/>
      <c r="Q8" s="502"/>
    </row>
    <row r="9" spans="1:24">
      <c r="A9" s="171"/>
      <c r="B9" s="341"/>
      <c r="C9" s="341"/>
      <c r="D9" s="107"/>
      <c r="E9" s="108"/>
      <c r="F9" s="109"/>
      <c r="G9" s="109"/>
      <c r="H9" s="167"/>
      <c r="I9" s="75"/>
      <c r="J9" s="76"/>
      <c r="K9" s="334">
        <f>($K$7*2)+($K$8*2)+1+1</f>
        <v>10</v>
      </c>
      <c r="L9" s="71" t="s">
        <v>530</v>
      </c>
      <c r="M9" s="45">
        <v>110</v>
      </c>
      <c r="N9" s="72" t="s">
        <v>531</v>
      </c>
      <c r="O9" s="73"/>
      <c r="P9" s="74"/>
      <c r="Q9" s="151"/>
    </row>
    <row r="10" spans="1:24">
      <c r="A10" s="171"/>
      <c r="B10" s="341"/>
      <c r="C10" s="341"/>
      <c r="D10" s="107"/>
      <c r="E10" s="108"/>
      <c r="F10" s="109"/>
      <c r="G10" s="109"/>
      <c r="H10" s="167"/>
      <c r="I10" s="75"/>
      <c r="J10" s="76"/>
      <c r="K10" s="335">
        <f>K9</f>
        <v>10</v>
      </c>
      <c r="L10" s="73" t="s">
        <v>532</v>
      </c>
      <c r="M10" s="45">
        <v>45</v>
      </c>
      <c r="N10" s="72" t="s">
        <v>533</v>
      </c>
      <c r="O10" s="73"/>
      <c r="P10" s="77"/>
      <c r="Q10" s="151"/>
    </row>
    <row r="11" spans="1:24" ht="35.450000000000003" customHeight="1">
      <c r="A11" s="78" t="s">
        <v>24</v>
      </c>
      <c r="B11" s="79" t="s">
        <v>25</v>
      </c>
      <c r="C11" s="80" t="s">
        <v>26</v>
      </c>
      <c r="D11" s="68" t="s">
        <v>27</v>
      </c>
      <c r="E11" s="69">
        <v>60</v>
      </c>
      <c r="F11" s="70">
        <f>O11</f>
        <v>5216.6666666666661</v>
      </c>
      <c r="G11" s="81">
        <f>12*F11</f>
        <v>62599.999999999993</v>
      </c>
      <c r="H11" s="82">
        <f>F11*E11</f>
        <v>312999.99999999994</v>
      </c>
      <c r="I11" s="274" t="s">
        <v>28</v>
      </c>
      <c r="J11" s="275" t="s">
        <v>29</v>
      </c>
      <c r="K11" s="317"/>
      <c r="L11" s="85"/>
      <c r="M11" s="86"/>
      <c r="N11" s="87"/>
      <c r="O11" s="88">
        <f>K9*(M9*(52/12))+K10*M10</f>
        <v>5216.6666666666661</v>
      </c>
      <c r="P11" s="89"/>
      <c r="Q11" s="151"/>
    </row>
    <row r="12" spans="1:24" s="20" customFormat="1">
      <c r="A12" s="90" t="s">
        <v>31</v>
      </c>
      <c r="B12" s="91" t="s">
        <v>32</v>
      </c>
      <c r="C12" s="92" t="s">
        <v>33</v>
      </c>
      <c r="D12" s="93" t="s">
        <v>27</v>
      </c>
      <c r="E12" s="94">
        <v>60</v>
      </c>
      <c r="F12" s="95">
        <v>10000</v>
      </c>
      <c r="G12" s="96">
        <f>F12*12</f>
        <v>120000</v>
      </c>
      <c r="H12" s="97"/>
      <c r="I12" s="98"/>
      <c r="J12" s="99"/>
      <c r="K12" s="100"/>
      <c r="L12" s="101"/>
      <c r="M12" s="102"/>
      <c r="N12" s="101"/>
      <c r="O12" s="102"/>
      <c r="P12" s="99"/>
      <c r="Q12" s="302"/>
      <c r="S12" s="3"/>
      <c r="T12" s="342" t="s">
        <v>534</v>
      </c>
      <c r="U12" s="342"/>
      <c r="V12" s="342" t="s">
        <v>535</v>
      </c>
      <c r="W12" s="342" t="s">
        <v>536</v>
      </c>
    </row>
    <row r="13" spans="1:24" ht="97.5" customHeight="1">
      <c r="A13" s="78" t="s">
        <v>34</v>
      </c>
      <c r="B13" s="79" t="s">
        <v>35</v>
      </c>
      <c r="C13" s="80" t="s">
        <v>26</v>
      </c>
      <c r="D13" s="68" t="s">
        <v>27</v>
      </c>
      <c r="E13" s="69">
        <v>60</v>
      </c>
      <c r="F13" s="70">
        <f>O13</f>
        <v>8531.25</v>
      </c>
      <c r="G13" s="81">
        <f>F13*12</f>
        <v>102375</v>
      </c>
      <c r="H13" s="82">
        <f>F13*E13</f>
        <v>511875</v>
      </c>
      <c r="I13" s="76" t="s">
        <v>36</v>
      </c>
      <c r="J13" s="84" t="s">
        <v>37</v>
      </c>
      <c r="K13" s="326">
        <v>3.75</v>
      </c>
      <c r="L13" s="324" t="s">
        <v>38</v>
      </c>
      <c r="M13" s="500">
        <f>K7*(F16+F17)+K8*F18</f>
        <v>2275</v>
      </c>
      <c r="N13" s="324" t="s">
        <v>537</v>
      </c>
      <c r="O13" s="113">
        <f>(M13*K13)</f>
        <v>8531.25</v>
      </c>
      <c r="P13" s="103" t="s">
        <v>538</v>
      </c>
      <c r="Q13" s="221"/>
      <c r="S13" s="3" t="s">
        <v>500</v>
      </c>
      <c r="T13" s="11">
        <f>('B1'!F11+'B1'!F13)</f>
        <v>14981.031249999998</v>
      </c>
      <c r="U13" s="3" t="s">
        <v>539</v>
      </c>
      <c r="V13" s="11">
        <v>10000</v>
      </c>
      <c r="W13" s="11">
        <f>V13-T13</f>
        <v>-4981.0312499999982</v>
      </c>
      <c r="X13" s="11">
        <f>ABS(W13)</f>
        <v>4981.0312499999982</v>
      </c>
    </row>
    <row r="14" spans="1:24" ht="69.599999999999994" customHeight="1">
      <c r="A14" s="104" t="s">
        <v>41</v>
      </c>
      <c r="B14" s="105" t="s">
        <v>42</v>
      </c>
      <c r="C14" s="106" t="s">
        <v>26</v>
      </c>
      <c r="D14" s="107" t="s">
        <v>27</v>
      </c>
      <c r="E14" s="108">
        <v>60</v>
      </c>
      <c r="F14" s="109">
        <f>O14</f>
        <v>1360</v>
      </c>
      <c r="G14" s="110">
        <f>F14*12</f>
        <v>16320</v>
      </c>
      <c r="H14" s="82">
        <f>F14*E14</f>
        <v>81600</v>
      </c>
      <c r="I14" s="83" t="s">
        <v>43</v>
      </c>
      <c r="J14" s="111" t="s">
        <v>44</v>
      </c>
      <c r="K14" s="46">
        <v>16</v>
      </c>
      <c r="L14" s="112" t="s">
        <v>8</v>
      </c>
      <c r="M14" s="113">
        <v>85</v>
      </c>
      <c r="N14" s="112" t="s">
        <v>8</v>
      </c>
      <c r="O14" s="113">
        <f>M14*K14</f>
        <v>1360</v>
      </c>
      <c r="P14" s="114" t="s">
        <v>540</v>
      </c>
      <c r="Q14" s="151"/>
      <c r="S14" s="3" t="s">
        <v>541</v>
      </c>
      <c r="T14" s="11">
        <f>'B2'!F13</f>
        <v>7934.8499999999985</v>
      </c>
      <c r="U14" s="3" t="s">
        <v>542</v>
      </c>
      <c r="V14" s="11">
        <f>2614*52/12</f>
        <v>11327.333333333334</v>
      </c>
      <c r="W14" s="11">
        <f t="shared" ref="W14:W15" si="0">V14-T14</f>
        <v>3392.4833333333354</v>
      </c>
      <c r="X14" s="11">
        <f t="shared" ref="X14:X15" si="1">ABS(W14)</f>
        <v>3392.4833333333354</v>
      </c>
    </row>
    <row r="15" spans="1:24" ht="33.75">
      <c r="A15" s="64">
        <v>2</v>
      </c>
      <c r="B15" s="115" t="s">
        <v>46</v>
      </c>
      <c r="C15" s="115"/>
      <c r="D15" s="38" t="s">
        <v>12</v>
      </c>
      <c r="E15" s="47" t="s">
        <v>13</v>
      </c>
      <c r="F15" s="48" t="s">
        <v>14</v>
      </c>
      <c r="G15" s="48" t="s">
        <v>15</v>
      </c>
      <c r="H15" s="48" t="s">
        <v>16</v>
      </c>
      <c r="I15" s="38" t="s">
        <v>17</v>
      </c>
      <c r="J15" s="49" t="s">
        <v>47</v>
      </c>
      <c r="K15" s="37" t="s">
        <v>48</v>
      </c>
      <c r="L15" s="50" t="s">
        <v>49</v>
      </c>
      <c r="M15" s="50"/>
      <c r="N15" s="50"/>
      <c r="O15" s="42"/>
      <c r="P15" s="49" t="s">
        <v>18</v>
      </c>
      <c r="Q15" s="151"/>
      <c r="S15" s="3" t="s">
        <v>543</v>
      </c>
      <c r="T15" s="11">
        <f>'B5'!F14</f>
        <v>12931.462499999998</v>
      </c>
      <c r="U15" s="3" t="s">
        <v>544</v>
      </c>
      <c r="V15" s="11">
        <v>26446</v>
      </c>
      <c r="W15" s="11">
        <f t="shared" si="0"/>
        <v>13514.537500000002</v>
      </c>
      <c r="X15" s="11">
        <f t="shared" si="1"/>
        <v>13514.537500000002</v>
      </c>
    </row>
    <row r="16" spans="1:24" ht="96" customHeight="1">
      <c r="A16" s="78" t="s">
        <v>51</v>
      </c>
      <c r="B16" s="116" t="s">
        <v>52</v>
      </c>
      <c r="C16" s="75" t="s">
        <v>26</v>
      </c>
      <c r="D16" s="107" t="s">
        <v>8</v>
      </c>
      <c r="E16" s="117">
        <f>D3</f>
        <v>300</v>
      </c>
      <c r="F16" s="118">
        <v>450</v>
      </c>
      <c r="G16" s="118">
        <f>E16*F16</f>
        <v>135000</v>
      </c>
      <c r="H16" s="109">
        <f>A4*G16</f>
        <v>675000</v>
      </c>
      <c r="I16" s="76" t="s">
        <v>54</v>
      </c>
      <c r="J16" s="76" t="s">
        <v>55</v>
      </c>
      <c r="K16" s="119">
        <v>100</v>
      </c>
      <c r="L16" s="120">
        <v>500</v>
      </c>
      <c r="M16" s="121"/>
      <c r="N16" s="121"/>
      <c r="O16" s="76"/>
      <c r="P16" s="77"/>
      <c r="Q16" s="151"/>
      <c r="W16" s="11"/>
      <c r="X16" s="343">
        <f>SUM(X13:X15)</f>
        <v>21888.052083333336</v>
      </c>
    </row>
    <row r="17" spans="1:17" ht="96" customHeight="1">
      <c r="A17" s="78" t="s">
        <v>51</v>
      </c>
      <c r="B17" s="116" t="s">
        <v>56</v>
      </c>
      <c r="C17" s="75" t="s">
        <v>57</v>
      </c>
      <c r="D17" s="107" t="s">
        <v>8</v>
      </c>
      <c r="E17" s="108"/>
      <c r="F17" s="118">
        <v>175</v>
      </c>
      <c r="G17" s="118"/>
      <c r="H17" s="109"/>
      <c r="I17" s="76" t="s">
        <v>58</v>
      </c>
      <c r="J17" s="76"/>
      <c r="K17" s="119"/>
      <c r="L17" s="120"/>
      <c r="M17" s="121"/>
      <c r="N17" s="121"/>
      <c r="O17" s="75"/>
      <c r="P17" s="77"/>
      <c r="Q17" s="151"/>
    </row>
    <row r="18" spans="1:17" ht="71.25" customHeight="1">
      <c r="A18" s="104" t="s">
        <v>59</v>
      </c>
      <c r="B18" s="116" t="s">
        <v>60</v>
      </c>
      <c r="C18" s="75" t="s">
        <v>26</v>
      </c>
      <c r="D18" s="107" t="s">
        <v>8</v>
      </c>
      <c r="E18" s="30">
        <f>H3</f>
        <v>90</v>
      </c>
      <c r="F18" s="118">
        <v>400</v>
      </c>
      <c r="G18" s="118">
        <f>F18*E18</f>
        <v>36000</v>
      </c>
      <c r="H18" s="109">
        <f>A4*G18</f>
        <v>180000</v>
      </c>
      <c r="I18" s="76" t="s">
        <v>61</v>
      </c>
      <c r="J18" s="76" t="s">
        <v>62</v>
      </c>
      <c r="K18" s="122">
        <v>10</v>
      </c>
      <c r="L18" s="122">
        <v>50</v>
      </c>
      <c r="M18" s="123"/>
      <c r="N18" s="123"/>
      <c r="O18" s="124"/>
      <c r="P18" s="77"/>
      <c r="Q18" s="151"/>
    </row>
    <row r="19" spans="1:17" s="19" customFormat="1" ht="47.25" customHeight="1">
      <c r="A19" s="125" t="s">
        <v>63</v>
      </c>
      <c r="B19" s="126" t="s">
        <v>64</v>
      </c>
      <c r="C19" s="127" t="s">
        <v>33</v>
      </c>
      <c r="D19" s="127" t="s">
        <v>8</v>
      </c>
      <c r="E19" s="128">
        <f>E16</f>
        <v>300</v>
      </c>
      <c r="F19" s="129">
        <f>400*1.06</f>
        <v>424</v>
      </c>
      <c r="G19" s="130">
        <f>F19*E19</f>
        <v>127200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29">
        <f>1950/3*1.06</f>
        <v>689</v>
      </c>
      <c r="G20" s="130">
        <f t="shared" ref="G20:G22" si="2">F20*E20</f>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29">
        <f>1916.66666666667*1.06</f>
        <v>2031.6666666666702</v>
      </c>
      <c r="G21" s="130">
        <f t="shared" si="2"/>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29">
        <f>3250*1.06</f>
        <v>3445</v>
      </c>
      <c r="G22" s="130">
        <f t="shared" si="2"/>
        <v>0</v>
      </c>
      <c r="H22" s="139"/>
      <c r="I22" s="132"/>
      <c r="J22" s="133"/>
      <c r="K22" s="134"/>
      <c r="L22" s="135"/>
      <c r="M22" s="136"/>
      <c r="N22" s="136"/>
      <c r="O22" s="137"/>
      <c r="P22" s="138"/>
      <c r="Q22" s="303"/>
    </row>
    <row r="23" spans="1:17" ht="59.25" customHeight="1">
      <c r="A23" s="64">
        <v>3</v>
      </c>
      <c r="B23" s="65" t="s">
        <v>71</v>
      </c>
      <c r="C23" s="140"/>
      <c r="D23" s="51" t="s">
        <v>12</v>
      </c>
      <c r="E23" s="52" t="s">
        <v>13</v>
      </c>
      <c r="F23" s="53" t="s">
        <v>14</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45"/>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433.33333333333331</v>
      </c>
      <c r="F25" s="150">
        <f>52.5*1.06</f>
        <v>55.650000000000006</v>
      </c>
      <c r="G25" s="145" t="s">
        <v>77</v>
      </c>
      <c r="H25" s="145">
        <f>E25*F25</f>
        <v>24115</v>
      </c>
      <c r="I25" s="55">
        <f>2/3</f>
        <v>0.66666666666666663</v>
      </c>
      <c r="J25" s="151"/>
      <c r="K25" s="118"/>
      <c r="L25" s="146"/>
      <c r="M25" s="146"/>
      <c r="N25" s="146"/>
      <c r="O25" s="146"/>
      <c r="P25" s="147"/>
      <c r="Q25" s="151"/>
    </row>
    <row r="26" spans="1:17" ht="30" customHeight="1">
      <c r="A26" s="143"/>
      <c r="B26" s="148" t="s">
        <v>78</v>
      </c>
      <c r="C26" s="149" t="s">
        <v>76</v>
      </c>
      <c r="D26" s="143" t="s">
        <v>8</v>
      </c>
      <c r="E26" s="108">
        <f>((1/3)*($D$3+$H$3)*$A$4)*I26</f>
        <v>108.33333333333333</v>
      </c>
      <c r="F26" s="150">
        <f>65*1.06</f>
        <v>68.900000000000006</v>
      </c>
      <c r="G26" s="145" t="s">
        <v>77</v>
      </c>
      <c r="H26" s="145">
        <f t="shared" ref="H26:H30" si="3">E26*F26</f>
        <v>7464.166666666667</v>
      </c>
      <c r="I26" s="56">
        <v>0.16666666666666666</v>
      </c>
      <c r="J26" s="152"/>
      <c r="K26" s="118"/>
      <c r="L26" s="146"/>
      <c r="M26" s="146"/>
      <c r="N26" s="146"/>
      <c r="O26" s="146"/>
      <c r="P26" s="147"/>
      <c r="Q26" s="151"/>
    </row>
    <row r="27" spans="1:17" ht="30" customHeight="1">
      <c r="A27" s="143"/>
      <c r="B27" s="148" t="s">
        <v>79</v>
      </c>
      <c r="C27" s="149" t="s">
        <v>76</v>
      </c>
      <c r="D27" s="143" t="s">
        <v>8</v>
      </c>
      <c r="E27" s="108">
        <f>((1/3)*($D$3+$H$3)*$A$4)*I27</f>
        <v>54.166666666666664</v>
      </c>
      <c r="F27" s="150">
        <f>75*1.06</f>
        <v>79.5</v>
      </c>
      <c r="G27" s="145" t="s">
        <v>77</v>
      </c>
      <c r="H27" s="145">
        <f t="shared" si="3"/>
        <v>4306.25</v>
      </c>
      <c r="I27" s="56">
        <v>8.3333333333333329E-2</v>
      </c>
      <c r="J27" s="152"/>
      <c r="K27" s="118"/>
      <c r="L27" s="146"/>
      <c r="M27" s="146"/>
      <c r="N27" s="146"/>
      <c r="O27" s="146"/>
      <c r="P27" s="147"/>
      <c r="Q27" s="151"/>
    </row>
    <row r="28" spans="1:17" ht="30" customHeight="1">
      <c r="A28" s="143"/>
      <c r="B28" s="148" t="s">
        <v>80</v>
      </c>
      <c r="C28" s="149" t="s">
        <v>76</v>
      </c>
      <c r="D28" s="143" t="s">
        <v>8</v>
      </c>
      <c r="E28" s="108">
        <f>((1/3)*($D$3+$H$3)*$A$4)*I28</f>
        <v>54.166666666666664</v>
      </c>
      <c r="F28" s="150">
        <f>95*1.06</f>
        <v>100.7</v>
      </c>
      <c r="G28" s="145" t="s">
        <v>77</v>
      </c>
      <c r="H28" s="145">
        <f t="shared" si="3"/>
        <v>5454.583333333333</v>
      </c>
      <c r="I28" s="56">
        <v>8.3333333333333329E-2</v>
      </c>
      <c r="J28" s="152"/>
      <c r="K28" s="118"/>
      <c r="L28" s="146"/>
      <c r="M28" s="146"/>
      <c r="N28" s="146"/>
      <c r="O28" s="146"/>
      <c r="P28" s="147"/>
      <c r="Q28" s="151"/>
    </row>
    <row r="29" spans="1:17" ht="30" customHeight="1">
      <c r="A29" s="143"/>
      <c r="B29" s="148" t="s">
        <v>81</v>
      </c>
      <c r="C29" s="149" t="s">
        <v>33</v>
      </c>
      <c r="D29" s="143" t="s">
        <v>8</v>
      </c>
      <c r="E29" s="108"/>
      <c r="F29" s="150">
        <f>72.5*1.06</f>
        <v>76.850000000000009</v>
      </c>
      <c r="G29" s="145" t="s">
        <v>77</v>
      </c>
      <c r="H29" s="145">
        <f t="shared" si="3"/>
        <v>0</v>
      </c>
      <c r="I29" s="153"/>
      <c r="J29" s="152"/>
      <c r="K29" s="118"/>
      <c r="L29" s="146"/>
      <c r="M29" s="146"/>
      <c r="N29" s="146"/>
      <c r="O29" s="146"/>
      <c r="P29" s="147"/>
      <c r="Q29" s="151"/>
    </row>
    <row r="30" spans="1:17" ht="30" customHeight="1">
      <c r="A30" s="143"/>
      <c r="B30" s="148" t="s">
        <v>82</v>
      </c>
      <c r="C30" s="149" t="s">
        <v>57</v>
      </c>
      <c r="D30" s="143" t="s">
        <v>8</v>
      </c>
      <c r="E30" s="108"/>
      <c r="F30" s="150">
        <f>106.7*1.06</f>
        <v>113.102</v>
      </c>
      <c r="G30" s="145" t="s">
        <v>77</v>
      </c>
      <c r="H30" s="145">
        <f t="shared" si="3"/>
        <v>0</v>
      </c>
      <c r="I30" s="153"/>
      <c r="J30" s="152"/>
      <c r="K30" s="118"/>
      <c r="L30" s="146"/>
      <c r="M30" s="146"/>
      <c r="N30" s="146"/>
      <c r="O30" s="146"/>
      <c r="P30" s="147"/>
      <c r="Q30" s="151"/>
    </row>
    <row r="31" spans="1:17" ht="30" customHeight="1">
      <c r="A31" s="143"/>
      <c r="B31" s="148"/>
      <c r="C31" s="149"/>
      <c r="D31" s="143"/>
      <c r="E31" s="108"/>
      <c r="F31" s="150"/>
      <c r="G31" s="145"/>
      <c r="H31" s="145"/>
      <c r="I31" s="153"/>
      <c r="J31" s="152"/>
      <c r="K31" s="118"/>
      <c r="L31" s="146"/>
      <c r="M31" s="146"/>
      <c r="N31" s="146"/>
      <c r="O31" s="146"/>
      <c r="P31" s="147"/>
      <c r="Q31" s="151"/>
    </row>
    <row r="32" spans="1:17" ht="30" customHeight="1">
      <c r="A32" s="141" t="s">
        <v>83</v>
      </c>
      <c r="B32" s="142" t="s">
        <v>84</v>
      </c>
      <c r="C32" s="65"/>
      <c r="D32" s="64"/>
      <c r="E32" s="108"/>
      <c r="F32" s="154"/>
      <c r="G32" s="145"/>
      <c r="H32" s="145"/>
      <c r="I32" s="153"/>
      <c r="J32" s="155"/>
      <c r="K32" s="118"/>
      <c r="L32" s="146"/>
      <c r="M32" s="146"/>
      <c r="N32" s="146"/>
      <c r="O32" s="146"/>
      <c r="P32" s="147"/>
      <c r="Q32" s="151"/>
    </row>
    <row r="33" spans="1:17" ht="30" customHeight="1">
      <c r="A33" s="143"/>
      <c r="B33" s="148" t="s">
        <v>75</v>
      </c>
      <c r="C33" s="149" t="s">
        <v>76</v>
      </c>
      <c r="D33" s="143" t="s">
        <v>8</v>
      </c>
      <c r="E33" s="108"/>
      <c r="F33" s="150">
        <f>48*1.06</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c r="F34" s="150">
        <f>60*1.06</f>
        <v>63.6</v>
      </c>
      <c r="G34" s="145"/>
      <c r="H34" s="145">
        <f t="shared" ref="H34:H41" si="4">F34*E34</f>
        <v>0</v>
      </c>
      <c r="I34" s="569"/>
      <c r="J34" s="573"/>
      <c r="K34" s="118"/>
      <c r="L34" s="146"/>
      <c r="M34" s="146"/>
      <c r="N34" s="146"/>
      <c r="O34" s="146"/>
      <c r="P34" s="147"/>
      <c r="Q34" s="151"/>
    </row>
    <row r="35" spans="1:17" ht="30" customHeight="1">
      <c r="A35" s="143"/>
      <c r="B35" s="148" t="s">
        <v>79</v>
      </c>
      <c r="C35" s="149" t="s">
        <v>76</v>
      </c>
      <c r="D35" s="143" t="s">
        <v>8</v>
      </c>
      <c r="E35" s="108"/>
      <c r="F35" s="150">
        <f>70*1.06</f>
        <v>74.2</v>
      </c>
      <c r="G35" s="145"/>
      <c r="H35" s="145">
        <f t="shared" si="4"/>
        <v>0</v>
      </c>
      <c r="I35" s="569"/>
      <c r="J35" s="573"/>
      <c r="K35" s="118"/>
      <c r="L35" s="146"/>
      <c r="M35" s="146"/>
      <c r="N35" s="146"/>
      <c r="O35" s="146"/>
      <c r="P35" s="147"/>
      <c r="Q35" s="151"/>
    </row>
    <row r="36" spans="1:17" ht="30" customHeight="1">
      <c r="A36" s="143"/>
      <c r="B36" s="148" t="s">
        <v>80</v>
      </c>
      <c r="C36" s="149" t="s">
        <v>76</v>
      </c>
      <c r="D36" s="143" t="s">
        <v>8</v>
      </c>
      <c r="E36" s="108"/>
      <c r="F36" s="150">
        <f>80*1.06</f>
        <v>84.800000000000011</v>
      </c>
      <c r="G36" s="145"/>
      <c r="H36" s="145">
        <f t="shared" si="4"/>
        <v>0</v>
      </c>
      <c r="I36" s="569"/>
      <c r="J36" s="573"/>
      <c r="K36" s="118"/>
      <c r="L36" s="146"/>
      <c r="M36" s="146"/>
      <c r="N36" s="146"/>
      <c r="O36" s="146"/>
      <c r="P36" s="147"/>
      <c r="Q36" s="151"/>
    </row>
    <row r="37" spans="1:17" ht="30" customHeight="1">
      <c r="A37" s="141" t="s">
        <v>85</v>
      </c>
      <c r="B37" s="156" t="s">
        <v>86</v>
      </c>
      <c r="C37" s="141"/>
      <c r="D37" s="64"/>
      <c r="E37" s="108"/>
      <c r="F37" s="154"/>
      <c r="G37" s="145"/>
      <c r="H37" s="145">
        <f t="shared" si="4"/>
        <v>0</v>
      </c>
      <c r="I37" s="569"/>
      <c r="J37" s="573"/>
      <c r="K37" s="118"/>
      <c r="L37" s="146"/>
      <c r="M37" s="146"/>
      <c r="N37" s="146"/>
      <c r="O37" s="146"/>
      <c r="P37" s="147"/>
      <c r="Q37" s="151"/>
    </row>
    <row r="38" spans="1:17" ht="30" customHeight="1">
      <c r="A38" s="143"/>
      <c r="B38" s="157" t="s">
        <v>75</v>
      </c>
      <c r="C38" s="143" t="s">
        <v>76</v>
      </c>
      <c r="D38" s="143" t="s">
        <v>8</v>
      </c>
      <c r="E38" s="108"/>
      <c r="F38" s="150">
        <f>48*1.06</f>
        <v>50.88</v>
      </c>
      <c r="G38" s="145"/>
      <c r="H38" s="145">
        <f t="shared" si="4"/>
        <v>0</v>
      </c>
      <c r="I38" s="569"/>
      <c r="J38" s="573"/>
      <c r="K38" s="118"/>
      <c r="L38" s="146"/>
      <c r="M38" s="146"/>
      <c r="N38" s="146"/>
      <c r="O38" s="146"/>
      <c r="P38" s="147"/>
      <c r="Q38" s="151"/>
    </row>
    <row r="39" spans="1:17" ht="30" customHeight="1">
      <c r="A39" s="143"/>
      <c r="B39" s="157" t="s">
        <v>78</v>
      </c>
      <c r="C39" s="143" t="s">
        <v>76</v>
      </c>
      <c r="D39" s="143" t="s">
        <v>8</v>
      </c>
      <c r="E39" s="108"/>
      <c r="F39" s="150">
        <f>55*1.06</f>
        <v>58.300000000000004</v>
      </c>
      <c r="G39" s="145"/>
      <c r="H39" s="145">
        <f t="shared" si="4"/>
        <v>0</v>
      </c>
      <c r="I39" s="569"/>
      <c r="J39" s="573"/>
      <c r="K39" s="118"/>
      <c r="L39" s="146"/>
      <c r="M39" s="146"/>
      <c r="N39" s="146"/>
      <c r="O39" s="146"/>
      <c r="P39" s="147"/>
      <c r="Q39" s="151"/>
    </row>
    <row r="40" spans="1:17" ht="30" customHeight="1">
      <c r="A40" s="143"/>
      <c r="B40" s="157" t="s">
        <v>79</v>
      </c>
      <c r="C40" s="143" t="s">
        <v>76</v>
      </c>
      <c r="D40" s="143" t="s">
        <v>8</v>
      </c>
      <c r="E40" s="108"/>
      <c r="F40" s="150">
        <f>65*1.06</f>
        <v>68.900000000000006</v>
      </c>
      <c r="G40" s="145"/>
      <c r="H40" s="145">
        <f t="shared" si="4"/>
        <v>0</v>
      </c>
      <c r="I40" s="569"/>
      <c r="J40" s="573"/>
      <c r="K40" s="118"/>
      <c r="L40" s="146"/>
      <c r="M40" s="146"/>
      <c r="N40" s="146"/>
      <c r="O40" s="146"/>
      <c r="P40" s="147"/>
      <c r="Q40" s="151"/>
    </row>
    <row r="41" spans="1:17" ht="30" customHeight="1">
      <c r="A41" s="143"/>
      <c r="B41" s="157" t="s">
        <v>80</v>
      </c>
      <c r="C41" s="143" t="s">
        <v>76</v>
      </c>
      <c r="D41" s="143" t="s">
        <v>8</v>
      </c>
      <c r="E41" s="108"/>
      <c r="F41" s="150">
        <f>75*1.06</f>
        <v>79.5</v>
      </c>
      <c r="G41" s="145"/>
      <c r="H41" s="145">
        <f t="shared" si="4"/>
        <v>0</v>
      </c>
      <c r="I41" s="569"/>
      <c r="J41" s="573"/>
      <c r="K41" s="118"/>
      <c r="L41" s="146"/>
      <c r="M41" s="146"/>
      <c r="N41" s="146"/>
      <c r="O41" s="146"/>
      <c r="P41" s="147"/>
      <c r="Q41" s="151"/>
    </row>
    <row r="42" spans="1:17" ht="30" customHeight="1">
      <c r="A42" s="141" t="s">
        <v>87</v>
      </c>
      <c r="B42" s="142" t="s">
        <v>88</v>
      </c>
      <c r="C42" s="65"/>
      <c r="D42" s="64"/>
      <c r="E42" s="108"/>
      <c r="F42" s="154"/>
      <c r="G42" s="145"/>
      <c r="H42" s="145"/>
      <c r="I42" s="569"/>
      <c r="J42" s="573"/>
      <c r="K42" s="118"/>
      <c r="L42" s="146"/>
      <c r="M42" s="146"/>
      <c r="N42" s="146"/>
      <c r="O42" s="146"/>
      <c r="P42" s="147"/>
      <c r="Q42" s="151"/>
    </row>
    <row r="43" spans="1:17" ht="30" customHeight="1">
      <c r="A43" s="143"/>
      <c r="B43" s="148" t="s">
        <v>75</v>
      </c>
      <c r="C43" s="149" t="s">
        <v>76</v>
      </c>
      <c r="D43" s="143" t="s">
        <v>8</v>
      </c>
      <c r="E43" s="108"/>
      <c r="F43" s="150">
        <f>40*1.06</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c r="F44" s="150">
        <f>50*1.06</f>
        <v>53</v>
      </c>
      <c r="G44" s="145"/>
      <c r="H44" s="145">
        <f t="shared" ref="H44:H46" si="5">E44*F44</f>
        <v>0</v>
      </c>
      <c r="I44" s="569"/>
      <c r="J44" s="573"/>
      <c r="K44" s="118"/>
      <c r="L44" s="146"/>
      <c r="M44" s="146"/>
      <c r="N44" s="146"/>
      <c r="O44" s="146"/>
      <c r="P44" s="147"/>
      <c r="Q44" s="151"/>
    </row>
    <row r="45" spans="1:17" ht="30" customHeight="1">
      <c r="A45" s="143"/>
      <c r="B45" s="148" t="s">
        <v>79</v>
      </c>
      <c r="C45" s="149" t="s">
        <v>76</v>
      </c>
      <c r="D45" s="143" t="s">
        <v>8</v>
      </c>
      <c r="E45" s="108"/>
      <c r="F45" s="150">
        <f>60*1.06</f>
        <v>63.6</v>
      </c>
      <c r="G45" s="145"/>
      <c r="H45" s="145">
        <f t="shared" si="5"/>
        <v>0</v>
      </c>
      <c r="I45" s="569"/>
      <c r="J45" s="573"/>
      <c r="K45" s="118"/>
      <c r="L45" s="146"/>
      <c r="M45" s="146"/>
      <c r="N45" s="146"/>
      <c r="O45" s="146"/>
      <c r="P45" s="147"/>
      <c r="Q45" s="151"/>
    </row>
    <row r="46" spans="1:17" ht="30" customHeight="1">
      <c r="A46" s="143"/>
      <c r="B46" s="148" t="s">
        <v>80</v>
      </c>
      <c r="C46" s="149" t="s">
        <v>76</v>
      </c>
      <c r="D46" s="143" t="s">
        <v>8</v>
      </c>
      <c r="E46" s="108"/>
      <c r="F46" s="150">
        <f>75*1.06</f>
        <v>79.5</v>
      </c>
      <c r="G46" s="145"/>
      <c r="H46" s="145">
        <f t="shared" si="5"/>
        <v>0</v>
      </c>
      <c r="I46" s="569"/>
      <c r="J46" s="573"/>
      <c r="K46" s="118"/>
      <c r="L46" s="146"/>
      <c r="M46" s="146"/>
      <c r="N46" s="146"/>
      <c r="O46" s="146"/>
      <c r="P46" s="147"/>
      <c r="Q46" s="151"/>
    </row>
    <row r="47" spans="1:17" ht="30" customHeight="1">
      <c r="A47" s="143"/>
      <c r="B47" s="148" t="s">
        <v>89</v>
      </c>
      <c r="C47" s="149" t="s">
        <v>33</v>
      </c>
      <c r="D47" s="143" t="s">
        <v>8</v>
      </c>
      <c r="E47" s="158">
        <v>16</v>
      </c>
      <c r="F47" s="159">
        <f>105.5*1.06</f>
        <v>111.83000000000001</v>
      </c>
      <c r="G47" s="118"/>
      <c r="H47" s="504">
        <f>E47*F47</f>
        <v>1789.2800000000002</v>
      </c>
      <c r="I47" s="569" t="s">
        <v>90</v>
      </c>
      <c r="J47" s="573"/>
      <c r="K47" s="118"/>
      <c r="L47" s="146"/>
      <c r="M47" s="146"/>
      <c r="N47" s="146"/>
      <c r="O47" s="146"/>
      <c r="P47" s="147"/>
      <c r="Q47" s="151"/>
    </row>
    <row r="48" spans="1:17" ht="30" customHeight="1">
      <c r="A48" s="143"/>
      <c r="B48" s="148" t="s">
        <v>91</v>
      </c>
      <c r="C48" s="149" t="s">
        <v>33</v>
      </c>
      <c r="D48" s="143" t="s">
        <v>8</v>
      </c>
      <c r="E48" s="158">
        <v>2</v>
      </c>
      <c r="F48" s="159">
        <f>92*1.06</f>
        <v>97.52000000000001</v>
      </c>
      <c r="G48" s="118"/>
      <c r="H48" s="504">
        <f t="shared" ref="H48:H60" si="6">E48*F48</f>
        <v>195.04000000000002</v>
      </c>
      <c r="I48" s="569" t="s">
        <v>92</v>
      </c>
      <c r="J48" s="573"/>
      <c r="K48" s="118"/>
      <c r="L48" s="146"/>
      <c r="M48" s="146"/>
      <c r="N48" s="146"/>
      <c r="O48" s="146"/>
      <c r="P48" s="147"/>
      <c r="Q48" s="151"/>
    </row>
    <row r="49" spans="1:17" ht="30" customHeight="1">
      <c r="A49" s="143"/>
      <c r="B49" s="148" t="s">
        <v>93</v>
      </c>
      <c r="C49" s="149" t="s">
        <v>33</v>
      </c>
      <c r="D49" s="143" t="s">
        <v>8</v>
      </c>
      <c r="E49" s="158">
        <v>40</v>
      </c>
      <c r="F49" s="159">
        <f>64.5*1.06</f>
        <v>68.37</v>
      </c>
      <c r="G49" s="118"/>
      <c r="H49" s="504">
        <f t="shared" si="6"/>
        <v>2734.8</v>
      </c>
      <c r="I49" s="569" t="s">
        <v>94</v>
      </c>
      <c r="J49" s="573"/>
      <c r="K49" s="118"/>
      <c r="L49" s="146"/>
      <c r="M49" s="146"/>
      <c r="N49" s="146"/>
      <c r="O49" s="146"/>
      <c r="P49" s="147"/>
      <c r="Q49" s="151"/>
    </row>
    <row r="50" spans="1:17" ht="30" customHeight="1">
      <c r="A50" s="143"/>
      <c r="B50" s="148" t="s">
        <v>95</v>
      </c>
      <c r="C50" s="149" t="s">
        <v>33</v>
      </c>
      <c r="D50" s="143" t="s">
        <v>8</v>
      </c>
      <c r="E50" s="158">
        <v>2</v>
      </c>
      <c r="F50" s="159">
        <f>64.5*1.06</f>
        <v>68.37</v>
      </c>
      <c r="G50" s="118"/>
      <c r="H50" s="504">
        <f t="shared" si="6"/>
        <v>136.74</v>
      </c>
      <c r="I50" s="569" t="s">
        <v>92</v>
      </c>
      <c r="J50" s="573"/>
      <c r="K50" s="118"/>
      <c r="L50" s="146"/>
      <c r="M50" s="146"/>
      <c r="N50" s="146"/>
      <c r="O50" s="146"/>
      <c r="P50" s="147"/>
      <c r="Q50" s="151"/>
    </row>
    <row r="51" spans="1:17" ht="30" customHeight="1">
      <c r="A51" s="143"/>
      <c r="B51" s="148" t="s">
        <v>96</v>
      </c>
      <c r="C51" s="149" t="s">
        <v>33</v>
      </c>
      <c r="D51" s="143" t="s">
        <v>8</v>
      </c>
      <c r="E51" s="158">
        <v>2</v>
      </c>
      <c r="F51" s="159">
        <f>78*1.06</f>
        <v>82.68</v>
      </c>
      <c r="G51" s="118"/>
      <c r="H51" s="504">
        <f t="shared" si="6"/>
        <v>165.36</v>
      </c>
      <c r="I51" s="569" t="s">
        <v>92</v>
      </c>
      <c r="J51" s="573"/>
      <c r="K51" s="118"/>
      <c r="L51" s="146"/>
      <c r="M51" s="146"/>
      <c r="N51" s="146"/>
      <c r="O51" s="146"/>
      <c r="P51" s="147"/>
      <c r="Q51" s="151"/>
    </row>
    <row r="52" spans="1:17" ht="30" customHeight="1">
      <c r="A52" s="143"/>
      <c r="B52" s="157" t="s">
        <v>97</v>
      </c>
      <c r="C52" s="160" t="s">
        <v>33</v>
      </c>
      <c r="D52" s="143" t="s">
        <v>8</v>
      </c>
      <c r="E52" s="158">
        <v>40</v>
      </c>
      <c r="F52" s="159">
        <f>94.5*1.06</f>
        <v>100.17</v>
      </c>
      <c r="G52" s="118"/>
      <c r="H52" s="504">
        <f t="shared" si="6"/>
        <v>4006.8</v>
      </c>
      <c r="I52" s="569" t="s">
        <v>94</v>
      </c>
      <c r="J52" s="573"/>
      <c r="K52" s="161"/>
      <c r="L52" s="162"/>
      <c r="M52" s="162"/>
      <c r="N52" s="162"/>
      <c r="O52" s="162"/>
      <c r="P52" s="163"/>
      <c r="Q52" s="151"/>
    </row>
    <row r="53" spans="1:17" ht="30" customHeight="1">
      <c r="A53" s="143"/>
      <c r="B53" s="157" t="s">
        <v>98</v>
      </c>
      <c r="C53" s="160" t="s">
        <v>57</v>
      </c>
      <c r="D53" s="143" t="s">
        <v>8</v>
      </c>
      <c r="E53" s="158">
        <v>5</v>
      </c>
      <c r="F53" s="159">
        <f>106.7*1.06</f>
        <v>113.102</v>
      </c>
      <c r="G53" s="118"/>
      <c r="H53" s="504">
        <f t="shared" si="6"/>
        <v>565.51</v>
      </c>
      <c r="I53" s="153" t="s">
        <v>99</v>
      </c>
      <c r="J53" s="155"/>
      <c r="K53" s="161"/>
      <c r="L53" s="162"/>
      <c r="M53" s="162"/>
      <c r="N53" s="162"/>
      <c r="O53" s="162"/>
      <c r="P53" s="163"/>
      <c r="Q53" s="151"/>
    </row>
    <row r="54" spans="1:17" ht="30" customHeight="1">
      <c r="A54" s="143"/>
      <c r="B54" s="157" t="s">
        <v>100</v>
      </c>
      <c r="C54" s="160" t="s">
        <v>101</v>
      </c>
      <c r="D54" s="143" t="s">
        <v>8</v>
      </c>
      <c r="E54" s="108"/>
      <c r="F54" s="150">
        <f>40*1.06</f>
        <v>42.400000000000006</v>
      </c>
      <c r="G54" s="145"/>
      <c r="H54" s="145"/>
      <c r="I54" s="153"/>
      <c r="J54" s="155"/>
      <c r="K54" s="161"/>
      <c r="L54" s="162"/>
      <c r="M54" s="162"/>
      <c r="N54" s="162"/>
      <c r="O54" s="162"/>
      <c r="P54" s="163"/>
      <c r="Q54" s="151"/>
    </row>
    <row r="55" spans="1:17" ht="30" customHeight="1">
      <c r="A55" s="143"/>
      <c r="B55" s="157"/>
      <c r="C55" s="160"/>
      <c r="D55" s="143"/>
      <c r="E55" s="108"/>
      <c r="F55" s="150"/>
      <c r="G55" s="145"/>
      <c r="H55" s="145"/>
      <c r="I55" s="153"/>
      <c r="J55" s="155"/>
      <c r="K55" s="161"/>
      <c r="L55" s="162"/>
      <c r="M55" s="162"/>
      <c r="N55" s="162"/>
      <c r="O55" s="162"/>
      <c r="P55" s="163"/>
      <c r="Q55" s="151"/>
    </row>
    <row r="56" spans="1:17" ht="30" customHeight="1">
      <c r="A56" s="64" t="s">
        <v>102</v>
      </c>
      <c r="B56" s="156" t="s">
        <v>103</v>
      </c>
      <c r="C56" s="141"/>
      <c r="D56" s="64"/>
      <c r="E56" s="108"/>
      <c r="F56" s="154"/>
      <c r="G56" s="145"/>
      <c r="H56" s="145"/>
      <c r="I56" s="569"/>
      <c r="J56" s="573"/>
      <c r="K56" s="118"/>
      <c r="L56" s="146"/>
      <c r="M56" s="146"/>
      <c r="N56" s="146"/>
      <c r="O56" s="146"/>
      <c r="P56" s="147"/>
      <c r="Q56" s="151"/>
    </row>
    <row r="57" spans="1:17" ht="30" customHeight="1">
      <c r="A57" s="143"/>
      <c r="B57" s="157" t="s">
        <v>75</v>
      </c>
      <c r="C57" s="143" t="s">
        <v>76</v>
      </c>
      <c r="D57" s="143" t="s">
        <v>8</v>
      </c>
      <c r="E57" s="108"/>
      <c r="F57" s="150">
        <f>45*1.06</f>
        <v>47.7</v>
      </c>
      <c r="G57" s="145"/>
      <c r="H57" s="145">
        <f t="shared" si="6"/>
        <v>0</v>
      </c>
      <c r="I57" s="569"/>
      <c r="J57" s="573"/>
      <c r="K57" s="118"/>
      <c r="L57" s="146"/>
      <c r="M57" s="146"/>
      <c r="N57" s="146"/>
      <c r="O57" s="146"/>
      <c r="P57" s="147"/>
      <c r="Q57" s="151"/>
    </row>
    <row r="58" spans="1:17" ht="30" customHeight="1">
      <c r="A58" s="143"/>
      <c r="B58" s="157" t="s">
        <v>78</v>
      </c>
      <c r="C58" s="143" t="s">
        <v>76</v>
      </c>
      <c r="D58" s="143" t="s">
        <v>8</v>
      </c>
      <c r="E58" s="108"/>
      <c r="F58" s="150">
        <f>55*1.06</f>
        <v>58.300000000000004</v>
      </c>
      <c r="G58" s="145"/>
      <c r="H58" s="145">
        <f t="shared" si="6"/>
        <v>0</v>
      </c>
      <c r="I58" s="569"/>
      <c r="J58" s="573"/>
      <c r="K58" s="118"/>
      <c r="L58" s="146"/>
      <c r="M58" s="146"/>
      <c r="N58" s="146"/>
      <c r="O58" s="146"/>
      <c r="P58" s="147"/>
      <c r="Q58" s="151"/>
    </row>
    <row r="59" spans="1:17" ht="30" customHeight="1">
      <c r="A59" s="143"/>
      <c r="B59" s="157" t="s">
        <v>79</v>
      </c>
      <c r="C59" s="143" t="s">
        <v>76</v>
      </c>
      <c r="D59" s="143" t="s">
        <v>8</v>
      </c>
      <c r="E59" s="108"/>
      <c r="F59" s="150">
        <f>65*1.06</f>
        <v>68.900000000000006</v>
      </c>
      <c r="G59" s="145"/>
      <c r="H59" s="145">
        <f t="shared" si="6"/>
        <v>0</v>
      </c>
      <c r="I59" s="569"/>
      <c r="J59" s="573"/>
      <c r="K59" s="118"/>
      <c r="L59" s="146"/>
      <c r="M59" s="146"/>
      <c r="N59" s="146"/>
      <c r="O59" s="146"/>
      <c r="P59" s="147"/>
      <c r="Q59" s="151"/>
    </row>
    <row r="60" spans="1:17" ht="30" customHeight="1">
      <c r="A60" s="143"/>
      <c r="B60" s="157" t="s">
        <v>80</v>
      </c>
      <c r="C60" s="143" t="s">
        <v>76</v>
      </c>
      <c r="D60" s="143" t="s">
        <v>8</v>
      </c>
      <c r="E60" s="108"/>
      <c r="F60" s="150">
        <f>90*1.06</f>
        <v>95.4</v>
      </c>
      <c r="G60" s="145"/>
      <c r="H60" s="145">
        <f t="shared" si="6"/>
        <v>0</v>
      </c>
      <c r="I60" s="569"/>
      <c r="J60" s="573"/>
      <c r="K60" s="118"/>
      <c r="L60" s="146"/>
      <c r="M60" s="146"/>
      <c r="N60" s="146"/>
      <c r="O60" s="146"/>
      <c r="P60" s="147"/>
      <c r="Q60" s="151"/>
    </row>
    <row r="61" spans="1:17" ht="30" customHeight="1">
      <c r="A61" s="143"/>
      <c r="B61" s="157"/>
      <c r="C61" s="143"/>
      <c r="D61" s="143"/>
      <c r="E61" s="108"/>
      <c r="F61" s="150"/>
      <c r="G61" s="145"/>
      <c r="H61" s="145"/>
      <c r="I61" s="569"/>
      <c r="J61" s="573"/>
      <c r="K61" s="161"/>
      <c r="L61" s="162"/>
      <c r="M61" s="162"/>
      <c r="N61" s="162"/>
      <c r="O61" s="162"/>
      <c r="P61" s="163"/>
      <c r="Q61" s="151"/>
    </row>
    <row r="62" spans="1:17" ht="30" customHeight="1">
      <c r="A62" s="64" t="s">
        <v>104</v>
      </c>
      <c r="B62" s="65" t="s">
        <v>105</v>
      </c>
      <c r="C62" s="164"/>
      <c r="D62" s="35" t="s">
        <v>12</v>
      </c>
      <c r="E62" s="57" t="s">
        <v>13</v>
      </c>
      <c r="F62" s="53" t="s">
        <v>14</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v>20</v>
      </c>
      <c r="F63" s="150">
        <f>195*1.06</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c r="F64" s="150">
        <f>225*1.06</f>
        <v>238.5</v>
      </c>
      <c r="G64" s="145"/>
      <c r="H64" s="145">
        <f t="shared" ref="H64:H67" si="7">E64*F64</f>
        <v>0</v>
      </c>
      <c r="I64" s="569"/>
      <c r="J64" s="573"/>
      <c r="K64" s="118"/>
      <c r="L64" s="146"/>
      <c r="M64" s="146"/>
      <c r="N64" s="146"/>
      <c r="O64" s="146"/>
      <c r="P64" s="147"/>
      <c r="Q64" s="151"/>
    </row>
    <row r="65" spans="1:17" ht="30" customHeight="1">
      <c r="A65" s="143"/>
      <c r="B65" s="148" t="s">
        <v>79</v>
      </c>
      <c r="C65" s="149" t="s">
        <v>26</v>
      </c>
      <c r="D65" s="143" t="s">
        <v>8</v>
      </c>
      <c r="E65" s="108"/>
      <c r="F65" s="150">
        <f>275*4*1.06</f>
        <v>1166</v>
      </c>
      <c r="G65" s="145"/>
      <c r="H65" s="145">
        <f t="shared" si="7"/>
        <v>0</v>
      </c>
      <c r="I65" s="569"/>
      <c r="J65" s="573"/>
      <c r="K65" s="118"/>
      <c r="L65" s="146"/>
      <c r="M65" s="146"/>
      <c r="N65" s="146"/>
      <c r="O65" s="146"/>
      <c r="P65" s="147"/>
      <c r="Q65" s="151"/>
    </row>
    <row r="66" spans="1:17" ht="30" customHeight="1">
      <c r="A66" s="143"/>
      <c r="B66" s="148" t="s">
        <v>80</v>
      </c>
      <c r="C66" s="149" t="s">
        <v>26</v>
      </c>
      <c r="D66" s="143" t="s">
        <v>8</v>
      </c>
      <c r="E66" s="108"/>
      <c r="F66" s="150">
        <f>325*1.06</f>
        <v>344.5</v>
      </c>
      <c r="G66" s="145"/>
      <c r="H66" s="145">
        <f t="shared" si="7"/>
        <v>0</v>
      </c>
      <c r="I66" s="569"/>
      <c r="J66" s="573"/>
      <c r="K66" s="118"/>
      <c r="L66" s="146"/>
      <c r="M66" s="146"/>
      <c r="N66" s="146"/>
      <c r="O66" s="146"/>
      <c r="P66" s="147"/>
      <c r="Q66" s="151"/>
    </row>
    <row r="67" spans="1:17" ht="30" customHeight="1">
      <c r="A67" s="143"/>
      <c r="B67" s="148" t="s">
        <v>107</v>
      </c>
      <c r="C67" s="149" t="s">
        <v>57</v>
      </c>
      <c r="D67" s="143" t="s">
        <v>8</v>
      </c>
      <c r="E67" s="108"/>
      <c r="F67" s="150">
        <f>320*1.06</f>
        <v>339.20000000000005</v>
      </c>
      <c r="G67" s="145"/>
      <c r="H67" s="145">
        <f t="shared" si="7"/>
        <v>0</v>
      </c>
      <c r="I67" s="153"/>
      <c r="J67" s="155"/>
      <c r="K67" s="118"/>
      <c r="L67" s="146"/>
      <c r="M67" s="146"/>
      <c r="N67" s="146"/>
      <c r="O67" s="146"/>
      <c r="P67" s="147"/>
      <c r="Q67" s="151"/>
    </row>
    <row r="68" spans="1:17" ht="30" customHeight="1">
      <c r="A68" s="143"/>
      <c r="B68" s="148"/>
      <c r="C68" s="149"/>
      <c r="D68" s="143"/>
      <c r="E68" s="108"/>
      <c r="F68" s="150"/>
      <c r="G68" s="145"/>
      <c r="H68" s="145"/>
      <c r="I68" s="569"/>
      <c r="J68" s="573"/>
      <c r="K68" s="118"/>
      <c r="L68" s="146"/>
      <c r="M68" s="146"/>
      <c r="N68" s="146"/>
      <c r="O68" s="146"/>
      <c r="P68" s="147"/>
      <c r="Q68" s="151"/>
    </row>
    <row r="69" spans="1:17" ht="30" customHeight="1">
      <c r="A69" s="165">
        <v>4</v>
      </c>
      <c r="B69" s="166" t="s">
        <v>108</v>
      </c>
      <c r="C69" s="166"/>
      <c r="D69" s="51" t="s">
        <v>12</v>
      </c>
      <c r="E69" s="52" t="s">
        <v>13</v>
      </c>
      <c r="F69" s="53" t="s">
        <v>14</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8*5</f>
        <v>40</v>
      </c>
      <c r="F70" s="159">
        <f>46.2*1.06</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8*5</f>
        <v>40</v>
      </c>
      <c r="F71" s="159">
        <f>47.19*3*1.06</f>
        <v>150.0642</v>
      </c>
      <c r="G71" s="109"/>
      <c r="H71" s="167">
        <f t="shared" ref="H71:H76" si="8">E71*F71</f>
        <v>6002.5680000000002</v>
      </c>
      <c r="I71" s="569" t="s">
        <v>114</v>
      </c>
      <c r="J71" s="573"/>
      <c r="K71" s="118"/>
      <c r="L71" s="146"/>
      <c r="M71" s="146"/>
      <c r="N71" s="146"/>
      <c r="O71" s="146"/>
      <c r="P71" s="77"/>
      <c r="Q71" s="151"/>
    </row>
    <row r="72" spans="1:17" ht="30" customHeight="1">
      <c r="A72" s="78" t="s">
        <v>115</v>
      </c>
      <c r="B72" s="170" t="s">
        <v>116</v>
      </c>
      <c r="C72" s="89" t="s">
        <v>117</v>
      </c>
      <c r="D72" s="171" t="s">
        <v>118</v>
      </c>
      <c r="E72" s="108">
        <v>0</v>
      </c>
      <c r="F72" s="118">
        <f>37.5*1.06</f>
        <v>39.75</v>
      </c>
      <c r="G72" s="109"/>
      <c r="H72" s="167">
        <f t="shared" si="8"/>
        <v>0</v>
      </c>
      <c r="I72" s="153"/>
      <c r="J72" s="152"/>
      <c r="K72" s="161"/>
      <c r="L72" s="162"/>
      <c r="M72" s="162"/>
      <c r="N72" s="162"/>
      <c r="O72" s="162"/>
      <c r="P72" s="163"/>
      <c r="Q72" s="151"/>
    </row>
    <row r="73" spans="1:17" ht="30" customHeight="1">
      <c r="A73" s="78" t="s">
        <v>119</v>
      </c>
      <c r="B73" s="170" t="s">
        <v>120</v>
      </c>
      <c r="C73" s="89" t="s">
        <v>117</v>
      </c>
      <c r="D73" s="171" t="s">
        <v>118</v>
      </c>
      <c r="E73" s="108">
        <v>0</v>
      </c>
      <c r="F73" s="118">
        <f>37.5*1.06</f>
        <v>39.75</v>
      </c>
      <c r="G73" s="109"/>
      <c r="H73" s="167">
        <f t="shared" si="8"/>
        <v>0</v>
      </c>
      <c r="I73" s="153"/>
      <c r="J73" s="152"/>
      <c r="K73" s="161"/>
      <c r="L73" s="162"/>
      <c r="M73" s="162"/>
      <c r="N73" s="162"/>
      <c r="O73" s="162"/>
      <c r="P73" s="163"/>
      <c r="Q73" s="151"/>
    </row>
    <row r="74" spans="1:17" ht="30" customHeight="1">
      <c r="A74" s="78" t="s">
        <v>121</v>
      </c>
      <c r="B74" s="116" t="s">
        <v>122</v>
      </c>
      <c r="C74" s="75" t="s">
        <v>26</v>
      </c>
      <c r="D74" s="107" t="s">
        <v>8</v>
      </c>
      <c r="E74" s="108">
        <f>8*5</f>
        <v>40</v>
      </c>
      <c r="F74" s="159">
        <f>78.29*1.06</f>
        <v>82.987400000000008</v>
      </c>
      <c r="G74" s="109"/>
      <c r="H74" s="167">
        <f t="shared" si="8"/>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8*5</f>
        <v>40</v>
      </c>
      <c r="F75" s="159">
        <f>23.2*6*1.06</f>
        <v>147.55199999999999</v>
      </c>
      <c r="G75" s="109"/>
      <c r="H75" s="167">
        <f t="shared" si="8"/>
        <v>5902.08</v>
      </c>
      <c r="I75" s="569" t="s">
        <v>127</v>
      </c>
      <c r="J75" s="573"/>
      <c r="K75" s="168"/>
      <c r="L75" s="169"/>
      <c r="M75" s="169"/>
      <c r="N75" s="169"/>
      <c r="O75" s="169"/>
      <c r="P75" s="77"/>
      <c r="Q75" s="151"/>
    </row>
    <row r="76" spans="1:17" ht="30" customHeight="1">
      <c r="A76" s="171" t="s">
        <v>128</v>
      </c>
      <c r="B76" s="116" t="s">
        <v>129</v>
      </c>
      <c r="C76" s="75"/>
      <c r="D76" s="171" t="s">
        <v>126</v>
      </c>
      <c r="E76" s="172">
        <v>0</v>
      </c>
      <c r="F76" s="159">
        <f>30*6*1.06</f>
        <v>190.8</v>
      </c>
      <c r="G76" s="109"/>
      <c r="H76" s="167">
        <f t="shared" si="8"/>
        <v>0</v>
      </c>
      <c r="I76" s="567"/>
      <c r="J76" s="567"/>
      <c r="K76" s="168"/>
      <c r="L76" s="169"/>
      <c r="M76" s="169"/>
      <c r="N76" s="169"/>
      <c r="O76" s="169"/>
      <c r="P76" s="77"/>
      <c r="Q76" s="151"/>
    </row>
    <row r="77" spans="1:17" ht="30" customHeight="1">
      <c r="A77" s="171" t="s">
        <v>130</v>
      </c>
      <c r="B77" s="116" t="s">
        <v>131</v>
      </c>
      <c r="C77" s="75"/>
      <c r="D77" s="171" t="s">
        <v>126</v>
      </c>
      <c r="E77" s="172">
        <v>5</v>
      </c>
      <c r="F77" s="159">
        <f>50.16*1.06</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c r="F78" s="118">
        <f>65*1.06</f>
        <v>68.900000000000006</v>
      </c>
      <c r="G78" s="109"/>
      <c r="H78" s="167">
        <f t="shared" ref="H78:H80" si="9">F78*E78</f>
        <v>0</v>
      </c>
      <c r="I78" s="76"/>
      <c r="J78" s="89"/>
      <c r="K78" s="161"/>
      <c r="L78" s="162"/>
      <c r="M78" s="162"/>
      <c r="N78" s="162"/>
      <c r="O78" s="162"/>
      <c r="P78" s="163"/>
      <c r="Q78" s="151"/>
    </row>
    <row r="79" spans="1:17" ht="30" customHeight="1">
      <c r="A79" s="171" t="s">
        <v>135</v>
      </c>
      <c r="B79" s="89" t="s">
        <v>136</v>
      </c>
      <c r="C79" s="89" t="s">
        <v>117</v>
      </c>
      <c r="D79" s="171" t="s">
        <v>118</v>
      </c>
      <c r="E79" s="108"/>
      <c r="F79" s="118">
        <f>185*1.06</f>
        <v>196.10000000000002</v>
      </c>
      <c r="G79" s="109"/>
      <c r="H79" s="167">
        <f t="shared" si="9"/>
        <v>0</v>
      </c>
      <c r="I79" s="76"/>
      <c r="J79" s="89"/>
      <c r="K79" s="161"/>
      <c r="L79" s="162"/>
      <c r="M79" s="162"/>
      <c r="N79" s="162"/>
      <c r="O79" s="162"/>
      <c r="P79" s="163"/>
      <c r="Q79" s="151"/>
    </row>
    <row r="80" spans="1:17" ht="30" customHeight="1">
      <c r="A80" s="171" t="s">
        <v>137</v>
      </c>
      <c r="B80" s="89" t="s">
        <v>138</v>
      </c>
      <c r="C80" s="89" t="s">
        <v>117</v>
      </c>
      <c r="D80" s="171" t="s">
        <v>139</v>
      </c>
      <c r="E80" s="108"/>
      <c r="F80" s="118">
        <f>165*1.06</f>
        <v>174.9</v>
      </c>
      <c r="G80" s="118"/>
      <c r="H80" s="167">
        <f t="shared" si="9"/>
        <v>0</v>
      </c>
      <c r="I80" s="173"/>
      <c r="J80" s="75"/>
      <c r="K80" s="37"/>
      <c r="L80" s="50"/>
      <c r="M80" s="50"/>
      <c r="N80" s="50"/>
      <c r="O80" s="50"/>
      <c r="P80" s="49"/>
      <c r="Q80" s="151"/>
    </row>
    <row r="81" spans="1:17" ht="30" customHeight="1">
      <c r="A81" s="171" t="s">
        <v>140</v>
      </c>
      <c r="B81" s="174" t="s">
        <v>141</v>
      </c>
      <c r="C81" s="107" t="s">
        <v>26</v>
      </c>
      <c r="D81" s="107" t="s">
        <v>8</v>
      </c>
      <c r="E81" s="108">
        <f>8*5</f>
        <v>40</v>
      </c>
      <c r="F81" s="109">
        <f>78.29*1.2*1.06</f>
        <v>99.584880000000013</v>
      </c>
      <c r="G81" s="109"/>
      <c r="H81" s="167">
        <f>SUM(E81*F81)</f>
        <v>3983.3952000000004</v>
      </c>
      <c r="I81" s="567" t="s">
        <v>142</v>
      </c>
      <c r="J81" s="568"/>
      <c r="K81" s="118"/>
      <c r="L81" s="146"/>
      <c r="M81" s="146"/>
      <c r="N81" s="146"/>
      <c r="O81" s="146"/>
      <c r="P81" s="147"/>
      <c r="Q81" s="151"/>
    </row>
    <row r="82" spans="1:17" ht="30" customHeight="1">
      <c r="A82" s="171" t="s">
        <v>143</v>
      </c>
      <c r="B82" s="174" t="s">
        <v>144</v>
      </c>
      <c r="C82" s="107" t="s">
        <v>26</v>
      </c>
      <c r="D82" s="107" t="s">
        <v>8</v>
      </c>
      <c r="E82" s="108">
        <f>8*5</f>
        <v>40</v>
      </c>
      <c r="F82" s="109">
        <f>100*1.06</f>
        <v>106</v>
      </c>
      <c r="G82" s="109"/>
      <c r="H82" s="167">
        <f>SUM(E82*F82)</f>
        <v>4240</v>
      </c>
      <c r="I82" s="567" t="s">
        <v>145</v>
      </c>
      <c r="J82" s="568"/>
      <c r="K82" s="118"/>
      <c r="L82" s="146"/>
      <c r="M82" s="146"/>
      <c r="N82" s="146"/>
      <c r="O82" s="146"/>
      <c r="P82" s="147"/>
      <c r="Q82" s="151"/>
    </row>
    <row r="83" spans="1:17" ht="30" customHeight="1">
      <c r="A83" s="171" t="s">
        <v>146</v>
      </c>
      <c r="B83" s="170" t="s">
        <v>147</v>
      </c>
      <c r="C83" s="89" t="s">
        <v>117</v>
      </c>
      <c r="D83" s="171" t="s">
        <v>118</v>
      </c>
      <c r="E83" s="108"/>
      <c r="F83" s="118">
        <v>0</v>
      </c>
      <c r="G83" s="109"/>
      <c r="H83" s="167">
        <f t="shared" ref="H83:H89" si="10">SUM(E83*F83)</f>
        <v>0</v>
      </c>
      <c r="I83" s="76"/>
      <c r="J83" s="89"/>
      <c r="K83" s="161"/>
      <c r="L83" s="162"/>
      <c r="M83" s="162"/>
      <c r="N83" s="162"/>
      <c r="O83" s="162"/>
      <c r="P83" s="163"/>
      <c r="Q83" s="151"/>
    </row>
    <row r="84" spans="1:17" ht="30" customHeight="1">
      <c r="A84" s="171" t="s">
        <v>148</v>
      </c>
      <c r="B84" s="89" t="s">
        <v>149</v>
      </c>
      <c r="C84" s="89" t="s">
        <v>117</v>
      </c>
      <c r="D84" s="171" t="s">
        <v>118</v>
      </c>
      <c r="E84" s="108"/>
      <c r="F84" s="118">
        <v>0</v>
      </c>
      <c r="G84" s="109"/>
      <c r="H84" s="167">
        <f t="shared" si="10"/>
        <v>0</v>
      </c>
      <c r="I84" s="175"/>
      <c r="J84" s="176"/>
      <c r="K84" s="161"/>
      <c r="L84" s="162"/>
      <c r="M84" s="162"/>
      <c r="N84" s="162"/>
      <c r="O84" s="162"/>
      <c r="P84" s="163"/>
      <c r="Q84" s="151"/>
    </row>
    <row r="85" spans="1:17" ht="30" customHeight="1">
      <c r="A85" s="171" t="s">
        <v>150</v>
      </c>
      <c r="B85" s="89" t="s">
        <v>151</v>
      </c>
      <c r="C85" s="89" t="s">
        <v>117</v>
      </c>
      <c r="D85" s="171" t="s">
        <v>118</v>
      </c>
      <c r="E85" s="108"/>
      <c r="F85" s="118">
        <f>165*1.06</f>
        <v>174.9</v>
      </c>
      <c r="G85" s="109"/>
      <c r="H85" s="167">
        <f t="shared" si="10"/>
        <v>0</v>
      </c>
      <c r="I85" s="153"/>
      <c r="J85" s="152"/>
      <c r="K85" s="161"/>
      <c r="L85" s="162"/>
      <c r="M85" s="162"/>
      <c r="N85" s="162"/>
      <c r="O85" s="162"/>
      <c r="P85" s="163"/>
      <c r="Q85" s="151"/>
    </row>
    <row r="86" spans="1:17" ht="30" customHeight="1">
      <c r="A86" s="171" t="s">
        <v>152</v>
      </c>
      <c r="B86" s="170" t="s">
        <v>153</v>
      </c>
      <c r="C86" s="89" t="s">
        <v>117</v>
      </c>
      <c r="D86" s="171" t="s">
        <v>118</v>
      </c>
      <c r="E86" s="108"/>
      <c r="F86" s="118">
        <f>147.5*1.06</f>
        <v>156.35</v>
      </c>
      <c r="G86" s="109"/>
      <c r="H86" s="167">
        <f t="shared" si="10"/>
        <v>0</v>
      </c>
      <c r="I86" s="153"/>
      <c r="J86" s="152"/>
      <c r="K86" s="161"/>
      <c r="L86" s="162"/>
      <c r="M86" s="162"/>
      <c r="N86" s="162"/>
      <c r="O86" s="162"/>
      <c r="P86" s="163"/>
      <c r="Q86" s="151"/>
    </row>
    <row r="87" spans="1:17" ht="30" customHeight="1">
      <c r="A87" s="171" t="s">
        <v>154</v>
      </c>
      <c r="B87" s="170" t="s">
        <v>153</v>
      </c>
      <c r="C87" s="89" t="s">
        <v>117</v>
      </c>
      <c r="D87" s="171" t="s">
        <v>118</v>
      </c>
      <c r="E87" s="108"/>
      <c r="F87" s="118">
        <f>221.25*1.06</f>
        <v>234.52500000000001</v>
      </c>
      <c r="G87" s="109"/>
      <c r="H87" s="167">
        <f t="shared" si="10"/>
        <v>0</v>
      </c>
      <c r="I87" s="153"/>
      <c r="J87" s="152"/>
      <c r="K87" s="161"/>
      <c r="L87" s="162"/>
      <c r="M87" s="162"/>
      <c r="N87" s="162"/>
      <c r="O87" s="162"/>
      <c r="P87" s="163"/>
      <c r="Q87" s="151"/>
    </row>
    <row r="88" spans="1:17" ht="30" customHeight="1">
      <c r="A88" s="171" t="s">
        <v>155</v>
      </c>
      <c r="B88" s="170" t="s">
        <v>153</v>
      </c>
      <c r="C88" s="89" t="s">
        <v>117</v>
      </c>
      <c r="D88" s="171" t="s">
        <v>118</v>
      </c>
      <c r="E88" s="108"/>
      <c r="F88" s="118">
        <f>258.12*1.06</f>
        <v>273.60720000000003</v>
      </c>
      <c r="G88" s="109"/>
      <c r="H88" s="167">
        <f t="shared" si="10"/>
        <v>0</v>
      </c>
      <c r="I88" s="153"/>
      <c r="J88" s="152"/>
      <c r="K88" s="161"/>
      <c r="L88" s="162"/>
      <c r="M88" s="162"/>
      <c r="N88" s="162"/>
      <c r="O88" s="162"/>
      <c r="P88" s="163"/>
      <c r="Q88" s="151"/>
    </row>
    <row r="89" spans="1:17" ht="30" customHeight="1">
      <c r="A89" s="171" t="s">
        <v>156</v>
      </c>
      <c r="B89" s="170" t="s">
        <v>153</v>
      </c>
      <c r="C89" s="89" t="s">
        <v>117</v>
      </c>
      <c r="D89" s="171" t="s">
        <v>118</v>
      </c>
      <c r="E89" s="108"/>
      <c r="F89" s="118">
        <f>295*1.06</f>
        <v>312.7</v>
      </c>
      <c r="G89" s="109"/>
      <c r="H89" s="167">
        <f t="shared" si="10"/>
        <v>0</v>
      </c>
      <c r="I89" s="153"/>
      <c r="J89" s="152"/>
      <c r="K89" s="161"/>
      <c r="L89" s="162"/>
      <c r="M89" s="162"/>
      <c r="N89" s="162"/>
      <c r="O89" s="162"/>
      <c r="P89" s="163"/>
      <c r="Q89" s="151"/>
    </row>
    <row r="90" spans="1:17" ht="30" customHeight="1">
      <c r="A90" s="177"/>
      <c r="B90" s="174"/>
      <c r="C90" s="178"/>
      <c r="D90" s="178"/>
      <c r="E90" s="179"/>
      <c r="F90" s="180"/>
      <c r="G90" s="181"/>
      <c r="H90" s="182"/>
      <c r="I90" s="153"/>
      <c r="J90" s="152"/>
      <c r="K90" s="161"/>
      <c r="L90" s="162"/>
      <c r="M90" s="162"/>
      <c r="N90" s="162"/>
      <c r="O90" s="162"/>
      <c r="P90" s="163"/>
      <c r="Q90" s="151"/>
    </row>
    <row r="91" spans="1:17" ht="30" customHeight="1">
      <c r="A91" s="165">
        <v>5</v>
      </c>
      <c r="B91" s="115" t="s">
        <v>157</v>
      </c>
      <c r="C91" s="166"/>
      <c r="D91" s="51" t="s">
        <v>12</v>
      </c>
      <c r="E91" s="52" t="s">
        <v>13</v>
      </c>
      <c r="F91" s="53" t="s">
        <v>14</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72"/>
      <c r="F92" s="159">
        <f>50*1.06</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8*$A$4</f>
        <v>40</v>
      </c>
      <c r="F93" s="159">
        <f>57.84*1.2*1.06</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8*5</f>
        <v>40</v>
      </c>
      <c r="F94" s="109">
        <f>75.28*1.06</f>
        <v>79.796800000000005</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v>0</v>
      </c>
      <c r="F95" s="118">
        <v>0</v>
      </c>
      <c r="G95" s="109"/>
      <c r="H95" s="167">
        <f t="shared" ref="H95:H98" si="11">E95*5</f>
        <v>0</v>
      </c>
      <c r="I95" s="76"/>
      <c r="J95" s="89"/>
      <c r="K95" s="161"/>
      <c r="L95" s="162"/>
      <c r="M95" s="162"/>
      <c r="N95" s="162"/>
      <c r="O95" s="162"/>
      <c r="P95" s="163"/>
      <c r="Q95" s="151"/>
    </row>
    <row r="96" spans="1:17" ht="30" customHeight="1">
      <c r="A96" s="171" t="s">
        <v>168</v>
      </c>
      <c r="B96" s="170" t="s">
        <v>169</v>
      </c>
      <c r="C96" s="89" t="s">
        <v>117</v>
      </c>
      <c r="D96" s="171" t="s">
        <v>118</v>
      </c>
      <c r="E96" s="108">
        <v>0</v>
      </c>
      <c r="F96" s="118">
        <v>0</v>
      </c>
      <c r="G96" s="109"/>
      <c r="H96" s="167">
        <f t="shared" si="11"/>
        <v>0</v>
      </c>
      <c r="I96" s="76"/>
      <c r="J96" s="89"/>
      <c r="K96" s="161"/>
      <c r="L96" s="162"/>
      <c r="M96" s="162"/>
      <c r="N96" s="162"/>
      <c r="O96" s="162"/>
      <c r="P96" s="163"/>
      <c r="Q96" s="151"/>
    </row>
    <row r="97" spans="1:17" ht="30" customHeight="1">
      <c r="A97" s="171" t="s">
        <v>170</v>
      </c>
      <c r="B97" s="170" t="s">
        <v>171</v>
      </c>
      <c r="C97" s="89" t="s">
        <v>117</v>
      </c>
      <c r="D97" s="171" t="s">
        <v>118</v>
      </c>
      <c r="E97" s="108">
        <v>0</v>
      </c>
      <c r="F97" s="118">
        <v>0</v>
      </c>
      <c r="G97" s="109"/>
      <c r="H97" s="167">
        <f t="shared" si="11"/>
        <v>0</v>
      </c>
      <c r="I97" s="76"/>
      <c r="J97" s="89"/>
      <c r="K97" s="161"/>
      <c r="L97" s="162"/>
      <c r="M97" s="162"/>
      <c r="N97" s="162"/>
      <c r="O97" s="162"/>
      <c r="P97" s="163"/>
      <c r="Q97" s="151"/>
    </row>
    <row r="98" spans="1:17" ht="30" customHeight="1">
      <c r="A98" s="171" t="s">
        <v>172</v>
      </c>
      <c r="B98" s="170" t="s">
        <v>173</v>
      </c>
      <c r="C98" s="89" t="s">
        <v>117</v>
      </c>
      <c r="D98" s="171" t="s">
        <v>118</v>
      </c>
      <c r="E98" s="108">
        <v>0</v>
      </c>
      <c r="F98" s="118">
        <v>0</v>
      </c>
      <c r="G98" s="109"/>
      <c r="H98" s="167">
        <f t="shared" si="11"/>
        <v>0</v>
      </c>
      <c r="I98" s="76"/>
      <c r="J98" s="89"/>
      <c r="K98" s="161"/>
      <c r="L98" s="162"/>
      <c r="M98" s="162"/>
      <c r="N98" s="162"/>
      <c r="O98" s="162"/>
      <c r="P98" s="163"/>
      <c r="Q98" s="151"/>
    </row>
    <row r="99" spans="1:17" ht="30" customHeight="1">
      <c r="A99" s="171" t="s">
        <v>174</v>
      </c>
      <c r="B99" s="116" t="s">
        <v>175</v>
      </c>
      <c r="C99" s="75" t="s">
        <v>57</v>
      </c>
      <c r="D99" s="107" t="s">
        <v>8</v>
      </c>
      <c r="E99" s="108">
        <v>24</v>
      </c>
      <c r="F99" s="109">
        <f>122*1.06</f>
        <v>129.32</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v>0</v>
      </c>
      <c r="F100" s="109">
        <f>34.8*1.06</f>
        <v>36.887999999999998</v>
      </c>
      <c r="G100" s="109"/>
      <c r="H100" s="167">
        <f t="shared" ref="H100:H102" si="12">E100*5</f>
        <v>0</v>
      </c>
      <c r="I100" s="76"/>
      <c r="J100" s="89"/>
      <c r="K100" s="161"/>
      <c r="L100" s="162"/>
      <c r="M100" s="162"/>
      <c r="N100" s="162"/>
      <c r="O100" s="162"/>
      <c r="P100" s="163"/>
      <c r="Q100" s="151"/>
    </row>
    <row r="101" spans="1:17" ht="30" customHeight="1">
      <c r="A101" s="171" t="s">
        <v>179</v>
      </c>
      <c r="B101" s="89" t="s">
        <v>180</v>
      </c>
      <c r="C101" s="89" t="s">
        <v>117</v>
      </c>
      <c r="D101" s="171" t="s">
        <v>118</v>
      </c>
      <c r="E101" s="108">
        <v>0</v>
      </c>
      <c r="F101" s="118">
        <f>175*1.06</f>
        <v>185.5</v>
      </c>
      <c r="G101" s="118"/>
      <c r="H101" s="167">
        <f t="shared" si="12"/>
        <v>0</v>
      </c>
      <c r="I101" s="173"/>
      <c r="J101" s="75"/>
      <c r="K101" s="183"/>
      <c r="L101" s="184"/>
      <c r="M101" s="184"/>
      <c r="N101" s="184"/>
      <c r="O101" s="184"/>
      <c r="P101" s="185"/>
      <c r="Q101" s="151"/>
    </row>
    <row r="102" spans="1:17" ht="30" customHeight="1">
      <c r="A102" s="186" t="s">
        <v>181</v>
      </c>
      <c r="B102" s="187" t="s">
        <v>182</v>
      </c>
      <c r="C102" s="188" t="s">
        <v>117</v>
      </c>
      <c r="D102" s="186" t="s">
        <v>118</v>
      </c>
      <c r="E102" s="69">
        <v>0</v>
      </c>
      <c r="F102" s="189">
        <v>0</v>
      </c>
      <c r="G102" s="189"/>
      <c r="H102" s="167">
        <f t="shared" si="12"/>
        <v>0</v>
      </c>
      <c r="I102" s="190"/>
      <c r="J102" s="191"/>
      <c r="K102" s="183"/>
      <c r="L102" s="184"/>
      <c r="M102" s="184"/>
      <c r="N102" s="184"/>
      <c r="O102" s="184"/>
      <c r="P102" s="185"/>
      <c r="Q102" s="151"/>
    </row>
    <row r="103" spans="1:17" ht="30" customHeight="1">
      <c r="A103" s="171"/>
      <c r="B103" s="116"/>
      <c r="C103" s="75"/>
      <c r="D103" s="107"/>
      <c r="E103" s="108"/>
      <c r="F103" s="109"/>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53" t="s">
        <v>14</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v>0</v>
      </c>
      <c r="F105" s="109">
        <f>120*1.06</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v>16</v>
      </c>
      <c r="F106" s="109">
        <f>219.6*1.06</f>
        <v>232.77600000000001</v>
      </c>
      <c r="G106" s="110"/>
      <c r="H106" s="195">
        <f>SUM(E106*F106)</f>
        <v>3724.4160000000002</v>
      </c>
      <c r="I106" s="76" t="s">
        <v>188</v>
      </c>
      <c r="J106" s="89"/>
      <c r="K106" s="118"/>
      <c r="L106" s="146"/>
      <c r="M106" s="146"/>
      <c r="N106" s="146"/>
      <c r="O106" s="146"/>
      <c r="P106" s="147"/>
      <c r="Q106" s="151"/>
    </row>
    <row r="107" spans="1:17" ht="30" customHeight="1">
      <c r="A107" s="104" t="s">
        <v>189</v>
      </c>
      <c r="B107" s="174" t="s">
        <v>190</v>
      </c>
      <c r="C107" s="107" t="s">
        <v>76</v>
      </c>
      <c r="D107" s="107" t="s">
        <v>8</v>
      </c>
      <c r="E107" s="108">
        <v>8</v>
      </c>
      <c r="F107" s="109">
        <f>140*1.06</f>
        <v>148.4</v>
      </c>
      <c r="G107" s="110"/>
      <c r="H107" s="195">
        <f>SUM(E107*F107)</f>
        <v>1187.2</v>
      </c>
      <c r="I107" s="76" t="s">
        <v>191</v>
      </c>
      <c r="J107" s="89"/>
      <c r="K107" s="118"/>
      <c r="L107" s="146"/>
      <c r="M107" s="146"/>
      <c r="N107" s="146"/>
      <c r="O107" s="146"/>
      <c r="P107" s="147"/>
      <c r="Q107" s="151"/>
    </row>
    <row r="108" spans="1:17" ht="30" customHeight="1">
      <c r="A108" s="104" t="s">
        <v>192</v>
      </c>
      <c r="B108" s="174" t="s">
        <v>193</v>
      </c>
      <c r="C108" s="107" t="s">
        <v>76</v>
      </c>
      <c r="D108" s="107" t="s">
        <v>8</v>
      </c>
      <c r="E108" s="108">
        <f>8*5</f>
        <v>40</v>
      </c>
      <c r="F108" s="109">
        <f>135*1.06</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10</v>
      </c>
      <c r="F109" s="159">
        <f>70*1.06</f>
        <v>74.2</v>
      </c>
      <c r="G109" s="118"/>
      <c r="H109" s="195">
        <f t="shared" ref="H109:H120" si="13">SUM(E109*F109)</f>
        <v>742</v>
      </c>
      <c r="I109" s="569" t="s">
        <v>197</v>
      </c>
      <c r="J109" s="570"/>
      <c r="K109" s="161"/>
      <c r="L109" s="162"/>
      <c r="M109" s="162"/>
      <c r="N109" s="162"/>
      <c r="O109" s="162"/>
      <c r="P109" s="163"/>
      <c r="Q109" s="151"/>
    </row>
    <row r="110" spans="1:17" ht="30" customHeight="1">
      <c r="A110" s="104" t="s">
        <v>198</v>
      </c>
      <c r="B110" s="170" t="s">
        <v>199</v>
      </c>
      <c r="C110" s="171" t="s">
        <v>76</v>
      </c>
      <c r="D110" s="171" t="s">
        <v>8</v>
      </c>
      <c r="E110" s="108">
        <v>0</v>
      </c>
      <c r="F110" s="159">
        <f>150*1.8*1.06</f>
        <v>286.2</v>
      </c>
      <c r="G110" s="118"/>
      <c r="H110" s="167">
        <f t="shared" si="13"/>
        <v>0</v>
      </c>
      <c r="I110" s="567"/>
      <c r="J110" s="568"/>
      <c r="K110" s="161"/>
      <c r="L110" s="162"/>
      <c r="M110" s="162"/>
      <c r="N110" s="162"/>
      <c r="O110" s="162"/>
      <c r="P110" s="163"/>
      <c r="Q110" s="151"/>
    </row>
    <row r="111" spans="1:17" ht="30" customHeight="1">
      <c r="A111" s="104" t="s">
        <v>200</v>
      </c>
      <c r="B111" s="170" t="s">
        <v>201</v>
      </c>
      <c r="C111" s="171" t="s">
        <v>76</v>
      </c>
      <c r="D111" s="171" t="s">
        <v>8</v>
      </c>
      <c r="E111" s="108">
        <v>0</v>
      </c>
      <c r="F111" s="159">
        <f>280*1.06</f>
        <v>296.8</v>
      </c>
      <c r="G111" s="118"/>
      <c r="H111" s="167">
        <f t="shared" si="13"/>
        <v>0</v>
      </c>
      <c r="I111" s="567"/>
      <c r="J111" s="568"/>
      <c r="K111" s="161"/>
      <c r="L111" s="162"/>
      <c r="M111" s="162"/>
      <c r="N111" s="162"/>
      <c r="O111" s="162"/>
      <c r="P111" s="163"/>
      <c r="Q111" s="151"/>
    </row>
    <row r="112" spans="1:17" ht="30" customHeight="1">
      <c r="A112" s="104" t="s">
        <v>202</v>
      </c>
      <c r="B112" s="170" t="s">
        <v>203</v>
      </c>
      <c r="C112" s="171" t="s">
        <v>57</v>
      </c>
      <c r="D112" s="171" t="s">
        <v>8</v>
      </c>
      <c r="E112" s="108">
        <v>0</v>
      </c>
      <c r="F112" s="159">
        <f>290*1.06</f>
        <v>307.40000000000003</v>
      </c>
      <c r="G112" s="118"/>
      <c r="H112" s="167">
        <f t="shared" si="13"/>
        <v>0</v>
      </c>
      <c r="I112" s="567"/>
      <c r="J112" s="568"/>
      <c r="K112" s="161"/>
      <c r="L112" s="162"/>
      <c r="M112" s="162"/>
      <c r="N112" s="162"/>
      <c r="O112" s="162"/>
      <c r="P112" s="163"/>
      <c r="Q112" s="151"/>
    </row>
    <row r="113" spans="1:17" ht="30" customHeight="1">
      <c r="A113" s="104" t="s">
        <v>204</v>
      </c>
      <c r="B113" s="89" t="s">
        <v>205</v>
      </c>
      <c r="C113" s="89" t="s">
        <v>117</v>
      </c>
      <c r="D113" s="171" t="s">
        <v>118</v>
      </c>
      <c r="E113" s="108">
        <v>0</v>
      </c>
      <c r="F113" s="118">
        <f>45*1.06</f>
        <v>47.7</v>
      </c>
      <c r="G113" s="118"/>
      <c r="H113" s="197">
        <f t="shared" si="13"/>
        <v>0</v>
      </c>
      <c r="I113" s="567"/>
      <c r="J113" s="568"/>
      <c r="K113" s="183"/>
      <c r="L113" s="184"/>
      <c r="M113" s="184"/>
      <c r="N113" s="184"/>
      <c r="O113" s="184"/>
      <c r="P113" s="185"/>
      <c r="Q113" s="151"/>
    </row>
    <row r="114" spans="1:17" ht="30" customHeight="1">
      <c r="A114" s="104" t="s">
        <v>206</v>
      </c>
      <c r="B114" s="170" t="s">
        <v>207</v>
      </c>
      <c r="C114" s="171" t="s">
        <v>57</v>
      </c>
      <c r="D114" s="171" t="s">
        <v>8</v>
      </c>
      <c r="E114" s="108">
        <v>0</v>
      </c>
      <c r="F114" s="159">
        <f>18*1.06</f>
        <v>19.080000000000002</v>
      </c>
      <c r="G114" s="118"/>
      <c r="H114" s="167">
        <f t="shared" si="13"/>
        <v>0</v>
      </c>
      <c r="I114" s="567"/>
      <c r="J114" s="568"/>
      <c r="K114" s="161"/>
      <c r="L114" s="162"/>
      <c r="M114" s="162"/>
      <c r="N114" s="162"/>
      <c r="O114" s="162"/>
      <c r="P114" s="163"/>
      <c r="Q114" s="151"/>
    </row>
    <row r="115" spans="1:17" ht="30" customHeight="1">
      <c r="A115" s="104" t="s">
        <v>208</v>
      </c>
      <c r="B115" s="89" t="s">
        <v>209</v>
      </c>
      <c r="C115" s="89" t="s">
        <v>117</v>
      </c>
      <c r="D115" s="171" t="s">
        <v>118</v>
      </c>
      <c r="E115" s="196">
        <f>G3</f>
        <v>10</v>
      </c>
      <c r="F115" s="118">
        <f>95.5*1.06</f>
        <v>101.23</v>
      </c>
      <c r="G115" s="118"/>
      <c r="H115" s="198">
        <f t="shared" si="13"/>
        <v>1012.3000000000001</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v>0</v>
      </c>
      <c r="F116" s="118">
        <f>62.5*1.06</f>
        <v>66.25</v>
      </c>
      <c r="G116" s="118"/>
      <c r="H116" s="197">
        <f t="shared" si="13"/>
        <v>0</v>
      </c>
      <c r="I116" s="567"/>
      <c r="J116" s="568"/>
      <c r="K116" s="183"/>
      <c r="L116" s="184"/>
      <c r="M116" s="184"/>
      <c r="N116" s="184"/>
      <c r="O116" s="184"/>
      <c r="P116" s="185"/>
      <c r="Q116" s="151"/>
    </row>
    <row r="117" spans="1:17" ht="30" customHeight="1">
      <c r="A117" s="104" t="s">
        <v>212</v>
      </c>
      <c r="B117" s="89" t="s">
        <v>213</v>
      </c>
      <c r="C117" s="89" t="s">
        <v>117</v>
      </c>
      <c r="D117" s="171" t="s">
        <v>118</v>
      </c>
      <c r="E117" s="108">
        <v>0</v>
      </c>
      <c r="F117" s="118">
        <v>0</v>
      </c>
      <c r="G117" s="118"/>
      <c r="H117" s="197">
        <f t="shared" si="13"/>
        <v>0</v>
      </c>
      <c r="I117" s="567"/>
      <c r="J117" s="568"/>
      <c r="K117" s="183"/>
      <c r="L117" s="184"/>
      <c r="M117" s="184"/>
      <c r="N117" s="184"/>
      <c r="O117" s="184"/>
      <c r="P117" s="185"/>
      <c r="Q117" s="151"/>
    </row>
    <row r="118" spans="1:17" ht="30" customHeight="1">
      <c r="A118" s="104" t="s">
        <v>214</v>
      </c>
      <c r="B118" s="170" t="s">
        <v>215</v>
      </c>
      <c r="C118" s="89" t="s">
        <v>117</v>
      </c>
      <c r="D118" s="171" t="s">
        <v>118</v>
      </c>
      <c r="E118" s="108">
        <v>0</v>
      </c>
      <c r="F118" s="118">
        <v>0</v>
      </c>
      <c r="G118" s="118"/>
      <c r="H118" s="197">
        <f t="shared" si="13"/>
        <v>0</v>
      </c>
      <c r="I118" s="567"/>
      <c r="J118" s="568"/>
      <c r="K118" s="183"/>
      <c r="L118" s="184"/>
      <c r="M118" s="184"/>
      <c r="N118" s="184"/>
      <c r="O118" s="184"/>
      <c r="P118" s="185"/>
      <c r="Q118" s="151"/>
    </row>
    <row r="119" spans="1:17" ht="30" customHeight="1">
      <c r="A119" s="104" t="s">
        <v>216</v>
      </c>
      <c r="B119" s="170" t="s">
        <v>217</v>
      </c>
      <c r="C119" s="89" t="s">
        <v>117</v>
      </c>
      <c r="D119" s="171" t="s">
        <v>218</v>
      </c>
      <c r="E119" s="108">
        <v>0</v>
      </c>
      <c r="F119" s="118">
        <f>12.5*1.06</f>
        <v>13.25</v>
      </c>
      <c r="G119" s="118"/>
      <c r="H119" s="197">
        <f t="shared" si="13"/>
        <v>0</v>
      </c>
      <c r="I119" s="567"/>
      <c r="J119" s="568"/>
      <c r="K119" s="183"/>
      <c r="L119" s="184"/>
      <c r="M119" s="184"/>
      <c r="N119" s="184"/>
      <c r="O119" s="184"/>
      <c r="P119" s="185"/>
      <c r="Q119" s="151"/>
    </row>
    <row r="120" spans="1:17" ht="30" customHeight="1">
      <c r="A120" s="104" t="s">
        <v>219</v>
      </c>
      <c r="B120" s="89" t="s">
        <v>220</v>
      </c>
      <c r="C120" s="89" t="s">
        <v>117</v>
      </c>
      <c r="D120" s="171" t="s">
        <v>118</v>
      </c>
      <c r="E120" s="108">
        <v>0</v>
      </c>
      <c r="F120" s="118">
        <v>0</v>
      </c>
      <c r="G120" s="118"/>
      <c r="H120" s="197">
        <f t="shared" si="13"/>
        <v>0</v>
      </c>
      <c r="I120" s="567"/>
      <c r="J120" s="568"/>
      <c r="K120" s="183"/>
      <c r="L120" s="184"/>
      <c r="M120" s="184"/>
      <c r="N120" s="184"/>
      <c r="O120" s="184"/>
      <c r="P120" s="185"/>
      <c r="Q120" s="151"/>
    </row>
    <row r="121" spans="1:17" ht="30" customHeight="1">
      <c r="A121" s="143"/>
      <c r="B121" s="149"/>
      <c r="C121" s="149"/>
      <c r="D121" s="143"/>
      <c r="E121" s="108"/>
      <c r="F121" s="150"/>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53" t="s">
        <v>14</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v>0</v>
      </c>
      <c r="F123" s="109">
        <f>95*1.06</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v>0</v>
      </c>
      <c r="F124" s="118">
        <f>90*1.06</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8*((3+2)*$A$4)</f>
        <v>200</v>
      </c>
      <c r="F125" s="109">
        <f>225*1.06</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8*((3+2)*$A$4)</f>
        <v>200</v>
      </c>
      <c r="F126" s="109">
        <f>275*1.06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v>0</v>
      </c>
      <c r="F127" s="109">
        <f>575*1.06</f>
        <v>609.5</v>
      </c>
      <c r="G127" s="109"/>
      <c r="H127" s="167">
        <f t="shared" ref="H127:H136" si="14">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v>0</v>
      </c>
      <c r="F128" s="109">
        <f>638*1.06</f>
        <v>676.28000000000009</v>
      </c>
      <c r="G128" s="109"/>
      <c r="H128" s="167">
        <f t="shared" si="14"/>
        <v>0</v>
      </c>
      <c r="I128" s="569"/>
      <c r="J128" s="570"/>
      <c r="K128" s="118"/>
      <c r="L128" s="146"/>
      <c r="M128" s="146"/>
      <c r="N128" s="146"/>
      <c r="O128" s="146"/>
      <c r="P128" s="147"/>
      <c r="Q128" s="151"/>
    </row>
    <row r="129" spans="1:17" ht="30" customHeight="1">
      <c r="A129" s="171" t="s">
        <v>236</v>
      </c>
      <c r="B129" s="89" t="s">
        <v>237</v>
      </c>
      <c r="C129" s="89" t="s">
        <v>117</v>
      </c>
      <c r="D129" s="171" t="s">
        <v>118</v>
      </c>
      <c r="E129" s="108">
        <v>0</v>
      </c>
      <c r="F129" s="118">
        <f>300*1.06</f>
        <v>318</v>
      </c>
      <c r="G129" s="118"/>
      <c r="H129" s="167">
        <f t="shared" si="14"/>
        <v>0</v>
      </c>
      <c r="I129" s="569"/>
      <c r="J129" s="570"/>
      <c r="K129" s="183"/>
      <c r="L129" s="184"/>
      <c r="M129" s="184"/>
      <c r="N129" s="184"/>
      <c r="O129" s="184"/>
      <c r="P129" s="185"/>
      <c r="Q129" s="151"/>
    </row>
    <row r="130" spans="1:17" ht="30" customHeight="1">
      <c r="A130" s="171" t="s">
        <v>238</v>
      </c>
      <c r="B130" s="89" t="s">
        <v>239</v>
      </c>
      <c r="C130" s="89" t="s">
        <v>117</v>
      </c>
      <c r="D130" s="171" t="s">
        <v>118</v>
      </c>
      <c r="E130" s="108">
        <v>0</v>
      </c>
      <c r="F130" s="118">
        <v>0</v>
      </c>
      <c r="G130" s="118"/>
      <c r="H130" s="167">
        <f t="shared" si="14"/>
        <v>0</v>
      </c>
      <c r="I130" s="569"/>
      <c r="J130" s="570"/>
      <c r="K130" s="183"/>
      <c r="L130" s="184"/>
      <c r="M130" s="184"/>
      <c r="N130" s="184"/>
      <c r="O130" s="184"/>
      <c r="P130" s="185"/>
      <c r="Q130" s="151"/>
    </row>
    <row r="131" spans="1:17" ht="30" customHeight="1">
      <c r="A131" s="171" t="s">
        <v>240</v>
      </c>
      <c r="B131" s="89" t="s">
        <v>241</v>
      </c>
      <c r="C131" s="89" t="s">
        <v>117</v>
      </c>
      <c r="D131" s="171" t="s">
        <v>118</v>
      </c>
      <c r="E131" s="108">
        <v>0</v>
      </c>
      <c r="F131" s="118">
        <f>195*1.06</f>
        <v>206.70000000000002</v>
      </c>
      <c r="G131" s="118"/>
      <c r="H131" s="167">
        <f t="shared" si="14"/>
        <v>0</v>
      </c>
      <c r="I131" s="569"/>
      <c r="J131" s="570"/>
      <c r="K131" s="183"/>
      <c r="L131" s="184"/>
      <c r="M131" s="184"/>
      <c r="N131" s="184"/>
      <c r="O131" s="184"/>
      <c r="P131" s="185"/>
      <c r="Q131" s="151"/>
    </row>
    <row r="132" spans="1:17" ht="30" customHeight="1">
      <c r="A132" s="171" t="s">
        <v>242</v>
      </c>
      <c r="B132" s="89" t="s">
        <v>243</v>
      </c>
      <c r="C132" s="89" t="s">
        <v>117</v>
      </c>
      <c r="D132" s="171" t="s">
        <v>118</v>
      </c>
      <c r="E132" s="108">
        <v>0</v>
      </c>
      <c r="F132" s="118">
        <v>0</v>
      </c>
      <c r="G132" s="118"/>
      <c r="H132" s="167">
        <f t="shared" si="14"/>
        <v>0</v>
      </c>
      <c r="I132" s="569"/>
      <c r="J132" s="570"/>
      <c r="K132" s="183"/>
      <c r="L132" s="184"/>
      <c r="M132" s="184"/>
      <c r="N132" s="184"/>
      <c r="O132" s="184"/>
      <c r="P132" s="185"/>
      <c r="Q132" s="151"/>
    </row>
    <row r="133" spans="1:17" ht="30" customHeight="1">
      <c r="A133" s="171" t="s">
        <v>244</v>
      </c>
      <c r="B133" s="174" t="s">
        <v>245</v>
      </c>
      <c r="C133" s="107" t="s">
        <v>57</v>
      </c>
      <c r="D133" s="107" t="s">
        <v>8</v>
      </c>
      <c r="E133" s="108">
        <v>0</v>
      </c>
      <c r="F133" s="109">
        <f>213*1.06</f>
        <v>225.78</v>
      </c>
      <c r="G133" s="109"/>
      <c r="H133" s="167">
        <f t="shared" si="14"/>
        <v>0</v>
      </c>
      <c r="I133" s="569"/>
      <c r="J133" s="570"/>
      <c r="K133" s="118"/>
      <c r="L133" s="146"/>
      <c r="M133" s="146"/>
      <c r="N133" s="146"/>
      <c r="O133" s="146"/>
      <c r="P133" s="147"/>
      <c r="Q133" s="151"/>
    </row>
    <row r="134" spans="1:17" ht="30" customHeight="1">
      <c r="A134" s="171" t="s">
        <v>246</v>
      </c>
      <c r="B134" s="202" t="s">
        <v>247</v>
      </c>
      <c r="C134" s="203" t="s">
        <v>57</v>
      </c>
      <c r="D134" s="178" t="s">
        <v>8</v>
      </c>
      <c r="E134" s="204">
        <v>0</v>
      </c>
      <c r="F134" s="205">
        <f>255*1.06</f>
        <v>270.3</v>
      </c>
      <c r="G134" s="206"/>
      <c r="H134" s="167">
        <f t="shared" si="14"/>
        <v>0</v>
      </c>
      <c r="I134" s="569"/>
      <c r="J134" s="570"/>
      <c r="K134" s="118"/>
      <c r="L134" s="146"/>
      <c r="M134" s="146"/>
      <c r="N134" s="146"/>
      <c r="O134" s="146"/>
      <c r="P134" s="147"/>
      <c r="Q134" s="151"/>
    </row>
    <row r="135" spans="1:17" ht="30" customHeight="1">
      <c r="A135" s="171" t="s">
        <v>248</v>
      </c>
      <c r="B135" s="174" t="s">
        <v>249</v>
      </c>
      <c r="C135" s="107" t="s">
        <v>57</v>
      </c>
      <c r="D135" s="107" t="s">
        <v>8</v>
      </c>
      <c r="E135" s="108">
        <v>0</v>
      </c>
      <c r="F135" s="109">
        <f>823*1.06</f>
        <v>872.38</v>
      </c>
      <c r="G135" s="109"/>
      <c r="H135" s="167">
        <f t="shared" si="14"/>
        <v>0</v>
      </c>
      <c r="I135" s="569"/>
      <c r="J135" s="570"/>
      <c r="K135" s="207"/>
      <c r="L135" s="146"/>
      <c r="M135" s="146"/>
      <c r="N135" s="146"/>
      <c r="O135" s="146"/>
      <c r="P135" s="147"/>
      <c r="Q135" s="151"/>
    </row>
    <row r="136" spans="1:17" ht="30" customHeight="1">
      <c r="A136" s="171" t="s">
        <v>250</v>
      </c>
      <c r="B136" s="89" t="s">
        <v>251</v>
      </c>
      <c r="C136" s="89" t="s">
        <v>117</v>
      </c>
      <c r="D136" s="171" t="s">
        <v>118</v>
      </c>
      <c r="E136" s="108">
        <v>0</v>
      </c>
      <c r="F136" s="118">
        <v>0</v>
      </c>
      <c r="G136" s="118"/>
      <c r="H136" s="167">
        <f t="shared" si="14"/>
        <v>0</v>
      </c>
      <c r="I136" s="569"/>
      <c r="J136" s="570"/>
      <c r="K136" s="208"/>
      <c r="L136" s="184"/>
      <c r="M136" s="184"/>
      <c r="N136" s="184"/>
      <c r="O136" s="184"/>
      <c r="P136" s="185"/>
      <c r="Q136" s="151"/>
    </row>
    <row r="137" spans="1:17" ht="30" customHeight="1">
      <c r="A137" s="171" t="s">
        <v>252</v>
      </c>
      <c r="B137" s="116" t="s">
        <v>253</v>
      </c>
      <c r="C137" s="75" t="s">
        <v>76</v>
      </c>
      <c r="D137" s="107" t="s">
        <v>8</v>
      </c>
      <c r="E137" s="108">
        <f>8*4*2</f>
        <v>64</v>
      </c>
      <c r="F137" s="118">
        <f>1250*0.2*1.06</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v>0</v>
      </c>
      <c r="F138" s="118">
        <f>580.8*1.06</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v>0</v>
      </c>
      <c r="F139" s="118">
        <f>750*1.06</f>
        <v>795</v>
      </c>
      <c r="G139" s="118"/>
      <c r="H139" s="109">
        <f t="shared" ref="H139:H149" si="15">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v>0</v>
      </c>
      <c r="F140" s="118">
        <f>195*1.06</f>
        <v>206.70000000000002</v>
      </c>
      <c r="G140" s="118"/>
      <c r="H140" s="109">
        <f t="shared" si="15"/>
        <v>0</v>
      </c>
      <c r="I140" s="567"/>
      <c r="J140" s="567"/>
      <c r="K140" s="210"/>
      <c r="L140" s="211"/>
      <c r="M140" s="211"/>
      <c r="N140" s="211"/>
      <c r="O140" s="211"/>
      <c r="P140" s="74"/>
      <c r="Q140" s="151"/>
    </row>
    <row r="141" spans="1:17" ht="30" customHeight="1">
      <c r="A141" s="171" t="s">
        <v>262</v>
      </c>
      <c r="B141" s="116" t="s">
        <v>263</v>
      </c>
      <c r="C141" s="75" t="s">
        <v>57</v>
      </c>
      <c r="D141" s="107" t="s">
        <v>8</v>
      </c>
      <c r="E141" s="108">
        <v>0</v>
      </c>
      <c r="F141" s="118">
        <f>275*1.06</f>
        <v>291.5</v>
      </c>
      <c r="G141" s="118"/>
      <c r="H141" s="109">
        <f t="shared" si="15"/>
        <v>0</v>
      </c>
      <c r="I141" s="567"/>
      <c r="J141" s="567"/>
      <c r="K141" s="210"/>
      <c r="L141" s="211"/>
      <c r="M141" s="211"/>
      <c r="N141" s="211"/>
      <c r="O141" s="211"/>
      <c r="P141" s="74"/>
      <c r="Q141" s="151"/>
    </row>
    <row r="142" spans="1:17" ht="30" customHeight="1">
      <c r="A142" s="171" t="s">
        <v>264</v>
      </c>
      <c r="B142" s="116" t="s">
        <v>265</v>
      </c>
      <c r="C142" s="75" t="s">
        <v>57</v>
      </c>
      <c r="D142" s="107" t="s">
        <v>8</v>
      </c>
      <c r="E142" s="108">
        <v>0</v>
      </c>
      <c r="F142" s="118">
        <f>295*1.06</f>
        <v>312.7</v>
      </c>
      <c r="G142" s="118"/>
      <c r="H142" s="109">
        <f t="shared" si="15"/>
        <v>0</v>
      </c>
      <c r="I142" s="567"/>
      <c r="J142" s="567"/>
      <c r="K142" s="210"/>
      <c r="L142" s="211"/>
      <c r="M142" s="211"/>
      <c r="N142" s="211"/>
      <c r="O142" s="211"/>
      <c r="P142" s="74"/>
      <c r="Q142" s="151"/>
    </row>
    <row r="143" spans="1:17" ht="30" customHeight="1">
      <c r="A143" s="171" t="s">
        <v>266</v>
      </c>
      <c r="B143" s="89" t="s">
        <v>267</v>
      </c>
      <c r="C143" s="89" t="s">
        <v>117</v>
      </c>
      <c r="D143" s="171" t="s">
        <v>118</v>
      </c>
      <c r="E143" s="108">
        <v>0</v>
      </c>
      <c r="F143" s="118">
        <f>230*1.06</f>
        <v>243.8</v>
      </c>
      <c r="G143" s="118"/>
      <c r="H143" s="109">
        <f t="shared" si="15"/>
        <v>0</v>
      </c>
      <c r="I143" s="567"/>
      <c r="J143" s="567"/>
      <c r="K143" s="208"/>
      <c r="L143" s="184"/>
      <c r="M143" s="184"/>
      <c r="N143" s="184"/>
      <c r="O143" s="184"/>
      <c r="P143" s="185"/>
      <c r="Q143" s="151"/>
    </row>
    <row r="144" spans="1:17" ht="30" customHeight="1">
      <c r="A144" s="171" t="s">
        <v>268</v>
      </c>
      <c r="B144" s="89" t="s">
        <v>269</v>
      </c>
      <c r="C144" s="89" t="s">
        <v>117</v>
      </c>
      <c r="D144" s="171" t="s">
        <v>118</v>
      </c>
      <c r="E144" s="108">
        <v>0</v>
      </c>
      <c r="F144" s="118">
        <v>0</v>
      </c>
      <c r="G144" s="118"/>
      <c r="H144" s="109">
        <f t="shared" si="15"/>
        <v>0</v>
      </c>
      <c r="I144" s="567"/>
      <c r="J144" s="567"/>
      <c r="K144" s="208"/>
      <c r="L144" s="184"/>
      <c r="M144" s="184"/>
      <c r="N144" s="184"/>
      <c r="O144" s="184"/>
      <c r="P144" s="185"/>
      <c r="Q144" s="151"/>
    </row>
    <row r="145" spans="1:17" ht="30" customHeight="1">
      <c r="A145" s="171" t="s">
        <v>270</v>
      </c>
      <c r="B145" s="89" t="s">
        <v>271</v>
      </c>
      <c r="C145" s="89" t="s">
        <v>117</v>
      </c>
      <c r="D145" s="171" t="s">
        <v>118</v>
      </c>
      <c r="E145" s="108">
        <v>0</v>
      </c>
      <c r="F145" s="118">
        <v>0</v>
      </c>
      <c r="G145" s="118"/>
      <c r="H145" s="109">
        <f t="shared" si="15"/>
        <v>0</v>
      </c>
      <c r="I145" s="567"/>
      <c r="J145" s="567"/>
      <c r="K145" s="208"/>
      <c r="L145" s="184"/>
      <c r="M145" s="184"/>
      <c r="N145" s="184"/>
      <c r="O145" s="184"/>
      <c r="P145" s="185"/>
      <c r="Q145" s="151"/>
    </row>
    <row r="146" spans="1:17" ht="30" customHeight="1">
      <c r="A146" s="171" t="s">
        <v>272</v>
      </c>
      <c r="B146" s="89" t="s">
        <v>273</v>
      </c>
      <c r="C146" s="89" t="s">
        <v>117</v>
      </c>
      <c r="D146" s="171" t="s">
        <v>118</v>
      </c>
      <c r="E146" s="108">
        <v>0</v>
      </c>
      <c r="F146" s="118">
        <v>0</v>
      </c>
      <c r="G146" s="118"/>
      <c r="H146" s="109">
        <f t="shared" si="15"/>
        <v>0</v>
      </c>
      <c r="I146" s="567"/>
      <c r="J146" s="567"/>
      <c r="K146" s="208"/>
      <c r="L146" s="184"/>
      <c r="M146" s="184"/>
      <c r="N146" s="184"/>
      <c r="O146" s="184"/>
      <c r="P146" s="185"/>
      <c r="Q146" s="151"/>
    </row>
    <row r="147" spans="1:17" ht="30" customHeight="1">
      <c r="A147" s="171" t="s">
        <v>274</v>
      </c>
      <c r="B147" s="89" t="s">
        <v>275</v>
      </c>
      <c r="C147" s="89" t="s">
        <v>117</v>
      </c>
      <c r="D147" s="171" t="s">
        <v>118</v>
      </c>
      <c r="E147" s="108">
        <v>0</v>
      </c>
      <c r="F147" s="118">
        <f>55*1.06</f>
        <v>58.300000000000004</v>
      </c>
      <c r="G147" s="118"/>
      <c r="H147" s="109">
        <f t="shared" si="15"/>
        <v>0</v>
      </c>
      <c r="I147" s="567"/>
      <c r="J147" s="567"/>
      <c r="K147" s="208"/>
      <c r="L147" s="184"/>
      <c r="M147" s="184"/>
      <c r="N147" s="184"/>
      <c r="O147" s="184"/>
      <c r="P147" s="185"/>
      <c r="Q147" s="151"/>
    </row>
    <row r="148" spans="1:17" ht="30" customHeight="1">
      <c r="A148" s="171" t="s">
        <v>276</v>
      </c>
      <c r="B148" s="89" t="s">
        <v>277</v>
      </c>
      <c r="C148" s="89" t="s">
        <v>117</v>
      </c>
      <c r="D148" s="171" t="s">
        <v>118</v>
      </c>
      <c r="E148" s="108">
        <v>0</v>
      </c>
      <c r="F148" s="118">
        <v>0</v>
      </c>
      <c r="G148" s="118"/>
      <c r="H148" s="109">
        <f t="shared" si="15"/>
        <v>0</v>
      </c>
      <c r="I148" s="567"/>
      <c r="J148" s="567"/>
      <c r="K148" s="208"/>
      <c r="L148" s="184"/>
      <c r="M148" s="184"/>
      <c r="N148" s="184"/>
      <c r="O148" s="184"/>
      <c r="P148" s="185"/>
      <c r="Q148" s="151"/>
    </row>
    <row r="149" spans="1:17" ht="30" customHeight="1">
      <c r="A149" s="171" t="s">
        <v>278</v>
      </c>
      <c r="B149" s="89" t="s">
        <v>279</v>
      </c>
      <c r="C149" s="89" t="s">
        <v>117</v>
      </c>
      <c r="D149" s="171" t="s">
        <v>118</v>
      </c>
      <c r="E149" s="108">
        <v>0</v>
      </c>
      <c r="F149" s="118">
        <v>0</v>
      </c>
      <c r="G149" s="118"/>
      <c r="H149" s="109">
        <f t="shared" si="15"/>
        <v>0</v>
      </c>
      <c r="I149" s="567"/>
      <c r="J149" s="567"/>
      <c r="K149" s="208"/>
      <c r="L149" s="184"/>
      <c r="M149" s="184"/>
      <c r="N149" s="184"/>
      <c r="O149" s="184"/>
      <c r="P149" s="185"/>
      <c r="Q149" s="151"/>
    </row>
    <row r="150" spans="1:17" ht="30" customHeight="1">
      <c r="A150" s="212"/>
      <c r="B150" s="151"/>
      <c r="C150" s="151"/>
      <c r="D150" s="213"/>
      <c r="E150" s="179"/>
      <c r="F150" s="214"/>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48" t="s">
        <v>14</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v>0</v>
      </c>
      <c r="F152" s="109">
        <f>373.56*1.06</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1*A4</f>
        <v>5</v>
      </c>
      <c r="F153" s="109">
        <f>290.4*1.06</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v>0</v>
      </c>
      <c r="F154" s="109">
        <f>375*1.06</f>
        <v>397.5</v>
      </c>
      <c r="G154" s="109"/>
      <c r="H154" s="167"/>
      <c r="I154" s="153"/>
      <c r="J154" s="152"/>
      <c r="K154" s="118"/>
      <c r="L154" s="146"/>
      <c r="M154" s="146"/>
      <c r="N154" s="146"/>
      <c r="O154" s="146"/>
      <c r="P154" s="147"/>
      <c r="Q154" s="151"/>
    </row>
    <row r="155" spans="1:17" ht="30" customHeight="1">
      <c r="A155" s="171"/>
      <c r="B155" s="116"/>
      <c r="C155" s="75"/>
      <c r="D155" s="171"/>
      <c r="E155" s="108"/>
      <c r="F155" s="109"/>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48" t="s">
        <v>14</v>
      </c>
      <c r="G156" s="48" t="s">
        <v>15</v>
      </c>
      <c r="H156" s="48" t="s">
        <v>16</v>
      </c>
      <c r="I156" s="571" t="s">
        <v>17</v>
      </c>
      <c r="J156" s="571"/>
      <c r="K156" s="37"/>
      <c r="L156" s="50"/>
      <c r="M156" s="50"/>
      <c r="N156" s="50"/>
      <c r="O156" s="50"/>
      <c r="P156" s="49" t="s">
        <v>18</v>
      </c>
      <c r="Q156" s="151"/>
    </row>
    <row r="157" spans="1:17">
      <c r="A157" s="218"/>
      <c r="B157" s="219"/>
      <c r="C157" s="219"/>
      <c r="D157" s="218"/>
      <c r="E157" s="220"/>
      <c r="F157" s="221"/>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50</v>
      </c>
      <c r="F158" s="109">
        <f>22*1.06</f>
        <v>23.32</v>
      </c>
      <c r="G158" s="109"/>
      <c r="H158" s="167">
        <f>E158*F158</f>
        <v>1166</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v>0</v>
      </c>
      <c r="F159" s="109">
        <f>89.95*1.06</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2*$A$4</f>
        <v>10</v>
      </c>
      <c r="F160" s="109">
        <f>260.8*1.06</f>
        <v>276.44800000000004</v>
      </c>
      <c r="G160" s="109"/>
      <c r="H160" s="167">
        <f t="shared" ref="H160:H194" si="16">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50</v>
      </c>
      <c r="F161" s="109">
        <f>95*2*1.06</f>
        <v>201.4</v>
      </c>
      <c r="G161" s="109"/>
      <c r="H161" s="167">
        <f t="shared" si="16"/>
        <v>10070</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v>0</v>
      </c>
      <c r="F162" s="109">
        <f>145.7*1.06</f>
        <v>154.44200000000001</v>
      </c>
      <c r="G162" s="109"/>
      <c r="H162" s="167">
        <f t="shared" si="16"/>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50</v>
      </c>
      <c r="F163" s="118">
        <f>62.5*1.06</f>
        <v>66.25</v>
      </c>
      <c r="G163" s="118"/>
      <c r="H163" s="168">
        <f t="shared" si="16"/>
        <v>3312.5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v>0</v>
      </c>
      <c r="F164" s="118">
        <f>170*1.06</f>
        <v>180.20000000000002</v>
      </c>
      <c r="G164" s="118"/>
      <c r="H164" s="197">
        <f t="shared" si="16"/>
        <v>0</v>
      </c>
      <c r="I164" s="569"/>
      <c r="J164" s="570"/>
      <c r="K164" s="183"/>
      <c r="L164" s="184"/>
      <c r="M164" s="184"/>
      <c r="N164" s="184"/>
      <c r="O164" s="184"/>
      <c r="P164" s="185"/>
      <c r="Q164" s="151"/>
    </row>
    <row r="165" spans="1:17" ht="30" customHeight="1">
      <c r="A165" s="171" t="s">
        <v>311</v>
      </c>
      <c r="B165" s="174" t="s">
        <v>312</v>
      </c>
      <c r="C165" s="107" t="s">
        <v>33</v>
      </c>
      <c r="D165" s="107" t="s">
        <v>313</v>
      </c>
      <c r="E165" s="108">
        <v>0</v>
      </c>
      <c r="F165" s="109">
        <f>170*1.06</f>
        <v>180.20000000000002</v>
      </c>
      <c r="G165" s="109"/>
      <c r="H165" s="167">
        <f t="shared" si="16"/>
        <v>0</v>
      </c>
      <c r="I165" s="569"/>
      <c r="J165" s="570"/>
      <c r="K165" s="118"/>
      <c r="L165" s="146"/>
      <c r="M165" s="146"/>
      <c r="N165" s="146"/>
      <c r="O165" s="146"/>
      <c r="P165" s="147"/>
      <c r="Q165" s="151"/>
    </row>
    <row r="166" spans="1:17" ht="30" customHeight="1">
      <c r="A166" s="171" t="s">
        <v>314</v>
      </c>
      <c r="B166" s="174" t="s">
        <v>545</v>
      </c>
      <c r="C166" s="107" t="s">
        <v>57</v>
      </c>
      <c r="D166" s="107" t="s">
        <v>257</v>
      </c>
      <c r="E166" s="108">
        <v>0</v>
      </c>
      <c r="F166" s="109">
        <f>1584*1.06</f>
        <v>1679.0400000000002</v>
      </c>
      <c r="G166" s="109"/>
      <c r="H166" s="167">
        <f t="shared" si="16"/>
        <v>0</v>
      </c>
      <c r="I166" s="569"/>
      <c r="J166" s="570"/>
      <c r="K166" s="118"/>
      <c r="L166" s="146"/>
      <c r="M166" s="146"/>
      <c r="N166" s="146"/>
      <c r="O166" s="146"/>
      <c r="P166" s="147"/>
      <c r="Q166" s="151"/>
    </row>
    <row r="167" spans="1:17" ht="30" customHeight="1">
      <c r="A167" s="171" t="s">
        <v>317</v>
      </c>
      <c r="B167" s="89" t="s">
        <v>318</v>
      </c>
      <c r="C167" s="89" t="s">
        <v>117</v>
      </c>
      <c r="D167" s="171" t="s">
        <v>118</v>
      </c>
      <c r="E167" s="108">
        <v>0</v>
      </c>
      <c r="F167" s="118">
        <f>10.25*1.06</f>
        <v>10.865</v>
      </c>
      <c r="G167" s="118"/>
      <c r="H167" s="197">
        <f t="shared" si="16"/>
        <v>0</v>
      </c>
      <c r="I167" s="569"/>
      <c r="J167" s="570"/>
      <c r="K167" s="183"/>
      <c r="L167" s="184"/>
      <c r="M167" s="184"/>
      <c r="N167" s="184"/>
      <c r="O167" s="184"/>
      <c r="P167" s="185"/>
      <c r="Q167" s="151"/>
    </row>
    <row r="168" spans="1:17" ht="30" customHeight="1">
      <c r="A168" s="171" t="s">
        <v>319</v>
      </c>
      <c r="B168" s="174" t="s">
        <v>546</v>
      </c>
      <c r="C168" s="107" t="s">
        <v>57</v>
      </c>
      <c r="D168" s="107" t="s">
        <v>257</v>
      </c>
      <c r="E168" s="505">
        <v>0</v>
      </c>
      <c r="F168" s="109">
        <f>950.4*1.06</f>
        <v>1007.424</v>
      </c>
      <c r="G168" s="109"/>
      <c r="H168" s="167">
        <f t="shared" si="16"/>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v>0</v>
      </c>
      <c r="F169" s="118">
        <f>12.75*1.06</f>
        <v>13.515000000000001</v>
      </c>
      <c r="G169" s="118"/>
      <c r="H169" s="197">
        <f t="shared" si="16"/>
        <v>0</v>
      </c>
      <c r="I169" s="569"/>
      <c r="J169" s="570"/>
      <c r="K169" s="183"/>
      <c r="L169" s="184"/>
      <c r="M169" s="184"/>
      <c r="N169" s="184"/>
      <c r="O169" s="184"/>
      <c r="P169" s="185"/>
      <c r="Q169" s="151"/>
    </row>
    <row r="170" spans="1:17" ht="30" customHeight="1">
      <c r="A170" s="171" t="s">
        <v>324</v>
      </c>
      <c r="B170" s="174" t="s">
        <v>325</v>
      </c>
      <c r="C170" s="107"/>
      <c r="D170" s="107" t="s">
        <v>326</v>
      </c>
      <c r="E170" s="196">
        <f>$G$3*$A$4</f>
        <v>50</v>
      </c>
      <c r="F170" s="109">
        <f>70*1.06</f>
        <v>74.2</v>
      </c>
      <c r="G170" s="109"/>
      <c r="H170" s="167">
        <f t="shared" si="16"/>
        <v>3710</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v>0</v>
      </c>
      <c r="F171" s="109">
        <f>133.6*2*1.06</f>
        <v>283.23200000000003</v>
      </c>
      <c r="G171" s="109"/>
      <c r="H171" s="167">
        <f t="shared" si="16"/>
        <v>0</v>
      </c>
      <c r="I171" s="569"/>
      <c r="J171" s="570"/>
      <c r="K171" s="118"/>
      <c r="L171" s="146"/>
      <c r="M171" s="146"/>
      <c r="N171" s="146"/>
      <c r="O171" s="146"/>
      <c r="P171" s="147"/>
      <c r="Q171" s="151"/>
    </row>
    <row r="172" spans="1:17" ht="30" customHeight="1">
      <c r="A172" s="171" t="s">
        <v>330</v>
      </c>
      <c r="B172" s="89" t="s">
        <v>331</v>
      </c>
      <c r="C172" s="89" t="s">
        <v>117</v>
      </c>
      <c r="D172" s="171" t="s">
        <v>118</v>
      </c>
      <c r="E172" s="108">
        <v>0</v>
      </c>
      <c r="F172" s="118">
        <f>90*1.06</f>
        <v>95.4</v>
      </c>
      <c r="G172" s="118"/>
      <c r="H172" s="197">
        <f t="shared" si="16"/>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50</v>
      </c>
      <c r="F173" s="109">
        <f>31.9*1.06</f>
        <v>33.814</v>
      </c>
      <c r="G173" s="109"/>
      <c r="H173" s="167">
        <f t="shared" si="16"/>
        <v>1690.7</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50</v>
      </c>
      <c r="F174" s="109">
        <f>43.5*1.06</f>
        <v>46.11</v>
      </c>
      <c r="G174" s="109"/>
      <c r="H174" s="167">
        <f t="shared" si="16"/>
        <v>2305.5</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50</v>
      </c>
      <c r="F175" s="109">
        <f>217.5*2*1.06</f>
        <v>461.1</v>
      </c>
      <c r="G175" s="109"/>
      <c r="H175" s="167">
        <f t="shared" si="16"/>
        <v>23055</v>
      </c>
      <c r="I175" s="569" t="s">
        <v>343</v>
      </c>
      <c r="J175" s="570"/>
      <c r="K175" s="118"/>
      <c r="L175" s="146"/>
      <c r="M175" s="146"/>
      <c r="N175" s="146"/>
      <c r="O175" s="146"/>
      <c r="P175" s="147"/>
      <c r="Q175" s="151"/>
    </row>
    <row r="176" spans="1:17" ht="30" customHeight="1">
      <c r="A176" s="171" t="s">
        <v>347</v>
      </c>
      <c r="B176" s="116" t="s">
        <v>345</v>
      </c>
      <c r="C176" s="75" t="s">
        <v>26</v>
      </c>
      <c r="D176" s="171" t="s">
        <v>291</v>
      </c>
      <c r="E176" s="108">
        <v>0</v>
      </c>
      <c r="F176" s="109">
        <f>900*1.06</f>
        <v>954</v>
      </c>
      <c r="G176" s="109"/>
      <c r="H176" s="167">
        <f>E176*F176</f>
        <v>0</v>
      </c>
      <c r="I176" s="569" t="s">
        <v>346</v>
      </c>
      <c r="J176" s="570"/>
      <c r="K176" s="118"/>
      <c r="L176" s="146"/>
      <c r="M176" s="146"/>
      <c r="N176" s="146"/>
      <c r="O176" s="146"/>
      <c r="P176" s="147"/>
      <c r="Q176" s="151"/>
    </row>
    <row r="177" spans="1:17" ht="30" customHeight="1">
      <c r="A177" s="171" t="s">
        <v>350</v>
      </c>
      <c r="B177" s="116" t="s">
        <v>547</v>
      </c>
      <c r="C177" s="75" t="s">
        <v>117</v>
      </c>
      <c r="D177" s="171" t="s">
        <v>291</v>
      </c>
      <c r="E177" s="108">
        <v>0</v>
      </c>
      <c r="F177" s="109">
        <f>495*1.06</f>
        <v>524.70000000000005</v>
      </c>
      <c r="G177" s="109"/>
      <c r="H177" s="167">
        <f>E177*F177</f>
        <v>0</v>
      </c>
      <c r="I177" s="569" t="s">
        <v>548</v>
      </c>
      <c r="J177" s="570"/>
      <c r="K177" s="118"/>
      <c r="L177" s="146"/>
      <c r="M177" s="146"/>
      <c r="N177" s="146"/>
      <c r="O177" s="146"/>
      <c r="P177" s="147"/>
      <c r="Q177" s="151"/>
    </row>
    <row r="178" spans="1:17" ht="30" customHeight="1">
      <c r="A178" s="171" t="s">
        <v>352</v>
      </c>
      <c r="B178" s="116" t="s">
        <v>348</v>
      </c>
      <c r="C178" s="75" t="s">
        <v>57</v>
      </c>
      <c r="D178" s="107" t="s">
        <v>291</v>
      </c>
      <c r="E178" s="218">
        <f>10*5</f>
        <v>50</v>
      </c>
      <c r="F178" s="109">
        <f>4.8*4*1.06</f>
        <v>20.352</v>
      </c>
      <c r="G178" s="109"/>
      <c r="H178" s="167">
        <f t="shared" si="16"/>
        <v>1017.6</v>
      </c>
      <c r="I178" s="569" t="s">
        <v>349</v>
      </c>
      <c r="J178" s="570"/>
      <c r="K178" s="118"/>
      <c r="L178" s="146"/>
      <c r="M178" s="146"/>
      <c r="N178" s="146"/>
      <c r="O178" s="146"/>
      <c r="P178" s="147"/>
      <c r="Q178" s="151"/>
    </row>
    <row r="179" spans="1:17" ht="30" customHeight="1">
      <c r="A179" s="171" t="s">
        <v>354</v>
      </c>
      <c r="B179" s="116" t="s">
        <v>351</v>
      </c>
      <c r="C179" s="75" t="s">
        <v>57</v>
      </c>
      <c r="D179" s="107" t="s">
        <v>257</v>
      </c>
      <c r="E179" s="108">
        <v>0</v>
      </c>
      <c r="F179" s="109">
        <f>56.1*1.06</f>
        <v>59.466000000000001</v>
      </c>
      <c r="G179" s="109"/>
      <c r="H179" s="167">
        <f t="shared" si="16"/>
        <v>0</v>
      </c>
      <c r="I179" s="569"/>
      <c r="J179" s="570"/>
      <c r="K179" s="118"/>
      <c r="L179" s="146"/>
      <c r="M179" s="146"/>
      <c r="N179" s="146"/>
      <c r="O179" s="146"/>
      <c r="P179" s="147"/>
      <c r="Q179" s="151"/>
    </row>
    <row r="180" spans="1:17" ht="30" customHeight="1">
      <c r="A180" s="171" t="s">
        <v>357</v>
      </c>
      <c r="B180" s="89" t="s">
        <v>353</v>
      </c>
      <c r="C180" s="89" t="s">
        <v>117</v>
      </c>
      <c r="D180" s="171" t="s">
        <v>118</v>
      </c>
      <c r="E180" s="108">
        <v>0</v>
      </c>
      <c r="F180" s="118">
        <v>0</v>
      </c>
      <c r="G180" s="118"/>
      <c r="H180" s="197">
        <f t="shared" si="16"/>
        <v>0</v>
      </c>
      <c r="I180" s="569"/>
      <c r="J180" s="570"/>
      <c r="K180" s="183"/>
      <c r="L180" s="184"/>
      <c r="M180" s="184"/>
      <c r="N180" s="184"/>
      <c r="O180" s="184"/>
      <c r="P180" s="185"/>
      <c r="Q180" s="151"/>
    </row>
    <row r="181" spans="1:17" ht="30" customHeight="1">
      <c r="A181" s="171" t="s">
        <v>360</v>
      </c>
      <c r="B181" s="89" t="s">
        <v>355</v>
      </c>
      <c r="C181" s="89" t="s">
        <v>117</v>
      </c>
      <c r="D181" s="171" t="s">
        <v>356</v>
      </c>
      <c r="E181" s="108">
        <v>0</v>
      </c>
      <c r="F181" s="118">
        <f>50*1.06</f>
        <v>53</v>
      </c>
      <c r="G181" s="109"/>
      <c r="H181" s="167">
        <f t="shared" si="16"/>
        <v>0</v>
      </c>
      <c r="I181" s="569"/>
      <c r="J181" s="570"/>
      <c r="K181" s="118"/>
      <c r="L181" s="146"/>
      <c r="M181" s="146"/>
      <c r="N181" s="146"/>
      <c r="O181" s="146"/>
      <c r="P181" s="147"/>
      <c r="Q181" s="151"/>
    </row>
    <row r="182" spans="1:17" ht="30" customHeight="1">
      <c r="A182" s="171" t="s">
        <v>363</v>
      </c>
      <c r="B182" s="89" t="s">
        <v>358</v>
      </c>
      <c r="C182" s="89" t="s">
        <v>117</v>
      </c>
      <c r="D182" s="171" t="s">
        <v>359</v>
      </c>
      <c r="E182" s="108">
        <v>0</v>
      </c>
      <c r="F182" s="118">
        <f>1.65*1.06</f>
        <v>1.7489999999999999</v>
      </c>
      <c r="G182" s="109"/>
      <c r="H182" s="167">
        <f t="shared" si="16"/>
        <v>0</v>
      </c>
      <c r="I182" s="569"/>
      <c r="J182" s="570"/>
      <c r="K182" s="118"/>
      <c r="L182" s="146"/>
      <c r="M182" s="146"/>
      <c r="N182" s="146"/>
      <c r="O182" s="146"/>
      <c r="P182" s="147"/>
      <c r="Q182" s="151"/>
    </row>
    <row r="183" spans="1:17" ht="30" customHeight="1">
      <c r="A183" s="171" t="s">
        <v>366</v>
      </c>
      <c r="B183" s="89" t="s">
        <v>361</v>
      </c>
      <c r="C183" s="89" t="s">
        <v>117</v>
      </c>
      <c r="D183" s="171" t="s">
        <v>362</v>
      </c>
      <c r="E183" s="108">
        <v>0</v>
      </c>
      <c r="F183" s="118">
        <f>55*1.06</f>
        <v>58.300000000000004</v>
      </c>
      <c r="G183" s="109"/>
      <c r="H183" s="167">
        <f t="shared" si="16"/>
        <v>0</v>
      </c>
      <c r="I183" s="569"/>
      <c r="J183" s="570"/>
      <c r="K183" s="118"/>
      <c r="L183" s="146"/>
      <c r="M183" s="146"/>
      <c r="N183" s="146"/>
      <c r="O183" s="146"/>
      <c r="P183" s="147"/>
      <c r="Q183" s="151"/>
    </row>
    <row r="184" spans="1:17" ht="30" customHeight="1">
      <c r="A184" s="171" t="s">
        <v>368</v>
      </c>
      <c r="B184" s="89" t="s">
        <v>364</v>
      </c>
      <c r="C184" s="89" t="s">
        <v>117</v>
      </c>
      <c r="D184" s="171" t="s">
        <v>304</v>
      </c>
      <c r="E184" s="196">
        <f>$G$3*$A$4</f>
        <v>50</v>
      </c>
      <c r="F184" s="118">
        <f>313*1.06</f>
        <v>331.78000000000003</v>
      </c>
      <c r="G184" s="109"/>
      <c r="H184" s="167">
        <f t="shared" si="16"/>
        <v>16589</v>
      </c>
      <c r="I184" s="569" t="s">
        <v>365</v>
      </c>
      <c r="J184" s="570"/>
      <c r="K184" s="118"/>
      <c r="L184" s="146"/>
      <c r="M184" s="146"/>
      <c r="N184" s="146"/>
      <c r="O184" s="146"/>
      <c r="P184" s="147"/>
      <c r="Q184" s="151"/>
    </row>
    <row r="185" spans="1:17" ht="30" customHeight="1">
      <c r="A185" s="171" t="s">
        <v>371</v>
      </c>
      <c r="B185" s="89" t="s">
        <v>367</v>
      </c>
      <c r="C185" s="89" t="s">
        <v>117</v>
      </c>
      <c r="D185" s="171" t="s">
        <v>362</v>
      </c>
      <c r="E185" s="108">
        <v>0</v>
      </c>
      <c r="F185" s="168">
        <v>0</v>
      </c>
      <c r="G185" s="109"/>
      <c r="H185" s="167">
        <f t="shared" si="16"/>
        <v>0</v>
      </c>
      <c r="I185" s="567"/>
      <c r="J185" s="568"/>
      <c r="K185" s="118"/>
      <c r="L185" s="146"/>
      <c r="M185" s="146"/>
      <c r="N185" s="146"/>
      <c r="O185" s="146"/>
      <c r="P185" s="147"/>
      <c r="Q185" s="151"/>
    </row>
    <row r="186" spans="1:17" ht="30" customHeight="1">
      <c r="A186" s="171" t="s">
        <v>373</v>
      </c>
      <c r="B186" s="89" t="s">
        <v>369</v>
      </c>
      <c r="C186" s="89" t="s">
        <v>117</v>
      </c>
      <c r="D186" s="171" t="s">
        <v>370</v>
      </c>
      <c r="E186" s="108">
        <v>0</v>
      </c>
      <c r="F186" s="168">
        <v>0</v>
      </c>
      <c r="G186" s="109"/>
      <c r="H186" s="167">
        <f t="shared" si="16"/>
        <v>0</v>
      </c>
      <c r="I186" s="567"/>
      <c r="J186" s="568"/>
      <c r="K186" s="161"/>
      <c r="L186" s="162"/>
      <c r="M186" s="162"/>
      <c r="N186" s="162"/>
      <c r="O186" s="162"/>
      <c r="P186" s="163"/>
      <c r="Q186" s="151"/>
    </row>
    <row r="187" spans="1:17" ht="30" customHeight="1">
      <c r="A187" s="171" t="s">
        <v>375</v>
      </c>
      <c r="B187" s="89" t="s">
        <v>372</v>
      </c>
      <c r="C187" s="89" t="s">
        <v>117</v>
      </c>
      <c r="D187" s="171" t="s">
        <v>304</v>
      </c>
      <c r="E187" s="196">
        <f>$G$3*$A$4</f>
        <v>50</v>
      </c>
      <c r="F187" s="118">
        <f>295*1.06</f>
        <v>312.7</v>
      </c>
      <c r="G187" s="109"/>
      <c r="H187" s="167">
        <f t="shared" si="16"/>
        <v>15635</v>
      </c>
      <c r="I187" s="567" t="s">
        <v>365</v>
      </c>
      <c r="J187" s="568"/>
      <c r="K187" s="161"/>
      <c r="L187" s="162"/>
      <c r="M187" s="162"/>
      <c r="N187" s="162"/>
      <c r="O187" s="162"/>
      <c r="P187" s="163"/>
      <c r="Q187" s="151"/>
    </row>
    <row r="188" spans="1:17" ht="30" customHeight="1">
      <c r="A188" s="171" t="s">
        <v>378</v>
      </c>
      <c r="B188" s="116" t="s">
        <v>374</v>
      </c>
      <c r="C188" s="75" t="s">
        <v>101</v>
      </c>
      <c r="D188" s="107" t="s">
        <v>359</v>
      </c>
      <c r="E188" s="108">
        <v>0</v>
      </c>
      <c r="F188" s="109">
        <f>1*1.06</f>
        <v>1.06</v>
      </c>
      <c r="G188" s="109"/>
      <c r="H188" s="167">
        <f t="shared" si="16"/>
        <v>0</v>
      </c>
      <c r="I188" s="567"/>
      <c r="J188" s="568"/>
      <c r="K188" s="118"/>
      <c r="L188" s="146"/>
      <c r="M188" s="146"/>
      <c r="N188" s="146"/>
      <c r="O188" s="146"/>
      <c r="P188" s="147"/>
      <c r="Q188" s="151"/>
    </row>
    <row r="189" spans="1:17" ht="30" customHeight="1">
      <c r="A189" s="171" t="s">
        <v>380</v>
      </c>
      <c r="B189" s="116" t="s">
        <v>374</v>
      </c>
      <c r="C189" s="75" t="s">
        <v>57</v>
      </c>
      <c r="D189" s="107" t="s">
        <v>376</v>
      </c>
      <c r="E189" s="196">
        <f>$G$3*$A$4*3</f>
        <v>150</v>
      </c>
      <c r="F189" s="109">
        <f>140*0.8*1.06</f>
        <v>118.72</v>
      </c>
      <c r="G189" s="109"/>
      <c r="H189" s="167">
        <f>E189*F189</f>
        <v>17808</v>
      </c>
      <c r="I189" s="567" t="s">
        <v>377</v>
      </c>
      <c r="J189" s="568"/>
      <c r="K189" s="118"/>
      <c r="L189" s="146"/>
      <c r="M189" s="146"/>
      <c r="N189" s="146"/>
      <c r="O189" s="146"/>
      <c r="P189" s="147"/>
      <c r="Q189" s="151"/>
    </row>
    <row r="190" spans="1:17" ht="30" customHeight="1">
      <c r="A190" s="171" t="s">
        <v>382</v>
      </c>
      <c r="B190" s="116" t="s">
        <v>379</v>
      </c>
      <c r="C190" s="75" t="s">
        <v>33</v>
      </c>
      <c r="D190" s="107" t="s">
        <v>359</v>
      </c>
      <c r="E190" s="108">
        <v>0</v>
      </c>
      <c r="F190" s="109">
        <f>0.8*1.06</f>
        <v>0.84800000000000009</v>
      </c>
      <c r="G190" s="109"/>
      <c r="H190" s="167">
        <f t="shared" si="16"/>
        <v>0</v>
      </c>
      <c r="I190" s="567"/>
      <c r="J190" s="568"/>
      <c r="K190" s="118"/>
      <c r="L190" s="146"/>
      <c r="M190" s="146"/>
      <c r="N190" s="146"/>
      <c r="O190" s="146"/>
      <c r="P190" s="147"/>
      <c r="Q190" s="151"/>
    </row>
    <row r="191" spans="1:17" ht="30" customHeight="1">
      <c r="A191" s="171" t="s">
        <v>385</v>
      </c>
      <c r="B191" s="116" t="s">
        <v>381</v>
      </c>
      <c r="C191" s="75" t="s">
        <v>33</v>
      </c>
      <c r="D191" s="107" t="s">
        <v>359</v>
      </c>
      <c r="E191" s="108">
        <v>0</v>
      </c>
      <c r="F191" s="109">
        <f>1.25*1.06</f>
        <v>1.3250000000000002</v>
      </c>
      <c r="G191" s="109"/>
      <c r="H191" s="167">
        <f t="shared" si="16"/>
        <v>0</v>
      </c>
      <c r="I191" s="567"/>
      <c r="J191" s="568"/>
      <c r="K191" s="118"/>
      <c r="L191" s="146"/>
      <c r="M191" s="146"/>
      <c r="N191" s="146"/>
      <c r="O191" s="146"/>
      <c r="P191" s="147"/>
      <c r="Q191" s="151"/>
    </row>
    <row r="192" spans="1:17" ht="30" customHeight="1">
      <c r="A192" s="171" t="s">
        <v>388</v>
      </c>
      <c r="B192" s="116" t="s">
        <v>383</v>
      </c>
      <c r="C192" s="75" t="s">
        <v>33</v>
      </c>
      <c r="D192" s="107" t="s">
        <v>384</v>
      </c>
      <c r="E192" s="108">
        <v>0</v>
      </c>
      <c r="F192" s="109">
        <f>163*1.06</f>
        <v>172.78</v>
      </c>
      <c r="G192" s="109"/>
      <c r="H192" s="167">
        <f t="shared" si="16"/>
        <v>0</v>
      </c>
      <c r="I192" s="567"/>
      <c r="J192" s="568"/>
      <c r="K192" s="118"/>
      <c r="L192" s="146"/>
      <c r="M192" s="146"/>
      <c r="N192" s="146"/>
      <c r="O192" s="146"/>
      <c r="P192" s="147"/>
      <c r="Q192" s="151"/>
    </row>
    <row r="193" spans="1:17" ht="30" customHeight="1">
      <c r="A193" s="171" t="s">
        <v>549</v>
      </c>
      <c r="B193" s="116" t="s">
        <v>386</v>
      </c>
      <c r="C193" s="75" t="s">
        <v>57</v>
      </c>
      <c r="D193" s="107" t="s">
        <v>387</v>
      </c>
      <c r="E193" s="108">
        <v>0</v>
      </c>
      <c r="F193" s="109">
        <f>650*1.06</f>
        <v>689</v>
      </c>
      <c r="G193" s="109"/>
      <c r="H193" s="167">
        <f t="shared" si="16"/>
        <v>0</v>
      </c>
      <c r="I193" s="567"/>
      <c r="J193" s="568"/>
      <c r="K193" s="118"/>
      <c r="L193" s="146"/>
      <c r="M193" s="146"/>
      <c r="N193" s="146"/>
      <c r="O193" s="146"/>
      <c r="P193" s="147"/>
      <c r="Q193" s="151"/>
    </row>
    <row r="194" spans="1:17" ht="30" customHeight="1">
      <c r="A194" s="171" t="s">
        <v>550</v>
      </c>
      <c r="B194" s="116" t="s">
        <v>389</v>
      </c>
      <c r="C194" s="75" t="s">
        <v>57</v>
      </c>
      <c r="D194" s="107" t="s">
        <v>387</v>
      </c>
      <c r="E194" s="108">
        <v>0</v>
      </c>
      <c r="F194" s="109">
        <f>350*1.06</f>
        <v>371</v>
      </c>
      <c r="G194" s="109"/>
      <c r="H194" s="167">
        <f t="shared" si="16"/>
        <v>0</v>
      </c>
      <c r="I194" s="567"/>
      <c r="J194" s="568"/>
      <c r="K194" s="118"/>
      <c r="L194" s="146"/>
      <c r="M194" s="146"/>
      <c r="N194" s="146"/>
      <c r="O194" s="146"/>
      <c r="P194" s="147"/>
      <c r="Q194" s="151"/>
    </row>
    <row r="195" spans="1:17" ht="30" customHeight="1">
      <c r="A195" s="226"/>
      <c r="B195" s="227"/>
      <c r="C195" s="228"/>
      <c r="D195" s="229"/>
      <c r="E195" s="179"/>
      <c r="F195" s="70"/>
      <c r="G195" s="230"/>
      <c r="H195" s="230"/>
      <c r="I195" s="231"/>
      <c r="J195" s="232"/>
      <c r="K195" s="233"/>
      <c r="L195" s="234"/>
      <c r="M195" s="234"/>
      <c r="N195" s="234"/>
      <c r="O195" s="234"/>
      <c r="P195" s="163"/>
      <c r="Q195" s="151"/>
    </row>
    <row r="196" spans="1:17" s="5" customFormat="1" ht="65.25" customHeight="1">
      <c r="A196" s="235">
        <v>10</v>
      </c>
      <c r="B196" s="236" t="s">
        <v>390</v>
      </c>
      <c r="C196" s="115"/>
      <c r="D196" s="38" t="s">
        <v>12</v>
      </c>
      <c r="E196" s="47" t="s">
        <v>13</v>
      </c>
      <c r="F196" s="37" t="s">
        <v>14</v>
      </c>
      <c r="G196" s="37" t="s">
        <v>15</v>
      </c>
      <c r="H196" s="37" t="s">
        <v>16</v>
      </c>
      <c r="I196" s="563" t="s">
        <v>17</v>
      </c>
      <c r="J196" s="564"/>
      <c r="K196" s="564"/>
      <c r="L196" s="564"/>
      <c r="M196" s="564"/>
      <c r="N196" s="564"/>
      <c r="O196" s="564"/>
      <c r="P196" s="38" t="s">
        <v>18</v>
      </c>
      <c r="Q196" s="301"/>
    </row>
    <row r="197" spans="1:17" ht="30" customHeight="1">
      <c r="A197" s="171" t="s">
        <v>391</v>
      </c>
      <c r="B197" s="89" t="s">
        <v>392</v>
      </c>
      <c r="C197" s="89" t="s">
        <v>117</v>
      </c>
      <c r="D197" s="171" t="s">
        <v>393</v>
      </c>
      <c r="E197" s="108">
        <v>0</v>
      </c>
      <c r="F197" s="118">
        <f>7.31*1.06</f>
        <v>7.7485999999999997</v>
      </c>
      <c r="G197" s="198"/>
      <c r="H197" s="118"/>
      <c r="I197" s="565"/>
      <c r="J197" s="562"/>
      <c r="K197" s="161"/>
      <c r="L197" s="162"/>
      <c r="M197" s="162"/>
      <c r="N197" s="162"/>
      <c r="O197" s="162"/>
      <c r="P197" s="163"/>
      <c r="Q197" s="151"/>
    </row>
    <row r="198" spans="1:17" ht="30" customHeight="1">
      <c r="A198" s="171" t="s">
        <v>394</v>
      </c>
      <c r="B198" s="89" t="s">
        <v>395</v>
      </c>
      <c r="C198" s="89" t="s">
        <v>117</v>
      </c>
      <c r="D198" s="171" t="s">
        <v>393</v>
      </c>
      <c r="E198" s="108">
        <v>0</v>
      </c>
      <c r="F198" s="118">
        <f>7.3*1.06</f>
        <v>7.7380000000000004</v>
      </c>
      <c r="G198" s="198"/>
      <c r="H198" s="118"/>
      <c r="I198" s="565"/>
      <c r="J198" s="562"/>
      <c r="K198" s="161"/>
      <c r="L198" s="162"/>
      <c r="M198" s="162"/>
      <c r="N198" s="162"/>
      <c r="O198" s="162"/>
      <c r="P198" s="163"/>
      <c r="Q198" s="151"/>
    </row>
    <row r="199" spans="1:17" ht="30" customHeight="1">
      <c r="A199" s="171" t="s">
        <v>396</v>
      </c>
      <c r="B199" s="89" t="s">
        <v>397</v>
      </c>
      <c r="C199" s="89" t="s">
        <v>117</v>
      </c>
      <c r="D199" s="171" t="s">
        <v>398</v>
      </c>
      <c r="E199" s="108">
        <v>0</v>
      </c>
      <c r="F199" s="118">
        <f>55*1.06</f>
        <v>58.300000000000004</v>
      </c>
      <c r="G199" s="198"/>
      <c r="H199" s="118"/>
      <c r="I199" s="565"/>
      <c r="J199" s="562"/>
      <c r="K199" s="161"/>
      <c r="L199" s="162"/>
      <c r="M199" s="162"/>
      <c r="N199" s="162"/>
      <c r="O199" s="162"/>
      <c r="P199" s="163"/>
      <c r="Q199" s="151"/>
    </row>
    <row r="200" spans="1:17" ht="30" customHeight="1">
      <c r="A200" s="171" t="s">
        <v>399</v>
      </c>
      <c r="B200" s="89" t="s">
        <v>400</v>
      </c>
      <c r="C200" s="89" t="s">
        <v>117</v>
      </c>
      <c r="D200" s="171" t="s">
        <v>401</v>
      </c>
      <c r="E200" s="108">
        <v>0</v>
      </c>
      <c r="F200" s="118">
        <f t="shared" ref="F200:F205" si="17">13.5*1.06</f>
        <v>14.31</v>
      </c>
      <c r="G200" s="198"/>
      <c r="H200" s="118"/>
      <c r="I200" s="565"/>
      <c r="J200" s="562"/>
      <c r="K200" s="161"/>
      <c r="L200" s="162"/>
      <c r="M200" s="162"/>
      <c r="N200" s="162"/>
      <c r="O200" s="162"/>
      <c r="P200" s="163"/>
      <c r="Q200" s="151"/>
    </row>
    <row r="201" spans="1:17" ht="30" customHeight="1">
      <c r="A201" s="171" t="s">
        <v>402</v>
      </c>
      <c r="B201" s="89" t="s">
        <v>403</v>
      </c>
      <c r="C201" s="89" t="s">
        <v>117</v>
      </c>
      <c r="D201" s="171" t="s">
        <v>401</v>
      </c>
      <c r="E201" s="108">
        <v>0</v>
      </c>
      <c r="F201" s="118">
        <f t="shared" si="17"/>
        <v>14.31</v>
      </c>
      <c r="G201" s="198"/>
      <c r="H201" s="118"/>
      <c r="I201" s="565"/>
      <c r="J201" s="562"/>
      <c r="K201" s="161"/>
      <c r="L201" s="162"/>
      <c r="M201" s="162"/>
      <c r="N201" s="162"/>
      <c r="O201" s="162"/>
      <c r="P201" s="163"/>
      <c r="Q201" s="151"/>
    </row>
    <row r="202" spans="1:17" ht="30" customHeight="1">
      <c r="A202" s="171" t="s">
        <v>404</v>
      </c>
      <c r="B202" s="89" t="s">
        <v>405</v>
      </c>
      <c r="C202" s="89" t="s">
        <v>117</v>
      </c>
      <c r="D202" s="171" t="s">
        <v>401</v>
      </c>
      <c r="E202" s="108">
        <v>0</v>
      </c>
      <c r="F202" s="118">
        <f t="shared" si="17"/>
        <v>14.31</v>
      </c>
      <c r="G202" s="198"/>
      <c r="H202" s="118"/>
      <c r="I202" s="565"/>
      <c r="J202" s="562"/>
      <c r="K202" s="161"/>
      <c r="L202" s="162"/>
      <c r="M202" s="162"/>
      <c r="N202" s="162"/>
      <c r="O202" s="162"/>
      <c r="P202" s="163"/>
      <c r="Q202" s="151"/>
    </row>
    <row r="203" spans="1:17" ht="30" customHeight="1">
      <c r="A203" s="171" t="s">
        <v>406</v>
      </c>
      <c r="B203" s="89" t="s">
        <v>407</v>
      </c>
      <c r="C203" s="89" t="s">
        <v>117</v>
      </c>
      <c r="D203" s="171" t="s">
        <v>401</v>
      </c>
      <c r="E203" s="108">
        <v>0</v>
      </c>
      <c r="F203" s="118">
        <f t="shared" si="17"/>
        <v>14.31</v>
      </c>
      <c r="G203" s="198"/>
      <c r="H203" s="118"/>
      <c r="I203" s="565"/>
      <c r="J203" s="562"/>
      <c r="K203" s="161"/>
      <c r="L203" s="162"/>
      <c r="M203" s="162"/>
      <c r="N203" s="162"/>
      <c r="O203" s="162"/>
      <c r="P203" s="163"/>
      <c r="Q203" s="151"/>
    </row>
    <row r="204" spans="1:17" ht="30" customHeight="1">
      <c r="A204" s="171" t="s">
        <v>408</v>
      </c>
      <c r="B204" s="89" t="s">
        <v>409</v>
      </c>
      <c r="C204" s="89" t="s">
        <v>117</v>
      </c>
      <c r="D204" s="171" t="s">
        <v>401</v>
      </c>
      <c r="E204" s="108">
        <v>0</v>
      </c>
      <c r="F204" s="118">
        <f t="shared" si="17"/>
        <v>14.31</v>
      </c>
      <c r="G204" s="198"/>
      <c r="H204" s="118"/>
      <c r="I204" s="565"/>
      <c r="J204" s="562"/>
      <c r="K204" s="161"/>
      <c r="L204" s="162"/>
      <c r="M204" s="162"/>
      <c r="N204" s="162"/>
      <c r="O204" s="162"/>
      <c r="P204" s="163"/>
      <c r="Q204" s="151"/>
    </row>
    <row r="205" spans="1:17" ht="30" customHeight="1">
      <c r="A205" s="171" t="s">
        <v>410</v>
      </c>
      <c r="B205" s="89" t="s">
        <v>411</v>
      </c>
      <c r="C205" s="89" t="s">
        <v>117</v>
      </c>
      <c r="D205" s="171" t="s">
        <v>401</v>
      </c>
      <c r="E205" s="108">
        <v>0</v>
      </c>
      <c r="F205" s="118">
        <f t="shared" si="17"/>
        <v>14.31</v>
      </c>
      <c r="G205" s="198"/>
      <c r="H205" s="118"/>
      <c r="I205" s="565"/>
      <c r="J205" s="562"/>
      <c r="K205" s="161"/>
      <c r="L205" s="162"/>
      <c r="M205" s="162"/>
      <c r="N205" s="162"/>
      <c r="O205" s="162"/>
      <c r="P205" s="163"/>
      <c r="Q205" s="151"/>
    </row>
    <row r="206" spans="1:17" ht="30" customHeight="1">
      <c r="A206" s="171" t="s">
        <v>412</v>
      </c>
      <c r="B206" s="89" t="s">
        <v>413</v>
      </c>
      <c r="C206" s="89" t="s">
        <v>117</v>
      </c>
      <c r="D206" s="171" t="s">
        <v>414</v>
      </c>
      <c r="E206" s="108">
        <v>0</v>
      </c>
      <c r="F206" s="118">
        <f>85*1.06</f>
        <v>90.100000000000009</v>
      </c>
      <c r="G206" s="198"/>
      <c r="H206" s="118"/>
      <c r="I206" s="565"/>
      <c r="J206" s="562"/>
      <c r="K206" s="161"/>
      <c r="L206" s="162"/>
      <c r="M206" s="162"/>
      <c r="N206" s="162"/>
      <c r="O206" s="162"/>
      <c r="P206" s="163"/>
      <c r="Q206" s="151"/>
    </row>
    <row r="207" spans="1:17" ht="30" customHeight="1">
      <c r="A207" s="171" t="s">
        <v>415</v>
      </c>
      <c r="B207" s="89" t="s">
        <v>416</v>
      </c>
      <c r="C207" s="89" t="s">
        <v>117</v>
      </c>
      <c r="D207" s="171" t="s">
        <v>401</v>
      </c>
      <c r="E207" s="108">
        <v>0</v>
      </c>
      <c r="F207" s="118">
        <f>13.5*1.06</f>
        <v>14.31</v>
      </c>
      <c r="G207" s="198"/>
      <c r="H207" s="118"/>
      <c r="I207" s="565"/>
      <c r="J207" s="562"/>
      <c r="K207" s="161"/>
      <c r="L207" s="162"/>
      <c r="M207" s="162"/>
      <c r="N207" s="162"/>
      <c r="O207" s="162"/>
      <c r="P207" s="163"/>
      <c r="Q207" s="151"/>
    </row>
    <row r="208" spans="1:17" ht="30" customHeight="1">
      <c r="A208" s="171" t="s">
        <v>417</v>
      </c>
      <c r="B208" s="89" t="s">
        <v>418</v>
      </c>
      <c r="C208" s="89" t="s">
        <v>117</v>
      </c>
      <c r="D208" s="171" t="s">
        <v>401</v>
      </c>
      <c r="E208" s="108">
        <v>0</v>
      </c>
      <c r="F208" s="118">
        <f>2.5*1.06</f>
        <v>2.6500000000000004</v>
      </c>
      <c r="G208" s="198"/>
      <c r="H208" s="118"/>
      <c r="I208" s="565"/>
      <c r="J208" s="562"/>
      <c r="K208" s="161"/>
      <c r="L208" s="162"/>
      <c r="M208" s="162"/>
      <c r="N208" s="162"/>
      <c r="O208" s="162"/>
      <c r="P208" s="163"/>
      <c r="Q208" s="151"/>
    </row>
    <row r="209" spans="1:17" ht="30" customHeight="1">
      <c r="A209" s="171" t="s">
        <v>419</v>
      </c>
      <c r="B209" s="89" t="s">
        <v>420</v>
      </c>
      <c r="C209" s="89" t="s">
        <v>117</v>
      </c>
      <c r="D209" s="171" t="s">
        <v>304</v>
      </c>
      <c r="E209" s="108">
        <v>0</v>
      </c>
      <c r="F209" s="118">
        <f>14*1.06</f>
        <v>14.84</v>
      </c>
      <c r="G209" s="198"/>
      <c r="H209" s="118"/>
      <c r="I209" s="565"/>
      <c r="J209" s="562"/>
      <c r="K209" s="161"/>
      <c r="L209" s="162"/>
      <c r="M209" s="162"/>
      <c r="N209" s="162"/>
      <c r="O209" s="162"/>
      <c r="P209" s="163"/>
      <c r="Q209" s="151"/>
    </row>
    <row r="210" spans="1:17" ht="30" customHeight="1">
      <c r="A210" s="171" t="s">
        <v>421</v>
      </c>
      <c r="B210" s="89" t="s">
        <v>422</v>
      </c>
      <c r="C210" s="89" t="s">
        <v>117</v>
      </c>
      <c r="D210" s="171" t="s">
        <v>401</v>
      </c>
      <c r="E210" s="108">
        <v>0</v>
      </c>
      <c r="F210" s="118">
        <f>14.3*1.06</f>
        <v>15.158000000000001</v>
      </c>
      <c r="G210" s="198"/>
      <c r="H210" s="118"/>
      <c r="I210" s="565"/>
      <c r="J210" s="562"/>
      <c r="K210" s="161"/>
      <c r="L210" s="162"/>
      <c r="M210" s="162"/>
      <c r="N210" s="162"/>
      <c r="O210" s="162"/>
      <c r="P210" s="163"/>
      <c r="Q210" s="151"/>
    </row>
    <row r="211" spans="1:17" ht="30" customHeight="1">
      <c r="A211" s="171" t="s">
        <v>423</v>
      </c>
      <c r="B211" s="89" t="s">
        <v>424</v>
      </c>
      <c r="C211" s="89" t="s">
        <v>117</v>
      </c>
      <c r="D211" s="171" t="s">
        <v>304</v>
      </c>
      <c r="E211" s="108">
        <v>0</v>
      </c>
      <c r="F211" s="109">
        <f>85*1.06</f>
        <v>90.100000000000009</v>
      </c>
      <c r="G211" s="198"/>
      <c r="H211" s="118"/>
      <c r="I211" s="565"/>
      <c r="J211" s="562"/>
      <c r="K211" s="161"/>
      <c r="L211" s="162"/>
      <c r="M211" s="162"/>
      <c r="N211" s="162"/>
      <c r="O211" s="162"/>
      <c r="P211" s="163"/>
      <c r="Q211" s="151"/>
    </row>
    <row r="212" spans="1:17" ht="30" customHeight="1">
      <c r="A212" s="171" t="s">
        <v>425</v>
      </c>
      <c r="B212" s="89" t="s">
        <v>426</v>
      </c>
      <c r="C212" s="89" t="s">
        <v>117</v>
      </c>
      <c r="D212" s="171" t="s">
        <v>427</v>
      </c>
      <c r="E212" s="108">
        <v>0</v>
      </c>
      <c r="F212" s="118">
        <f>100*1.06</f>
        <v>106</v>
      </c>
      <c r="G212" s="198"/>
      <c r="H212" s="118"/>
      <c r="I212" s="565"/>
      <c r="J212" s="562"/>
      <c r="K212" s="161"/>
      <c r="L212" s="162"/>
      <c r="M212" s="162"/>
      <c r="N212" s="162"/>
      <c r="O212" s="162"/>
      <c r="P212" s="163"/>
      <c r="Q212" s="151"/>
    </row>
    <row r="213" spans="1:17" ht="30" customHeight="1">
      <c r="A213" s="171" t="s">
        <v>428</v>
      </c>
      <c r="B213" s="89" t="s">
        <v>429</v>
      </c>
      <c r="C213" s="89" t="s">
        <v>117</v>
      </c>
      <c r="D213" s="171" t="s">
        <v>304</v>
      </c>
      <c r="E213" s="108">
        <v>0</v>
      </c>
      <c r="F213" s="118">
        <v>0</v>
      </c>
      <c r="G213" s="198"/>
      <c r="H213" s="118"/>
      <c r="I213" s="565"/>
      <c r="J213" s="562"/>
      <c r="K213" s="161"/>
      <c r="L213" s="162"/>
      <c r="M213" s="162"/>
      <c r="N213" s="162"/>
      <c r="O213" s="162"/>
      <c r="P213" s="163"/>
      <c r="Q213" s="151"/>
    </row>
    <row r="214" spans="1:17" ht="30" customHeight="1">
      <c r="A214" s="171" t="s">
        <v>430</v>
      </c>
      <c r="B214" s="89" t="s">
        <v>431</v>
      </c>
      <c r="C214" s="89" t="s">
        <v>117</v>
      </c>
      <c r="D214" s="171" t="s">
        <v>432</v>
      </c>
      <c r="E214" s="108">
        <v>0</v>
      </c>
      <c r="F214" s="118">
        <f>23*1.06</f>
        <v>24.380000000000003</v>
      </c>
      <c r="G214" s="198"/>
      <c r="H214" s="118"/>
      <c r="I214" s="565"/>
      <c r="J214" s="562"/>
      <c r="K214" s="161"/>
      <c r="L214" s="162"/>
      <c r="M214" s="162"/>
      <c r="N214" s="162"/>
      <c r="O214" s="162"/>
      <c r="P214" s="163"/>
      <c r="Q214" s="151"/>
    </row>
    <row r="215" spans="1:17" ht="30" customHeight="1">
      <c r="A215" s="171" t="s">
        <v>433</v>
      </c>
      <c r="B215" s="89" t="s">
        <v>434</v>
      </c>
      <c r="C215" s="89" t="s">
        <v>117</v>
      </c>
      <c r="D215" s="171" t="s">
        <v>435</v>
      </c>
      <c r="E215" s="108">
        <v>0</v>
      </c>
      <c r="F215" s="118">
        <f>115*1.06</f>
        <v>121.9</v>
      </c>
      <c r="G215" s="198"/>
      <c r="H215" s="118"/>
      <c r="I215" s="565"/>
      <c r="J215" s="562"/>
      <c r="K215" s="161"/>
      <c r="L215" s="162"/>
      <c r="M215" s="162"/>
      <c r="N215" s="162"/>
      <c r="O215" s="162"/>
      <c r="P215" s="163"/>
      <c r="Q215" s="151"/>
    </row>
    <row r="216" spans="1:17" ht="30" customHeight="1">
      <c r="A216" s="171" t="s">
        <v>436</v>
      </c>
      <c r="B216" s="76" t="s">
        <v>437</v>
      </c>
      <c r="C216" s="89" t="s">
        <v>117</v>
      </c>
      <c r="D216" s="171" t="s">
        <v>438</v>
      </c>
      <c r="E216" s="108">
        <v>0</v>
      </c>
      <c r="F216" s="118"/>
      <c r="G216" s="198"/>
      <c r="H216" s="118"/>
      <c r="I216" s="565"/>
      <c r="J216" s="562"/>
      <c r="K216" s="161"/>
      <c r="L216" s="162"/>
      <c r="M216" s="162"/>
      <c r="N216" s="162"/>
      <c r="O216" s="162"/>
      <c r="P216" s="163"/>
      <c r="Q216" s="151"/>
    </row>
    <row r="217" spans="1:17" ht="30" customHeight="1">
      <c r="A217" s="171" t="s">
        <v>439</v>
      </c>
      <c r="B217" s="89" t="s">
        <v>440</v>
      </c>
      <c r="C217" s="89" t="s">
        <v>117</v>
      </c>
      <c r="D217" s="171" t="s">
        <v>304</v>
      </c>
      <c r="E217" s="108">
        <v>0</v>
      </c>
      <c r="F217" s="118"/>
      <c r="G217" s="198"/>
      <c r="H217" s="118"/>
      <c r="I217" s="565"/>
      <c r="J217" s="562"/>
      <c r="K217" s="161"/>
      <c r="L217" s="162"/>
      <c r="M217" s="162"/>
      <c r="N217" s="162"/>
      <c r="O217" s="162"/>
      <c r="P217" s="163"/>
      <c r="Q217" s="151"/>
    </row>
    <row r="218" spans="1:17" ht="30" customHeight="1">
      <c r="A218" s="171" t="s">
        <v>441</v>
      </c>
      <c r="B218" s="89" t="s">
        <v>442</v>
      </c>
      <c r="C218" s="89" t="s">
        <v>117</v>
      </c>
      <c r="D218" s="171" t="s">
        <v>304</v>
      </c>
      <c r="E218" s="108">
        <v>0</v>
      </c>
      <c r="F218" s="118">
        <f>3.5*1.06</f>
        <v>3.71</v>
      </c>
      <c r="G218" s="198"/>
      <c r="H218" s="118"/>
      <c r="I218" s="565"/>
      <c r="J218" s="562"/>
      <c r="K218" s="161"/>
      <c r="L218" s="162"/>
      <c r="M218" s="162"/>
      <c r="N218" s="162"/>
      <c r="O218" s="162"/>
      <c r="P218" s="163"/>
      <c r="Q218" s="151"/>
    </row>
    <row r="219" spans="1:17" ht="30" customHeight="1">
      <c r="A219" s="171" t="s">
        <v>443</v>
      </c>
      <c r="B219" s="89" t="s">
        <v>444</v>
      </c>
      <c r="C219" s="89" t="s">
        <v>117</v>
      </c>
      <c r="D219" s="171" t="s">
        <v>304</v>
      </c>
      <c r="E219" s="108">
        <v>0</v>
      </c>
      <c r="F219" s="118">
        <f>20*1.06</f>
        <v>21.200000000000003</v>
      </c>
      <c r="G219" s="198"/>
      <c r="H219" s="118"/>
      <c r="I219" s="565"/>
      <c r="J219" s="562"/>
      <c r="K219" s="161"/>
      <c r="L219" s="162"/>
      <c r="M219" s="162"/>
      <c r="N219" s="162"/>
      <c r="O219" s="162"/>
      <c r="P219" s="163"/>
      <c r="Q219" s="151"/>
    </row>
    <row r="220" spans="1:17" ht="30" customHeight="1">
      <c r="A220" s="171" t="s">
        <v>445</v>
      </c>
      <c r="B220" s="89" t="s">
        <v>446</v>
      </c>
      <c r="C220" s="89" t="s">
        <v>117</v>
      </c>
      <c r="D220" s="171" t="s">
        <v>139</v>
      </c>
      <c r="E220" s="108">
        <v>0</v>
      </c>
      <c r="F220" s="118">
        <f>45*1.06</f>
        <v>47.7</v>
      </c>
      <c r="G220" s="109"/>
      <c r="H220" s="118"/>
      <c r="I220" s="565"/>
      <c r="J220" s="562"/>
      <c r="K220" s="118"/>
      <c r="L220" s="146"/>
      <c r="M220" s="146"/>
      <c r="N220" s="146"/>
      <c r="O220" s="146"/>
      <c r="P220" s="147"/>
      <c r="Q220" s="151"/>
    </row>
    <row r="221" spans="1:17" ht="30" customHeight="1">
      <c r="A221" s="171" t="s">
        <v>447</v>
      </c>
      <c r="B221" s="89" t="s">
        <v>448</v>
      </c>
      <c r="C221" s="89" t="s">
        <v>117</v>
      </c>
      <c r="D221" s="171" t="s">
        <v>304</v>
      </c>
      <c r="E221" s="108">
        <v>0</v>
      </c>
      <c r="F221" s="118">
        <f>45*1.06</f>
        <v>47.7</v>
      </c>
      <c r="G221" s="109"/>
      <c r="H221" s="118"/>
      <c r="I221" s="565"/>
      <c r="J221" s="562"/>
      <c r="K221" s="118"/>
      <c r="L221" s="146"/>
      <c r="M221" s="146"/>
      <c r="N221" s="146"/>
      <c r="O221" s="146"/>
      <c r="P221" s="147"/>
      <c r="Q221" s="151"/>
    </row>
    <row r="222" spans="1:17" ht="30" customHeight="1">
      <c r="A222" s="171" t="s">
        <v>449</v>
      </c>
      <c r="B222" s="89" t="s">
        <v>450</v>
      </c>
      <c r="C222" s="89" t="s">
        <v>117</v>
      </c>
      <c r="D222" s="171" t="s">
        <v>304</v>
      </c>
      <c r="E222" s="108">
        <v>0</v>
      </c>
      <c r="F222" s="118">
        <f>25*1.06</f>
        <v>26.5</v>
      </c>
      <c r="G222" s="109"/>
      <c r="H222" s="118"/>
      <c r="I222" s="565"/>
      <c r="J222" s="562"/>
      <c r="K222" s="118"/>
      <c r="L222" s="146"/>
      <c r="M222" s="146"/>
      <c r="N222" s="146"/>
      <c r="O222" s="146"/>
      <c r="P222" s="147"/>
      <c r="Q222" s="151"/>
    </row>
    <row r="223" spans="1:17" ht="30" customHeight="1">
      <c r="A223" s="218"/>
      <c r="B223" s="151"/>
      <c r="C223" s="151"/>
      <c r="D223" s="213"/>
      <c r="E223" s="179"/>
      <c r="F223" s="214"/>
      <c r="G223" s="180"/>
      <c r="H223" s="237"/>
      <c r="I223" s="565"/>
      <c r="J223" s="562"/>
      <c r="K223" s="161"/>
      <c r="L223" s="162"/>
      <c r="M223" s="162"/>
      <c r="N223" s="162"/>
      <c r="O223" s="162"/>
      <c r="P223" s="163"/>
      <c r="Q223" s="151"/>
    </row>
    <row r="224" spans="1:17" ht="30" customHeight="1">
      <c r="A224" s="141">
        <v>11</v>
      </c>
      <c r="B224" s="65" t="s">
        <v>451</v>
      </c>
      <c r="C224" s="65"/>
      <c r="D224" s="38" t="s">
        <v>12</v>
      </c>
      <c r="E224" s="47" t="s">
        <v>13</v>
      </c>
      <c r="F224" s="53" t="s">
        <v>14</v>
      </c>
      <c r="G224" s="53" t="s">
        <v>15</v>
      </c>
      <c r="H224" s="54" t="s">
        <v>16</v>
      </c>
      <c r="I224" s="563" t="s">
        <v>17</v>
      </c>
      <c r="J224" s="566"/>
      <c r="K224" s="37"/>
      <c r="L224" s="50"/>
      <c r="M224" s="50"/>
      <c r="N224" s="50"/>
      <c r="O224" s="50"/>
      <c r="P224" s="49" t="s">
        <v>18</v>
      </c>
      <c r="Q224" s="151"/>
    </row>
    <row r="225" spans="1:17" ht="30" customHeight="1">
      <c r="A225" s="171" t="s">
        <v>452</v>
      </c>
      <c r="B225" s="116" t="s">
        <v>453</v>
      </c>
      <c r="C225" s="75" t="s">
        <v>33</v>
      </c>
      <c r="D225" s="238" t="s">
        <v>8</v>
      </c>
      <c r="E225" s="239">
        <v>4</v>
      </c>
      <c r="F225" s="198">
        <f>72.5*1.06</f>
        <v>76.850000000000009</v>
      </c>
      <c r="G225" s="198">
        <f>E225*F225</f>
        <v>307.40000000000003</v>
      </c>
      <c r="H225" s="198">
        <f>1*G225</f>
        <v>307.40000000000003</v>
      </c>
      <c r="I225" s="561" t="s">
        <v>454</v>
      </c>
      <c r="J225" s="562"/>
      <c r="K225" s="183"/>
      <c r="L225" s="184"/>
      <c r="M225" s="184"/>
      <c r="N225" s="184"/>
      <c r="O225" s="184"/>
      <c r="P225" s="185"/>
      <c r="Q225" s="151"/>
    </row>
    <row r="226" spans="1:17" ht="30" customHeight="1">
      <c r="A226" s="171" t="s">
        <v>455</v>
      </c>
      <c r="B226" s="116" t="s">
        <v>453</v>
      </c>
      <c r="C226" s="75" t="s">
        <v>33</v>
      </c>
      <c r="D226" s="238" t="s">
        <v>8</v>
      </c>
      <c r="E226" s="239">
        <v>4</v>
      </c>
      <c r="F226" s="198">
        <f>60*1.06</f>
        <v>63.6</v>
      </c>
      <c r="G226" s="198">
        <f t="shared" ref="G226:G233" si="18">E226*F226</f>
        <v>254.4</v>
      </c>
      <c r="H226" s="198">
        <f t="shared" ref="H226:H233" si="19">1*G226</f>
        <v>254.4</v>
      </c>
      <c r="I226" s="561"/>
      <c r="J226" s="562"/>
      <c r="K226" s="183"/>
      <c r="L226" s="184"/>
      <c r="M226" s="184"/>
      <c r="N226" s="184"/>
      <c r="O226" s="184"/>
      <c r="P226" s="185"/>
      <c r="Q226" s="151"/>
    </row>
    <row r="227" spans="1:17" ht="30" customHeight="1">
      <c r="A227" s="171" t="s">
        <v>456</v>
      </c>
      <c r="B227" s="116" t="s">
        <v>453</v>
      </c>
      <c r="C227" s="75" t="s">
        <v>33</v>
      </c>
      <c r="D227" s="238" t="s">
        <v>8</v>
      </c>
      <c r="E227" s="239">
        <v>4</v>
      </c>
      <c r="F227" s="198">
        <f>60*1.06</f>
        <v>63.6</v>
      </c>
      <c r="G227" s="198">
        <f t="shared" si="18"/>
        <v>254.4</v>
      </c>
      <c r="H227" s="198">
        <f t="shared" si="19"/>
        <v>254.4</v>
      </c>
      <c r="I227" s="561"/>
      <c r="J227" s="562"/>
      <c r="K227" s="183"/>
      <c r="L227" s="184"/>
      <c r="M227" s="184"/>
      <c r="N227" s="184"/>
      <c r="O227" s="184"/>
      <c r="P227" s="185"/>
      <c r="Q227" s="151"/>
    </row>
    <row r="228" spans="1:17" ht="30" customHeight="1">
      <c r="A228" s="171" t="s">
        <v>457</v>
      </c>
      <c r="B228" s="116" t="s">
        <v>458</v>
      </c>
      <c r="C228" s="75" t="s">
        <v>33</v>
      </c>
      <c r="D228" s="238" t="s">
        <v>8</v>
      </c>
      <c r="E228" s="239">
        <v>8</v>
      </c>
      <c r="F228" s="198">
        <f>108.5*1.06</f>
        <v>115.01</v>
      </c>
      <c r="G228" s="198">
        <f t="shared" si="18"/>
        <v>920.08</v>
      </c>
      <c r="H228" s="198">
        <f t="shared" si="19"/>
        <v>920.08</v>
      </c>
      <c r="I228" s="561"/>
      <c r="J228" s="562"/>
      <c r="K228" s="183"/>
      <c r="L228" s="184"/>
      <c r="M228" s="184"/>
      <c r="N228" s="184"/>
      <c r="O228" s="184"/>
      <c r="P228" s="185"/>
      <c r="Q228" s="151"/>
    </row>
    <row r="229" spans="1:17" ht="30" customHeight="1">
      <c r="A229" s="171" t="s">
        <v>459</v>
      </c>
      <c r="B229" s="174" t="s">
        <v>460</v>
      </c>
      <c r="C229" s="107" t="s">
        <v>33</v>
      </c>
      <c r="D229" s="107" t="s">
        <v>8</v>
      </c>
      <c r="E229" s="108">
        <v>8</v>
      </c>
      <c r="F229" s="109">
        <f>75*1.06</f>
        <v>79.5</v>
      </c>
      <c r="G229" s="198">
        <f t="shared" si="18"/>
        <v>636</v>
      </c>
      <c r="H229" s="198">
        <f t="shared" si="19"/>
        <v>636</v>
      </c>
      <c r="I229" s="561"/>
      <c r="J229" s="562"/>
      <c r="K229" s="161"/>
      <c r="L229" s="162"/>
      <c r="M229" s="162"/>
      <c r="N229" s="162"/>
      <c r="O229" s="162"/>
      <c r="P229" s="163"/>
      <c r="Q229" s="151"/>
    </row>
    <row r="230" spans="1:17" ht="30" customHeight="1">
      <c r="A230" s="171" t="s">
        <v>461</v>
      </c>
      <c r="B230" s="174" t="s">
        <v>462</v>
      </c>
      <c r="C230" s="107" t="s">
        <v>53</v>
      </c>
      <c r="D230" s="107" t="s">
        <v>463</v>
      </c>
      <c r="E230" s="108">
        <v>1</v>
      </c>
      <c r="F230" s="109">
        <f>500*1.06</f>
        <v>530</v>
      </c>
      <c r="G230" s="198">
        <f t="shared" si="18"/>
        <v>530</v>
      </c>
      <c r="H230" s="198">
        <f t="shared" si="19"/>
        <v>530</v>
      </c>
      <c r="I230" s="561"/>
      <c r="J230" s="562"/>
      <c r="K230" s="118"/>
      <c r="L230" s="146"/>
      <c r="M230" s="146"/>
      <c r="N230" s="146"/>
      <c r="O230" s="146"/>
      <c r="P230" s="147"/>
      <c r="Q230" s="151"/>
    </row>
    <row r="231" spans="1:17" ht="30" customHeight="1">
      <c r="A231" s="171" t="s">
        <v>464</v>
      </c>
      <c r="B231" s="89" t="s">
        <v>465</v>
      </c>
      <c r="C231" s="89" t="s">
        <v>101</v>
      </c>
      <c r="D231" s="171"/>
      <c r="E231" s="108">
        <v>0</v>
      </c>
      <c r="F231" s="118">
        <f>77*1.06</f>
        <v>81.62</v>
      </c>
      <c r="G231" s="118">
        <f t="shared" si="18"/>
        <v>0</v>
      </c>
      <c r="H231" s="197">
        <f t="shared" si="19"/>
        <v>0</v>
      </c>
      <c r="I231" s="561"/>
      <c r="J231" s="562"/>
      <c r="K231" s="183"/>
      <c r="L231" s="184"/>
      <c r="M231" s="184"/>
      <c r="N231" s="184"/>
      <c r="O231" s="184"/>
      <c r="P231" s="185"/>
      <c r="Q231" s="151"/>
    </row>
    <row r="232" spans="1:17" ht="30" customHeight="1">
      <c r="A232" s="171" t="s">
        <v>466</v>
      </c>
      <c r="B232" s="89" t="s">
        <v>467</v>
      </c>
      <c r="C232" s="89" t="s">
        <v>101</v>
      </c>
      <c r="D232" s="171"/>
      <c r="E232" s="108">
        <v>0</v>
      </c>
      <c r="F232" s="118">
        <f>49.04*1.06</f>
        <v>51.982399999999998</v>
      </c>
      <c r="G232" s="118">
        <f t="shared" si="18"/>
        <v>0</v>
      </c>
      <c r="H232" s="197">
        <f t="shared" si="19"/>
        <v>0</v>
      </c>
      <c r="I232" s="561"/>
      <c r="J232" s="562"/>
      <c r="K232" s="183"/>
      <c r="L232" s="184"/>
      <c r="M232" s="184"/>
      <c r="N232" s="184"/>
      <c r="O232" s="184"/>
      <c r="P232" s="185"/>
      <c r="Q232" s="151"/>
    </row>
    <row r="233" spans="1:17" ht="30" customHeight="1">
      <c r="A233" s="171" t="s">
        <v>468</v>
      </c>
      <c r="B233" s="174" t="s">
        <v>469</v>
      </c>
      <c r="C233" s="107" t="s">
        <v>33</v>
      </c>
      <c r="D233" s="107" t="s">
        <v>470</v>
      </c>
      <c r="E233" s="108">
        <v>12</v>
      </c>
      <c r="F233" s="109">
        <f>60*1.06</f>
        <v>63.6</v>
      </c>
      <c r="G233" s="198">
        <f t="shared" si="18"/>
        <v>763.2</v>
      </c>
      <c r="H233" s="198">
        <f t="shared" si="19"/>
        <v>763.2</v>
      </c>
      <c r="I233" s="561" t="s">
        <v>471</v>
      </c>
      <c r="J233" s="562"/>
      <c r="K233" s="161"/>
      <c r="L233" s="162"/>
      <c r="M233" s="162"/>
      <c r="N233" s="162"/>
      <c r="O233" s="162"/>
      <c r="P233" s="163"/>
      <c r="Q233" s="151"/>
    </row>
    <row r="234" spans="1:17" ht="30" customHeight="1">
      <c r="A234" s="171"/>
      <c r="B234" s="89"/>
      <c r="C234" s="89"/>
      <c r="D234" s="171"/>
      <c r="E234" s="108"/>
      <c r="F234" s="109"/>
      <c r="G234" s="109"/>
      <c r="H234" s="167"/>
      <c r="I234" s="231"/>
      <c r="J234" s="232"/>
      <c r="K234" s="240"/>
      <c r="L234" s="241"/>
      <c r="M234" s="241"/>
      <c r="N234" s="241"/>
      <c r="O234" s="241"/>
      <c r="P234" s="147"/>
      <c r="Q234" s="151"/>
    </row>
    <row r="235" spans="1:17" s="5" customFormat="1" ht="65.25" customHeight="1">
      <c r="A235" s="61" t="s">
        <v>10</v>
      </c>
      <c r="B235" s="62" t="s">
        <v>11</v>
      </c>
      <c r="C235" s="63"/>
      <c r="D235" s="35" t="s">
        <v>12</v>
      </c>
      <c r="E235" s="36" t="s">
        <v>13</v>
      </c>
      <c r="F235" s="37" t="s">
        <v>14</v>
      </c>
      <c r="G235" s="37" t="s">
        <v>15</v>
      </c>
      <c r="H235" s="37" t="s">
        <v>16</v>
      </c>
      <c r="I235" s="563" t="s">
        <v>17</v>
      </c>
      <c r="J235" s="564"/>
      <c r="K235" s="564"/>
      <c r="L235" s="564"/>
      <c r="M235" s="564"/>
      <c r="N235" s="564"/>
      <c r="O235" s="564"/>
      <c r="P235" s="38" t="s">
        <v>18</v>
      </c>
      <c r="Q235" s="301"/>
    </row>
    <row r="236" spans="1:17">
      <c r="A236" s="218"/>
      <c r="B236" s="219"/>
      <c r="C236" s="219"/>
      <c r="D236" s="218"/>
      <c r="E236" s="220"/>
      <c r="F236" s="221"/>
      <c r="G236" s="221"/>
      <c r="H236" s="221"/>
      <c r="I236" s="222"/>
      <c r="J236" s="151"/>
      <c r="K236" s="223"/>
      <c r="L236" s="224"/>
      <c r="M236" s="224"/>
      <c r="N236" s="224"/>
      <c r="O236" s="224"/>
      <c r="P236" s="225"/>
      <c r="Q236" s="151"/>
    </row>
    <row r="237" spans="1:17" ht="30" customHeight="1">
      <c r="A237" s="171" t="s">
        <v>472</v>
      </c>
      <c r="B237" s="116" t="s">
        <v>473</v>
      </c>
      <c r="C237" s="75"/>
      <c r="D237" s="107" t="s">
        <v>474</v>
      </c>
      <c r="E237" s="108">
        <v>5</v>
      </c>
      <c r="F237" s="109">
        <f>1000*1.06</f>
        <v>1060</v>
      </c>
      <c r="G237" s="109"/>
      <c r="H237" s="167">
        <f t="shared" ref="H237:H238" si="20">SUM(E237*F237)</f>
        <v>5300</v>
      </c>
      <c r="I237" s="76"/>
      <c r="J237" s="89"/>
      <c r="K237" s="118"/>
      <c r="L237" s="146"/>
      <c r="M237" s="146"/>
      <c r="N237" s="146"/>
      <c r="O237" s="146"/>
      <c r="P237" s="147"/>
      <c r="Q237" s="151"/>
    </row>
    <row r="238" spans="1:17" ht="30" customHeight="1">
      <c r="A238" s="171" t="s">
        <v>475</v>
      </c>
      <c r="B238" s="116" t="s">
        <v>476</v>
      </c>
      <c r="C238" s="75"/>
      <c r="D238" s="171" t="s">
        <v>477</v>
      </c>
      <c r="E238" s="108">
        <v>5</v>
      </c>
      <c r="F238" s="109">
        <f>20000*1.06</f>
        <v>21200</v>
      </c>
      <c r="G238" s="109"/>
      <c r="H238" s="167">
        <f t="shared" si="20"/>
        <v>106000</v>
      </c>
      <c r="I238" s="76"/>
      <c r="J238" s="89"/>
      <c r="K238" s="118"/>
      <c r="L238" s="146"/>
      <c r="M238" s="146"/>
      <c r="N238" s="146"/>
      <c r="O238" s="146"/>
      <c r="P238" s="147"/>
      <c r="Q238" s="151"/>
    </row>
    <row r="239" spans="1:17" ht="30" customHeight="1">
      <c r="A239" s="171" t="s">
        <v>478</v>
      </c>
      <c r="B239" s="116" t="s">
        <v>479</v>
      </c>
      <c r="C239" s="75"/>
      <c r="D239" s="107" t="s">
        <v>477</v>
      </c>
      <c r="E239" s="108">
        <v>5</v>
      </c>
      <c r="F239" s="109">
        <f>20000*1.06</f>
        <v>21200</v>
      </c>
      <c r="G239" s="109"/>
      <c r="H239" s="167">
        <f>E239*F239</f>
        <v>106000</v>
      </c>
      <c r="I239" s="76"/>
      <c r="J239" s="89"/>
      <c r="K239" s="118"/>
      <c r="L239" s="146"/>
      <c r="M239" s="146"/>
      <c r="N239" s="146"/>
      <c r="O239" s="146"/>
      <c r="P239" s="147"/>
      <c r="Q239" s="151"/>
    </row>
    <row r="240" spans="1:17">
      <c r="A240" s="218"/>
      <c r="B240" s="219"/>
      <c r="C240" s="219"/>
      <c r="D240" s="218"/>
      <c r="E240" s="220"/>
      <c r="F240" s="221"/>
      <c r="G240" s="221"/>
      <c r="H240" s="221">
        <v>0</v>
      </c>
      <c r="I240" s="222"/>
      <c r="J240" s="151"/>
      <c r="K240" s="223"/>
      <c r="L240" s="224"/>
      <c r="M240" s="224"/>
      <c r="N240" s="224"/>
      <c r="O240" s="224"/>
      <c r="P240" s="225"/>
      <c r="Q240" s="151"/>
    </row>
    <row r="241" spans="1:17">
      <c r="A241" s="242"/>
      <c r="B241" s="219"/>
      <c r="C241" s="219"/>
      <c r="D241" s="218"/>
      <c r="E241" s="220"/>
      <c r="F241" s="221"/>
      <c r="G241" s="221"/>
      <c r="H241" s="243"/>
      <c r="I241" s="222"/>
      <c r="J241" s="151"/>
      <c r="K241" s="223"/>
      <c r="L241" s="224"/>
      <c r="M241" s="224"/>
      <c r="N241" s="224"/>
      <c r="O241" s="224"/>
      <c r="P241" s="225"/>
      <c r="Q241" s="151"/>
    </row>
    <row r="242" spans="1:17" ht="15" customHeight="1" thickBot="1">
      <c r="A242" s="218"/>
      <c r="B242" s="219"/>
      <c r="C242" s="219"/>
      <c r="D242" s="244"/>
      <c r="E242" s="220"/>
      <c r="F242" s="221"/>
      <c r="G242" s="221" t="s">
        <v>480</v>
      </c>
      <c r="H242" s="243" t="s">
        <v>481</v>
      </c>
      <c r="I242" s="222"/>
      <c r="J242" s="151"/>
      <c r="K242" s="223"/>
      <c r="L242" s="224"/>
      <c r="M242" s="224"/>
      <c r="N242" s="224"/>
      <c r="O242" s="224"/>
      <c r="P242" s="225"/>
      <c r="Q242" s="151"/>
    </row>
    <row r="243" spans="1:17" ht="15" customHeight="1">
      <c r="A243" s="245"/>
      <c r="B243" s="246" t="s">
        <v>482</v>
      </c>
      <c r="C243" s="246"/>
      <c r="D243" s="247"/>
      <c r="E243" s="248"/>
      <c r="F243" s="249"/>
      <c r="G243" s="249">
        <f>H243/5</f>
        <v>460491.19847999996</v>
      </c>
      <c r="H243" s="250">
        <f>SUM(H11:H242)</f>
        <v>2302455.9923999999</v>
      </c>
      <c r="I243" s="222"/>
      <c r="J243" s="151"/>
      <c r="K243" s="223"/>
      <c r="L243" s="224"/>
      <c r="M243" s="224"/>
      <c r="N243" s="224"/>
      <c r="O243" s="224"/>
      <c r="P243" s="225"/>
      <c r="Q243" s="151"/>
    </row>
    <row r="244" spans="1:17" ht="15" customHeight="1">
      <c r="A244" s="251"/>
      <c r="B244" s="219" t="s">
        <v>483</v>
      </c>
      <c r="C244" s="219"/>
      <c r="D244" s="328">
        <v>0.16</v>
      </c>
      <c r="E244" s="220"/>
      <c r="F244" s="221"/>
      <c r="G244" s="221">
        <f>H244/5</f>
        <v>73678.591756799986</v>
      </c>
      <c r="H244" s="252">
        <f>D244*H243</f>
        <v>368392.95878399996</v>
      </c>
      <c r="I244" s="222"/>
      <c r="J244" s="151"/>
      <c r="K244" s="223"/>
      <c r="L244" s="224"/>
      <c r="M244" s="224"/>
      <c r="N244" s="224"/>
      <c r="O244" s="224"/>
      <c r="P244" s="225"/>
      <c r="Q244" s="151"/>
    </row>
    <row r="245" spans="1:17">
      <c r="A245" s="251"/>
      <c r="B245" s="219"/>
      <c r="C245" s="219"/>
      <c r="D245" s="331"/>
      <c r="E245" s="220"/>
      <c r="F245" s="221"/>
      <c r="G245" s="221"/>
      <c r="H245" s="252"/>
      <c r="I245" s="222"/>
      <c r="J245" s="151"/>
      <c r="K245" s="223"/>
      <c r="L245" s="224"/>
      <c r="M245" s="224"/>
      <c r="N245" s="224"/>
      <c r="O245" s="224"/>
      <c r="P245" s="225"/>
      <c r="Q245" s="151"/>
    </row>
    <row r="246" spans="1:17">
      <c r="A246" s="251"/>
      <c r="B246" s="253" t="s">
        <v>484</v>
      </c>
      <c r="C246" s="253"/>
      <c r="D246" s="331"/>
      <c r="E246" s="220"/>
      <c r="F246" s="221"/>
      <c r="G246" s="221">
        <f>H246/5</f>
        <v>534169.79023679998</v>
      </c>
      <c r="H246" s="254">
        <f>SUM(H243:H244)</f>
        <v>2670848.9511839999</v>
      </c>
      <c r="I246" s="222"/>
      <c r="J246" s="151"/>
      <c r="K246" s="223"/>
      <c r="L246" s="224"/>
      <c r="M246" s="224"/>
      <c r="N246" s="224"/>
      <c r="O246" s="224"/>
      <c r="P246" s="225"/>
      <c r="Q246" s="151"/>
    </row>
    <row r="247" spans="1:17">
      <c r="A247" s="251"/>
      <c r="B247" s="255" t="s">
        <v>485</v>
      </c>
      <c r="C247" s="255"/>
      <c r="D247" s="332">
        <v>0.21</v>
      </c>
      <c r="E247" s="256"/>
      <c r="F247" s="257"/>
      <c r="G247" s="257">
        <f>H247/5</f>
        <v>112175.65594972798</v>
      </c>
      <c r="H247" s="258">
        <f>D247*H246</f>
        <v>560878.27974863991</v>
      </c>
      <c r="I247" s="222"/>
      <c r="J247" s="151"/>
      <c r="K247" s="223"/>
      <c r="L247" s="224"/>
      <c r="M247" s="224"/>
      <c r="N247" s="224"/>
      <c r="O247" s="224"/>
      <c r="P247" s="225"/>
      <c r="Q247" s="151"/>
    </row>
    <row r="248" spans="1:17">
      <c r="A248" s="251"/>
      <c r="B248" s="219"/>
      <c r="C248" s="219"/>
      <c r="D248" s="218"/>
      <c r="E248" s="220"/>
      <c r="F248" s="221"/>
      <c r="G248" s="221"/>
      <c r="H248" s="259"/>
      <c r="I248" s="222"/>
      <c r="J248" s="151"/>
      <c r="K248" s="223"/>
      <c r="L248" s="224"/>
      <c r="M248" s="224"/>
      <c r="N248" s="224"/>
      <c r="O248" s="224"/>
      <c r="P248" s="225"/>
      <c r="Q248" s="151"/>
    </row>
    <row r="249" spans="1:17">
      <c r="A249" s="251"/>
      <c r="B249" s="260" t="s">
        <v>486</v>
      </c>
      <c r="C249" s="260"/>
      <c r="D249" s="218"/>
      <c r="E249" s="220"/>
      <c r="F249" s="221"/>
      <c r="G249" s="261">
        <f>H249/5</f>
        <v>646345.44618652796</v>
      </c>
      <c r="H249" s="262">
        <f>SUM(H246:H247)</f>
        <v>3231727.2309326399</v>
      </c>
      <c r="I249" s="222"/>
      <c r="J249" s="151"/>
      <c r="K249" s="223"/>
      <c r="L249" s="224"/>
      <c r="M249" s="224"/>
      <c r="N249" s="224"/>
      <c r="O249" s="224"/>
      <c r="P249" s="225"/>
      <c r="Q249" s="151"/>
    </row>
    <row r="250" spans="1:17" ht="15.75" thickBot="1">
      <c r="A250" s="263"/>
      <c r="B250" s="264"/>
      <c r="C250" s="264"/>
      <c r="D250" s="265"/>
      <c r="E250" s="266"/>
      <c r="F250" s="267"/>
      <c r="G250" s="268"/>
      <c r="H250" s="269"/>
      <c r="I250" s="222"/>
      <c r="J250" s="225"/>
      <c r="K250" s="270"/>
      <c r="L250" s="271"/>
      <c r="M250" s="271"/>
      <c r="N250" s="271"/>
      <c r="O250" s="271"/>
      <c r="P250" s="225"/>
      <c r="Q250" s="151"/>
    </row>
    <row r="251" spans="1:17">
      <c r="A251" s="218"/>
      <c r="B251" s="219"/>
      <c r="C251" s="219"/>
      <c r="D251" s="218"/>
      <c r="E251" s="220"/>
      <c r="F251" s="221"/>
      <c r="G251" s="221"/>
      <c r="H251" s="221"/>
      <c r="I251" s="222"/>
      <c r="J251" s="151"/>
      <c r="K251" s="223"/>
      <c r="L251" s="224"/>
      <c r="M251" s="224"/>
      <c r="N251" s="224"/>
      <c r="O251" s="224"/>
      <c r="P251" s="225"/>
      <c r="Q251" s="151"/>
    </row>
    <row r="252" spans="1:17">
      <c r="A252" s="218"/>
      <c r="B252" s="219" t="s">
        <v>487</v>
      </c>
      <c r="C252" s="219"/>
      <c r="D252" s="218"/>
      <c r="E252" s="220"/>
      <c r="F252" s="221"/>
      <c r="G252" s="221">
        <f>H252/5</f>
        <v>254465.66200000001</v>
      </c>
      <c r="H252" s="221">
        <f>SUM(H11:H14)*(1+$D$244)*(1+$D$247)</f>
        <v>1272328.31</v>
      </c>
      <c r="I252" s="222"/>
      <c r="J252" s="151"/>
      <c r="K252" s="223"/>
      <c r="L252" s="224"/>
      <c r="M252" s="224"/>
      <c r="N252" s="224"/>
      <c r="O252" s="224"/>
      <c r="P252" s="225"/>
      <c r="Q252" s="151"/>
    </row>
    <row r="253" spans="1:17">
      <c r="A253" s="218"/>
      <c r="B253" s="219" t="s">
        <v>488</v>
      </c>
      <c r="C253" s="219"/>
      <c r="D253" s="218"/>
      <c r="E253" s="220"/>
      <c r="F253" s="221"/>
      <c r="G253" s="221">
        <f>H253/5</f>
        <v>391879.78418652795</v>
      </c>
      <c r="H253" s="221">
        <f>SUM(H16:H239)*(1+$D$244)*(1+$D$247)</f>
        <v>1959398.9209326396</v>
      </c>
      <c r="I253" s="222"/>
      <c r="J253" s="151"/>
      <c r="K253" s="223"/>
      <c r="L253" s="224"/>
      <c r="M253" s="224"/>
      <c r="N253" s="224"/>
      <c r="O253" s="224"/>
      <c r="P253" s="225"/>
      <c r="Q253" s="151"/>
    </row>
  </sheetData>
  <mergeCells count="173">
    <mergeCell ref="I230:J230"/>
    <mergeCell ref="I231:J231"/>
    <mergeCell ref="I232:J232"/>
    <mergeCell ref="I233:J233"/>
    <mergeCell ref="I235:O235"/>
    <mergeCell ref="I224:J224"/>
    <mergeCell ref="I225:J225"/>
    <mergeCell ref="I226:J226"/>
    <mergeCell ref="I227:J227"/>
    <mergeCell ref="I228:J228"/>
    <mergeCell ref="I229:J229"/>
    <mergeCell ref="I218:J218"/>
    <mergeCell ref="I219:J219"/>
    <mergeCell ref="I220:J220"/>
    <mergeCell ref="I221:J221"/>
    <mergeCell ref="I222:J222"/>
    <mergeCell ref="I223:J223"/>
    <mergeCell ref="I212:J212"/>
    <mergeCell ref="I213:J213"/>
    <mergeCell ref="I214:J214"/>
    <mergeCell ref="I215:J215"/>
    <mergeCell ref="I216:J216"/>
    <mergeCell ref="I217:J217"/>
    <mergeCell ref="I206:J206"/>
    <mergeCell ref="I207:J207"/>
    <mergeCell ref="I208:J208"/>
    <mergeCell ref="I209:J209"/>
    <mergeCell ref="I210:J210"/>
    <mergeCell ref="I211:J211"/>
    <mergeCell ref="I200:J200"/>
    <mergeCell ref="I201:J201"/>
    <mergeCell ref="I202:J202"/>
    <mergeCell ref="I203:J203"/>
    <mergeCell ref="I204:J204"/>
    <mergeCell ref="I205:J205"/>
    <mergeCell ref="I193:J193"/>
    <mergeCell ref="I194:J194"/>
    <mergeCell ref="I196:O196"/>
    <mergeCell ref="I197:J197"/>
    <mergeCell ref="I198:J198"/>
    <mergeCell ref="I199:J199"/>
    <mergeCell ref="I187:J187"/>
    <mergeCell ref="I188:J188"/>
    <mergeCell ref="I189:J189"/>
    <mergeCell ref="I190:J190"/>
    <mergeCell ref="I191:J191"/>
    <mergeCell ref="I192:J192"/>
    <mergeCell ref="I181:J181"/>
    <mergeCell ref="I182:J182"/>
    <mergeCell ref="I183:J183"/>
    <mergeCell ref="I184:J184"/>
    <mergeCell ref="I185:J185"/>
    <mergeCell ref="I186:J186"/>
    <mergeCell ref="I175:J175"/>
    <mergeCell ref="I176:J176"/>
    <mergeCell ref="I177:J177"/>
    <mergeCell ref="I178:J178"/>
    <mergeCell ref="I179:J179"/>
    <mergeCell ref="I180:J180"/>
    <mergeCell ref="I168:J168"/>
    <mergeCell ref="I169:J169"/>
    <mergeCell ref="I170:J170"/>
    <mergeCell ref="I171:J171"/>
    <mergeCell ref="I172:J172"/>
    <mergeCell ref="I174:J174"/>
    <mergeCell ref="I162:J162"/>
    <mergeCell ref="I163:J163"/>
    <mergeCell ref="I164:J164"/>
    <mergeCell ref="I165:J165"/>
    <mergeCell ref="I166:J166"/>
    <mergeCell ref="I167:J167"/>
    <mergeCell ref="I155:J155"/>
    <mergeCell ref="I156:J156"/>
    <mergeCell ref="I158:J158"/>
    <mergeCell ref="I159:J159"/>
    <mergeCell ref="I160:J160"/>
    <mergeCell ref="I161:J161"/>
    <mergeCell ref="I147:J147"/>
    <mergeCell ref="I148:J148"/>
    <mergeCell ref="I149:J149"/>
    <mergeCell ref="I151:J151"/>
    <mergeCell ref="I152:J152"/>
    <mergeCell ref="I153:J153"/>
    <mergeCell ref="I141:J141"/>
    <mergeCell ref="I142:J142"/>
    <mergeCell ref="I143:J143"/>
    <mergeCell ref="I144:J144"/>
    <mergeCell ref="I145:J145"/>
    <mergeCell ref="I146:J146"/>
    <mergeCell ref="I135:J135"/>
    <mergeCell ref="I136:J136"/>
    <mergeCell ref="I137:J137"/>
    <mergeCell ref="I138:J138"/>
    <mergeCell ref="I139:J139"/>
    <mergeCell ref="I140:J140"/>
    <mergeCell ref="I129:J129"/>
    <mergeCell ref="I130:J130"/>
    <mergeCell ref="I131:J131"/>
    <mergeCell ref="I132:J132"/>
    <mergeCell ref="I133:J133"/>
    <mergeCell ref="I134:J134"/>
    <mergeCell ref="I121:J121"/>
    <mergeCell ref="I122:J122"/>
    <mergeCell ref="I125:J125"/>
    <mergeCell ref="I126:J126"/>
    <mergeCell ref="I127:J127"/>
    <mergeCell ref="I128:J128"/>
    <mergeCell ref="I115:J115"/>
    <mergeCell ref="I116:J116"/>
    <mergeCell ref="I117:J117"/>
    <mergeCell ref="I118:J118"/>
    <mergeCell ref="I119:J119"/>
    <mergeCell ref="I120:J120"/>
    <mergeCell ref="I109:J109"/>
    <mergeCell ref="I110:J110"/>
    <mergeCell ref="I111:J111"/>
    <mergeCell ref="I112:J112"/>
    <mergeCell ref="I113:J113"/>
    <mergeCell ref="I114:J114"/>
    <mergeCell ref="I92:J92"/>
    <mergeCell ref="I93:J93"/>
    <mergeCell ref="I94:J94"/>
    <mergeCell ref="I99:J99"/>
    <mergeCell ref="I104:J104"/>
    <mergeCell ref="I108:J108"/>
    <mergeCell ref="I75:J75"/>
    <mergeCell ref="I76:J76"/>
    <mergeCell ref="I77:J77"/>
    <mergeCell ref="I81:J81"/>
    <mergeCell ref="I82:J82"/>
    <mergeCell ref="I91:J91"/>
    <mergeCell ref="I66:J66"/>
    <mergeCell ref="I68:J68"/>
    <mergeCell ref="I69:J69"/>
    <mergeCell ref="I70:J70"/>
    <mergeCell ref="I71:J71"/>
    <mergeCell ref="I74:J74"/>
    <mergeCell ref="I60:J60"/>
    <mergeCell ref="I61:J61"/>
    <mergeCell ref="I62:J62"/>
    <mergeCell ref="I63:J63"/>
    <mergeCell ref="I64:J64"/>
    <mergeCell ref="I65:J65"/>
    <mergeCell ref="I51:J51"/>
    <mergeCell ref="I52:J52"/>
    <mergeCell ref="I56:J56"/>
    <mergeCell ref="I57:J57"/>
    <mergeCell ref="I58:J58"/>
    <mergeCell ref="I59:J59"/>
    <mergeCell ref="I45:J45"/>
    <mergeCell ref="I46:J46"/>
    <mergeCell ref="I47:J47"/>
    <mergeCell ref="I48:J48"/>
    <mergeCell ref="I49:J49"/>
    <mergeCell ref="I50:J50"/>
    <mergeCell ref="I42:J42"/>
    <mergeCell ref="I43:J43"/>
    <mergeCell ref="I44:J44"/>
    <mergeCell ref="I33:J33"/>
    <mergeCell ref="I34:J34"/>
    <mergeCell ref="I35:J35"/>
    <mergeCell ref="I36:J36"/>
    <mergeCell ref="I37:J37"/>
    <mergeCell ref="I38:J38"/>
    <mergeCell ref="A1:P1"/>
    <mergeCell ref="E3:F3"/>
    <mergeCell ref="E4:F4"/>
    <mergeCell ref="I5:O5"/>
    <mergeCell ref="I23:J23"/>
    <mergeCell ref="I24:J24"/>
    <mergeCell ref="I39:J39"/>
    <mergeCell ref="I40:J40"/>
    <mergeCell ref="I41:J41"/>
  </mergeCells>
  <printOptions horizontalCentered="1"/>
  <pageMargins left="0.39370078740157483" right="0.39370078740157483" top="0.39370078740157483" bottom="0.39370078740157483" header="0.51181102362204722" footer="0.51181102362204722"/>
  <pageSetup paperSize="8" scale="65" fitToHeight="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28" zoomScale="80" zoomScaleNormal="80" workbookViewId="0">
      <selection activeCell="E42" sqref="E42"/>
    </sheetView>
  </sheetViews>
  <sheetFormatPr defaultColWidth="9.140625" defaultRowHeight="11.25"/>
  <cols>
    <col min="1" max="1" width="14.28515625" style="353" bestFit="1" customWidth="1"/>
    <col min="2" max="2" width="99.28515625" style="353" bestFit="1" customWidth="1"/>
    <col min="3" max="5" width="16.7109375" style="353" customWidth="1"/>
    <col min="6" max="6" width="20.42578125" style="353" customWidth="1"/>
    <col min="7" max="7" width="38.42578125" style="353" customWidth="1"/>
    <col min="8" max="16384" width="9.140625" style="353"/>
  </cols>
  <sheetData>
    <row r="1" spans="1:7" ht="15.75" thickBot="1">
      <c r="A1" s="587" t="s">
        <v>593</v>
      </c>
      <c r="B1" s="588"/>
      <c r="C1" s="588"/>
      <c r="D1" s="588"/>
      <c r="E1" s="588"/>
      <c r="F1" s="589"/>
    </row>
    <row r="2" spans="1:7" ht="38.25">
      <c r="A2" s="354" t="s">
        <v>10</v>
      </c>
      <c r="B2" s="355" t="s">
        <v>11</v>
      </c>
      <c r="C2" s="356" t="s">
        <v>12</v>
      </c>
      <c r="D2" s="357" t="s">
        <v>594</v>
      </c>
      <c r="E2" s="356" t="s">
        <v>595</v>
      </c>
      <c r="F2" s="356" t="s">
        <v>596</v>
      </c>
    </row>
    <row r="3" spans="1:7" ht="12.75">
      <c r="A3" s="358"/>
      <c r="B3" s="359" t="s">
        <v>19</v>
      </c>
      <c r="C3" s="360"/>
      <c r="D3" s="361"/>
      <c r="E3" s="362"/>
      <c r="F3" s="363"/>
    </row>
    <row r="4" spans="1:7" ht="38.25">
      <c r="A4" s="364" t="s">
        <v>597</v>
      </c>
      <c r="B4" s="365" t="s">
        <v>598</v>
      </c>
      <c r="C4" s="366" t="s">
        <v>599</v>
      </c>
      <c r="D4" s="367">
        <v>60</v>
      </c>
      <c r="E4" s="368">
        <f>+'B1'!F11+'B1'!F13</f>
        <v>14981.031249999998</v>
      </c>
      <c r="F4" s="369">
        <f>+E4*D4</f>
        <v>898861.87499999988</v>
      </c>
      <c r="G4" s="370"/>
    </row>
    <row r="5" spans="1:7" ht="38.25">
      <c r="A5" s="367">
        <v>2</v>
      </c>
      <c r="B5" s="365" t="s">
        <v>600</v>
      </c>
      <c r="C5" s="366" t="s">
        <v>599</v>
      </c>
      <c r="D5" s="367">
        <v>60</v>
      </c>
      <c r="E5" s="371">
        <f>+'B1'!F14</f>
        <v>1360</v>
      </c>
      <c r="F5" s="369">
        <f>+E5*D5</f>
        <v>81600</v>
      </c>
    </row>
    <row r="6" spans="1:7" ht="12.75">
      <c r="A6" s="372"/>
      <c r="B6" s="373" t="s">
        <v>46</v>
      </c>
      <c r="C6" s="374"/>
      <c r="D6" s="375"/>
      <c r="E6" s="376"/>
      <c r="F6" s="376"/>
    </row>
    <row r="7" spans="1:7" ht="12.75">
      <c r="A7" s="367">
        <v>3</v>
      </c>
      <c r="B7" s="377" t="s">
        <v>601</v>
      </c>
      <c r="C7" s="366" t="s">
        <v>8</v>
      </c>
      <c r="D7" s="367">
        <v>735</v>
      </c>
      <c r="E7" s="378">
        <f>+'B1'!F16</f>
        <v>530.56499999999994</v>
      </c>
      <c r="F7" s="369">
        <f>+E7*D7</f>
        <v>389965.27499999997</v>
      </c>
    </row>
    <row r="8" spans="1:7" ht="12.75">
      <c r="A8" s="379"/>
      <c r="B8" s="380" t="s">
        <v>602</v>
      </c>
      <c r="C8" s="379"/>
      <c r="D8" s="379"/>
      <c r="E8" s="381"/>
      <c r="F8" s="382"/>
    </row>
    <row r="9" spans="1:7" ht="63.75">
      <c r="A9" s="367">
        <v>4</v>
      </c>
      <c r="B9" s="383" t="s">
        <v>603</v>
      </c>
      <c r="C9" s="367" t="s">
        <v>8</v>
      </c>
      <c r="D9" s="367">
        <v>10</v>
      </c>
      <c r="E9" s="485">
        <f>+'B1'!F71</f>
        <v>220.64400000000001</v>
      </c>
      <c r="F9" s="369">
        <f t="shared" ref="F9:F23" si="0">+E9*D9</f>
        <v>2206.44</v>
      </c>
    </row>
    <row r="10" spans="1:7" ht="25.5">
      <c r="A10" s="367">
        <v>5</v>
      </c>
      <c r="B10" s="384" t="s">
        <v>604</v>
      </c>
      <c r="C10" s="367" t="s">
        <v>8</v>
      </c>
      <c r="D10" s="367">
        <v>40</v>
      </c>
      <c r="E10" s="485">
        <f>+'B1'!F94</f>
        <v>84.887999999999991</v>
      </c>
      <c r="F10" s="369">
        <f t="shared" si="0"/>
        <v>3395.5199999999995</v>
      </c>
    </row>
    <row r="11" spans="1:7" ht="25.5">
      <c r="A11" s="367">
        <v>6</v>
      </c>
      <c r="B11" s="384" t="s">
        <v>605</v>
      </c>
      <c r="C11" s="367" t="s">
        <v>8</v>
      </c>
      <c r="D11" s="367">
        <v>24</v>
      </c>
      <c r="E11" s="485">
        <f>+'B1'!F99</f>
        <v>142.15199999999999</v>
      </c>
      <c r="F11" s="369">
        <f t="shared" si="0"/>
        <v>3411.6479999999997</v>
      </c>
    </row>
    <row r="12" spans="1:7" ht="38.25">
      <c r="A12" s="367">
        <v>7</v>
      </c>
      <c r="B12" s="384" t="s">
        <v>606</v>
      </c>
      <c r="C12" s="367" t="s">
        <v>8</v>
      </c>
      <c r="D12" s="367">
        <v>40</v>
      </c>
      <c r="E12" s="485">
        <f>+'B1'!F81</f>
        <v>122.35199999999999</v>
      </c>
      <c r="F12" s="369">
        <f t="shared" si="0"/>
        <v>4894.08</v>
      </c>
    </row>
    <row r="13" spans="1:7" ht="38.25">
      <c r="A13" s="367">
        <v>8</v>
      </c>
      <c r="B13" s="384" t="s">
        <v>607</v>
      </c>
      <c r="C13" s="367" t="s">
        <v>8</v>
      </c>
      <c r="D13" s="367">
        <v>40</v>
      </c>
      <c r="E13" s="485">
        <f>+'B1'!F82</f>
        <v>150</v>
      </c>
      <c r="F13" s="369">
        <f t="shared" si="0"/>
        <v>6000</v>
      </c>
    </row>
    <row r="14" spans="1:7" ht="38.25">
      <c r="A14" s="367">
        <v>9</v>
      </c>
      <c r="B14" s="384" t="s">
        <v>608</v>
      </c>
      <c r="C14" s="367" t="s">
        <v>8</v>
      </c>
      <c r="D14" s="367">
        <v>40</v>
      </c>
      <c r="E14" s="485">
        <f>+'B1'!F88</f>
        <v>340.71600000000001</v>
      </c>
      <c r="F14" s="369">
        <f t="shared" si="0"/>
        <v>13628.64</v>
      </c>
    </row>
    <row r="15" spans="1:7" ht="51">
      <c r="A15" s="367">
        <v>10</v>
      </c>
      <c r="B15" s="385" t="s">
        <v>609</v>
      </c>
      <c r="C15" s="367" t="s">
        <v>8</v>
      </c>
      <c r="D15" s="367">
        <v>16</v>
      </c>
      <c r="E15" s="485">
        <f>+'B1'!F106</f>
        <v>286.84799999999996</v>
      </c>
      <c r="F15" s="369">
        <f t="shared" si="0"/>
        <v>4589.5679999999993</v>
      </c>
    </row>
    <row r="16" spans="1:7" ht="38.25">
      <c r="A16" s="367">
        <v>11</v>
      </c>
      <c r="B16" s="384" t="s">
        <v>610</v>
      </c>
      <c r="C16" s="367" t="s">
        <v>8</v>
      </c>
      <c r="D16" s="367">
        <v>40</v>
      </c>
      <c r="E16" s="485">
        <f>+'B1'!F107</f>
        <v>200</v>
      </c>
      <c r="F16" s="369">
        <f t="shared" si="0"/>
        <v>8000</v>
      </c>
    </row>
    <row r="17" spans="1:6" ht="63.75">
      <c r="A17" s="367">
        <v>12</v>
      </c>
      <c r="B17" s="386" t="s">
        <v>611</v>
      </c>
      <c r="C17" s="367" t="s">
        <v>8</v>
      </c>
      <c r="D17" s="367">
        <v>460</v>
      </c>
      <c r="E17" s="488">
        <f>+'B1'!F133</f>
        <v>212.952</v>
      </c>
      <c r="F17" s="369">
        <f t="shared" si="0"/>
        <v>97957.92</v>
      </c>
    </row>
    <row r="18" spans="1:6" ht="25.5">
      <c r="A18" s="367">
        <v>13</v>
      </c>
      <c r="B18" s="384" t="s">
        <v>612</v>
      </c>
      <c r="C18" s="367" t="s">
        <v>8</v>
      </c>
      <c r="D18" s="367">
        <v>120</v>
      </c>
      <c r="E18" s="488">
        <f>+'B1'!F134</f>
        <v>320.23200000000003</v>
      </c>
      <c r="F18" s="369">
        <f t="shared" si="0"/>
        <v>38427.840000000004</v>
      </c>
    </row>
    <row r="19" spans="1:6" ht="25.5">
      <c r="A19" s="367">
        <v>15</v>
      </c>
      <c r="B19" s="384" t="s">
        <v>613</v>
      </c>
      <c r="C19" s="367" t="s">
        <v>8</v>
      </c>
      <c r="D19" s="367">
        <v>4</v>
      </c>
      <c r="E19" s="488">
        <f>+'B1'!F139</f>
        <v>862.66800000000001</v>
      </c>
      <c r="F19" s="369">
        <f t="shared" si="0"/>
        <v>3450.672</v>
      </c>
    </row>
    <row r="20" spans="1:6" ht="25.5">
      <c r="A20" s="367">
        <v>16</v>
      </c>
      <c r="B20" s="385" t="s">
        <v>614</v>
      </c>
      <c r="C20" s="367" t="s">
        <v>8</v>
      </c>
      <c r="D20" s="367">
        <v>64</v>
      </c>
      <c r="E20" s="488">
        <f>+'B1'!F137</f>
        <v>251.60799999999998</v>
      </c>
      <c r="F20" s="369">
        <f t="shared" si="0"/>
        <v>16102.911999999998</v>
      </c>
    </row>
    <row r="21" spans="1:6" ht="25.5">
      <c r="A21" s="367">
        <v>17</v>
      </c>
      <c r="B21" s="387" t="s">
        <v>615</v>
      </c>
      <c r="C21" s="367" t="s">
        <v>8</v>
      </c>
      <c r="D21" s="367">
        <v>40</v>
      </c>
      <c r="E21" s="488">
        <f>+'B1'!F93</f>
        <v>109.68</v>
      </c>
      <c r="F21" s="369">
        <f t="shared" si="0"/>
        <v>4387.2000000000007</v>
      </c>
    </row>
    <row r="22" spans="1:6" ht="45" customHeight="1">
      <c r="A22" s="367">
        <v>18</v>
      </c>
      <c r="B22" s="387" t="s">
        <v>616</v>
      </c>
      <c r="C22" s="367" t="s">
        <v>126</v>
      </c>
      <c r="D22" s="367">
        <v>1</v>
      </c>
      <c r="E22" s="488">
        <f>+'B1'!F76</f>
        <v>193.43999999999997</v>
      </c>
      <c r="F22" s="369">
        <f t="shared" si="0"/>
        <v>193.43999999999997</v>
      </c>
    </row>
    <row r="23" spans="1:6" ht="46.5" customHeight="1">
      <c r="A23" s="367">
        <v>19</v>
      </c>
      <c r="B23" s="387" t="s">
        <v>617</v>
      </c>
      <c r="C23" s="367" t="s">
        <v>126</v>
      </c>
      <c r="D23" s="367">
        <v>5</v>
      </c>
      <c r="E23" s="488">
        <f>+'B1'!F75</f>
        <v>145.08000000000001</v>
      </c>
      <c r="F23" s="369">
        <f t="shared" si="0"/>
        <v>725.40000000000009</v>
      </c>
    </row>
    <row r="24" spans="1:6" ht="12.75">
      <c r="A24" s="379"/>
      <c r="B24" s="380" t="s">
        <v>618</v>
      </c>
      <c r="C24" s="379"/>
      <c r="D24" s="379"/>
      <c r="E24" s="381"/>
      <c r="F24" s="382"/>
    </row>
    <row r="25" spans="1:6" ht="25.5">
      <c r="A25" s="367">
        <v>20</v>
      </c>
      <c r="B25" s="385" t="s">
        <v>619</v>
      </c>
      <c r="C25" s="367" t="s">
        <v>8</v>
      </c>
      <c r="D25" s="367">
        <v>200</v>
      </c>
      <c r="E25" s="488">
        <f>+'B1'!F35</f>
        <v>75.239999999999995</v>
      </c>
      <c r="F25" s="369">
        <f>+E25*D25</f>
        <v>15047.999999999998</v>
      </c>
    </row>
    <row r="26" spans="1:6" ht="38.25">
      <c r="A26" s="367">
        <v>21</v>
      </c>
      <c r="B26" s="384" t="s">
        <v>620</v>
      </c>
      <c r="C26" s="367" t="s">
        <v>621</v>
      </c>
      <c r="D26" s="367">
        <v>5</v>
      </c>
      <c r="E26" s="488">
        <f>+'B1'!F65</f>
        <v>1759.2</v>
      </c>
      <c r="F26" s="369">
        <f>+E26*D26</f>
        <v>8796</v>
      </c>
    </row>
    <row r="27" spans="1:6" ht="12.75">
      <c r="A27" s="367">
        <v>22</v>
      </c>
      <c r="B27" s="384" t="s">
        <v>582</v>
      </c>
      <c r="C27" s="367" t="s">
        <v>8</v>
      </c>
      <c r="D27" s="367">
        <v>380</v>
      </c>
      <c r="E27" s="488">
        <f>+'B1'!F27</f>
        <v>99.6</v>
      </c>
      <c r="F27" s="369">
        <f>+E27*D27</f>
        <v>37848</v>
      </c>
    </row>
    <row r="28" spans="1:6" ht="81.75" customHeight="1">
      <c r="A28" s="367">
        <v>23</v>
      </c>
      <c r="B28" s="388" t="s">
        <v>622</v>
      </c>
      <c r="C28" s="367" t="s">
        <v>463</v>
      </c>
      <c r="D28" s="367">
        <v>1</v>
      </c>
      <c r="E28" s="488">
        <f>+'B1'!F229</f>
        <v>550</v>
      </c>
      <c r="F28" s="369">
        <f>+E28*D28</f>
        <v>550</v>
      </c>
    </row>
    <row r="29" spans="1:6" ht="63.75">
      <c r="A29" s="367">
        <v>24</v>
      </c>
      <c r="B29" s="384" t="s">
        <v>623</v>
      </c>
      <c r="C29" s="367" t="s">
        <v>8</v>
      </c>
      <c r="D29" s="367">
        <v>55</v>
      </c>
      <c r="E29" s="488">
        <f>+'B1'!F110</f>
        <v>300</v>
      </c>
      <c r="F29" s="369">
        <f>+E29*D29</f>
        <v>16500</v>
      </c>
    </row>
    <row r="30" spans="1:6" ht="12.75">
      <c r="A30" s="379"/>
      <c r="B30" s="380" t="s">
        <v>624</v>
      </c>
      <c r="C30" s="372"/>
      <c r="D30" s="372"/>
      <c r="E30" s="381"/>
      <c r="F30" s="382"/>
    </row>
    <row r="31" spans="1:6" ht="38.25">
      <c r="A31" s="367">
        <v>25</v>
      </c>
      <c r="B31" s="384" t="s">
        <v>625</v>
      </c>
      <c r="C31" s="367" t="s">
        <v>626</v>
      </c>
      <c r="D31" s="367">
        <v>55</v>
      </c>
      <c r="E31" s="488">
        <f>+'B1'!F161</f>
        <v>200</v>
      </c>
      <c r="F31" s="369">
        <f t="shared" ref="F31:F37" si="1">+E31*D31</f>
        <v>11000</v>
      </c>
    </row>
    <row r="32" spans="1:6" ht="38.25">
      <c r="A32" s="367">
        <v>26</v>
      </c>
      <c r="B32" s="384" t="s">
        <v>627</v>
      </c>
      <c r="C32" s="367" t="s">
        <v>326</v>
      </c>
      <c r="D32" s="367">
        <v>55</v>
      </c>
      <c r="E32" s="488">
        <f>+'B1'!F170</f>
        <v>85</v>
      </c>
      <c r="F32" s="369">
        <f t="shared" si="1"/>
        <v>4675</v>
      </c>
    </row>
    <row r="33" spans="1:6" ht="38.25">
      <c r="A33" s="367">
        <v>27</v>
      </c>
      <c r="B33" s="384" t="s">
        <v>628</v>
      </c>
      <c r="C33" s="367" t="s">
        <v>629</v>
      </c>
      <c r="D33" s="367">
        <v>55</v>
      </c>
      <c r="E33" s="488">
        <f>+'B1'!F171</f>
        <v>300</v>
      </c>
      <c r="F33" s="369">
        <f t="shared" si="1"/>
        <v>16500</v>
      </c>
    </row>
    <row r="34" spans="1:6" ht="12.75">
      <c r="A34" s="367">
        <v>28</v>
      </c>
      <c r="B34" s="387" t="s">
        <v>630</v>
      </c>
      <c r="C34" s="367" t="s">
        <v>291</v>
      </c>
      <c r="D34" s="367">
        <v>55</v>
      </c>
      <c r="E34" s="490">
        <f>+'B1'!F158</f>
        <v>30</v>
      </c>
      <c r="F34" s="369">
        <f t="shared" si="1"/>
        <v>1650</v>
      </c>
    </row>
    <row r="35" spans="1:6" ht="12.75">
      <c r="A35" s="367">
        <v>29</v>
      </c>
      <c r="B35" s="387" t="s">
        <v>631</v>
      </c>
      <c r="C35" s="367" t="s">
        <v>291</v>
      </c>
      <c r="D35" s="367">
        <v>10</v>
      </c>
      <c r="E35" s="490">
        <f>+'B1'!F160</f>
        <v>300</v>
      </c>
      <c r="F35" s="369">
        <f t="shared" si="1"/>
        <v>3000</v>
      </c>
    </row>
    <row r="36" spans="1:6" ht="12.75">
      <c r="A36" s="367">
        <v>30</v>
      </c>
      <c r="B36" s="387" t="s">
        <v>632</v>
      </c>
      <c r="C36" s="367" t="s">
        <v>338</v>
      </c>
      <c r="D36" s="367">
        <v>55</v>
      </c>
      <c r="E36" s="490">
        <f>+'B1'!F174</f>
        <v>50</v>
      </c>
      <c r="F36" s="369">
        <f t="shared" si="1"/>
        <v>2750</v>
      </c>
    </row>
    <row r="37" spans="1:6" ht="12.75">
      <c r="A37" s="367">
        <v>31</v>
      </c>
      <c r="B37" s="389" t="s">
        <v>633</v>
      </c>
      <c r="C37" s="367" t="s">
        <v>291</v>
      </c>
      <c r="D37" s="367">
        <v>50</v>
      </c>
      <c r="E37" s="490">
        <f>+'B1'!F177</f>
        <v>25</v>
      </c>
      <c r="F37" s="369">
        <f t="shared" si="1"/>
        <v>1250</v>
      </c>
    </row>
    <row r="38" spans="1:6" ht="12.75">
      <c r="A38" s="379"/>
      <c r="B38" s="380" t="s">
        <v>634</v>
      </c>
      <c r="C38" s="372"/>
      <c r="D38" s="372"/>
      <c r="E38" s="403"/>
      <c r="F38" s="382"/>
    </row>
    <row r="39" spans="1:6" ht="38.25">
      <c r="A39" s="367">
        <v>32</v>
      </c>
      <c r="B39" s="365" t="s">
        <v>635</v>
      </c>
      <c r="C39" s="367" t="s">
        <v>283</v>
      </c>
      <c r="D39" s="367">
        <v>55</v>
      </c>
      <c r="E39" s="490">
        <f>+'B1'!F175</f>
        <v>546.3359999999999</v>
      </c>
      <c r="F39" s="369">
        <f>+E39*D39</f>
        <v>30048.479999999996</v>
      </c>
    </row>
    <row r="40" spans="1:6" ht="38.25">
      <c r="A40" s="367">
        <v>33</v>
      </c>
      <c r="B40" s="365" t="s">
        <v>636</v>
      </c>
      <c r="C40" s="367" t="s">
        <v>283</v>
      </c>
      <c r="D40" s="367">
        <v>5</v>
      </c>
      <c r="E40" s="490">
        <f>+'B1'!F176</f>
        <v>888.84</v>
      </c>
      <c r="F40" s="369">
        <f>+E40*D40</f>
        <v>4444.2</v>
      </c>
    </row>
    <row r="41" spans="1:6" ht="12.75">
      <c r="A41" s="367">
        <v>34</v>
      </c>
      <c r="B41" s="389" t="s">
        <v>637</v>
      </c>
      <c r="C41" s="367" t="s">
        <v>283</v>
      </c>
      <c r="D41" s="367">
        <v>5</v>
      </c>
      <c r="E41" s="490">
        <f>+'B1'!F153</f>
        <v>408.76499999999999</v>
      </c>
      <c r="F41" s="369">
        <f>+E41*D41</f>
        <v>2043.8249999999998</v>
      </c>
    </row>
    <row r="42" spans="1:6" ht="38.25">
      <c r="A42" s="367">
        <v>35</v>
      </c>
      <c r="B42" s="365" t="s">
        <v>638</v>
      </c>
      <c r="C42" s="367" t="s">
        <v>639</v>
      </c>
      <c r="D42" s="367">
        <v>165</v>
      </c>
      <c r="E42" s="490">
        <f>+'B1'!F188</f>
        <v>145.52999999999997</v>
      </c>
      <c r="F42" s="369">
        <f>+E42*D42</f>
        <v>24012.449999999997</v>
      </c>
    </row>
    <row r="43" spans="1:6" ht="12.75">
      <c r="A43" s="379"/>
      <c r="B43" s="380" t="s">
        <v>640</v>
      </c>
      <c r="C43" s="372"/>
      <c r="D43" s="372"/>
      <c r="E43" s="403"/>
      <c r="F43" s="382"/>
    </row>
    <row r="44" spans="1:6" ht="12.75">
      <c r="A44" s="367">
        <v>36</v>
      </c>
      <c r="B44" s="384" t="s">
        <v>641</v>
      </c>
      <c r="C44" s="367" t="s">
        <v>642</v>
      </c>
      <c r="D44" s="390">
        <v>50000</v>
      </c>
      <c r="E44" s="404">
        <v>1</v>
      </c>
      <c r="F44" s="371">
        <v>50000</v>
      </c>
    </row>
    <row r="45" spans="1:6" ht="12.75">
      <c r="A45" s="391"/>
      <c r="B45" s="392" t="s">
        <v>643</v>
      </c>
      <c r="C45" s="393"/>
      <c r="D45" s="394"/>
      <c r="E45" s="395" t="s">
        <v>642</v>
      </c>
      <c r="F45" s="396">
        <f>SUM(F4:F44)</f>
        <v>1807914.3849999995</v>
      </c>
    </row>
    <row r="48" spans="1:6" ht="99.75">
      <c r="A48" s="397" t="s">
        <v>644</v>
      </c>
      <c r="B48" s="398" t="s">
        <v>645</v>
      </c>
    </row>
    <row r="50" spans="1:6" ht="12" thickBot="1"/>
    <row r="51" spans="1:6" ht="15.75" thickBot="1">
      <c r="A51" s="587" t="s">
        <v>646</v>
      </c>
      <c r="B51" s="588"/>
      <c r="C51" s="588"/>
      <c r="D51" s="588"/>
      <c r="E51" s="588"/>
      <c r="F51" s="589"/>
    </row>
    <row r="52" spans="1:6" ht="38.25">
      <c r="A52" s="354" t="s">
        <v>10</v>
      </c>
      <c r="B52" s="399" t="s">
        <v>11</v>
      </c>
      <c r="C52" s="400" t="s">
        <v>12</v>
      </c>
      <c r="D52" s="357" t="s">
        <v>594</v>
      </c>
      <c r="E52" s="356" t="s">
        <v>595</v>
      </c>
      <c r="F52" s="356" t="s">
        <v>596</v>
      </c>
    </row>
    <row r="53" spans="1:6" ht="25.5">
      <c r="A53" s="367"/>
      <c r="B53" s="365" t="s">
        <v>647</v>
      </c>
      <c r="C53" s="367" t="s">
        <v>648</v>
      </c>
      <c r="D53" s="367" t="s">
        <v>649</v>
      </c>
      <c r="E53" s="378"/>
      <c r="F53" s="371" t="s">
        <v>649</v>
      </c>
    </row>
    <row r="54" spans="1:6" ht="25.5">
      <c r="A54" s="367"/>
      <c r="B54" s="365" t="s">
        <v>650</v>
      </c>
      <c r="C54" s="367" t="s">
        <v>648</v>
      </c>
      <c r="D54" s="367" t="s">
        <v>649</v>
      </c>
      <c r="E54" s="378"/>
      <c r="F54" s="371" t="s">
        <v>649</v>
      </c>
    </row>
    <row r="55" spans="1:6" ht="24.75" customHeight="1">
      <c r="A55" s="367"/>
      <c r="B55" s="401" t="s">
        <v>651</v>
      </c>
      <c r="C55" s="402" t="s">
        <v>652</v>
      </c>
      <c r="D55" s="367" t="s">
        <v>649</v>
      </c>
      <c r="E55" s="378"/>
      <c r="F55" s="371" t="s">
        <v>649</v>
      </c>
    </row>
    <row r="56" spans="1:6" ht="12.75">
      <c r="A56" s="367"/>
      <c r="B56" s="383"/>
      <c r="C56" s="367"/>
      <c r="D56" s="367" t="s">
        <v>649</v>
      </c>
      <c r="E56" s="378"/>
      <c r="F56" s="371" t="s">
        <v>649</v>
      </c>
    </row>
    <row r="57" spans="1:6" ht="12.75">
      <c r="A57" s="367"/>
      <c r="B57" s="383"/>
      <c r="C57" s="367"/>
      <c r="D57" s="367" t="s">
        <v>649</v>
      </c>
      <c r="E57" s="378"/>
      <c r="F57" s="371" t="s">
        <v>649</v>
      </c>
    </row>
    <row r="58" spans="1:6" ht="12.75">
      <c r="A58" s="367"/>
      <c r="B58" s="383"/>
      <c r="C58" s="367"/>
      <c r="D58" s="367" t="s">
        <v>649</v>
      </c>
      <c r="E58" s="378"/>
      <c r="F58" s="371" t="s">
        <v>649</v>
      </c>
    </row>
    <row r="59" spans="1:6" ht="12.75">
      <c r="A59" s="367"/>
      <c r="B59" s="383"/>
      <c r="C59" s="367"/>
      <c r="D59" s="367" t="s">
        <v>649</v>
      </c>
      <c r="E59" s="378"/>
      <c r="F59" s="371" t="s">
        <v>649</v>
      </c>
    </row>
    <row r="60" spans="1:6" ht="12.75">
      <c r="A60" s="367"/>
      <c r="B60" s="383"/>
      <c r="C60" s="367"/>
      <c r="D60" s="367" t="s">
        <v>649</v>
      </c>
      <c r="E60" s="378"/>
      <c r="F60" s="371" t="s">
        <v>649</v>
      </c>
    </row>
    <row r="61" spans="1:6" ht="12.75">
      <c r="A61" s="367"/>
      <c r="B61" s="383"/>
      <c r="C61" s="367"/>
      <c r="D61" s="367" t="s">
        <v>649</v>
      </c>
      <c r="E61" s="378"/>
      <c r="F61" s="371" t="s">
        <v>649</v>
      </c>
    </row>
    <row r="62" spans="1:6" ht="12.75">
      <c r="A62" s="367"/>
      <c r="B62" s="383"/>
      <c r="C62" s="367"/>
      <c r="D62" s="367" t="s">
        <v>649</v>
      </c>
      <c r="E62" s="378"/>
      <c r="F62" s="371" t="s">
        <v>649</v>
      </c>
    </row>
  </sheetData>
  <mergeCells count="2">
    <mergeCell ref="A1:F1"/>
    <mergeCell ref="A51:F51"/>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4"/>
  <sheetViews>
    <sheetView topLeftCell="A4" zoomScale="80" zoomScaleNormal="80" workbookViewId="0">
      <selection activeCell="E4" sqref="E4"/>
    </sheetView>
  </sheetViews>
  <sheetFormatPr defaultColWidth="9.140625" defaultRowHeight="11.25"/>
  <cols>
    <col min="1" max="1" width="14.28515625" style="405" bestFit="1" customWidth="1"/>
    <col min="2" max="2" width="99.28515625" style="405" bestFit="1" customWidth="1"/>
    <col min="3" max="5" width="16.7109375" style="405" customWidth="1"/>
    <col min="6" max="6" width="20.140625" style="405" bestFit="1" customWidth="1"/>
    <col min="7" max="7" width="38.42578125" style="405" customWidth="1"/>
    <col min="8" max="16384" width="9.140625" style="405"/>
  </cols>
  <sheetData>
    <row r="1" spans="1:8" ht="15.75" thickBot="1">
      <c r="A1" s="590" t="s">
        <v>653</v>
      </c>
      <c r="B1" s="591"/>
      <c r="C1" s="591"/>
      <c r="D1" s="591"/>
      <c r="E1" s="591"/>
      <c r="F1" s="592"/>
    </row>
    <row r="2" spans="1:8" ht="38.25">
      <c r="A2" s="406" t="s">
        <v>10</v>
      </c>
      <c r="B2" s="407" t="s">
        <v>11</v>
      </c>
      <c r="C2" s="408" t="s">
        <v>12</v>
      </c>
      <c r="D2" s="409" t="s">
        <v>594</v>
      </c>
      <c r="E2" s="408" t="s">
        <v>595</v>
      </c>
      <c r="F2" s="408" t="s">
        <v>596</v>
      </c>
    </row>
    <row r="3" spans="1:8" ht="12.75">
      <c r="A3" s="410"/>
      <c r="B3" s="411" t="s">
        <v>19</v>
      </c>
      <c r="C3" s="412"/>
      <c r="D3" s="413"/>
      <c r="E3" s="414"/>
      <c r="F3" s="415"/>
    </row>
    <row r="4" spans="1:8" ht="42" customHeight="1">
      <c r="A4" s="416" t="s">
        <v>597</v>
      </c>
      <c r="B4" s="464" t="s">
        <v>598</v>
      </c>
      <c r="C4" s="418" t="s">
        <v>599</v>
      </c>
      <c r="D4" s="419">
        <v>60</v>
      </c>
      <c r="E4" s="420">
        <f>+('B2'!F11+'B2'!F13)</f>
        <v>13000.409999999998</v>
      </c>
      <c r="F4" s="421">
        <f>+E4*D4</f>
        <v>780024.59999999986</v>
      </c>
      <c r="G4" s="422"/>
    </row>
    <row r="5" spans="1:8" ht="42.75" customHeight="1">
      <c r="A5" s="419">
        <v>2</v>
      </c>
      <c r="B5" s="423" t="s">
        <v>600</v>
      </c>
      <c r="C5" s="418" t="s">
        <v>599</v>
      </c>
      <c r="D5" s="419">
        <v>60</v>
      </c>
      <c r="E5" s="424">
        <f>+'B2'!F14</f>
        <v>1360</v>
      </c>
      <c r="F5" s="421">
        <f>+E5*D5</f>
        <v>81600</v>
      </c>
    </row>
    <row r="6" spans="1:8" ht="12.75">
      <c r="A6" s="425"/>
      <c r="B6" s="426" t="s">
        <v>46</v>
      </c>
      <c r="C6" s="427"/>
      <c r="D6" s="428"/>
      <c r="E6" s="429"/>
      <c r="F6" s="429"/>
    </row>
    <row r="7" spans="1:8" ht="12.75">
      <c r="A7" s="419">
        <v>3</v>
      </c>
      <c r="B7" s="430" t="s">
        <v>601</v>
      </c>
      <c r="C7" s="418" t="s">
        <v>8</v>
      </c>
      <c r="D7" s="431">
        <v>825</v>
      </c>
      <c r="E7" s="432">
        <f>+'B2'!F16</f>
        <v>530.56499999999994</v>
      </c>
      <c r="F7" s="421">
        <f>+E7*D7</f>
        <v>437716.12499999994</v>
      </c>
    </row>
    <row r="8" spans="1:8" ht="12.75">
      <c r="A8" s="433"/>
      <c r="B8" s="434" t="s">
        <v>602</v>
      </c>
      <c r="C8" s="433"/>
      <c r="D8" s="433"/>
      <c r="E8" s="435"/>
      <c r="F8" s="436"/>
    </row>
    <row r="9" spans="1:8" ht="83.25" customHeight="1">
      <c r="A9" s="419">
        <v>4</v>
      </c>
      <c r="B9" s="437" t="s">
        <v>654</v>
      </c>
      <c r="C9" s="419" t="s">
        <v>8</v>
      </c>
      <c r="D9" s="419">
        <v>10</v>
      </c>
      <c r="E9" s="432">
        <f>+'Inschrijfstaat B1'!E9</f>
        <v>220.64400000000001</v>
      </c>
      <c r="F9" s="421">
        <f t="shared" ref="F9:F23" si="0">+E9*D9</f>
        <v>2206.44</v>
      </c>
    </row>
    <row r="10" spans="1:8" ht="30" customHeight="1">
      <c r="A10" s="419">
        <v>5</v>
      </c>
      <c r="B10" s="417" t="s">
        <v>655</v>
      </c>
      <c r="C10" s="419" t="s">
        <v>8</v>
      </c>
      <c r="D10" s="419">
        <v>40</v>
      </c>
      <c r="E10" s="432">
        <f>+'Inschrijfstaat B1'!E10</f>
        <v>84.887999999999991</v>
      </c>
      <c r="F10" s="421">
        <f t="shared" si="0"/>
        <v>3395.5199999999995</v>
      </c>
      <c r="H10" s="438"/>
    </row>
    <row r="11" spans="1:8" ht="29.25" customHeight="1">
      <c r="A11" s="419">
        <v>6</v>
      </c>
      <c r="B11" s="417" t="s">
        <v>656</v>
      </c>
      <c r="C11" s="419" t="s">
        <v>8</v>
      </c>
      <c r="D11" s="419">
        <v>24</v>
      </c>
      <c r="E11" s="432">
        <f>+'Inschrijfstaat B1'!E11</f>
        <v>142.15199999999999</v>
      </c>
      <c r="F11" s="421">
        <f t="shared" si="0"/>
        <v>3411.6479999999997</v>
      </c>
    </row>
    <row r="12" spans="1:8" ht="43.5" customHeight="1">
      <c r="A12" s="419">
        <v>7</v>
      </c>
      <c r="B12" s="417" t="s">
        <v>657</v>
      </c>
      <c r="C12" s="419" t="s">
        <v>8</v>
      </c>
      <c r="D12" s="419">
        <v>40</v>
      </c>
      <c r="E12" s="432">
        <f>+'Inschrijfstaat B1'!E12</f>
        <v>122.35199999999999</v>
      </c>
      <c r="F12" s="421">
        <f t="shared" si="0"/>
        <v>4894.08</v>
      </c>
    </row>
    <row r="13" spans="1:8" ht="44.25" customHeight="1">
      <c r="A13" s="419">
        <v>8</v>
      </c>
      <c r="B13" s="417" t="s">
        <v>658</v>
      </c>
      <c r="C13" s="419" t="s">
        <v>8</v>
      </c>
      <c r="D13" s="419">
        <v>40</v>
      </c>
      <c r="E13" s="432">
        <f>+'Inschrijfstaat B1'!E13</f>
        <v>150</v>
      </c>
      <c r="F13" s="421">
        <f t="shared" si="0"/>
        <v>6000</v>
      </c>
    </row>
    <row r="14" spans="1:8" ht="42" customHeight="1">
      <c r="A14" s="419">
        <v>9</v>
      </c>
      <c r="B14" s="417" t="s">
        <v>659</v>
      </c>
      <c r="C14" s="419" t="s">
        <v>8</v>
      </c>
      <c r="D14" s="419">
        <v>40</v>
      </c>
      <c r="E14" s="432">
        <f>+'Inschrijfstaat B1'!E14</f>
        <v>340.71600000000001</v>
      </c>
      <c r="F14" s="421">
        <f t="shared" si="0"/>
        <v>13628.64</v>
      </c>
    </row>
    <row r="15" spans="1:8" ht="55.5" customHeight="1">
      <c r="A15" s="419">
        <v>10</v>
      </c>
      <c r="B15" s="439" t="s">
        <v>660</v>
      </c>
      <c r="C15" s="419" t="s">
        <v>8</v>
      </c>
      <c r="D15" s="419">
        <v>16</v>
      </c>
      <c r="E15" s="432">
        <f>+'Inschrijfstaat B1'!E15</f>
        <v>286.84799999999996</v>
      </c>
      <c r="F15" s="421">
        <f t="shared" si="0"/>
        <v>4589.5679999999993</v>
      </c>
    </row>
    <row r="16" spans="1:8" ht="43.5" customHeight="1">
      <c r="A16" s="419">
        <v>11</v>
      </c>
      <c r="B16" s="417" t="s">
        <v>610</v>
      </c>
      <c r="C16" s="419" t="s">
        <v>8</v>
      </c>
      <c r="D16" s="419">
        <v>40</v>
      </c>
      <c r="E16" s="432">
        <f>+'Inschrijfstaat B1'!E16</f>
        <v>200</v>
      </c>
      <c r="F16" s="421">
        <f t="shared" si="0"/>
        <v>8000</v>
      </c>
    </row>
    <row r="17" spans="1:6" ht="66.75" customHeight="1">
      <c r="A17" s="419">
        <v>12</v>
      </c>
      <c r="B17" s="440" t="s">
        <v>611</v>
      </c>
      <c r="C17" s="419" t="s">
        <v>8</v>
      </c>
      <c r="D17" s="431">
        <v>440</v>
      </c>
      <c r="E17" s="432">
        <f>+'Inschrijfstaat B1'!E17</f>
        <v>212.952</v>
      </c>
      <c r="F17" s="421">
        <f t="shared" si="0"/>
        <v>93698.880000000005</v>
      </c>
    </row>
    <row r="18" spans="1:6" ht="31.5" customHeight="1">
      <c r="A18" s="419">
        <v>13</v>
      </c>
      <c r="B18" s="417" t="s">
        <v>612</v>
      </c>
      <c r="C18" s="419" t="s">
        <v>8</v>
      </c>
      <c r="D18" s="419">
        <v>120</v>
      </c>
      <c r="E18" s="432">
        <f>+'Inschrijfstaat B1'!E18</f>
        <v>320.23200000000003</v>
      </c>
      <c r="F18" s="421">
        <f t="shared" si="0"/>
        <v>38427.840000000004</v>
      </c>
    </row>
    <row r="19" spans="1:6" ht="30.75" customHeight="1">
      <c r="A19" s="431">
        <v>14</v>
      </c>
      <c r="B19" s="417" t="s">
        <v>613</v>
      </c>
      <c r="C19" s="419" t="s">
        <v>8</v>
      </c>
      <c r="D19" s="419">
        <v>4</v>
      </c>
      <c r="E19" s="432">
        <f>+'Inschrijfstaat B1'!E19</f>
        <v>862.66800000000001</v>
      </c>
      <c r="F19" s="421">
        <f t="shared" si="0"/>
        <v>3450.672</v>
      </c>
    </row>
    <row r="20" spans="1:6" ht="30" customHeight="1">
      <c r="A20" s="431">
        <v>15</v>
      </c>
      <c r="B20" s="439" t="s">
        <v>614</v>
      </c>
      <c r="C20" s="419" t="s">
        <v>8</v>
      </c>
      <c r="D20" s="419">
        <v>64</v>
      </c>
      <c r="E20" s="432">
        <f>+'Inschrijfstaat B1'!E20</f>
        <v>251.60799999999998</v>
      </c>
      <c r="F20" s="421">
        <f t="shared" si="0"/>
        <v>16102.911999999998</v>
      </c>
    </row>
    <row r="21" spans="1:6" ht="29.25" customHeight="1">
      <c r="A21" s="431">
        <v>16</v>
      </c>
      <c r="B21" s="441" t="s">
        <v>661</v>
      </c>
      <c r="C21" s="419" t="s">
        <v>8</v>
      </c>
      <c r="D21" s="419">
        <v>40</v>
      </c>
      <c r="E21" s="432">
        <f>+'Inschrijfstaat B1'!E21</f>
        <v>109.68</v>
      </c>
      <c r="F21" s="421">
        <f t="shared" si="0"/>
        <v>4387.2000000000007</v>
      </c>
    </row>
    <row r="22" spans="1:6" ht="42" customHeight="1">
      <c r="A22" s="431">
        <v>17</v>
      </c>
      <c r="B22" s="441" t="s">
        <v>616</v>
      </c>
      <c r="C22" s="419" t="s">
        <v>126</v>
      </c>
      <c r="D22" s="431">
        <v>8</v>
      </c>
      <c r="E22" s="432">
        <f>+'Inschrijfstaat B1'!E22</f>
        <v>193.43999999999997</v>
      </c>
      <c r="F22" s="421">
        <f t="shared" si="0"/>
        <v>1547.5199999999998</v>
      </c>
    </row>
    <row r="23" spans="1:6" ht="41.25" customHeight="1">
      <c r="A23" s="431">
        <v>18</v>
      </c>
      <c r="B23" s="441" t="s">
        <v>617</v>
      </c>
      <c r="C23" s="419" t="s">
        <v>126</v>
      </c>
      <c r="D23" s="431">
        <v>40</v>
      </c>
      <c r="E23" s="432">
        <f>+'Inschrijfstaat B1'!E23</f>
        <v>145.08000000000001</v>
      </c>
      <c r="F23" s="421">
        <f t="shared" si="0"/>
        <v>5803.2000000000007</v>
      </c>
    </row>
    <row r="24" spans="1:6" ht="27.75" customHeight="1">
      <c r="A24" s="433"/>
      <c r="B24" s="434" t="s">
        <v>618</v>
      </c>
      <c r="C24" s="433"/>
      <c r="D24" s="433"/>
      <c r="E24" s="435"/>
      <c r="F24" s="436"/>
    </row>
    <row r="25" spans="1:6" ht="28.5" customHeight="1">
      <c r="A25" s="431">
        <v>19</v>
      </c>
      <c r="B25" s="439" t="s">
        <v>619</v>
      </c>
      <c r="C25" s="419" t="s">
        <v>8</v>
      </c>
      <c r="D25" s="419">
        <v>200</v>
      </c>
      <c r="E25" s="432">
        <f>+'Inschrijfstaat B1'!E25</f>
        <v>75.239999999999995</v>
      </c>
      <c r="F25" s="421">
        <f t="shared" ref="F25:F29" si="1">+E25*D25</f>
        <v>15047.999999999998</v>
      </c>
    </row>
    <row r="26" spans="1:6" ht="42" customHeight="1">
      <c r="A26" s="431">
        <v>20</v>
      </c>
      <c r="B26" s="417" t="s">
        <v>620</v>
      </c>
      <c r="C26" s="419" t="s">
        <v>621</v>
      </c>
      <c r="D26" s="431">
        <v>20</v>
      </c>
      <c r="E26" s="432">
        <f>+'Inschrijfstaat B1'!E26</f>
        <v>1759.2</v>
      </c>
      <c r="F26" s="421">
        <f t="shared" si="1"/>
        <v>35184</v>
      </c>
    </row>
    <row r="27" spans="1:6" ht="12.75">
      <c r="A27" s="431">
        <v>21</v>
      </c>
      <c r="B27" s="417" t="s">
        <v>582</v>
      </c>
      <c r="C27" s="419" t="s">
        <v>8</v>
      </c>
      <c r="D27" s="431">
        <v>350</v>
      </c>
      <c r="E27" s="432">
        <f>+'Inschrijfstaat B1'!E27</f>
        <v>99.6</v>
      </c>
      <c r="F27" s="421">
        <f t="shared" si="1"/>
        <v>34860</v>
      </c>
    </row>
    <row r="28" spans="1:6" ht="108" customHeight="1">
      <c r="A28" s="431">
        <v>22</v>
      </c>
      <c r="B28" s="442" t="s">
        <v>622</v>
      </c>
      <c r="C28" s="419" t="s">
        <v>463</v>
      </c>
      <c r="D28" s="419">
        <v>1</v>
      </c>
      <c r="E28" s="432">
        <f>+'Inschrijfstaat B1'!E28</f>
        <v>550</v>
      </c>
      <c r="F28" s="421">
        <f t="shared" si="1"/>
        <v>550</v>
      </c>
    </row>
    <row r="29" spans="1:6" ht="69.75" customHeight="1">
      <c r="A29" s="431">
        <v>23</v>
      </c>
      <c r="B29" s="417" t="s">
        <v>623</v>
      </c>
      <c r="C29" s="419" t="s">
        <v>8</v>
      </c>
      <c r="D29" s="431">
        <v>50</v>
      </c>
      <c r="E29" s="432">
        <f>+'Inschrijfstaat B1'!E29</f>
        <v>300</v>
      </c>
      <c r="F29" s="421">
        <f t="shared" si="1"/>
        <v>15000</v>
      </c>
    </row>
    <row r="30" spans="1:6" ht="12.75">
      <c r="A30" s="433"/>
      <c r="B30" s="434" t="s">
        <v>624</v>
      </c>
      <c r="C30" s="425"/>
      <c r="D30" s="425"/>
      <c r="E30" s="435"/>
      <c r="F30" s="436"/>
    </row>
    <row r="31" spans="1:6" ht="45" customHeight="1">
      <c r="A31" s="431">
        <v>24</v>
      </c>
      <c r="B31" s="417" t="s">
        <v>625</v>
      </c>
      <c r="C31" s="419" t="s">
        <v>626</v>
      </c>
      <c r="D31" s="431">
        <v>50</v>
      </c>
      <c r="E31" s="432">
        <f>+'Inschrijfstaat B1'!E31</f>
        <v>200</v>
      </c>
      <c r="F31" s="421">
        <f t="shared" ref="F31:F37" si="2">+E31*D31</f>
        <v>10000</v>
      </c>
    </row>
    <row r="32" spans="1:6" ht="42.75" customHeight="1">
      <c r="A32" s="431">
        <v>25</v>
      </c>
      <c r="B32" s="417" t="s">
        <v>627</v>
      </c>
      <c r="C32" s="419" t="s">
        <v>326</v>
      </c>
      <c r="D32" s="431">
        <v>50</v>
      </c>
      <c r="E32" s="432">
        <f>+'Inschrijfstaat B1'!E32</f>
        <v>85</v>
      </c>
      <c r="F32" s="421">
        <f t="shared" si="2"/>
        <v>4250</v>
      </c>
    </row>
    <row r="33" spans="1:6" ht="42" customHeight="1">
      <c r="A33" s="431">
        <v>26</v>
      </c>
      <c r="B33" s="417" t="s">
        <v>628</v>
      </c>
      <c r="C33" s="419" t="s">
        <v>629</v>
      </c>
      <c r="D33" s="431">
        <v>50</v>
      </c>
      <c r="E33" s="432">
        <f>+'Inschrijfstaat B1'!E33</f>
        <v>300</v>
      </c>
      <c r="F33" s="421">
        <f t="shared" si="2"/>
        <v>15000</v>
      </c>
    </row>
    <row r="34" spans="1:6" ht="16.5" customHeight="1">
      <c r="A34" s="431">
        <v>27</v>
      </c>
      <c r="B34" s="441" t="s">
        <v>630</v>
      </c>
      <c r="C34" s="419" t="s">
        <v>291</v>
      </c>
      <c r="D34" s="431">
        <v>50</v>
      </c>
      <c r="E34" s="432">
        <f>+'Inschrijfstaat B1'!E34</f>
        <v>30</v>
      </c>
      <c r="F34" s="421">
        <f t="shared" si="2"/>
        <v>1500</v>
      </c>
    </row>
    <row r="35" spans="1:6" ht="16.5" customHeight="1">
      <c r="A35" s="431">
        <v>28</v>
      </c>
      <c r="B35" s="441" t="s">
        <v>631</v>
      </c>
      <c r="C35" s="419" t="s">
        <v>291</v>
      </c>
      <c r="D35" s="419">
        <v>10</v>
      </c>
      <c r="E35" s="432">
        <f>+'Inschrijfstaat B1'!E35</f>
        <v>300</v>
      </c>
      <c r="F35" s="421">
        <f t="shared" si="2"/>
        <v>3000</v>
      </c>
    </row>
    <row r="36" spans="1:6" ht="16.5" customHeight="1">
      <c r="A36" s="431">
        <v>29</v>
      </c>
      <c r="B36" s="441" t="s">
        <v>632</v>
      </c>
      <c r="C36" s="419" t="s">
        <v>338</v>
      </c>
      <c r="D36" s="431">
        <v>50</v>
      </c>
      <c r="E36" s="432">
        <f>+'Inschrijfstaat B1'!E36</f>
        <v>50</v>
      </c>
      <c r="F36" s="421">
        <f t="shared" si="2"/>
        <v>2500</v>
      </c>
    </row>
    <row r="37" spans="1:6" ht="16.5" customHeight="1">
      <c r="A37" s="431">
        <v>30</v>
      </c>
      <c r="B37" s="443" t="s">
        <v>633</v>
      </c>
      <c r="C37" s="419" t="s">
        <v>291</v>
      </c>
      <c r="D37" s="419">
        <v>50</v>
      </c>
      <c r="E37" s="432">
        <f>+'Inschrijfstaat B1'!E37</f>
        <v>25</v>
      </c>
      <c r="F37" s="421">
        <f t="shared" si="2"/>
        <v>1250</v>
      </c>
    </row>
    <row r="38" spans="1:6" ht="12.75">
      <c r="A38" s="433"/>
      <c r="B38" s="434" t="s">
        <v>634</v>
      </c>
      <c r="C38" s="425"/>
      <c r="D38" s="425"/>
      <c r="E38" s="435"/>
      <c r="F38" s="436"/>
    </row>
    <row r="39" spans="1:6" ht="44.25" customHeight="1">
      <c r="A39" s="431">
        <v>31</v>
      </c>
      <c r="B39" s="423" t="s">
        <v>635</v>
      </c>
      <c r="C39" s="419" t="s">
        <v>283</v>
      </c>
      <c r="D39" s="431">
        <v>50</v>
      </c>
      <c r="E39" s="465">
        <f>+'Inschrijfstaat B1'!E39</f>
        <v>546.3359999999999</v>
      </c>
      <c r="F39" s="421">
        <f t="shared" ref="F39:F45" si="3">+E39*D39</f>
        <v>27316.799999999996</v>
      </c>
    </row>
    <row r="40" spans="1:6" ht="42.75" customHeight="1">
      <c r="A40" s="431">
        <v>32</v>
      </c>
      <c r="B40" s="423" t="s">
        <v>636</v>
      </c>
      <c r="C40" s="419" t="s">
        <v>283</v>
      </c>
      <c r="D40" s="419">
        <v>5</v>
      </c>
      <c r="E40" s="465">
        <f>+'Inschrijfstaat B1'!E40</f>
        <v>888.84</v>
      </c>
      <c r="F40" s="421">
        <f t="shared" si="3"/>
        <v>4444.2</v>
      </c>
    </row>
    <row r="41" spans="1:6" ht="16.5" customHeight="1">
      <c r="A41" s="431">
        <v>33</v>
      </c>
      <c r="B41" s="443" t="s">
        <v>637</v>
      </c>
      <c r="C41" s="419" t="s">
        <v>283</v>
      </c>
      <c r="D41" s="419">
        <v>5</v>
      </c>
      <c r="E41" s="465">
        <f>+'Inschrijfstaat B1'!E41</f>
        <v>408.76499999999999</v>
      </c>
      <c r="F41" s="421">
        <f t="shared" si="3"/>
        <v>2043.8249999999998</v>
      </c>
    </row>
    <row r="42" spans="1:6" ht="42" customHeight="1">
      <c r="A42" s="431">
        <v>34</v>
      </c>
      <c r="B42" s="423" t="s">
        <v>638</v>
      </c>
      <c r="C42" s="419" t="s">
        <v>639</v>
      </c>
      <c r="D42" s="431">
        <v>150</v>
      </c>
      <c r="E42" s="465">
        <f>+'Inschrijfstaat B1'!E42</f>
        <v>145.52999999999997</v>
      </c>
      <c r="F42" s="421">
        <f t="shared" si="3"/>
        <v>21829.499999999996</v>
      </c>
    </row>
    <row r="43" spans="1:6" ht="42" customHeight="1">
      <c r="A43" s="431">
        <v>35</v>
      </c>
      <c r="B43" s="444" t="s">
        <v>662</v>
      </c>
      <c r="C43" s="431" t="s">
        <v>663</v>
      </c>
      <c r="D43" s="431">
        <v>40</v>
      </c>
      <c r="E43" s="465">
        <v>200</v>
      </c>
      <c r="F43" s="421">
        <f t="shared" si="3"/>
        <v>8000</v>
      </c>
    </row>
    <row r="44" spans="1:6" ht="42" customHeight="1">
      <c r="A44" s="431">
        <v>36</v>
      </c>
      <c r="B44" s="444" t="s">
        <v>664</v>
      </c>
      <c r="C44" s="431" t="s">
        <v>665</v>
      </c>
      <c r="D44" s="431">
        <v>12000</v>
      </c>
      <c r="E44" s="465">
        <v>1.25</v>
      </c>
      <c r="F44" s="421">
        <f t="shared" si="3"/>
        <v>15000</v>
      </c>
    </row>
    <row r="45" spans="1:6" ht="42" customHeight="1">
      <c r="A45" s="431">
        <v>37</v>
      </c>
      <c r="B45" s="444" t="s">
        <v>666</v>
      </c>
      <c r="C45" s="431" t="s">
        <v>667</v>
      </c>
      <c r="D45" s="431">
        <v>5</v>
      </c>
      <c r="E45" s="465">
        <v>163</v>
      </c>
      <c r="F45" s="421">
        <f t="shared" si="3"/>
        <v>815</v>
      </c>
    </row>
    <row r="46" spans="1:6" ht="12.75">
      <c r="A46" s="433"/>
      <c r="B46" s="434" t="s">
        <v>640</v>
      </c>
      <c r="C46" s="425"/>
      <c r="D46" s="425"/>
      <c r="E46" s="435"/>
      <c r="F46" s="436"/>
    </row>
    <row r="47" spans="1:6" ht="12.75">
      <c r="A47" s="431">
        <v>38</v>
      </c>
      <c r="B47" s="417" t="s">
        <v>641</v>
      </c>
      <c r="C47" s="419" t="s">
        <v>642</v>
      </c>
      <c r="D47" s="445">
        <v>50000</v>
      </c>
      <c r="E47" s="432">
        <v>1</v>
      </c>
      <c r="F47" s="424">
        <v>50000</v>
      </c>
    </row>
    <row r="48" spans="1:6" ht="12.75">
      <c r="A48" s="446"/>
      <c r="B48" s="447" t="s">
        <v>643</v>
      </c>
      <c r="C48" s="448"/>
      <c r="D48" s="449"/>
      <c r="E48" s="450" t="s">
        <v>642</v>
      </c>
      <c r="F48" s="451">
        <f>SUM(F4:F47)</f>
        <v>1776476.1699999997</v>
      </c>
    </row>
    <row r="51" spans="1:6" ht="99.75">
      <c r="A51" s="452" t="s">
        <v>644</v>
      </c>
      <c r="B51" s="453" t="s">
        <v>668</v>
      </c>
    </row>
    <row r="53" spans="1:6" ht="12" thickBot="1"/>
    <row r="54" spans="1:6" ht="15.75" thickBot="1">
      <c r="A54" s="590" t="s">
        <v>646</v>
      </c>
      <c r="B54" s="591"/>
      <c r="C54" s="591"/>
      <c r="D54" s="591"/>
      <c r="E54" s="591"/>
      <c r="F54" s="592"/>
    </row>
    <row r="55" spans="1:6" ht="38.25">
      <c r="A55" s="406" t="s">
        <v>10</v>
      </c>
      <c r="B55" s="454" t="s">
        <v>11</v>
      </c>
      <c r="C55" s="455" t="s">
        <v>12</v>
      </c>
      <c r="D55" s="409" t="s">
        <v>594</v>
      </c>
      <c r="E55" s="408" t="s">
        <v>595</v>
      </c>
      <c r="F55" s="408" t="s">
        <v>596</v>
      </c>
    </row>
    <row r="56" spans="1:6" ht="45.75" customHeight="1">
      <c r="A56" s="419"/>
      <c r="B56" s="423" t="s">
        <v>647</v>
      </c>
      <c r="C56" s="419" t="s">
        <v>648</v>
      </c>
      <c r="D56" s="419" t="s">
        <v>649</v>
      </c>
      <c r="E56" s="432"/>
      <c r="F56" s="424" t="s">
        <v>649</v>
      </c>
    </row>
    <row r="57" spans="1:6" ht="45.75" customHeight="1">
      <c r="A57" s="419"/>
      <c r="B57" s="423" t="s">
        <v>650</v>
      </c>
      <c r="C57" s="419" t="s">
        <v>648</v>
      </c>
      <c r="D57" s="419" t="s">
        <v>649</v>
      </c>
      <c r="E57" s="432"/>
      <c r="F57" s="424" t="s">
        <v>649</v>
      </c>
    </row>
    <row r="58" spans="1:6" ht="32.25" customHeight="1">
      <c r="A58" s="419"/>
      <c r="B58" s="456" t="s">
        <v>651</v>
      </c>
      <c r="C58" s="457" t="s">
        <v>652</v>
      </c>
      <c r="D58" s="419" t="s">
        <v>649</v>
      </c>
      <c r="E58" s="432"/>
      <c r="F58" s="424" t="s">
        <v>649</v>
      </c>
    </row>
    <row r="59" spans="1:6" ht="12.75">
      <c r="A59" s="419"/>
      <c r="B59" s="437"/>
      <c r="C59" s="419"/>
      <c r="D59" s="419" t="s">
        <v>649</v>
      </c>
      <c r="E59" s="432"/>
      <c r="F59" s="424" t="s">
        <v>649</v>
      </c>
    </row>
    <row r="60" spans="1:6" ht="12.75">
      <c r="A60" s="419"/>
      <c r="B60" s="437"/>
      <c r="C60" s="419"/>
      <c r="D60" s="419" t="s">
        <v>649</v>
      </c>
      <c r="E60" s="432"/>
      <c r="F60" s="424" t="s">
        <v>649</v>
      </c>
    </row>
    <row r="61" spans="1:6" ht="12.75">
      <c r="A61" s="419"/>
      <c r="B61" s="437"/>
      <c r="C61" s="419"/>
      <c r="D61" s="419" t="s">
        <v>649</v>
      </c>
      <c r="E61" s="432"/>
      <c r="F61" s="424" t="s">
        <v>649</v>
      </c>
    </row>
    <row r="62" spans="1:6" ht="12.75">
      <c r="A62" s="419"/>
      <c r="B62" s="437"/>
      <c r="C62" s="419"/>
      <c r="D62" s="419" t="s">
        <v>649</v>
      </c>
      <c r="E62" s="432"/>
      <c r="F62" s="424" t="s">
        <v>649</v>
      </c>
    </row>
    <row r="63" spans="1:6" ht="12.75">
      <c r="A63" s="419"/>
      <c r="B63" s="437"/>
      <c r="C63" s="419"/>
      <c r="D63" s="419" t="s">
        <v>649</v>
      </c>
      <c r="E63" s="432"/>
      <c r="F63" s="424" t="s">
        <v>649</v>
      </c>
    </row>
    <row r="64" spans="1:6" ht="12.75">
      <c r="A64" s="419"/>
      <c r="B64" s="437"/>
      <c r="C64" s="419"/>
      <c r="D64" s="419" t="s">
        <v>649</v>
      </c>
      <c r="E64" s="432"/>
      <c r="F64" s="424" t="s">
        <v>649</v>
      </c>
    </row>
    <row r="65" spans="1:7" ht="12.75">
      <c r="A65" s="419"/>
      <c r="B65" s="437"/>
      <c r="C65" s="419"/>
      <c r="D65" s="419" t="s">
        <v>649</v>
      </c>
      <c r="E65" s="432"/>
      <c r="F65" s="424" t="s">
        <v>649</v>
      </c>
    </row>
    <row r="69" spans="1:7" ht="10.5" customHeight="1">
      <c r="A69" s="458"/>
      <c r="B69" s="458"/>
      <c r="C69" s="459"/>
      <c r="D69" s="459"/>
      <c r="E69" s="459"/>
      <c r="F69" s="459"/>
      <c r="G69" s="459"/>
    </row>
    <row r="70" spans="1:7" ht="12">
      <c r="A70" s="459"/>
      <c r="B70" s="460"/>
      <c r="C70" s="459"/>
      <c r="D70" s="459"/>
      <c r="E70" s="461"/>
      <c r="F70" s="459"/>
      <c r="G70" s="459"/>
    </row>
    <row r="71" spans="1:7" ht="12">
      <c r="A71" s="459"/>
      <c r="B71" s="460"/>
      <c r="C71" s="459"/>
      <c r="D71" s="459"/>
      <c r="E71" s="461"/>
      <c r="F71" s="459"/>
      <c r="G71" s="459"/>
    </row>
    <row r="72" spans="1:7" ht="12">
      <c r="A72" s="459"/>
      <c r="B72" s="460"/>
      <c r="C72" s="459"/>
      <c r="D72" s="459"/>
      <c r="E72" s="461"/>
      <c r="F72" s="459"/>
      <c r="G72" s="459"/>
    </row>
    <row r="73" spans="1:7" ht="12">
      <c r="B73" s="462"/>
      <c r="C73" s="459"/>
      <c r="E73" s="463"/>
      <c r="G73" s="459"/>
    </row>
    <row r="74" spans="1:7" ht="12">
      <c r="B74" s="462"/>
      <c r="C74" s="459"/>
      <c r="E74" s="463"/>
      <c r="G74" s="459"/>
    </row>
    <row r="75" spans="1:7" ht="12">
      <c r="B75" s="462"/>
      <c r="C75" s="459"/>
      <c r="E75" s="463"/>
      <c r="G75" s="459"/>
    </row>
    <row r="76" spans="1:7" ht="12">
      <c r="B76" s="462"/>
      <c r="C76" s="459"/>
      <c r="E76" s="463"/>
      <c r="G76" s="459"/>
    </row>
    <row r="77" spans="1:7" ht="12">
      <c r="B77" s="462"/>
      <c r="C77" s="459"/>
      <c r="E77" s="463"/>
      <c r="G77" s="459"/>
    </row>
    <row r="78" spans="1:7" ht="12">
      <c r="B78" s="462"/>
      <c r="C78" s="459"/>
      <c r="E78" s="463"/>
    </row>
    <row r="79" spans="1:7" ht="12">
      <c r="B79" s="462"/>
      <c r="C79" s="459"/>
      <c r="E79" s="463"/>
    </row>
    <row r="80" spans="1:7" ht="12">
      <c r="B80" s="462"/>
      <c r="C80" s="459"/>
      <c r="E80" s="463"/>
    </row>
    <row r="81" spans="2:5" ht="12">
      <c r="B81" s="462"/>
      <c r="C81" s="459"/>
      <c r="E81" s="463"/>
    </row>
    <row r="82" spans="2:5" ht="12">
      <c r="B82" s="462"/>
      <c r="C82" s="459"/>
      <c r="E82" s="463"/>
    </row>
    <row r="83" spans="2:5" ht="12">
      <c r="B83" s="462"/>
      <c r="C83" s="459"/>
      <c r="E83" s="463"/>
    </row>
    <row r="84" spans="2:5" ht="12">
      <c r="B84" s="462"/>
      <c r="C84" s="459"/>
      <c r="E84" s="463"/>
    </row>
    <row r="85" spans="2:5" ht="12">
      <c r="B85" s="462"/>
      <c r="C85" s="459"/>
      <c r="E85" s="463"/>
    </row>
    <row r="86" spans="2:5" ht="12">
      <c r="B86" s="462"/>
      <c r="C86" s="459"/>
      <c r="E86" s="463"/>
    </row>
    <row r="87" spans="2:5" ht="12">
      <c r="B87" s="462"/>
      <c r="C87" s="459"/>
      <c r="E87" s="463"/>
    </row>
    <row r="88" spans="2:5" ht="12">
      <c r="B88" s="462"/>
      <c r="C88" s="459"/>
      <c r="E88" s="463"/>
    </row>
    <row r="89" spans="2:5" ht="12">
      <c r="B89" s="462"/>
      <c r="C89" s="459"/>
      <c r="E89" s="463"/>
    </row>
    <row r="90" spans="2:5" ht="12">
      <c r="B90" s="462"/>
      <c r="C90" s="459"/>
      <c r="E90" s="463"/>
    </row>
    <row r="91" spans="2:5" ht="12">
      <c r="B91" s="462"/>
      <c r="C91" s="459"/>
      <c r="E91" s="463"/>
    </row>
    <row r="92" spans="2:5" ht="12">
      <c r="B92" s="462"/>
      <c r="C92" s="459"/>
      <c r="E92" s="463"/>
    </row>
    <row r="93" spans="2:5">
      <c r="E93" s="463"/>
    </row>
    <row r="94" spans="2:5">
      <c r="E94" s="463"/>
    </row>
    <row r="95" spans="2:5">
      <c r="E95" s="463"/>
    </row>
    <row r="96" spans="2:5">
      <c r="E96" s="463"/>
    </row>
    <row r="97" spans="5:5">
      <c r="E97" s="463"/>
    </row>
    <row r="98" spans="5:5">
      <c r="E98" s="463"/>
    </row>
    <row r="99" spans="5:5">
      <c r="E99" s="463"/>
    </row>
    <row r="100" spans="5:5">
      <c r="E100" s="463"/>
    </row>
    <row r="101" spans="5:5">
      <c r="E101" s="463"/>
    </row>
    <row r="102" spans="5:5">
      <c r="E102" s="463"/>
    </row>
    <row r="103" spans="5:5">
      <c r="E103" s="463"/>
    </row>
    <row r="104" spans="5:5">
      <c r="E104" s="463"/>
    </row>
    <row r="105" spans="5:5">
      <c r="E105" s="463"/>
    </row>
    <row r="106" spans="5:5">
      <c r="E106" s="463"/>
    </row>
    <row r="107" spans="5:5">
      <c r="E107" s="463"/>
    </row>
    <row r="108" spans="5:5">
      <c r="E108" s="463"/>
    </row>
    <row r="109" spans="5:5">
      <c r="E109" s="463"/>
    </row>
    <row r="110" spans="5:5">
      <c r="E110" s="463"/>
    </row>
    <row r="111" spans="5:5">
      <c r="E111" s="463"/>
    </row>
    <row r="112" spans="5:5">
      <c r="E112" s="463"/>
    </row>
    <row r="113" spans="5:5">
      <c r="E113" s="463"/>
    </row>
    <row r="114" spans="5:5">
      <c r="E114" s="463"/>
    </row>
  </sheetData>
  <mergeCells count="2">
    <mergeCell ref="A1:F1"/>
    <mergeCell ref="A54:F54"/>
  </mergeCells>
  <pageMargins left="0.7" right="0.7" top="0.75" bottom="0.75" header="0.3" footer="0.3"/>
  <pageSetup paperSize="9" scale="55" fitToHeight="0"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85" zoomScaleNormal="85" workbookViewId="0">
      <selection activeCell="E7" sqref="E7"/>
    </sheetView>
  </sheetViews>
  <sheetFormatPr defaultColWidth="9.140625" defaultRowHeight="11.25"/>
  <cols>
    <col min="1" max="1" width="13.85546875" style="353" bestFit="1" customWidth="1"/>
    <col min="2" max="2" width="99.28515625" style="353" bestFit="1" customWidth="1"/>
    <col min="3" max="5" width="16.7109375" style="353" customWidth="1"/>
    <col min="6" max="6" width="19" style="353" bestFit="1" customWidth="1"/>
    <col min="7" max="7" width="38.42578125" style="353" customWidth="1"/>
    <col min="8" max="16384" width="9.140625" style="353"/>
  </cols>
  <sheetData>
    <row r="1" spans="1:7" ht="15.75" thickBot="1">
      <c r="A1" s="587" t="s">
        <v>593</v>
      </c>
      <c r="B1" s="588"/>
      <c r="C1" s="588"/>
      <c r="D1" s="588"/>
      <c r="E1" s="588"/>
      <c r="F1" s="589"/>
    </row>
    <row r="2" spans="1:7" ht="38.25">
      <c r="A2" s="354" t="s">
        <v>10</v>
      </c>
      <c r="B2" s="355" t="s">
        <v>11</v>
      </c>
      <c r="C2" s="356" t="s">
        <v>12</v>
      </c>
      <c r="D2" s="357" t="s">
        <v>594</v>
      </c>
      <c r="E2" s="356" t="s">
        <v>595</v>
      </c>
      <c r="F2" s="356" t="s">
        <v>596</v>
      </c>
    </row>
    <row r="3" spans="1:7" ht="12.75">
      <c r="A3" s="358"/>
      <c r="B3" s="359" t="s">
        <v>19</v>
      </c>
      <c r="C3" s="360"/>
      <c r="D3" s="361"/>
      <c r="E3" s="362"/>
      <c r="F3" s="363"/>
    </row>
    <row r="4" spans="1:7" ht="38.25">
      <c r="A4" s="364" t="s">
        <v>597</v>
      </c>
      <c r="B4" s="365" t="s">
        <v>598</v>
      </c>
      <c r="C4" s="366" t="s">
        <v>599</v>
      </c>
      <c r="D4" s="367">
        <v>60</v>
      </c>
      <c r="E4" s="368">
        <f>+'B3'!F11+'B3'!F13</f>
        <v>11019.78875</v>
      </c>
      <c r="F4" s="369">
        <f>+E4*D4</f>
        <v>661187.32499999995</v>
      </c>
      <c r="G4" s="370"/>
    </row>
    <row r="5" spans="1:7" ht="38.25">
      <c r="A5" s="367">
        <v>2</v>
      </c>
      <c r="B5" s="365" t="s">
        <v>600</v>
      </c>
      <c r="C5" s="366" t="s">
        <v>599</v>
      </c>
      <c r="D5" s="367">
        <v>60</v>
      </c>
      <c r="E5" s="371">
        <f>+'B3'!F14</f>
        <v>1700</v>
      </c>
      <c r="F5" s="369">
        <f>+E5*D5</f>
        <v>102000</v>
      </c>
    </row>
    <row r="6" spans="1:7" ht="12.75">
      <c r="A6" s="372"/>
      <c r="B6" s="373" t="s">
        <v>46</v>
      </c>
      <c r="C6" s="374"/>
      <c r="D6" s="375"/>
      <c r="E6" s="376"/>
      <c r="F6" s="376"/>
    </row>
    <row r="7" spans="1:7" ht="12.75">
      <c r="A7" s="367">
        <v>3</v>
      </c>
      <c r="B7" s="377" t="s">
        <v>601</v>
      </c>
      <c r="C7" s="366" t="s">
        <v>8</v>
      </c>
      <c r="D7" s="367">
        <v>600</v>
      </c>
      <c r="E7" s="378">
        <f>+'B3'!F16</f>
        <v>530.56499999999994</v>
      </c>
      <c r="F7" s="369">
        <f>+E7*D7</f>
        <v>318338.99999999994</v>
      </c>
    </row>
    <row r="8" spans="1:7" ht="12.75">
      <c r="A8" s="379"/>
      <c r="B8" s="380" t="s">
        <v>602</v>
      </c>
      <c r="C8" s="379"/>
      <c r="D8" s="379"/>
      <c r="E8" s="381"/>
      <c r="F8" s="382"/>
    </row>
    <row r="9" spans="1:7" ht="63.75">
      <c r="A9" s="367">
        <v>4</v>
      </c>
      <c r="B9" s="383" t="s">
        <v>603</v>
      </c>
      <c r="C9" s="367" t="s">
        <v>8</v>
      </c>
      <c r="D9" s="367">
        <v>10</v>
      </c>
      <c r="E9" s="378">
        <f>+'Inschrijfstaat B1'!E9</f>
        <v>220.64400000000001</v>
      </c>
      <c r="F9" s="369">
        <f t="shared" ref="F9:F23" si="0">+E9*D9</f>
        <v>2206.44</v>
      </c>
    </row>
    <row r="10" spans="1:7" ht="25.5">
      <c r="A10" s="367">
        <v>5</v>
      </c>
      <c r="B10" s="384" t="s">
        <v>604</v>
      </c>
      <c r="C10" s="367" t="s">
        <v>8</v>
      </c>
      <c r="D10" s="367">
        <v>40</v>
      </c>
      <c r="E10" s="378">
        <f>+'Inschrijfstaat B1'!E10</f>
        <v>84.887999999999991</v>
      </c>
      <c r="F10" s="369">
        <f t="shared" si="0"/>
        <v>3395.5199999999995</v>
      </c>
    </row>
    <row r="11" spans="1:7" ht="25.5">
      <c r="A11" s="367">
        <v>6</v>
      </c>
      <c r="B11" s="384" t="s">
        <v>605</v>
      </c>
      <c r="C11" s="367" t="s">
        <v>8</v>
      </c>
      <c r="D11" s="367">
        <v>24</v>
      </c>
      <c r="E11" s="378">
        <f>+'Inschrijfstaat B1'!E11</f>
        <v>142.15199999999999</v>
      </c>
      <c r="F11" s="369">
        <f t="shared" si="0"/>
        <v>3411.6479999999997</v>
      </c>
    </row>
    <row r="12" spans="1:7" ht="38.25">
      <c r="A12" s="367">
        <v>7</v>
      </c>
      <c r="B12" s="384" t="s">
        <v>606</v>
      </c>
      <c r="C12" s="367" t="s">
        <v>8</v>
      </c>
      <c r="D12" s="367">
        <v>40</v>
      </c>
      <c r="E12" s="378">
        <f>+'Inschrijfstaat B1'!E12</f>
        <v>122.35199999999999</v>
      </c>
      <c r="F12" s="369">
        <f t="shared" si="0"/>
        <v>4894.08</v>
      </c>
    </row>
    <row r="13" spans="1:7" ht="38.25">
      <c r="A13" s="367">
        <v>8</v>
      </c>
      <c r="B13" s="384" t="s">
        <v>607</v>
      </c>
      <c r="C13" s="367" t="s">
        <v>8</v>
      </c>
      <c r="D13" s="367">
        <v>40</v>
      </c>
      <c r="E13" s="378">
        <f>+'Inschrijfstaat B1'!E13</f>
        <v>150</v>
      </c>
      <c r="F13" s="369">
        <f t="shared" si="0"/>
        <v>6000</v>
      </c>
    </row>
    <row r="14" spans="1:7" ht="38.25">
      <c r="A14" s="367">
        <v>9</v>
      </c>
      <c r="B14" s="384" t="s">
        <v>608</v>
      </c>
      <c r="C14" s="367" t="s">
        <v>8</v>
      </c>
      <c r="D14" s="367">
        <v>40</v>
      </c>
      <c r="E14" s="378">
        <f>+'Inschrijfstaat B1'!E14</f>
        <v>340.71600000000001</v>
      </c>
      <c r="F14" s="369">
        <f t="shared" si="0"/>
        <v>13628.64</v>
      </c>
    </row>
    <row r="15" spans="1:7" ht="51">
      <c r="A15" s="367">
        <v>10</v>
      </c>
      <c r="B15" s="385" t="s">
        <v>609</v>
      </c>
      <c r="C15" s="367" t="s">
        <v>8</v>
      </c>
      <c r="D15" s="367">
        <v>16</v>
      </c>
      <c r="E15" s="378">
        <f>+'Inschrijfstaat B1'!E15</f>
        <v>286.84799999999996</v>
      </c>
      <c r="F15" s="369">
        <f t="shared" si="0"/>
        <v>4589.5679999999993</v>
      </c>
    </row>
    <row r="16" spans="1:7" ht="38.25">
      <c r="A16" s="367">
        <v>11</v>
      </c>
      <c r="B16" s="384" t="s">
        <v>610</v>
      </c>
      <c r="C16" s="367" t="s">
        <v>8</v>
      </c>
      <c r="D16" s="367">
        <v>40</v>
      </c>
      <c r="E16" s="378">
        <f>+'Inschrijfstaat B1'!E16</f>
        <v>200</v>
      </c>
      <c r="F16" s="369">
        <f t="shared" si="0"/>
        <v>8000</v>
      </c>
    </row>
    <row r="17" spans="1:6" ht="63.75">
      <c r="A17" s="367">
        <v>12</v>
      </c>
      <c r="B17" s="386" t="s">
        <v>611</v>
      </c>
      <c r="C17" s="367" t="s">
        <v>8</v>
      </c>
      <c r="D17" s="367">
        <v>340</v>
      </c>
      <c r="E17" s="378">
        <f>+'Inschrijfstaat B1'!E17</f>
        <v>212.952</v>
      </c>
      <c r="F17" s="369">
        <f t="shared" si="0"/>
        <v>72403.679999999993</v>
      </c>
    </row>
    <row r="18" spans="1:6" ht="25.5">
      <c r="A18" s="367">
        <v>13</v>
      </c>
      <c r="B18" s="384" t="s">
        <v>612</v>
      </c>
      <c r="C18" s="367" t="s">
        <v>8</v>
      </c>
      <c r="D18" s="367">
        <v>120</v>
      </c>
      <c r="E18" s="378">
        <f>+'Inschrijfstaat B1'!E18</f>
        <v>320.23200000000003</v>
      </c>
      <c r="F18" s="369">
        <f t="shared" si="0"/>
        <v>38427.840000000004</v>
      </c>
    </row>
    <row r="19" spans="1:6" ht="25.5">
      <c r="A19" s="367">
        <v>15</v>
      </c>
      <c r="B19" s="384" t="s">
        <v>613</v>
      </c>
      <c r="C19" s="367" t="s">
        <v>8</v>
      </c>
      <c r="D19" s="367">
        <v>4</v>
      </c>
      <c r="E19" s="378">
        <f>+'Inschrijfstaat B1'!E19</f>
        <v>862.66800000000001</v>
      </c>
      <c r="F19" s="369">
        <f t="shared" si="0"/>
        <v>3450.672</v>
      </c>
    </row>
    <row r="20" spans="1:6" ht="25.5">
      <c r="A20" s="367">
        <v>16</v>
      </c>
      <c r="B20" s="385" t="s">
        <v>614</v>
      </c>
      <c r="C20" s="367" t="s">
        <v>8</v>
      </c>
      <c r="D20" s="367">
        <v>64</v>
      </c>
      <c r="E20" s="378">
        <f>+'Inschrijfstaat B1'!E20</f>
        <v>251.60799999999998</v>
      </c>
      <c r="F20" s="369">
        <f t="shared" si="0"/>
        <v>16102.911999999998</v>
      </c>
    </row>
    <row r="21" spans="1:6" ht="25.5">
      <c r="A21" s="367">
        <v>17</v>
      </c>
      <c r="B21" s="387" t="s">
        <v>615</v>
      </c>
      <c r="C21" s="367" t="s">
        <v>8</v>
      </c>
      <c r="D21" s="367">
        <v>40</v>
      </c>
      <c r="E21" s="378">
        <f>+'Inschrijfstaat B1'!E21</f>
        <v>109.68</v>
      </c>
      <c r="F21" s="369">
        <f t="shared" si="0"/>
        <v>4387.2000000000007</v>
      </c>
    </row>
    <row r="22" spans="1:6" ht="38.25">
      <c r="A22" s="367">
        <v>18</v>
      </c>
      <c r="B22" s="387" t="s">
        <v>616</v>
      </c>
      <c r="C22" s="367" t="s">
        <v>126</v>
      </c>
      <c r="D22" s="367">
        <v>8</v>
      </c>
      <c r="E22" s="378">
        <f>+'Inschrijfstaat B1'!E22</f>
        <v>193.43999999999997</v>
      </c>
      <c r="F22" s="369">
        <f t="shared" si="0"/>
        <v>1547.5199999999998</v>
      </c>
    </row>
    <row r="23" spans="1:6" ht="25.5">
      <c r="A23" s="367">
        <v>19</v>
      </c>
      <c r="B23" s="387" t="s">
        <v>617</v>
      </c>
      <c r="C23" s="367" t="s">
        <v>126</v>
      </c>
      <c r="D23" s="367">
        <v>40</v>
      </c>
      <c r="E23" s="378">
        <f>+'Inschrijfstaat B1'!E23</f>
        <v>145.08000000000001</v>
      </c>
      <c r="F23" s="369">
        <f t="shared" si="0"/>
        <v>5803.2000000000007</v>
      </c>
    </row>
    <row r="24" spans="1:6" ht="12.75">
      <c r="A24" s="379"/>
      <c r="B24" s="380" t="s">
        <v>618</v>
      </c>
      <c r="C24" s="379"/>
      <c r="D24" s="379"/>
      <c r="E24" s="379"/>
      <c r="F24" s="382"/>
    </row>
    <row r="25" spans="1:6" ht="25.5">
      <c r="A25" s="367">
        <v>20</v>
      </c>
      <c r="B25" s="385" t="s">
        <v>619</v>
      </c>
      <c r="C25" s="367" t="s">
        <v>8</v>
      </c>
      <c r="D25" s="367">
        <v>200</v>
      </c>
      <c r="E25" s="378">
        <f>+'Inschrijfstaat B1'!E25</f>
        <v>75.239999999999995</v>
      </c>
      <c r="F25" s="369">
        <f t="shared" ref="F25:F29" si="1">+E25*D25</f>
        <v>15047.999999999998</v>
      </c>
    </row>
    <row r="26" spans="1:6" ht="38.25">
      <c r="A26" s="367">
        <v>21</v>
      </c>
      <c r="B26" s="384" t="s">
        <v>620</v>
      </c>
      <c r="C26" s="367" t="s">
        <v>621</v>
      </c>
      <c r="D26" s="367">
        <v>20</v>
      </c>
      <c r="E26" s="378">
        <f>+'Inschrijfstaat B1'!E26</f>
        <v>1759.2</v>
      </c>
      <c r="F26" s="369">
        <f t="shared" si="1"/>
        <v>35184</v>
      </c>
    </row>
    <row r="27" spans="1:6" ht="12.75">
      <c r="A27" s="367">
        <v>22</v>
      </c>
      <c r="B27" s="384" t="s">
        <v>582</v>
      </c>
      <c r="C27" s="367" t="s">
        <v>8</v>
      </c>
      <c r="D27" s="367">
        <v>200</v>
      </c>
      <c r="E27" s="378">
        <f>+'Inschrijfstaat B1'!E27</f>
        <v>99.6</v>
      </c>
      <c r="F27" s="369">
        <f t="shared" si="1"/>
        <v>19920</v>
      </c>
    </row>
    <row r="28" spans="1:6" ht="81.75" customHeight="1">
      <c r="A28" s="367">
        <v>23</v>
      </c>
      <c r="B28" s="388" t="s">
        <v>622</v>
      </c>
      <c r="C28" s="367" t="s">
        <v>463</v>
      </c>
      <c r="D28" s="367">
        <v>1</v>
      </c>
      <c r="E28" s="378">
        <f>+'Inschrijfstaat B1'!E28</f>
        <v>550</v>
      </c>
      <c r="F28" s="369">
        <f t="shared" si="1"/>
        <v>550</v>
      </c>
    </row>
    <row r="29" spans="1:6" ht="63.75">
      <c r="A29" s="367">
        <v>24</v>
      </c>
      <c r="B29" s="384" t="s">
        <v>623</v>
      </c>
      <c r="C29" s="367" t="s">
        <v>8</v>
      </c>
      <c r="D29" s="367">
        <v>25</v>
      </c>
      <c r="E29" s="378">
        <f>+'Inschrijfstaat B1'!E29</f>
        <v>300</v>
      </c>
      <c r="F29" s="369">
        <f t="shared" si="1"/>
        <v>7500</v>
      </c>
    </row>
    <row r="30" spans="1:6" ht="12.75">
      <c r="A30" s="379"/>
      <c r="B30" s="380" t="s">
        <v>624</v>
      </c>
      <c r="C30" s="372"/>
      <c r="D30" s="372"/>
      <c r="E30" s="372"/>
      <c r="F30" s="382"/>
    </row>
    <row r="31" spans="1:6" ht="38.25">
      <c r="A31" s="367">
        <v>25</v>
      </c>
      <c r="B31" s="384" t="s">
        <v>625</v>
      </c>
      <c r="C31" s="367" t="s">
        <v>626</v>
      </c>
      <c r="D31" s="367">
        <v>25</v>
      </c>
      <c r="E31" s="378">
        <f>+'Inschrijfstaat B1'!E31</f>
        <v>200</v>
      </c>
      <c r="F31" s="369">
        <f t="shared" ref="F31:F37" si="2">+E31*D31</f>
        <v>5000</v>
      </c>
    </row>
    <row r="32" spans="1:6" ht="38.25">
      <c r="A32" s="367">
        <v>26</v>
      </c>
      <c r="B32" s="384" t="s">
        <v>627</v>
      </c>
      <c r="C32" s="367" t="s">
        <v>326</v>
      </c>
      <c r="D32" s="367">
        <v>25</v>
      </c>
      <c r="E32" s="378">
        <f>+'Inschrijfstaat B1'!E32</f>
        <v>85</v>
      </c>
      <c r="F32" s="369">
        <f t="shared" si="2"/>
        <v>2125</v>
      </c>
    </row>
    <row r="33" spans="1:6" ht="38.25">
      <c r="A33" s="367">
        <v>27</v>
      </c>
      <c r="B33" s="384" t="s">
        <v>628</v>
      </c>
      <c r="C33" s="367" t="s">
        <v>629</v>
      </c>
      <c r="D33" s="367">
        <v>25</v>
      </c>
      <c r="E33" s="378">
        <f>+'Inschrijfstaat B1'!E33</f>
        <v>300</v>
      </c>
      <c r="F33" s="369">
        <f t="shared" si="2"/>
        <v>7500</v>
      </c>
    </row>
    <row r="34" spans="1:6" ht="12.75">
      <c r="A34" s="367">
        <v>28</v>
      </c>
      <c r="B34" s="387" t="s">
        <v>630</v>
      </c>
      <c r="C34" s="367" t="s">
        <v>291</v>
      </c>
      <c r="D34" s="367">
        <v>25</v>
      </c>
      <c r="E34" s="378">
        <f>+'Inschrijfstaat B1'!E34</f>
        <v>30</v>
      </c>
      <c r="F34" s="369">
        <f t="shared" si="2"/>
        <v>750</v>
      </c>
    </row>
    <row r="35" spans="1:6" ht="12.75">
      <c r="A35" s="367">
        <v>29</v>
      </c>
      <c r="B35" s="387" t="s">
        <v>631</v>
      </c>
      <c r="C35" s="367" t="s">
        <v>291</v>
      </c>
      <c r="D35" s="367">
        <v>10</v>
      </c>
      <c r="E35" s="378">
        <f>+'Inschrijfstaat B1'!E35</f>
        <v>300</v>
      </c>
      <c r="F35" s="369">
        <f t="shared" si="2"/>
        <v>3000</v>
      </c>
    </row>
    <row r="36" spans="1:6" ht="12.75">
      <c r="A36" s="367">
        <v>30</v>
      </c>
      <c r="B36" s="387" t="s">
        <v>632</v>
      </c>
      <c r="C36" s="367" t="s">
        <v>338</v>
      </c>
      <c r="D36" s="367">
        <v>25</v>
      </c>
      <c r="E36" s="378">
        <f>+'Inschrijfstaat B1'!E36</f>
        <v>50</v>
      </c>
      <c r="F36" s="369">
        <f t="shared" si="2"/>
        <v>1250</v>
      </c>
    </row>
    <row r="37" spans="1:6" ht="12.75">
      <c r="A37" s="367">
        <v>31</v>
      </c>
      <c r="B37" s="389" t="s">
        <v>633</v>
      </c>
      <c r="C37" s="367" t="s">
        <v>291</v>
      </c>
      <c r="D37" s="367">
        <v>50</v>
      </c>
      <c r="E37" s="378">
        <f>+'Inschrijfstaat B1'!E37</f>
        <v>25</v>
      </c>
      <c r="F37" s="369">
        <f t="shared" si="2"/>
        <v>1250</v>
      </c>
    </row>
    <row r="38" spans="1:6" ht="12.75">
      <c r="A38" s="379"/>
      <c r="B38" s="380" t="s">
        <v>634</v>
      </c>
      <c r="C38" s="372"/>
      <c r="D38" s="372"/>
      <c r="E38" s="372"/>
      <c r="F38" s="382"/>
    </row>
    <row r="39" spans="1:6" ht="38.25">
      <c r="A39" s="367">
        <v>32</v>
      </c>
      <c r="B39" s="365" t="s">
        <v>635</v>
      </c>
      <c r="C39" s="367" t="s">
        <v>283</v>
      </c>
      <c r="D39" s="367">
        <v>25</v>
      </c>
      <c r="E39" s="378">
        <f>+'Inschrijfstaat B1'!E39</f>
        <v>546.3359999999999</v>
      </c>
      <c r="F39" s="369">
        <f t="shared" ref="F39:F42" si="3">+E39*D39</f>
        <v>13658.399999999998</v>
      </c>
    </row>
    <row r="40" spans="1:6" ht="38.25">
      <c r="A40" s="367">
        <v>33</v>
      </c>
      <c r="B40" s="365" t="s">
        <v>636</v>
      </c>
      <c r="C40" s="367" t="s">
        <v>283</v>
      </c>
      <c r="D40" s="367">
        <v>5</v>
      </c>
      <c r="E40" s="378">
        <f>+'Inschrijfstaat B1'!E40</f>
        <v>888.84</v>
      </c>
      <c r="F40" s="369">
        <f t="shared" si="3"/>
        <v>4444.2</v>
      </c>
    </row>
    <row r="41" spans="1:6" ht="12.75">
      <c r="A41" s="367">
        <v>34</v>
      </c>
      <c r="B41" s="389" t="s">
        <v>637</v>
      </c>
      <c r="C41" s="367" t="s">
        <v>283</v>
      </c>
      <c r="D41" s="367">
        <v>5</v>
      </c>
      <c r="E41" s="378">
        <f>+'Inschrijfstaat B1'!E41</f>
        <v>408.76499999999999</v>
      </c>
      <c r="F41" s="369">
        <f t="shared" si="3"/>
        <v>2043.8249999999998</v>
      </c>
    </row>
    <row r="42" spans="1:6" ht="38.25">
      <c r="A42" s="367">
        <v>35</v>
      </c>
      <c r="B42" s="365" t="s">
        <v>638</v>
      </c>
      <c r="C42" s="367" t="s">
        <v>639</v>
      </c>
      <c r="D42" s="367">
        <v>75</v>
      </c>
      <c r="E42" s="378">
        <f>+'Inschrijfstaat B1'!E42</f>
        <v>145.52999999999997</v>
      </c>
      <c r="F42" s="369">
        <f t="shared" si="3"/>
        <v>10914.749999999998</v>
      </c>
    </row>
    <row r="43" spans="1:6" ht="12.75">
      <c r="A43" s="379"/>
      <c r="B43" s="380" t="s">
        <v>640</v>
      </c>
      <c r="C43" s="372"/>
      <c r="D43" s="372"/>
      <c r="E43" s="381"/>
      <c r="F43" s="382"/>
    </row>
    <row r="44" spans="1:6" ht="12.75">
      <c r="A44" s="367">
        <v>36</v>
      </c>
      <c r="B44" s="384" t="s">
        <v>641</v>
      </c>
      <c r="C44" s="367" t="s">
        <v>642</v>
      </c>
      <c r="D44" s="390">
        <v>50000</v>
      </c>
      <c r="E44" s="378">
        <v>1</v>
      </c>
      <c r="F44" s="371">
        <v>50000</v>
      </c>
    </row>
    <row r="45" spans="1:6" ht="12.75">
      <c r="A45" s="391"/>
      <c r="B45" s="392" t="s">
        <v>643</v>
      </c>
      <c r="C45" s="393"/>
      <c r="D45" s="394"/>
      <c r="E45" s="395" t="s">
        <v>642</v>
      </c>
      <c r="F45" s="396">
        <f>SUM(F4:F44)</f>
        <v>1449913.4199999997</v>
      </c>
    </row>
    <row r="48" spans="1:6" ht="99.75">
      <c r="A48" s="397" t="s">
        <v>644</v>
      </c>
      <c r="B48" s="398" t="s">
        <v>669</v>
      </c>
    </row>
    <row r="50" spans="1:6" ht="12" thickBot="1"/>
    <row r="51" spans="1:6" ht="15.75" thickBot="1">
      <c r="A51" s="587" t="s">
        <v>646</v>
      </c>
      <c r="B51" s="588"/>
      <c r="C51" s="588"/>
      <c r="D51" s="588"/>
      <c r="E51" s="588"/>
      <c r="F51" s="589"/>
    </row>
    <row r="52" spans="1:6" ht="38.25">
      <c r="A52" s="354" t="s">
        <v>10</v>
      </c>
      <c r="B52" s="399" t="s">
        <v>11</v>
      </c>
      <c r="C52" s="400" t="s">
        <v>12</v>
      </c>
      <c r="D52" s="357" t="s">
        <v>594</v>
      </c>
      <c r="E52" s="356" t="s">
        <v>595</v>
      </c>
      <c r="F52" s="356" t="s">
        <v>596</v>
      </c>
    </row>
    <row r="53" spans="1:6" ht="25.5">
      <c r="A53" s="367"/>
      <c r="B53" s="365" t="s">
        <v>647</v>
      </c>
      <c r="C53" s="367" t="s">
        <v>648</v>
      </c>
      <c r="D53" s="367" t="s">
        <v>649</v>
      </c>
      <c r="E53" s="378"/>
      <c r="F53" s="371" t="s">
        <v>649</v>
      </c>
    </row>
    <row r="54" spans="1:6" ht="25.5">
      <c r="A54" s="367"/>
      <c r="B54" s="365" t="s">
        <v>650</v>
      </c>
      <c r="C54" s="367" t="s">
        <v>648</v>
      </c>
      <c r="D54" s="367" t="s">
        <v>649</v>
      </c>
      <c r="E54" s="378"/>
      <c r="F54" s="371" t="s">
        <v>649</v>
      </c>
    </row>
    <row r="55" spans="1:6" ht="24.75" customHeight="1">
      <c r="A55" s="367"/>
      <c r="B55" s="401" t="s">
        <v>651</v>
      </c>
      <c r="C55" s="402" t="s">
        <v>652</v>
      </c>
      <c r="D55" s="367" t="s">
        <v>649</v>
      </c>
      <c r="E55" s="378"/>
      <c r="F55" s="371" t="s">
        <v>649</v>
      </c>
    </row>
    <row r="56" spans="1:6" ht="12.75">
      <c r="A56" s="367"/>
      <c r="B56" s="383"/>
      <c r="C56" s="367"/>
      <c r="D56" s="367" t="s">
        <v>649</v>
      </c>
      <c r="E56" s="378"/>
      <c r="F56" s="371" t="s">
        <v>649</v>
      </c>
    </row>
    <row r="57" spans="1:6" ht="12.75">
      <c r="A57" s="367"/>
      <c r="B57" s="383"/>
      <c r="C57" s="367"/>
      <c r="D57" s="367" t="s">
        <v>649</v>
      </c>
      <c r="E57" s="378"/>
      <c r="F57" s="371" t="s">
        <v>649</v>
      </c>
    </row>
    <row r="58" spans="1:6" ht="12.75">
      <c r="A58" s="367"/>
      <c r="B58" s="383"/>
      <c r="C58" s="367"/>
      <c r="D58" s="367" t="s">
        <v>649</v>
      </c>
      <c r="E58" s="378"/>
      <c r="F58" s="371" t="s">
        <v>649</v>
      </c>
    </row>
    <row r="59" spans="1:6" ht="12.75">
      <c r="A59" s="367"/>
      <c r="B59" s="383"/>
      <c r="C59" s="367"/>
      <c r="D59" s="367" t="s">
        <v>649</v>
      </c>
      <c r="E59" s="378"/>
      <c r="F59" s="371" t="s">
        <v>649</v>
      </c>
    </row>
    <row r="60" spans="1:6" ht="12.75">
      <c r="A60" s="367"/>
      <c r="B60" s="383"/>
      <c r="C60" s="367"/>
      <c r="D60" s="367" t="s">
        <v>649</v>
      </c>
      <c r="E60" s="378"/>
      <c r="F60" s="371" t="s">
        <v>649</v>
      </c>
    </row>
    <row r="61" spans="1:6" ht="12.75">
      <c r="A61" s="367"/>
      <c r="B61" s="383"/>
      <c r="C61" s="367"/>
      <c r="D61" s="367" t="s">
        <v>649</v>
      </c>
      <c r="E61" s="378"/>
      <c r="F61" s="371" t="s">
        <v>649</v>
      </c>
    </row>
    <row r="62" spans="1:6" ht="12.75">
      <c r="A62" s="367"/>
      <c r="B62" s="383"/>
      <c r="C62" s="367"/>
      <c r="D62" s="367" t="s">
        <v>649</v>
      </c>
      <c r="E62" s="378"/>
      <c r="F62" s="371" t="s">
        <v>649</v>
      </c>
    </row>
  </sheetData>
  <mergeCells count="2">
    <mergeCell ref="A1:F1"/>
    <mergeCell ref="A51:F51"/>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opLeftCell="A31" zoomScale="85" zoomScaleNormal="85" workbookViewId="0">
      <selection activeCell="E14" sqref="E14"/>
    </sheetView>
  </sheetViews>
  <sheetFormatPr defaultColWidth="9.140625" defaultRowHeight="11.25"/>
  <cols>
    <col min="1" max="1" width="13.42578125" style="353" bestFit="1" customWidth="1"/>
    <col min="2" max="2" width="99.28515625" style="353" bestFit="1" customWidth="1"/>
    <col min="3" max="5" width="16.7109375" style="353" customWidth="1"/>
    <col min="6" max="6" width="19" style="353" bestFit="1" customWidth="1"/>
    <col min="7" max="7" width="38.42578125" style="353" customWidth="1"/>
    <col min="8" max="16384" width="9.140625" style="353"/>
  </cols>
  <sheetData>
    <row r="1" spans="1:7" ht="15.75" thickBot="1">
      <c r="A1" s="587" t="s">
        <v>593</v>
      </c>
      <c r="B1" s="588"/>
      <c r="C1" s="588"/>
      <c r="D1" s="588"/>
      <c r="E1" s="588"/>
      <c r="F1" s="589"/>
    </row>
    <row r="2" spans="1:7" ht="38.25">
      <c r="A2" s="354" t="s">
        <v>10</v>
      </c>
      <c r="B2" s="355" t="s">
        <v>11</v>
      </c>
      <c r="C2" s="356" t="s">
        <v>12</v>
      </c>
      <c r="D2" s="357" t="s">
        <v>594</v>
      </c>
      <c r="E2" s="356" t="s">
        <v>595</v>
      </c>
      <c r="F2" s="356" t="s">
        <v>596</v>
      </c>
    </row>
    <row r="3" spans="1:7" ht="12.75">
      <c r="A3" s="358"/>
      <c r="B3" s="359" t="s">
        <v>19</v>
      </c>
      <c r="C3" s="360"/>
      <c r="D3" s="361"/>
      <c r="E3" s="362"/>
      <c r="F3" s="363"/>
    </row>
    <row r="4" spans="1:7" ht="38.25">
      <c r="A4" s="364" t="s">
        <v>597</v>
      </c>
      <c r="B4" s="365" t="s">
        <v>598</v>
      </c>
      <c r="C4" s="366" t="s">
        <v>599</v>
      </c>
      <c r="D4" s="367">
        <v>60</v>
      </c>
      <c r="E4" s="368">
        <f>+'B4'!F11+'B4'!F13</f>
        <v>11019.78875</v>
      </c>
      <c r="F4" s="369">
        <f>+E4*D4</f>
        <v>661187.32499999995</v>
      </c>
      <c r="G4" s="370"/>
    </row>
    <row r="5" spans="1:7" ht="38.25">
      <c r="A5" s="367">
        <v>2</v>
      </c>
      <c r="B5" s="365" t="s">
        <v>600</v>
      </c>
      <c r="C5" s="366" t="s">
        <v>599</v>
      </c>
      <c r="D5" s="367">
        <v>60</v>
      </c>
      <c r="E5" s="371">
        <f>+'B4'!F14</f>
        <v>1700</v>
      </c>
      <c r="F5" s="369">
        <f>+E5*D5</f>
        <v>102000</v>
      </c>
    </row>
    <row r="6" spans="1:7" ht="12.75">
      <c r="A6" s="372"/>
      <c r="B6" s="373" t="s">
        <v>46</v>
      </c>
      <c r="C6" s="374"/>
      <c r="D6" s="375"/>
      <c r="E6" s="376"/>
      <c r="F6" s="376"/>
    </row>
    <row r="7" spans="1:7" ht="12.75">
      <c r="A7" s="367">
        <v>3</v>
      </c>
      <c r="B7" s="377" t="s">
        <v>601</v>
      </c>
      <c r="C7" s="366" t="s">
        <v>8</v>
      </c>
      <c r="D7" s="367">
        <v>570</v>
      </c>
      <c r="E7" s="378">
        <f>+'B4'!F16</f>
        <v>530.56499999999994</v>
      </c>
      <c r="F7" s="369">
        <f>+E7*D7</f>
        <v>302422.05</v>
      </c>
    </row>
    <row r="8" spans="1:7" ht="12.75">
      <c r="A8" s="379"/>
      <c r="B8" s="380" t="s">
        <v>602</v>
      </c>
      <c r="C8" s="379"/>
      <c r="D8" s="379"/>
      <c r="E8" s="381"/>
      <c r="F8" s="382"/>
    </row>
    <row r="9" spans="1:7" ht="63.75">
      <c r="A9" s="367">
        <v>4</v>
      </c>
      <c r="B9" s="383" t="s">
        <v>603</v>
      </c>
      <c r="C9" s="367" t="s">
        <v>8</v>
      </c>
      <c r="D9" s="367">
        <v>10</v>
      </c>
      <c r="E9" s="378">
        <f>+'Inschrijfstaat B3'!E9</f>
        <v>220.64400000000001</v>
      </c>
      <c r="F9" s="369">
        <f t="shared" ref="F9:F23" si="0">+E9*D9</f>
        <v>2206.44</v>
      </c>
    </row>
    <row r="10" spans="1:7" ht="25.5">
      <c r="A10" s="367">
        <v>5</v>
      </c>
      <c r="B10" s="384" t="s">
        <v>604</v>
      </c>
      <c r="C10" s="367" t="s">
        <v>8</v>
      </c>
      <c r="D10" s="367">
        <v>40</v>
      </c>
      <c r="E10" s="378">
        <f>+'Inschrijfstaat B3'!E10</f>
        <v>84.887999999999991</v>
      </c>
      <c r="F10" s="369">
        <f t="shared" si="0"/>
        <v>3395.5199999999995</v>
      </c>
    </row>
    <row r="11" spans="1:7" ht="25.5">
      <c r="A11" s="367">
        <v>6</v>
      </c>
      <c r="B11" s="384" t="s">
        <v>605</v>
      </c>
      <c r="C11" s="367" t="s">
        <v>8</v>
      </c>
      <c r="D11" s="367">
        <v>24</v>
      </c>
      <c r="E11" s="378">
        <f>+'Inschrijfstaat B3'!E11</f>
        <v>142.15199999999999</v>
      </c>
      <c r="F11" s="369">
        <f t="shared" si="0"/>
        <v>3411.6479999999997</v>
      </c>
    </row>
    <row r="12" spans="1:7" ht="38.25">
      <c r="A12" s="367">
        <v>7</v>
      </c>
      <c r="B12" s="384" t="s">
        <v>606</v>
      </c>
      <c r="C12" s="367" t="s">
        <v>8</v>
      </c>
      <c r="D12" s="367">
        <v>40</v>
      </c>
      <c r="E12" s="378">
        <f>+'Inschrijfstaat B3'!E12</f>
        <v>122.35199999999999</v>
      </c>
      <c r="F12" s="369">
        <f t="shared" si="0"/>
        <v>4894.08</v>
      </c>
    </row>
    <row r="13" spans="1:7" ht="38.25">
      <c r="A13" s="367">
        <v>8</v>
      </c>
      <c r="B13" s="384" t="s">
        <v>607</v>
      </c>
      <c r="C13" s="367" t="s">
        <v>8</v>
      </c>
      <c r="D13" s="367">
        <v>40</v>
      </c>
      <c r="E13" s="378">
        <f>+'Inschrijfstaat B3'!E13</f>
        <v>150</v>
      </c>
      <c r="F13" s="369">
        <f t="shared" si="0"/>
        <v>6000</v>
      </c>
    </row>
    <row r="14" spans="1:7" ht="38.25">
      <c r="A14" s="367">
        <v>9</v>
      </c>
      <c r="B14" s="384" t="s">
        <v>608</v>
      </c>
      <c r="C14" s="367" t="s">
        <v>8</v>
      </c>
      <c r="D14" s="367">
        <v>40</v>
      </c>
      <c r="E14" s="378">
        <f>+'Inschrijfstaat B3'!E14</f>
        <v>340.71600000000001</v>
      </c>
      <c r="F14" s="369">
        <f t="shared" si="0"/>
        <v>13628.64</v>
      </c>
    </row>
    <row r="15" spans="1:7" ht="51">
      <c r="A15" s="367">
        <v>10</v>
      </c>
      <c r="B15" s="385" t="s">
        <v>609</v>
      </c>
      <c r="C15" s="367" t="s">
        <v>8</v>
      </c>
      <c r="D15" s="367">
        <v>16</v>
      </c>
      <c r="E15" s="378">
        <f>+'Inschrijfstaat B3'!E15</f>
        <v>286.84799999999996</v>
      </c>
      <c r="F15" s="369">
        <f t="shared" si="0"/>
        <v>4589.5679999999993</v>
      </c>
    </row>
    <row r="16" spans="1:7" ht="38.25">
      <c r="A16" s="367">
        <v>11</v>
      </c>
      <c r="B16" s="384" t="s">
        <v>610</v>
      </c>
      <c r="C16" s="367" t="s">
        <v>8</v>
      </c>
      <c r="D16" s="367">
        <v>40</v>
      </c>
      <c r="E16" s="378">
        <f>+'Inschrijfstaat B3'!E16</f>
        <v>200</v>
      </c>
      <c r="F16" s="369">
        <f t="shared" si="0"/>
        <v>8000</v>
      </c>
    </row>
    <row r="17" spans="1:6" ht="63.75">
      <c r="A17" s="367">
        <v>12</v>
      </c>
      <c r="B17" s="386" t="s">
        <v>611</v>
      </c>
      <c r="C17" s="367" t="s">
        <v>8</v>
      </c>
      <c r="D17" s="367">
        <v>340</v>
      </c>
      <c r="E17" s="378">
        <f>+'Inschrijfstaat B3'!E17</f>
        <v>212.952</v>
      </c>
      <c r="F17" s="369">
        <f t="shared" si="0"/>
        <v>72403.679999999993</v>
      </c>
    </row>
    <row r="18" spans="1:6" ht="25.5">
      <c r="A18" s="367">
        <v>13</v>
      </c>
      <c r="B18" s="384" t="s">
        <v>612</v>
      </c>
      <c r="C18" s="367" t="s">
        <v>8</v>
      </c>
      <c r="D18" s="367">
        <v>120</v>
      </c>
      <c r="E18" s="378">
        <f>+'Inschrijfstaat B3'!E18</f>
        <v>320.23200000000003</v>
      </c>
      <c r="F18" s="369">
        <f t="shared" si="0"/>
        <v>38427.840000000004</v>
      </c>
    </row>
    <row r="19" spans="1:6" ht="25.5">
      <c r="A19" s="367">
        <v>15</v>
      </c>
      <c r="B19" s="384" t="s">
        <v>613</v>
      </c>
      <c r="C19" s="367" t="s">
        <v>8</v>
      </c>
      <c r="D19" s="367">
        <v>4</v>
      </c>
      <c r="E19" s="378">
        <f>+'Inschrijfstaat B3'!E19</f>
        <v>862.66800000000001</v>
      </c>
      <c r="F19" s="369">
        <f t="shared" si="0"/>
        <v>3450.672</v>
      </c>
    </row>
    <row r="20" spans="1:6" ht="25.5">
      <c r="A20" s="367">
        <v>16</v>
      </c>
      <c r="B20" s="385" t="s">
        <v>614</v>
      </c>
      <c r="C20" s="367" t="s">
        <v>8</v>
      </c>
      <c r="D20" s="367">
        <v>64</v>
      </c>
      <c r="E20" s="378">
        <f>+'Inschrijfstaat B3'!E20</f>
        <v>251.60799999999998</v>
      </c>
      <c r="F20" s="369">
        <f t="shared" si="0"/>
        <v>16102.911999999998</v>
      </c>
    </row>
    <row r="21" spans="1:6" ht="25.5">
      <c r="A21" s="367">
        <v>17</v>
      </c>
      <c r="B21" s="387" t="s">
        <v>615</v>
      </c>
      <c r="C21" s="367" t="s">
        <v>8</v>
      </c>
      <c r="D21" s="367">
        <v>40</v>
      </c>
      <c r="E21" s="378">
        <f>+'Inschrijfstaat B3'!E21</f>
        <v>109.68</v>
      </c>
      <c r="F21" s="369">
        <f t="shared" si="0"/>
        <v>4387.2000000000007</v>
      </c>
    </row>
    <row r="22" spans="1:6" ht="38.25">
      <c r="A22" s="367">
        <v>18</v>
      </c>
      <c r="B22" s="387" t="s">
        <v>616</v>
      </c>
      <c r="C22" s="367" t="s">
        <v>126</v>
      </c>
      <c r="D22" s="367">
        <v>8</v>
      </c>
      <c r="E22" s="378">
        <f>+'Inschrijfstaat B3'!E22</f>
        <v>193.43999999999997</v>
      </c>
      <c r="F22" s="369">
        <f t="shared" si="0"/>
        <v>1547.5199999999998</v>
      </c>
    </row>
    <row r="23" spans="1:6" ht="38.25">
      <c r="A23" s="367">
        <v>19</v>
      </c>
      <c r="B23" s="387" t="s">
        <v>617</v>
      </c>
      <c r="C23" s="367" t="s">
        <v>126</v>
      </c>
      <c r="D23" s="367">
        <v>40</v>
      </c>
      <c r="E23" s="378">
        <f>+'Inschrijfstaat B3'!E23</f>
        <v>145.08000000000001</v>
      </c>
      <c r="F23" s="369">
        <f t="shared" si="0"/>
        <v>5803.2000000000007</v>
      </c>
    </row>
    <row r="24" spans="1:6" ht="12.75">
      <c r="A24" s="379"/>
      <c r="B24" s="380" t="s">
        <v>618</v>
      </c>
      <c r="C24" s="379"/>
      <c r="D24" s="379"/>
      <c r="E24" s="381"/>
      <c r="F24" s="382"/>
    </row>
    <row r="25" spans="1:6" ht="25.5">
      <c r="A25" s="367">
        <v>20</v>
      </c>
      <c r="B25" s="385" t="s">
        <v>619</v>
      </c>
      <c r="C25" s="367" t="s">
        <v>8</v>
      </c>
      <c r="D25" s="367">
        <v>200</v>
      </c>
      <c r="E25" s="378">
        <f>+'Inschrijfstaat B3'!E25</f>
        <v>75.239999999999995</v>
      </c>
      <c r="F25" s="369">
        <f t="shared" ref="F25:F29" si="1">+E25*D25</f>
        <v>15047.999999999998</v>
      </c>
    </row>
    <row r="26" spans="1:6" ht="38.25">
      <c r="A26" s="367">
        <v>21</v>
      </c>
      <c r="B26" s="384" t="s">
        <v>620</v>
      </c>
      <c r="C26" s="367" t="s">
        <v>621</v>
      </c>
      <c r="D26" s="367">
        <v>20</v>
      </c>
      <c r="E26" s="378">
        <f>+'Inschrijfstaat B3'!E26</f>
        <v>1759.2</v>
      </c>
      <c r="F26" s="369">
        <f t="shared" si="1"/>
        <v>35184</v>
      </c>
    </row>
    <row r="27" spans="1:6" ht="12.75">
      <c r="A27" s="367">
        <v>22</v>
      </c>
      <c r="B27" s="384" t="s">
        <v>582</v>
      </c>
      <c r="C27" s="367" t="s">
        <v>8</v>
      </c>
      <c r="D27" s="367">
        <v>190</v>
      </c>
      <c r="E27" s="378">
        <f>+'Inschrijfstaat B3'!E27</f>
        <v>99.6</v>
      </c>
      <c r="F27" s="369">
        <f t="shared" si="1"/>
        <v>18924</v>
      </c>
    </row>
    <row r="28" spans="1:6" ht="81.75" customHeight="1">
      <c r="A28" s="367">
        <v>23</v>
      </c>
      <c r="B28" s="388" t="s">
        <v>622</v>
      </c>
      <c r="C28" s="367" t="s">
        <v>463</v>
      </c>
      <c r="D28" s="367">
        <v>1</v>
      </c>
      <c r="E28" s="378">
        <f>+'Inschrijfstaat B3'!E28</f>
        <v>550</v>
      </c>
      <c r="F28" s="369">
        <f t="shared" si="1"/>
        <v>550</v>
      </c>
    </row>
    <row r="29" spans="1:6" ht="63.75">
      <c r="A29" s="367">
        <v>24</v>
      </c>
      <c r="B29" s="384" t="s">
        <v>623</v>
      </c>
      <c r="C29" s="367" t="s">
        <v>8</v>
      </c>
      <c r="D29" s="367">
        <v>25</v>
      </c>
      <c r="E29" s="378">
        <f>+'Inschrijfstaat B3'!E29</f>
        <v>300</v>
      </c>
      <c r="F29" s="369">
        <f t="shared" si="1"/>
        <v>7500</v>
      </c>
    </row>
    <row r="30" spans="1:6" ht="12.75">
      <c r="A30" s="379"/>
      <c r="B30" s="380" t="s">
        <v>624</v>
      </c>
      <c r="C30" s="372"/>
      <c r="D30" s="372"/>
      <c r="E30" s="381"/>
      <c r="F30" s="382"/>
    </row>
    <row r="31" spans="1:6" ht="38.25">
      <c r="A31" s="367">
        <v>25</v>
      </c>
      <c r="B31" s="384" t="s">
        <v>625</v>
      </c>
      <c r="C31" s="367" t="s">
        <v>626</v>
      </c>
      <c r="D31" s="367">
        <v>25</v>
      </c>
      <c r="E31" s="378">
        <f>+'Inschrijfstaat B3'!E31</f>
        <v>200</v>
      </c>
      <c r="F31" s="369">
        <f t="shared" ref="F31:F37" si="2">+E31*D31</f>
        <v>5000</v>
      </c>
    </row>
    <row r="32" spans="1:6" ht="38.25">
      <c r="A32" s="367">
        <v>26</v>
      </c>
      <c r="B32" s="384" t="s">
        <v>627</v>
      </c>
      <c r="C32" s="367" t="s">
        <v>326</v>
      </c>
      <c r="D32" s="367">
        <v>25</v>
      </c>
      <c r="E32" s="378">
        <f>+'Inschrijfstaat B3'!E32</f>
        <v>85</v>
      </c>
      <c r="F32" s="369">
        <f t="shared" si="2"/>
        <v>2125</v>
      </c>
    </row>
    <row r="33" spans="1:6" ht="38.25">
      <c r="A33" s="367">
        <v>27</v>
      </c>
      <c r="B33" s="384" t="s">
        <v>628</v>
      </c>
      <c r="C33" s="367" t="s">
        <v>629</v>
      </c>
      <c r="D33" s="367">
        <v>25</v>
      </c>
      <c r="E33" s="378">
        <f>+'Inschrijfstaat B3'!E33</f>
        <v>300</v>
      </c>
      <c r="F33" s="369">
        <f t="shared" si="2"/>
        <v>7500</v>
      </c>
    </row>
    <row r="34" spans="1:6" ht="12.75">
      <c r="A34" s="367">
        <v>28</v>
      </c>
      <c r="B34" s="387" t="s">
        <v>630</v>
      </c>
      <c r="C34" s="367" t="s">
        <v>291</v>
      </c>
      <c r="D34" s="367">
        <v>25</v>
      </c>
      <c r="E34" s="378">
        <f>+'Inschrijfstaat B3'!E34</f>
        <v>30</v>
      </c>
      <c r="F34" s="369">
        <f t="shared" si="2"/>
        <v>750</v>
      </c>
    </row>
    <row r="35" spans="1:6" ht="12.75">
      <c r="A35" s="367">
        <v>29</v>
      </c>
      <c r="B35" s="387" t="s">
        <v>631</v>
      </c>
      <c r="C35" s="367" t="s">
        <v>291</v>
      </c>
      <c r="D35" s="367">
        <v>10</v>
      </c>
      <c r="E35" s="378">
        <f>+'Inschrijfstaat B3'!E35</f>
        <v>300</v>
      </c>
      <c r="F35" s="369">
        <f t="shared" si="2"/>
        <v>3000</v>
      </c>
    </row>
    <row r="36" spans="1:6" ht="12.75">
      <c r="A36" s="367">
        <v>30</v>
      </c>
      <c r="B36" s="387" t="s">
        <v>632</v>
      </c>
      <c r="C36" s="367" t="s">
        <v>338</v>
      </c>
      <c r="D36" s="367">
        <v>25</v>
      </c>
      <c r="E36" s="378">
        <f>+'Inschrijfstaat B3'!E36</f>
        <v>50</v>
      </c>
      <c r="F36" s="369">
        <f t="shared" si="2"/>
        <v>1250</v>
      </c>
    </row>
    <row r="37" spans="1:6" ht="12.75">
      <c r="A37" s="367">
        <v>31</v>
      </c>
      <c r="B37" s="389" t="s">
        <v>633</v>
      </c>
      <c r="C37" s="367" t="s">
        <v>291</v>
      </c>
      <c r="D37" s="367">
        <v>50</v>
      </c>
      <c r="E37" s="378">
        <f>+'Inschrijfstaat B3'!E37</f>
        <v>25</v>
      </c>
      <c r="F37" s="369">
        <f t="shared" si="2"/>
        <v>1250</v>
      </c>
    </row>
    <row r="38" spans="1:6" ht="12.75">
      <c r="A38" s="379"/>
      <c r="B38" s="380" t="s">
        <v>634</v>
      </c>
      <c r="C38" s="372"/>
      <c r="D38" s="372"/>
      <c r="E38" s="381"/>
      <c r="F38" s="382"/>
    </row>
    <row r="39" spans="1:6" ht="38.25">
      <c r="A39" s="367">
        <v>32</v>
      </c>
      <c r="B39" s="365" t="s">
        <v>635</v>
      </c>
      <c r="C39" s="367" t="s">
        <v>283</v>
      </c>
      <c r="D39" s="367">
        <v>25</v>
      </c>
      <c r="E39" s="378">
        <f>+'Inschrijfstaat B3'!E39</f>
        <v>546.3359999999999</v>
      </c>
      <c r="F39" s="369">
        <f t="shared" ref="F39:F42" si="3">+E39*D39</f>
        <v>13658.399999999998</v>
      </c>
    </row>
    <row r="40" spans="1:6" ht="38.25">
      <c r="A40" s="367">
        <v>33</v>
      </c>
      <c r="B40" s="365" t="s">
        <v>636</v>
      </c>
      <c r="C40" s="367" t="s">
        <v>283</v>
      </c>
      <c r="D40" s="367">
        <v>5</v>
      </c>
      <c r="E40" s="378">
        <f>+'Inschrijfstaat B3'!E40</f>
        <v>888.84</v>
      </c>
      <c r="F40" s="369">
        <f t="shared" si="3"/>
        <v>4444.2</v>
      </c>
    </row>
    <row r="41" spans="1:6" ht="12.75">
      <c r="A41" s="367">
        <v>34</v>
      </c>
      <c r="B41" s="389" t="s">
        <v>637</v>
      </c>
      <c r="C41" s="367" t="s">
        <v>283</v>
      </c>
      <c r="D41" s="367">
        <v>5</v>
      </c>
      <c r="E41" s="378">
        <f>+'Inschrijfstaat B3'!E41</f>
        <v>408.76499999999999</v>
      </c>
      <c r="F41" s="369">
        <f t="shared" si="3"/>
        <v>2043.8249999999998</v>
      </c>
    </row>
    <row r="42" spans="1:6" ht="38.25">
      <c r="A42" s="367">
        <v>35</v>
      </c>
      <c r="B42" s="365" t="s">
        <v>638</v>
      </c>
      <c r="C42" s="367" t="s">
        <v>639</v>
      </c>
      <c r="D42" s="367">
        <v>75</v>
      </c>
      <c r="E42" s="378">
        <f>+'Inschrijfstaat B3'!E42</f>
        <v>145.52999999999997</v>
      </c>
      <c r="F42" s="369">
        <f t="shared" si="3"/>
        <v>10914.749999999998</v>
      </c>
    </row>
    <row r="43" spans="1:6" ht="12.75">
      <c r="A43" s="379"/>
      <c r="B43" s="380" t="s">
        <v>640</v>
      </c>
      <c r="C43" s="372"/>
      <c r="D43" s="372"/>
      <c r="E43" s="381"/>
      <c r="F43" s="382"/>
    </row>
    <row r="44" spans="1:6" ht="12.75">
      <c r="A44" s="367">
        <v>36</v>
      </c>
      <c r="B44" s="384" t="s">
        <v>641</v>
      </c>
      <c r="C44" s="367" t="s">
        <v>642</v>
      </c>
      <c r="D44" s="390">
        <v>50000</v>
      </c>
      <c r="E44" s="378">
        <v>1</v>
      </c>
      <c r="F44" s="371">
        <v>50000</v>
      </c>
    </row>
    <row r="45" spans="1:6" ht="12.75">
      <c r="A45" s="391"/>
      <c r="B45" s="392" t="s">
        <v>643</v>
      </c>
      <c r="C45" s="393"/>
      <c r="D45" s="394"/>
      <c r="E45" s="395" t="s">
        <v>642</v>
      </c>
      <c r="F45" s="396">
        <f>SUM(F4:F44)</f>
        <v>1433000.4699999997</v>
      </c>
    </row>
    <row r="48" spans="1:6" ht="99.75">
      <c r="A48" s="397" t="s">
        <v>644</v>
      </c>
      <c r="B48" s="398" t="s">
        <v>669</v>
      </c>
      <c r="F48" s="353" t="s">
        <v>670</v>
      </c>
    </row>
    <row r="50" spans="1:6" ht="12" thickBot="1"/>
    <row r="51" spans="1:6" ht="15.75" thickBot="1">
      <c r="A51" s="587" t="s">
        <v>646</v>
      </c>
      <c r="B51" s="588"/>
      <c r="C51" s="588"/>
      <c r="D51" s="588"/>
      <c r="E51" s="588"/>
      <c r="F51" s="589"/>
    </row>
    <row r="52" spans="1:6" ht="38.25">
      <c r="A52" s="354" t="s">
        <v>10</v>
      </c>
      <c r="B52" s="399" t="s">
        <v>11</v>
      </c>
      <c r="C52" s="400" t="s">
        <v>12</v>
      </c>
      <c r="D52" s="357" t="s">
        <v>594</v>
      </c>
      <c r="E52" s="356" t="s">
        <v>595</v>
      </c>
      <c r="F52" s="356" t="s">
        <v>596</v>
      </c>
    </row>
    <row r="53" spans="1:6" ht="25.5">
      <c r="A53" s="367"/>
      <c r="B53" s="365" t="s">
        <v>647</v>
      </c>
      <c r="C53" s="367" t="s">
        <v>648</v>
      </c>
      <c r="D53" s="367" t="s">
        <v>649</v>
      </c>
      <c r="E53" s="378"/>
      <c r="F53" s="371" t="s">
        <v>649</v>
      </c>
    </row>
    <row r="54" spans="1:6" ht="38.25">
      <c r="A54" s="367"/>
      <c r="B54" s="365" t="s">
        <v>650</v>
      </c>
      <c r="C54" s="367" t="s">
        <v>648</v>
      </c>
      <c r="D54" s="367" t="s">
        <v>649</v>
      </c>
      <c r="E54" s="378"/>
      <c r="F54" s="371" t="s">
        <v>649</v>
      </c>
    </row>
    <row r="55" spans="1:6" ht="24.75" customHeight="1">
      <c r="A55" s="367"/>
      <c r="B55" s="401" t="s">
        <v>651</v>
      </c>
      <c r="C55" s="402" t="s">
        <v>652</v>
      </c>
      <c r="D55" s="367" t="s">
        <v>649</v>
      </c>
      <c r="E55" s="378"/>
      <c r="F55" s="371" t="s">
        <v>649</v>
      </c>
    </row>
    <row r="56" spans="1:6" ht="12.75">
      <c r="A56" s="367"/>
      <c r="B56" s="383"/>
      <c r="C56" s="367"/>
      <c r="D56" s="367" t="s">
        <v>649</v>
      </c>
      <c r="E56" s="378"/>
      <c r="F56" s="371" t="s">
        <v>649</v>
      </c>
    </row>
    <row r="57" spans="1:6" ht="12.75">
      <c r="A57" s="367"/>
      <c r="B57" s="383"/>
      <c r="C57" s="367"/>
      <c r="D57" s="367" t="s">
        <v>649</v>
      </c>
      <c r="E57" s="378"/>
      <c r="F57" s="371" t="s">
        <v>649</v>
      </c>
    </row>
    <row r="58" spans="1:6" ht="12.75">
      <c r="A58" s="367"/>
      <c r="B58" s="383"/>
      <c r="C58" s="367"/>
      <c r="D58" s="367" t="s">
        <v>649</v>
      </c>
      <c r="E58" s="378"/>
      <c r="F58" s="371" t="s">
        <v>649</v>
      </c>
    </row>
    <row r="59" spans="1:6" ht="12.75">
      <c r="A59" s="367"/>
      <c r="B59" s="383"/>
      <c r="C59" s="367"/>
      <c r="D59" s="367" t="s">
        <v>649</v>
      </c>
      <c r="E59" s="378"/>
      <c r="F59" s="371" t="s">
        <v>649</v>
      </c>
    </row>
    <row r="60" spans="1:6" ht="12.75">
      <c r="A60" s="367"/>
      <c r="B60" s="383"/>
      <c r="C60" s="367"/>
      <c r="D60" s="367" t="s">
        <v>649</v>
      </c>
      <c r="E60" s="378"/>
      <c r="F60" s="371" t="s">
        <v>649</v>
      </c>
    </row>
    <row r="61" spans="1:6" ht="12.75">
      <c r="A61" s="367"/>
      <c r="B61" s="383"/>
      <c r="C61" s="367"/>
      <c r="D61" s="367" t="s">
        <v>649</v>
      </c>
      <c r="E61" s="378"/>
      <c r="F61" s="371" t="s">
        <v>649</v>
      </c>
    </row>
    <row r="62" spans="1:6" ht="12.75">
      <c r="A62" s="367"/>
      <c r="B62" s="383"/>
      <c r="C62" s="367"/>
      <c r="D62" s="367" t="s">
        <v>649</v>
      </c>
      <c r="E62" s="378"/>
      <c r="F62" s="371" t="s">
        <v>649</v>
      </c>
    </row>
  </sheetData>
  <mergeCells count="2">
    <mergeCell ref="A1:F1"/>
    <mergeCell ref="A51:F51"/>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5"/>
  <sheetViews>
    <sheetView tabSelected="1" topLeftCell="A37" zoomScaleNormal="100" workbookViewId="0">
      <selection activeCell="B41" sqref="B41"/>
    </sheetView>
  </sheetViews>
  <sheetFormatPr defaultColWidth="9.140625" defaultRowHeight="11.25"/>
  <cols>
    <col min="1" max="1" width="14.28515625" style="405" bestFit="1" customWidth="1"/>
    <col min="2" max="2" width="99.28515625" style="405" bestFit="1" customWidth="1"/>
    <col min="3" max="5" width="16.7109375" style="405" customWidth="1"/>
    <col min="6" max="6" width="16.7109375" style="535" customWidth="1"/>
    <col min="7" max="7" width="16.7109375" style="405" customWidth="1"/>
    <col min="8" max="8" width="20.140625" style="405" bestFit="1" customWidth="1"/>
    <col min="9" max="9" width="6.42578125" style="405" customWidth="1"/>
    <col min="10" max="16384" width="9.140625" style="405"/>
  </cols>
  <sheetData>
    <row r="1" spans="1:9" ht="15.75" thickBot="1">
      <c r="A1" s="590" t="s">
        <v>681</v>
      </c>
      <c r="B1" s="591"/>
      <c r="C1" s="591"/>
      <c r="D1" s="591"/>
      <c r="E1" s="591"/>
      <c r="F1" s="591"/>
      <c r="G1" s="591"/>
      <c r="H1" s="592"/>
    </row>
    <row r="2" spans="1:9" ht="38.25">
      <c r="A2" s="406" t="s">
        <v>10</v>
      </c>
      <c r="B2" s="407" t="s">
        <v>11</v>
      </c>
      <c r="C2" s="408" t="s">
        <v>12</v>
      </c>
      <c r="D2" s="409" t="s">
        <v>594</v>
      </c>
      <c r="E2" s="498" t="s">
        <v>682</v>
      </c>
      <c r="F2" s="530" t="s">
        <v>595</v>
      </c>
      <c r="G2" s="499" t="s">
        <v>683</v>
      </c>
      <c r="H2" s="408" t="s">
        <v>596</v>
      </c>
    </row>
    <row r="3" spans="1:9" ht="12.75">
      <c r="A3" s="410" t="s">
        <v>671</v>
      </c>
      <c r="B3" s="411" t="s">
        <v>19</v>
      </c>
      <c r="C3" s="412"/>
      <c r="D3" s="413"/>
      <c r="E3" s="413"/>
      <c r="F3" s="531"/>
      <c r="G3" s="414"/>
      <c r="H3" s="415"/>
    </row>
    <row r="4" spans="1:9" ht="38.25">
      <c r="A4" s="506" t="s">
        <v>597</v>
      </c>
      <c r="B4" s="507" t="s">
        <v>684</v>
      </c>
      <c r="C4" s="508" t="s">
        <v>599</v>
      </c>
      <c r="D4" s="509">
        <v>72</v>
      </c>
      <c r="E4" s="538">
        <v>22000</v>
      </c>
      <c r="F4" s="541"/>
      <c r="G4" s="539" t="s">
        <v>685</v>
      </c>
      <c r="H4" s="510">
        <f>+F4*D4</f>
        <v>0</v>
      </c>
      <c r="I4" s="422"/>
    </row>
    <row r="5" spans="1:9" ht="38.25">
      <c r="A5" s="509">
        <v>2</v>
      </c>
      <c r="B5" s="511" t="s">
        <v>686</v>
      </c>
      <c r="C5" s="508" t="s">
        <v>599</v>
      </c>
      <c r="D5" s="509">
        <v>72</v>
      </c>
      <c r="E5" s="538">
        <v>6500</v>
      </c>
      <c r="F5" s="541"/>
      <c r="G5" s="540">
        <v>10000</v>
      </c>
      <c r="H5" s="510">
        <f>+F5*D5</f>
        <v>0</v>
      </c>
      <c r="I5" s="491"/>
    </row>
    <row r="6" spans="1:9" ht="12.75">
      <c r="A6" s="512" t="s">
        <v>76</v>
      </c>
      <c r="B6" s="513" t="s">
        <v>46</v>
      </c>
      <c r="C6" s="514"/>
      <c r="D6" s="515"/>
      <c r="E6" s="515"/>
      <c r="F6" s="542"/>
      <c r="G6" s="516"/>
      <c r="H6" s="516"/>
    </row>
    <row r="7" spans="1:9" ht="12.75">
      <c r="A7" s="509">
        <v>1</v>
      </c>
      <c r="B7" s="517" t="s">
        <v>672</v>
      </c>
      <c r="C7" s="508" t="s">
        <v>8</v>
      </c>
      <c r="D7" s="509">
        <v>1200</v>
      </c>
      <c r="E7" s="538">
        <v>425</v>
      </c>
      <c r="F7" s="543"/>
      <c r="G7" s="540">
        <v>625</v>
      </c>
      <c r="H7" s="510">
        <f>+F7*D7</f>
        <v>0</v>
      </c>
      <c r="I7" s="491"/>
    </row>
    <row r="8" spans="1:9" ht="12.75">
      <c r="A8" s="518" t="s">
        <v>673</v>
      </c>
      <c r="B8" s="519" t="s">
        <v>602</v>
      </c>
      <c r="C8" s="518"/>
      <c r="D8" s="518"/>
      <c r="E8" s="518"/>
      <c r="F8" s="544"/>
      <c r="G8" s="520"/>
      <c r="H8" s="521"/>
    </row>
    <row r="9" spans="1:9" ht="63.75">
      <c r="A9" s="509">
        <v>1</v>
      </c>
      <c r="B9" s="522" t="s">
        <v>687</v>
      </c>
      <c r="C9" s="509" t="s">
        <v>8</v>
      </c>
      <c r="D9" s="509">
        <v>12</v>
      </c>
      <c r="E9" s="538">
        <v>175</v>
      </c>
      <c r="F9" s="543"/>
      <c r="G9" s="540">
        <v>250</v>
      </c>
      <c r="H9" s="510">
        <f t="shared" ref="H9:H21" si="0">+F9*D9</f>
        <v>0</v>
      </c>
    </row>
    <row r="10" spans="1:9" ht="25.5">
      <c r="A10" s="509">
        <v>2</v>
      </c>
      <c r="B10" s="523" t="s">
        <v>688</v>
      </c>
      <c r="C10" s="509" t="s">
        <v>8</v>
      </c>
      <c r="D10" s="509">
        <v>48</v>
      </c>
      <c r="E10" s="538">
        <v>65</v>
      </c>
      <c r="F10" s="543"/>
      <c r="G10" s="540">
        <v>100</v>
      </c>
      <c r="H10" s="510">
        <f t="shared" si="0"/>
        <v>0</v>
      </c>
    </row>
    <row r="11" spans="1:9" ht="25.5">
      <c r="A11" s="509">
        <v>3</v>
      </c>
      <c r="B11" s="523" t="s">
        <v>689</v>
      </c>
      <c r="C11" s="509" t="s">
        <v>8</v>
      </c>
      <c r="D11" s="509">
        <v>28</v>
      </c>
      <c r="E11" s="538">
        <v>115</v>
      </c>
      <c r="F11" s="543"/>
      <c r="G11" s="540">
        <v>170</v>
      </c>
      <c r="H11" s="510">
        <f t="shared" si="0"/>
        <v>0</v>
      </c>
    </row>
    <row r="12" spans="1:9" ht="38.25">
      <c r="A12" s="509">
        <v>4</v>
      </c>
      <c r="B12" s="523" t="s">
        <v>690</v>
      </c>
      <c r="C12" s="509" t="s">
        <v>8</v>
      </c>
      <c r="D12" s="509">
        <v>48</v>
      </c>
      <c r="E12" s="538">
        <v>100</v>
      </c>
      <c r="F12" s="543"/>
      <c r="G12" s="540">
        <v>150</v>
      </c>
      <c r="H12" s="510">
        <f t="shared" si="0"/>
        <v>0</v>
      </c>
    </row>
    <row r="13" spans="1:9" ht="38.25">
      <c r="A13" s="509">
        <v>5</v>
      </c>
      <c r="B13" s="523" t="s">
        <v>691</v>
      </c>
      <c r="C13" s="509" t="s">
        <v>8</v>
      </c>
      <c r="D13" s="509">
        <v>48</v>
      </c>
      <c r="E13" s="538">
        <v>120</v>
      </c>
      <c r="F13" s="543"/>
      <c r="G13" s="540">
        <v>180</v>
      </c>
      <c r="H13" s="510">
        <f t="shared" si="0"/>
        <v>0</v>
      </c>
    </row>
    <row r="14" spans="1:9" ht="38.25">
      <c r="A14" s="509">
        <v>6</v>
      </c>
      <c r="B14" s="523" t="s">
        <v>692</v>
      </c>
      <c r="C14" s="509" t="s">
        <v>8</v>
      </c>
      <c r="D14" s="509">
        <v>48</v>
      </c>
      <c r="E14" s="538">
        <v>275</v>
      </c>
      <c r="F14" s="543"/>
      <c r="G14" s="540">
        <v>400</v>
      </c>
      <c r="H14" s="510">
        <f t="shared" si="0"/>
        <v>0</v>
      </c>
    </row>
    <row r="15" spans="1:9" ht="38.25">
      <c r="A15" s="509">
        <v>7</v>
      </c>
      <c r="B15" s="524" t="s">
        <v>693</v>
      </c>
      <c r="C15" s="509" t="s">
        <v>8</v>
      </c>
      <c r="D15" s="509">
        <v>20</v>
      </c>
      <c r="E15" s="538">
        <v>230</v>
      </c>
      <c r="F15" s="543"/>
      <c r="G15" s="540">
        <v>345</v>
      </c>
      <c r="H15" s="510">
        <f t="shared" si="0"/>
        <v>0</v>
      </c>
    </row>
    <row r="16" spans="1:9" ht="38.25">
      <c r="A16" s="509">
        <v>8</v>
      </c>
      <c r="B16" s="523" t="s">
        <v>694</v>
      </c>
      <c r="C16" s="509" t="s">
        <v>8</v>
      </c>
      <c r="D16" s="509">
        <v>48</v>
      </c>
      <c r="E16" s="538">
        <v>160</v>
      </c>
      <c r="F16" s="543"/>
      <c r="G16" s="540">
        <v>240</v>
      </c>
      <c r="H16" s="510">
        <f t="shared" si="0"/>
        <v>0</v>
      </c>
    </row>
    <row r="17" spans="1:8" ht="63.75">
      <c r="A17" s="509">
        <v>9</v>
      </c>
      <c r="B17" s="525" t="s">
        <v>695</v>
      </c>
      <c r="C17" s="509" t="s">
        <v>8</v>
      </c>
      <c r="D17" s="509">
        <v>525</v>
      </c>
      <c r="E17" s="538">
        <v>170</v>
      </c>
      <c r="F17" s="543"/>
      <c r="G17" s="540">
        <v>250</v>
      </c>
      <c r="H17" s="510">
        <f t="shared" si="0"/>
        <v>0</v>
      </c>
    </row>
    <row r="18" spans="1:8" ht="38.25">
      <c r="A18" s="509">
        <v>10</v>
      </c>
      <c r="B18" s="523" t="s">
        <v>696</v>
      </c>
      <c r="C18" s="509" t="s">
        <v>8</v>
      </c>
      <c r="D18" s="509">
        <v>145</v>
      </c>
      <c r="E18" s="538">
        <v>250</v>
      </c>
      <c r="F18" s="543"/>
      <c r="G18" s="540">
        <v>375</v>
      </c>
      <c r="H18" s="510">
        <f t="shared" si="0"/>
        <v>0</v>
      </c>
    </row>
    <row r="19" spans="1:8" ht="25.5">
      <c r="A19" s="509">
        <v>11</v>
      </c>
      <c r="B19" s="523" t="s">
        <v>697</v>
      </c>
      <c r="C19" s="509" t="s">
        <v>8</v>
      </c>
      <c r="D19" s="509">
        <v>80</v>
      </c>
      <c r="E19" s="538">
        <v>700</v>
      </c>
      <c r="F19" s="543"/>
      <c r="G19" s="540">
        <v>1000</v>
      </c>
      <c r="H19" s="510">
        <f t="shared" si="0"/>
        <v>0</v>
      </c>
    </row>
    <row r="20" spans="1:8" ht="25.5">
      <c r="A20" s="509">
        <v>12</v>
      </c>
      <c r="B20" s="526" t="s">
        <v>698</v>
      </c>
      <c r="C20" s="509" t="s">
        <v>8</v>
      </c>
      <c r="D20" s="509">
        <v>45</v>
      </c>
      <c r="E20" s="538">
        <v>85</v>
      </c>
      <c r="F20" s="543"/>
      <c r="G20" s="540">
        <v>125</v>
      </c>
      <c r="H20" s="510">
        <f t="shared" si="0"/>
        <v>0</v>
      </c>
    </row>
    <row r="21" spans="1:8" ht="25.5">
      <c r="A21" s="509">
        <v>13</v>
      </c>
      <c r="B21" s="526" t="s">
        <v>699</v>
      </c>
      <c r="C21" s="509" t="s">
        <v>126</v>
      </c>
      <c r="D21" s="509">
        <v>10</v>
      </c>
      <c r="E21" s="538">
        <v>150</v>
      </c>
      <c r="F21" s="543"/>
      <c r="G21" s="540">
        <v>230</v>
      </c>
      <c r="H21" s="510">
        <f t="shared" si="0"/>
        <v>0</v>
      </c>
    </row>
    <row r="22" spans="1:8" ht="38.25">
      <c r="A22" s="509">
        <v>14</v>
      </c>
      <c r="B22" s="526" t="s">
        <v>700</v>
      </c>
      <c r="C22" s="509" t="s">
        <v>8</v>
      </c>
      <c r="D22" s="509">
        <v>145</v>
      </c>
      <c r="E22" s="538">
        <v>90</v>
      </c>
      <c r="F22" s="543"/>
      <c r="G22" s="540">
        <v>140</v>
      </c>
      <c r="H22" s="510">
        <f>+F22*D22</f>
        <v>0</v>
      </c>
    </row>
    <row r="23" spans="1:8" ht="63.75">
      <c r="A23" s="509">
        <v>15</v>
      </c>
      <c r="B23" s="523" t="s">
        <v>701</v>
      </c>
      <c r="C23" s="509" t="s">
        <v>8</v>
      </c>
      <c r="D23" s="509">
        <v>60</v>
      </c>
      <c r="E23" s="538">
        <v>240</v>
      </c>
      <c r="F23" s="543"/>
      <c r="G23" s="540">
        <v>360</v>
      </c>
      <c r="H23" s="510">
        <f>+F23*D23</f>
        <v>0</v>
      </c>
    </row>
    <row r="24" spans="1:8" ht="51">
      <c r="A24" s="509">
        <v>16</v>
      </c>
      <c r="B24" s="511" t="s">
        <v>702</v>
      </c>
      <c r="C24" s="509" t="s">
        <v>674</v>
      </c>
      <c r="D24" s="509">
        <v>50</v>
      </c>
      <c r="E24" s="538">
        <v>50</v>
      </c>
      <c r="F24" s="545"/>
      <c r="G24" s="540">
        <v>75</v>
      </c>
      <c r="H24" s="510">
        <f>+F24*D24</f>
        <v>0</v>
      </c>
    </row>
    <row r="25" spans="1:8" ht="51">
      <c r="A25" s="509">
        <v>17</v>
      </c>
      <c r="B25" s="529" t="s">
        <v>726</v>
      </c>
      <c r="C25" s="509" t="s">
        <v>674</v>
      </c>
      <c r="D25" s="509">
        <v>40</v>
      </c>
      <c r="E25" s="538">
        <v>160</v>
      </c>
      <c r="F25" s="545"/>
      <c r="G25" s="540">
        <v>240</v>
      </c>
      <c r="H25" s="510">
        <f>+F25*D25</f>
        <v>0</v>
      </c>
    </row>
    <row r="26" spans="1:8" ht="12.75">
      <c r="A26" s="518" t="s">
        <v>675</v>
      </c>
      <c r="B26" s="519" t="s">
        <v>618</v>
      </c>
      <c r="C26" s="518"/>
      <c r="D26" s="518"/>
      <c r="E26" s="518"/>
      <c r="F26" s="544"/>
      <c r="G26" s="520"/>
      <c r="H26" s="521"/>
    </row>
    <row r="27" spans="1:8" ht="25.5">
      <c r="A27" s="509">
        <v>1</v>
      </c>
      <c r="B27" s="524" t="s">
        <v>703</v>
      </c>
      <c r="C27" s="509" t="s">
        <v>8</v>
      </c>
      <c r="D27" s="509">
        <v>240</v>
      </c>
      <c r="E27" s="538">
        <v>60</v>
      </c>
      <c r="F27" s="543"/>
      <c r="G27" s="540">
        <v>90</v>
      </c>
      <c r="H27" s="510">
        <f t="shared" ref="H27:H30" si="1">+F27*D27</f>
        <v>0</v>
      </c>
    </row>
    <row r="28" spans="1:8" ht="51">
      <c r="A28" s="509">
        <v>2</v>
      </c>
      <c r="B28" s="523" t="s">
        <v>704</v>
      </c>
      <c r="C28" s="509" t="s">
        <v>621</v>
      </c>
      <c r="D28" s="509">
        <v>25</v>
      </c>
      <c r="E28" s="538">
        <v>1400</v>
      </c>
      <c r="F28" s="543"/>
      <c r="G28" s="540">
        <v>2100</v>
      </c>
      <c r="H28" s="510">
        <f t="shared" si="1"/>
        <v>0</v>
      </c>
    </row>
    <row r="29" spans="1:8" ht="12.75">
      <c r="A29" s="509">
        <v>3</v>
      </c>
      <c r="B29" s="523" t="s">
        <v>582</v>
      </c>
      <c r="C29" s="509" t="s">
        <v>8</v>
      </c>
      <c r="D29" s="509">
        <v>420</v>
      </c>
      <c r="E29" s="538">
        <v>80</v>
      </c>
      <c r="F29" s="543"/>
      <c r="G29" s="540">
        <v>120</v>
      </c>
      <c r="H29" s="510">
        <f t="shared" si="1"/>
        <v>0</v>
      </c>
    </row>
    <row r="30" spans="1:8" ht="89.25">
      <c r="A30" s="509">
        <v>4</v>
      </c>
      <c r="B30" s="527" t="s">
        <v>705</v>
      </c>
      <c r="C30" s="509" t="s">
        <v>463</v>
      </c>
      <c r="D30" s="509">
        <v>1</v>
      </c>
      <c r="E30" s="538">
        <v>440</v>
      </c>
      <c r="F30" s="543"/>
      <c r="G30" s="540">
        <v>660</v>
      </c>
      <c r="H30" s="510">
        <f t="shared" si="1"/>
        <v>0</v>
      </c>
    </row>
    <row r="31" spans="1:8" ht="12.75">
      <c r="A31" s="509">
        <v>5</v>
      </c>
      <c r="B31" s="523" t="s">
        <v>706</v>
      </c>
      <c r="C31" s="509" t="s">
        <v>463</v>
      </c>
      <c r="D31" s="509">
        <v>1</v>
      </c>
      <c r="E31" s="538">
        <v>160</v>
      </c>
      <c r="F31" s="543"/>
      <c r="G31" s="540">
        <v>240</v>
      </c>
      <c r="H31" s="510">
        <f>+F31*D31</f>
        <v>0</v>
      </c>
    </row>
    <row r="32" spans="1:8" ht="12.75">
      <c r="A32" s="518" t="s">
        <v>676</v>
      </c>
      <c r="B32" s="519" t="s">
        <v>624</v>
      </c>
      <c r="C32" s="512"/>
      <c r="D32" s="512"/>
      <c r="E32" s="512"/>
      <c r="F32" s="544"/>
      <c r="G32" s="520"/>
      <c r="H32" s="521"/>
    </row>
    <row r="33" spans="1:9" ht="38.25">
      <c r="A33" s="509">
        <v>1</v>
      </c>
      <c r="B33" s="523" t="s">
        <v>707</v>
      </c>
      <c r="C33" s="509" t="s">
        <v>708</v>
      </c>
      <c r="D33" s="509">
        <v>60</v>
      </c>
      <c r="E33" s="538">
        <v>160</v>
      </c>
      <c r="F33" s="543"/>
      <c r="G33" s="540">
        <v>240</v>
      </c>
      <c r="H33" s="510">
        <f t="shared" ref="H33:H37" si="2">+F33*D33</f>
        <v>0</v>
      </c>
    </row>
    <row r="34" spans="1:9" ht="38.25">
      <c r="A34" s="509">
        <v>2</v>
      </c>
      <c r="B34" s="523" t="s">
        <v>709</v>
      </c>
      <c r="C34" s="509" t="s">
        <v>710</v>
      </c>
      <c r="D34" s="509">
        <v>60</v>
      </c>
      <c r="E34" s="538">
        <v>65</v>
      </c>
      <c r="F34" s="543"/>
      <c r="G34" s="540">
        <v>100</v>
      </c>
      <c r="H34" s="510">
        <f t="shared" si="2"/>
        <v>0</v>
      </c>
    </row>
    <row r="35" spans="1:9" ht="38.25">
      <c r="A35" s="509">
        <v>3</v>
      </c>
      <c r="B35" s="523" t="s">
        <v>711</v>
      </c>
      <c r="C35" s="509" t="s">
        <v>712</v>
      </c>
      <c r="D35" s="509">
        <v>60</v>
      </c>
      <c r="E35" s="538">
        <v>240</v>
      </c>
      <c r="F35" s="543"/>
      <c r="G35" s="540">
        <v>360</v>
      </c>
      <c r="H35" s="510">
        <f t="shared" si="2"/>
        <v>0</v>
      </c>
    </row>
    <row r="36" spans="1:9" ht="12.75">
      <c r="A36" s="509">
        <v>4</v>
      </c>
      <c r="B36" s="526" t="s">
        <v>713</v>
      </c>
      <c r="C36" s="509" t="s">
        <v>291</v>
      </c>
      <c r="D36" s="509">
        <v>12</v>
      </c>
      <c r="E36" s="538">
        <v>240</v>
      </c>
      <c r="F36" s="543"/>
      <c r="G36" s="540">
        <v>360</v>
      </c>
      <c r="H36" s="510">
        <f t="shared" si="2"/>
        <v>0</v>
      </c>
    </row>
    <row r="37" spans="1:9" ht="12.75">
      <c r="A37" s="509">
        <v>5</v>
      </c>
      <c r="B37" s="526" t="s">
        <v>714</v>
      </c>
      <c r="C37" s="509" t="s">
        <v>338</v>
      </c>
      <c r="D37" s="509">
        <v>60</v>
      </c>
      <c r="E37" s="538">
        <v>40</v>
      </c>
      <c r="F37" s="543"/>
      <c r="G37" s="540">
        <v>60</v>
      </c>
      <c r="H37" s="510">
        <f t="shared" si="2"/>
        <v>0</v>
      </c>
    </row>
    <row r="38" spans="1:9" ht="25.5">
      <c r="A38" s="509">
        <v>6</v>
      </c>
      <c r="B38" s="528" t="s">
        <v>715</v>
      </c>
      <c r="C38" s="509" t="s">
        <v>291</v>
      </c>
      <c r="D38" s="509">
        <v>25</v>
      </c>
      <c r="E38" s="538">
        <v>280</v>
      </c>
      <c r="F38" s="543"/>
      <c r="G38" s="540">
        <v>420</v>
      </c>
      <c r="H38" s="510">
        <f>+F38*D38</f>
        <v>0</v>
      </c>
    </row>
    <row r="39" spans="1:9" ht="12.75">
      <c r="A39" s="518" t="s">
        <v>677</v>
      </c>
      <c r="B39" s="519" t="s">
        <v>634</v>
      </c>
      <c r="C39" s="512"/>
      <c r="D39" s="512"/>
      <c r="E39" s="512"/>
      <c r="F39" s="544"/>
      <c r="G39" s="520"/>
      <c r="H39" s="521"/>
    </row>
    <row r="40" spans="1:9" ht="38.25">
      <c r="A40" s="509">
        <v>1</v>
      </c>
      <c r="B40" s="511" t="s">
        <v>727</v>
      </c>
      <c r="C40" s="508" t="s">
        <v>716</v>
      </c>
      <c r="D40" s="509">
        <v>60</v>
      </c>
      <c r="E40" s="538">
        <v>425</v>
      </c>
      <c r="F40" s="545"/>
      <c r="G40" s="540">
        <v>650</v>
      </c>
      <c r="H40" s="510">
        <f t="shared" ref="H40:H45" si="3">+F40*D40</f>
        <v>0</v>
      </c>
    </row>
    <row r="41" spans="1:9" ht="38.25">
      <c r="A41" s="509">
        <v>2</v>
      </c>
      <c r="B41" s="511" t="s">
        <v>728</v>
      </c>
      <c r="C41" s="508" t="s">
        <v>716</v>
      </c>
      <c r="D41" s="509">
        <v>6</v>
      </c>
      <c r="E41" s="538">
        <v>710</v>
      </c>
      <c r="F41" s="545"/>
      <c r="G41" s="540">
        <v>1050</v>
      </c>
      <c r="H41" s="510">
        <f t="shared" si="3"/>
        <v>0</v>
      </c>
    </row>
    <row r="42" spans="1:9" ht="51">
      <c r="A42" s="509">
        <v>3</v>
      </c>
      <c r="B42" s="511" t="s">
        <v>717</v>
      </c>
      <c r="C42" s="509" t="s">
        <v>718</v>
      </c>
      <c r="D42" s="509">
        <v>50</v>
      </c>
      <c r="E42" s="538">
        <v>325</v>
      </c>
      <c r="F42" s="545"/>
      <c r="G42" s="540">
        <v>500</v>
      </c>
      <c r="H42" s="510">
        <f t="shared" si="3"/>
        <v>0</v>
      </c>
    </row>
    <row r="43" spans="1:9" ht="51">
      <c r="A43" s="509">
        <v>4</v>
      </c>
      <c r="B43" s="511" t="s">
        <v>719</v>
      </c>
      <c r="C43" s="509" t="s">
        <v>678</v>
      </c>
      <c r="D43" s="509">
        <v>1800</v>
      </c>
      <c r="E43" s="538">
        <v>15</v>
      </c>
      <c r="F43" s="545"/>
      <c r="G43" s="540">
        <v>25</v>
      </c>
      <c r="H43" s="510">
        <f t="shared" si="3"/>
        <v>0</v>
      </c>
      <c r="I43" s="491"/>
    </row>
    <row r="44" spans="1:9" ht="51">
      <c r="A44" s="509">
        <v>6</v>
      </c>
      <c r="B44" s="511" t="s">
        <v>720</v>
      </c>
      <c r="C44" s="509" t="s">
        <v>678</v>
      </c>
      <c r="D44" s="509">
        <v>1450</v>
      </c>
      <c r="E44" s="538">
        <v>20</v>
      </c>
      <c r="F44" s="545"/>
      <c r="G44" s="540">
        <v>35</v>
      </c>
      <c r="H44" s="510">
        <f t="shared" si="3"/>
        <v>0</v>
      </c>
      <c r="I44" s="491"/>
    </row>
    <row r="45" spans="1:9" ht="38.25">
      <c r="A45" s="509">
        <v>7</v>
      </c>
      <c r="B45" s="511" t="s">
        <v>721</v>
      </c>
      <c r="C45" s="509" t="s">
        <v>667</v>
      </c>
      <c r="D45" s="509">
        <v>6</v>
      </c>
      <c r="E45" s="538">
        <v>160</v>
      </c>
      <c r="F45" s="545"/>
      <c r="G45" s="540">
        <v>250</v>
      </c>
      <c r="H45" s="510">
        <f t="shared" si="3"/>
        <v>0</v>
      </c>
    </row>
    <row r="46" spans="1:9" ht="12.75">
      <c r="A46" s="433" t="s">
        <v>679</v>
      </c>
      <c r="B46" s="434" t="s">
        <v>640</v>
      </c>
      <c r="C46" s="425"/>
      <c r="D46" s="425"/>
      <c r="E46" s="425"/>
      <c r="F46" s="532"/>
      <c r="G46" s="435"/>
      <c r="H46" s="436"/>
    </row>
    <row r="47" spans="1:9" ht="12.75">
      <c r="A47" s="419">
        <v>1</v>
      </c>
      <c r="B47" s="417" t="s">
        <v>641</v>
      </c>
      <c r="C47" s="419" t="s">
        <v>642</v>
      </c>
      <c r="D47" s="445">
        <v>50000</v>
      </c>
      <c r="E47" s="536"/>
      <c r="F47" s="533">
        <v>1</v>
      </c>
      <c r="G47" s="537"/>
      <c r="H47" s="424">
        <v>50000</v>
      </c>
    </row>
    <row r="48" spans="1:9" ht="12.75">
      <c r="A48" s="446"/>
      <c r="B48" s="447" t="s">
        <v>643</v>
      </c>
      <c r="C48" s="448"/>
      <c r="D48" s="449"/>
      <c r="E48" s="449"/>
      <c r="F48" s="534" t="s">
        <v>642</v>
      </c>
      <c r="G48" s="450"/>
      <c r="H48" s="451">
        <f>SUM(H4:H47)</f>
        <v>50000</v>
      </c>
    </row>
    <row r="49" spans="1:8" ht="12.75">
      <c r="A49" s="446"/>
      <c r="B49" s="447"/>
      <c r="C49" s="448"/>
      <c r="D49" s="449"/>
      <c r="E49" s="449"/>
      <c r="F49" s="534"/>
      <c r="G49" s="450"/>
      <c r="H49" s="497"/>
    </row>
    <row r="52" spans="1:8" ht="99.75">
      <c r="A52" s="452" t="s">
        <v>644</v>
      </c>
      <c r="B52" s="496" t="s">
        <v>680</v>
      </c>
    </row>
    <row r="54" spans="1:8" ht="12" thickBot="1"/>
    <row r="55" spans="1:8" ht="15.75" thickBot="1">
      <c r="A55" s="593" t="s">
        <v>646</v>
      </c>
      <c r="B55" s="594"/>
      <c r="C55" s="594"/>
      <c r="D55" s="594"/>
      <c r="E55" s="594"/>
      <c r="F55" s="594"/>
      <c r="G55" s="594"/>
      <c r="H55" s="595"/>
    </row>
    <row r="56" spans="1:8" ht="38.25">
      <c r="A56" s="546" t="s">
        <v>10</v>
      </c>
      <c r="B56" s="547" t="s">
        <v>11</v>
      </c>
      <c r="C56" s="548" t="s">
        <v>12</v>
      </c>
      <c r="D56" s="549" t="s">
        <v>594</v>
      </c>
      <c r="E56" s="549"/>
      <c r="F56" s="550" t="s">
        <v>595</v>
      </c>
      <c r="G56" s="551"/>
      <c r="H56" s="551" t="s">
        <v>596</v>
      </c>
    </row>
    <row r="57" spans="1:8" ht="25.5">
      <c r="A57" s="552"/>
      <c r="B57" s="553" t="s">
        <v>647</v>
      </c>
      <c r="C57" s="552" t="s">
        <v>648</v>
      </c>
      <c r="D57" s="552" t="s">
        <v>649</v>
      </c>
      <c r="E57" s="552"/>
      <c r="F57" s="554"/>
      <c r="G57" s="555"/>
      <c r="H57" s="556" t="s">
        <v>649</v>
      </c>
    </row>
    <row r="58" spans="1:8" ht="25.5">
      <c r="A58" s="552"/>
      <c r="B58" s="553" t="s">
        <v>650</v>
      </c>
      <c r="C58" s="552" t="s">
        <v>648</v>
      </c>
      <c r="D58" s="552" t="s">
        <v>649</v>
      </c>
      <c r="E58" s="552"/>
      <c r="F58" s="554"/>
      <c r="G58" s="555"/>
      <c r="H58" s="556" t="s">
        <v>649</v>
      </c>
    </row>
    <row r="59" spans="1:8" ht="25.5">
      <c r="A59" s="552"/>
      <c r="B59" s="557" t="s">
        <v>725</v>
      </c>
      <c r="C59" s="558" t="s">
        <v>652</v>
      </c>
      <c r="D59" s="552" t="s">
        <v>649</v>
      </c>
      <c r="E59" s="552"/>
      <c r="F59" s="554"/>
      <c r="G59" s="555"/>
      <c r="H59" s="556" t="s">
        <v>649</v>
      </c>
    </row>
    <row r="60" spans="1:8" ht="25.5">
      <c r="A60" s="552"/>
      <c r="B60" s="559" t="s">
        <v>724</v>
      </c>
      <c r="C60" s="552" t="s">
        <v>8</v>
      </c>
      <c r="D60" s="552" t="s">
        <v>649</v>
      </c>
      <c r="E60" s="552"/>
      <c r="F60" s="554"/>
      <c r="G60" s="555"/>
      <c r="H60" s="556" t="s">
        <v>649</v>
      </c>
    </row>
    <row r="61" spans="1:8" ht="12.75">
      <c r="A61" s="552"/>
      <c r="B61" s="560"/>
      <c r="C61" s="552"/>
      <c r="D61" s="552" t="s">
        <v>649</v>
      </c>
      <c r="E61" s="552"/>
      <c r="F61" s="554"/>
      <c r="G61" s="555"/>
      <c r="H61" s="556" t="s">
        <v>649</v>
      </c>
    </row>
    <row r="62" spans="1:8" ht="12.75">
      <c r="A62" s="552"/>
      <c r="B62" s="560"/>
      <c r="C62" s="552"/>
      <c r="D62" s="552" t="s">
        <v>649</v>
      </c>
      <c r="E62" s="552"/>
      <c r="F62" s="554"/>
      <c r="G62" s="555"/>
      <c r="H62" s="556" t="s">
        <v>649</v>
      </c>
    </row>
    <row r="63" spans="1:8" ht="12.75">
      <c r="A63" s="552"/>
      <c r="B63" s="560"/>
      <c r="C63" s="552"/>
      <c r="D63" s="552" t="s">
        <v>649</v>
      </c>
      <c r="E63" s="552"/>
      <c r="F63" s="554"/>
      <c r="G63" s="555"/>
      <c r="H63" s="556" t="s">
        <v>649</v>
      </c>
    </row>
    <row r="64" spans="1:8" ht="12.75">
      <c r="A64" s="552"/>
      <c r="B64" s="560"/>
      <c r="C64" s="552"/>
      <c r="D64" s="552" t="s">
        <v>649</v>
      </c>
      <c r="E64" s="552"/>
      <c r="F64" s="554"/>
      <c r="G64" s="555"/>
      <c r="H64" s="556" t="s">
        <v>649</v>
      </c>
    </row>
    <row r="65" spans="1:9" ht="12.75">
      <c r="A65" s="552"/>
      <c r="B65" s="560"/>
      <c r="C65" s="552"/>
      <c r="D65" s="552" t="s">
        <v>649</v>
      </c>
      <c r="E65" s="552"/>
      <c r="F65" s="554"/>
      <c r="G65" s="555"/>
      <c r="H65" s="556" t="s">
        <v>649</v>
      </c>
    </row>
    <row r="66" spans="1:9" ht="12.75">
      <c r="A66" s="552"/>
      <c r="B66" s="560"/>
      <c r="C66" s="552"/>
      <c r="D66" s="552" t="s">
        <v>649</v>
      </c>
      <c r="E66" s="552"/>
      <c r="F66" s="554"/>
      <c r="G66" s="555"/>
      <c r="H66" s="556" t="s">
        <v>649</v>
      </c>
    </row>
    <row r="67" spans="1:9" ht="12.75">
      <c r="A67" s="552"/>
      <c r="B67" s="560"/>
      <c r="C67" s="552"/>
      <c r="D67" s="552" t="s">
        <v>649</v>
      </c>
      <c r="E67" s="552"/>
      <c r="F67" s="554"/>
      <c r="G67" s="555"/>
      <c r="H67" s="556" t="s">
        <v>649</v>
      </c>
    </row>
    <row r="68" spans="1:9" ht="12.75">
      <c r="A68" s="552"/>
      <c r="B68" s="560"/>
      <c r="C68" s="552"/>
      <c r="D68" s="552" t="s">
        <v>649</v>
      </c>
      <c r="E68" s="552"/>
      <c r="F68" s="554"/>
      <c r="G68" s="555"/>
      <c r="H68" s="556" t="s">
        <v>649</v>
      </c>
    </row>
    <row r="69" spans="1:9" ht="12.75">
      <c r="A69" s="552"/>
      <c r="B69" s="560"/>
      <c r="C69" s="552"/>
      <c r="D69" s="552" t="s">
        <v>649</v>
      </c>
      <c r="E69" s="552"/>
      <c r="F69" s="554"/>
      <c r="G69" s="555"/>
      <c r="H69" s="556" t="s">
        <v>649</v>
      </c>
    </row>
    <row r="70" spans="1:9" ht="10.5" customHeight="1">
      <c r="A70" s="552"/>
      <c r="B70" s="560"/>
      <c r="C70" s="552"/>
      <c r="D70" s="552" t="s">
        <v>649</v>
      </c>
      <c r="E70" s="552"/>
      <c r="F70" s="554"/>
      <c r="G70" s="555"/>
      <c r="H70" s="556" t="s">
        <v>649</v>
      </c>
      <c r="I70" s="459"/>
    </row>
    <row r="71" spans="1:9" ht="12.75">
      <c r="A71" s="552"/>
      <c r="B71" s="560"/>
      <c r="C71" s="552"/>
      <c r="D71" s="552" t="s">
        <v>649</v>
      </c>
      <c r="E71" s="552"/>
      <c r="F71" s="554"/>
      <c r="G71" s="555"/>
      <c r="H71" s="556" t="s">
        <v>649</v>
      </c>
      <c r="I71" s="459"/>
    </row>
    <row r="72" spans="1:9" ht="12.75">
      <c r="A72" s="552"/>
      <c r="B72" s="560"/>
      <c r="C72" s="552"/>
      <c r="D72" s="552" t="s">
        <v>649</v>
      </c>
      <c r="E72" s="552"/>
      <c r="F72" s="554"/>
      <c r="G72" s="555"/>
      <c r="H72" s="556" t="s">
        <v>649</v>
      </c>
      <c r="I72" s="459"/>
    </row>
    <row r="73" spans="1:9" ht="12.75">
      <c r="A73" s="552"/>
      <c r="B73" s="560"/>
      <c r="C73" s="552"/>
      <c r="D73" s="552" t="s">
        <v>649</v>
      </c>
      <c r="E73" s="552"/>
      <c r="F73" s="554"/>
      <c r="G73" s="555"/>
      <c r="H73" s="556" t="s">
        <v>649</v>
      </c>
      <c r="I73" s="459"/>
    </row>
    <row r="74" spans="1:9" ht="12.75">
      <c r="A74" s="552"/>
      <c r="B74" s="560"/>
      <c r="C74" s="552"/>
      <c r="D74" s="552" t="s">
        <v>649</v>
      </c>
      <c r="E74" s="552"/>
      <c r="F74" s="554"/>
      <c r="G74" s="555"/>
      <c r="H74" s="556" t="s">
        <v>649</v>
      </c>
      <c r="I74" s="459"/>
    </row>
    <row r="75" spans="1:9" ht="12.75">
      <c r="A75" s="552"/>
      <c r="B75" s="560"/>
      <c r="C75" s="552"/>
      <c r="D75" s="552" t="s">
        <v>649</v>
      </c>
      <c r="E75" s="552"/>
      <c r="F75" s="554"/>
      <c r="G75" s="555"/>
      <c r="H75" s="556" t="s">
        <v>649</v>
      </c>
      <c r="I75" s="459"/>
    </row>
    <row r="76" spans="1:9" ht="12.75">
      <c r="A76" s="552"/>
      <c r="B76" s="560"/>
      <c r="C76" s="552"/>
      <c r="D76" s="552" t="s">
        <v>649</v>
      </c>
      <c r="E76" s="552"/>
      <c r="F76" s="554"/>
      <c r="G76" s="555"/>
      <c r="H76" s="556" t="s">
        <v>649</v>
      </c>
      <c r="I76" s="459"/>
    </row>
    <row r="77" spans="1:9" ht="12">
      <c r="B77" s="462"/>
      <c r="C77" s="459"/>
      <c r="G77" s="463"/>
      <c r="I77" s="459"/>
    </row>
    <row r="78" spans="1:9" ht="12">
      <c r="B78" s="462"/>
      <c r="C78" s="459"/>
      <c r="G78" s="463"/>
      <c r="I78" s="459"/>
    </row>
    <row r="79" spans="1:9" ht="12">
      <c r="B79" s="462"/>
      <c r="C79" s="459"/>
      <c r="G79" s="463"/>
    </row>
    <row r="80" spans="1:9" ht="12">
      <c r="B80" s="462"/>
      <c r="C80" s="459"/>
      <c r="G80" s="463"/>
    </row>
    <row r="81" spans="2:7" ht="12">
      <c r="B81" s="462"/>
      <c r="C81" s="459"/>
      <c r="G81" s="463"/>
    </row>
    <row r="82" spans="2:7" ht="12">
      <c r="B82" s="462"/>
      <c r="C82" s="459"/>
      <c r="G82" s="463"/>
    </row>
    <row r="83" spans="2:7" ht="12">
      <c r="B83" s="462"/>
      <c r="C83" s="459"/>
      <c r="G83" s="463"/>
    </row>
    <row r="84" spans="2:7" ht="12">
      <c r="B84" s="462"/>
      <c r="C84" s="459"/>
      <c r="G84" s="463"/>
    </row>
    <row r="85" spans="2:7" ht="12">
      <c r="B85" s="462"/>
      <c r="C85" s="459"/>
      <c r="G85" s="463"/>
    </row>
    <row r="86" spans="2:7" ht="12">
      <c r="B86" s="462"/>
      <c r="C86" s="459"/>
      <c r="G86" s="463"/>
    </row>
    <row r="87" spans="2:7" ht="12">
      <c r="B87" s="462"/>
      <c r="C87" s="459"/>
      <c r="G87" s="463"/>
    </row>
    <row r="88" spans="2:7" ht="12">
      <c r="B88" s="462"/>
      <c r="C88" s="459"/>
      <c r="G88" s="463"/>
    </row>
    <row r="89" spans="2:7" ht="12">
      <c r="B89" s="462"/>
      <c r="C89" s="459"/>
      <c r="G89" s="463"/>
    </row>
    <row r="90" spans="2:7" ht="12">
      <c r="B90" s="462"/>
      <c r="C90" s="459"/>
      <c r="G90" s="463"/>
    </row>
    <row r="91" spans="2:7" ht="12">
      <c r="B91" s="462"/>
      <c r="C91" s="459"/>
      <c r="G91" s="463"/>
    </row>
    <row r="92" spans="2:7" ht="12">
      <c r="B92" s="462"/>
      <c r="C92" s="459"/>
      <c r="G92" s="463"/>
    </row>
    <row r="93" spans="2:7" ht="12">
      <c r="B93" s="462"/>
      <c r="C93" s="459"/>
      <c r="G93" s="463"/>
    </row>
    <row r="94" spans="2:7">
      <c r="G94" s="463"/>
    </row>
    <row r="95" spans="2:7">
      <c r="G95" s="463"/>
    </row>
    <row r="96" spans="2:7">
      <c r="G96" s="463"/>
    </row>
    <row r="97" spans="7:7">
      <c r="G97" s="463"/>
    </row>
    <row r="98" spans="7:7">
      <c r="G98" s="463"/>
    </row>
    <row r="99" spans="7:7">
      <c r="G99" s="463"/>
    </row>
    <row r="100" spans="7:7">
      <c r="G100" s="463"/>
    </row>
    <row r="101" spans="7:7">
      <c r="G101" s="463"/>
    </row>
    <row r="102" spans="7:7">
      <c r="G102" s="463"/>
    </row>
    <row r="103" spans="7:7">
      <c r="G103" s="463"/>
    </row>
    <row r="104" spans="7:7">
      <c r="G104" s="463"/>
    </row>
    <row r="105" spans="7:7">
      <c r="G105" s="463"/>
    </row>
    <row r="106" spans="7:7">
      <c r="G106" s="463"/>
    </row>
    <row r="107" spans="7:7">
      <c r="G107" s="463"/>
    </row>
    <row r="108" spans="7:7">
      <c r="G108" s="463"/>
    </row>
    <row r="109" spans="7:7">
      <c r="G109" s="463"/>
    </row>
    <row r="110" spans="7:7">
      <c r="G110" s="463"/>
    </row>
    <row r="111" spans="7:7">
      <c r="G111" s="463"/>
    </row>
    <row r="112" spans="7:7">
      <c r="G112" s="463"/>
    </row>
    <row r="113" spans="7:7">
      <c r="G113" s="463"/>
    </row>
    <row r="114" spans="7:7">
      <c r="G114" s="463"/>
    </row>
    <row r="115" spans="7:7">
      <c r="G115" s="463"/>
    </row>
  </sheetData>
  <sheetProtection algorithmName="SHA-512" hashValue="H3m2phAMRT3kkeHZQUesm/79HlivbOMyRphvGZk118jT8+RdrfQejgdvvwBRKsG77FS6d5QqQKLe6XNbrek8rA==" saltValue="8YqhkHz+J3kKf0+rCvbXZw==" spinCount="100000" sheet="1" objects="1" scenarios="1"/>
  <mergeCells count="2">
    <mergeCell ref="A1:H1"/>
    <mergeCell ref="A55:H55"/>
  </mergeCells>
  <pageMargins left="0.7" right="0.7" top="0.75" bottom="0.75" header="0.3" footer="0.3"/>
  <pageSetup paperSize="9" scale="47" fitToHeight="0"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85" zoomScaleNormal="85" workbookViewId="0">
      <selection activeCell="F10" sqref="F10"/>
    </sheetView>
  </sheetViews>
  <sheetFormatPr defaultColWidth="9.140625" defaultRowHeight="11.25"/>
  <cols>
    <col min="1" max="1" width="13.85546875" style="353" bestFit="1" customWidth="1"/>
    <col min="2" max="2" width="99.28515625" style="353" bestFit="1" customWidth="1"/>
    <col min="3" max="5" width="16.7109375" style="353" customWidth="1"/>
    <col min="6" max="6" width="19" style="353" bestFit="1" customWidth="1"/>
    <col min="7" max="7" width="38.42578125" style="353" customWidth="1"/>
    <col min="8" max="16384" width="9.140625" style="353"/>
  </cols>
  <sheetData>
    <row r="1" spans="1:7" ht="15.75" thickBot="1">
      <c r="A1" s="587" t="s">
        <v>593</v>
      </c>
      <c r="B1" s="588"/>
      <c r="C1" s="588"/>
      <c r="D1" s="588"/>
      <c r="E1" s="588"/>
      <c r="F1" s="589"/>
    </row>
    <row r="2" spans="1:7" ht="38.25">
      <c r="A2" s="354" t="s">
        <v>10</v>
      </c>
      <c r="B2" s="355" t="s">
        <v>11</v>
      </c>
      <c r="C2" s="356" t="s">
        <v>12</v>
      </c>
      <c r="D2" s="357" t="s">
        <v>594</v>
      </c>
      <c r="E2" s="356" t="s">
        <v>595</v>
      </c>
      <c r="F2" s="356" t="s">
        <v>596</v>
      </c>
    </row>
    <row r="3" spans="1:7" ht="12.75">
      <c r="A3" s="358"/>
      <c r="B3" s="359" t="s">
        <v>19</v>
      </c>
      <c r="C3" s="360"/>
      <c r="D3" s="361"/>
      <c r="E3" s="362"/>
      <c r="F3" s="363"/>
    </row>
    <row r="4" spans="1:7" ht="38.25">
      <c r="A4" s="364" t="s">
        <v>597</v>
      </c>
      <c r="B4" s="365" t="s">
        <v>598</v>
      </c>
      <c r="C4" s="366" t="s">
        <v>599</v>
      </c>
      <c r="D4" s="367">
        <v>60</v>
      </c>
      <c r="E4" s="368">
        <f>+'B6'!F11+'B6'!F13</f>
        <v>13000.409999999998</v>
      </c>
      <c r="F4" s="369">
        <f>+E4*D4</f>
        <v>780024.59999999986</v>
      </c>
      <c r="G4" s="370"/>
    </row>
    <row r="5" spans="1:7" ht="38.25">
      <c r="A5" s="367">
        <v>2</v>
      </c>
      <c r="B5" s="365" t="s">
        <v>600</v>
      </c>
      <c r="C5" s="366" t="s">
        <v>599</v>
      </c>
      <c r="D5" s="367">
        <v>60</v>
      </c>
      <c r="E5" s="371">
        <f>+'B6'!F14</f>
        <v>1700</v>
      </c>
      <c r="F5" s="369">
        <f>+E5*D5</f>
        <v>102000</v>
      </c>
    </row>
    <row r="6" spans="1:7" ht="12.75">
      <c r="A6" s="372"/>
      <c r="B6" s="373" t="s">
        <v>46</v>
      </c>
      <c r="C6" s="374"/>
      <c r="D6" s="375"/>
      <c r="E6" s="376"/>
      <c r="F6" s="376"/>
    </row>
    <row r="7" spans="1:7" ht="12.75">
      <c r="A7" s="367">
        <v>3</v>
      </c>
      <c r="B7" s="377" t="s">
        <v>601</v>
      </c>
      <c r="C7" s="366" t="s">
        <v>8</v>
      </c>
      <c r="D7" s="367">
        <v>525</v>
      </c>
      <c r="E7" s="378">
        <f>+'B6'!F16</f>
        <v>530.56499999999994</v>
      </c>
      <c r="F7" s="369">
        <f>+E7*D7</f>
        <v>278546.62499999994</v>
      </c>
    </row>
    <row r="8" spans="1:7" ht="12.75">
      <c r="A8" s="379"/>
      <c r="B8" s="380" t="s">
        <v>602</v>
      </c>
      <c r="C8" s="379"/>
      <c r="D8" s="379"/>
      <c r="E8" s="381"/>
      <c r="F8" s="382"/>
    </row>
    <row r="9" spans="1:7" ht="63.75">
      <c r="A9" s="367">
        <v>4</v>
      </c>
      <c r="B9" s="383" t="s">
        <v>603</v>
      </c>
      <c r="C9" s="367" t="s">
        <v>8</v>
      </c>
      <c r="D9" s="367">
        <v>10</v>
      </c>
      <c r="E9" s="378">
        <f>+'Inschrijfstaat B4'!E9</f>
        <v>220.64400000000001</v>
      </c>
      <c r="F9" s="369">
        <f t="shared" ref="F9:F23" si="0">+E9*D9</f>
        <v>2206.44</v>
      </c>
    </row>
    <row r="10" spans="1:7" ht="25.5">
      <c r="A10" s="367">
        <v>5</v>
      </c>
      <c r="B10" s="384" t="s">
        <v>604</v>
      </c>
      <c r="C10" s="367" t="s">
        <v>8</v>
      </c>
      <c r="D10" s="367">
        <v>40</v>
      </c>
      <c r="E10" s="378">
        <f>+'Inschrijfstaat B4'!E10</f>
        <v>84.887999999999991</v>
      </c>
      <c r="F10" s="369">
        <f t="shared" si="0"/>
        <v>3395.5199999999995</v>
      </c>
    </row>
    <row r="11" spans="1:7" ht="25.5">
      <c r="A11" s="367">
        <v>6</v>
      </c>
      <c r="B11" s="384" t="s">
        <v>605</v>
      </c>
      <c r="C11" s="367" t="s">
        <v>8</v>
      </c>
      <c r="D11" s="367">
        <v>24</v>
      </c>
      <c r="E11" s="378">
        <f>+'Inschrijfstaat B4'!E11</f>
        <v>142.15199999999999</v>
      </c>
      <c r="F11" s="369">
        <f t="shared" si="0"/>
        <v>3411.6479999999997</v>
      </c>
    </row>
    <row r="12" spans="1:7" ht="38.25">
      <c r="A12" s="367">
        <v>7</v>
      </c>
      <c r="B12" s="384" t="s">
        <v>606</v>
      </c>
      <c r="C12" s="367" t="s">
        <v>8</v>
      </c>
      <c r="D12" s="367">
        <v>40</v>
      </c>
      <c r="E12" s="378">
        <f>+'Inschrijfstaat B4'!E12</f>
        <v>122.35199999999999</v>
      </c>
      <c r="F12" s="369">
        <f t="shared" si="0"/>
        <v>4894.08</v>
      </c>
    </row>
    <row r="13" spans="1:7" ht="38.25">
      <c r="A13" s="367">
        <v>8</v>
      </c>
      <c r="B13" s="384" t="s">
        <v>607</v>
      </c>
      <c r="C13" s="367" t="s">
        <v>8</v>
      </c>
      <c r="D13" s="367">
        <v>40</v>
      </c>
      <c r="E13" s="378">
        <f>+'Inschrijfstaat B4'!E13</f>
        <v>150</v>
      </c>
      <c r="F13" s="369">
        <f t="shared" si="0"/>
        <v>6000</v>
      </c>
    </row>
    <row r="14" spans="1:7" ht="38.25">
      <c r="A14" s="367">
        <v>9</v>
      </c>
      <c r="B14" s="384" t="s">
        <v>608</v>
      </c>
      <c r="C14" s="367" t="s">
        <v>8</v>
      </c>
      <c r="D14" s="367">
        <v>40</v>
      </c>
      <c r="E14" s="378">
        <f>+'Inschrijfstaat B4'!E14</f>
        <v>340.71600000000001</v>
      </c>
      <c r="F14" s="369">
        <f t="shared" si="0"/>
        <v>13628.64</v>
      </c>
    </row>
    <row r="15" spans="1:7" ht="51">
      <c r="A15" s="367">
        <v>10</v>
      </c>
      <c r="B15" s="385" t="s">
        <v>609</v>
      </c>
      <c r="C15" s="367" t="s">
        <v>8</v>
      </c>
      <c r="D15" s="367">
        <v>16</v>
      </c>
      <c r="E15" s="378">
        <f>+'Inschrijfstaat B4'!E15</f>
        <v>286.84799999999996</v>
      </c>
      <c r="F15" s="369">
        <f t="shared" si="0"/>
        <v>4589.5679999999993</v>
      </c>
    </row>
    <row r="16" spans="1:7" ht="38.25">
      <c r="A16" s="367">
        <v>11</v>
      </c>
      <c r="B16" s="384" t="s">
        <v>610</v>
      </c>
      <c r="C16" s="367" t="s">
        <v>8</v>
      </c>
      <c r="D16" s="367">
        <v>40</v>
      </c>
      <c r="E16" s="378">
        <f>+'Inschrijfstaat B4'!E16</f>
        <v>200</v>
      </c>
      <c r="F16" s="369">
        <f t="shared" si="0"/>
        <v>8000</v>
      </c>
    </row>
    <row r="17" spans="1:6" ht="63.75">
      <c r="A17" s="367">
        <v>12</v>
      </c>
      <c r="B17" s="386" t="s">
        <v>611</v>
      </c>
      <c r="C17" s="367" t="s">
        <v>8</v>
      </c>
      <c r="D17" s="367">
        <v>340</v>
      </c>
      <c r="E17" s="378">
        <f>+'Inschrijfstaat B4'!E17</f>
        <v>212.952</v>
      </c>
      <c r="F17" s="369">
        <f t="shared" si="0"/>
        <v>72403.679999999993</v>
      </c>
    </row>
    <row r="18" spans="1:6" ht="25.5">
      <c r="A18" s="367">
        <v>13</v>
      </c>
      <c r="B18" s="384" t="s">
        <v>612</v>
      </c>
      <c r="C18" s="367" t="s">
        <v>8</v>
      </c>
      <c r="D18" s="367">
        <v>120</v>
      </c>
      <c r="E18" s="378">
        <f>+'Inschrijfstaat B4'!E18</f>
        <v>320.23200000000003</v>
      </c>
      <c r="F18" s="369">
        <f t="shared" si="0"/>
        <v>38427.840000000004</v>
      </c>
    </row>
    <row r="19" spans="1:6" ht="25.5">
      <c r="A19" s="367">
        <v>15</v>
      </c>
      <c r="B19" s="384" t="s">
        <v>613</v>
      </c>
      <c r="C19" s="367" t="s">
        <v>8</v>
      </c>
      <c r="D19" s="367">
        <v>4</v>
      </c>
      <c r="E19" s="378">
        <f>+'Inschrijfstaat B4'!E19</f>
        <v>862.66800000000001</v>
      </c>
      <c r="F19" s="369">
        <f t="shared" si="0"/>
        <v>3450.672</v>
      </c>
    </row>
    <row r="20" spans="1:6" ht="25.5">
      <c r="A20" s="367">
        <v>16</v>
      </c>
      <c r="B20" s="385" t="s">
        <v>614</v>
      </c>
      <c r="C20" s="367" t="s">
        <v>8</v>
      </c>
      <c r="D20" s="367">
        <v>64</v>
      </c>
      <c r="E20" s="378">
        <f>+'Inschrijfstaat B4'!E20</f>
        <v>251.60799999999998</v>
      </c>
      <c r="F20" s="369">
        <f t="shared" si="0"/>
        <v>16102.911999999998</v>
      </c>
    </row>
    <row r="21" spans="1:6" ht="25.5">
      <c r="A21" s="367">
        <v>17</v>
      </c>
      <c r="B21" s="387" t="s">
        <v>615</v>
      </c>
      <c r="C21" s="367" t="s">
        <v>8</v>
      </c>
      <c r="D21" s="367">
        <v>40</v>
      </c>
      <c r="E21" s="378">
        <f>+'Inschrijfstaat B4'!E21</f>
        <v>109.68</v>
      </c>
      <c r="F21" s="369">
        <f t="shared" si="0"/>
        <v>4387.2000000000007</v>
      </c>
    </row>
    <row r="22" spans="1:6" ht="38.25">
      <c r="A22" s="367">
        <v>18</v>
      </c>
      <c r="B22" s="387" t="s">
        <v>616</v>
      </c>
      <c r="C22" s="367" t="s">
        <v>126</v>
      </c>
      <c r="D22" s="367">
        <v>8</v>
      </c>
      <c r="E22" s="378">
        <f>+'Inschrijfstaat B4'!E22</f>
        <v>193.43999999999997</v>
      </c>
      <c r="F22" s="369">
        <f t="shared" si="0"/>
        <v>1547.5199999999998</v>
      </c>
    </row>
    <row r="23" spans="1:6" ht="25.5">
      <c r="A23" s="367">
        <v>19</v>
      </c>
      <c r="B23" s="387" t="s">
        <v>617</v>
      </c>
      <c r="C23" s="367" t="s">
        <v>126</v>
      </c>
      <c r="D23" s="367">
        <v>40</v>
      </c>
      <c r="E23" s="378">
        <f>+'Inschrijfstaat B4'!E23</f>
        <v>145.08000000000001</v>
      </c>
      <c r="F23" s="369">
        <f t="shared" si="0"/>
        <v>5803.2000000000007</v>
      </c>
    </row>
    <row r="24" spans="1:6" ht="12.75">
      <c r="A24" s="379"/>
      <c r="B24" s="380" t="s">
        <v>618</v>
      </c>
      <c r="C24" s="379"/>
      <c r="D24" s="379"/>
      <c r="E24" s="381"/>
      <c r="F24" s="382"/>
    </row>
    <row r="25" spans="1:6" ht="25.5">
      <c r="A25" s="367">
        <v>20</v>
      </c>
      <c r="B25" s="385" t="s">
        <v>619</v>
      </c>
      <c r="C25" s="367" t="s">
        <v>8</v>
      </c>
      <c r="D25" s="367">
        <v>200</v>
      </c>
      <c r="E25" s="378">
        <f>+'Inschrijfstaat B4'!E25</f>
        <v>75.239999999999995</v>
      </c>
      <c r="F25" s="369">
        <f t="shared" ref="F25:F29" si="1">+E25*D25</f>
        <v>15047.999999999998</v>
      </c>
    </row>
    <row r="26" spans="1:6" ht="38.25">
      <c r="A26" s="367">
        <v>21</v>
      </c>
      <c r="B26" s="384" t="s">
        <v>620</v>
      </c>
      <c r="C26" s="367" t="s">
        <v>621</v>
      </c>
      <c r="D26" s="367">
        <v>20</v>
      </c>
      <c r="E26" s="378">
        <f>+'Inschrijfstaat B4'!E26</f>
        <v>1759.2</v>
      </c>
      <c r="F26" s="369">
        <f t="shared" si="1"/>
        <v>35184</v>
      </c>
    </row>
    <row r="27" spans="1:6" ht="12.75">
      <c r="A27" s="367">
        <v>22</v>
      </c>
      <c r="B27" s="384" t="s">
        <v>582</v>
      </c>
      <c r="C27" s="367" t="s">
        <v>8</v>
      </c>
      <c r="D27" s="367">
        <v>175</v>
      </c>
      <c r="E27" s="378">
        <f>+'Inschrijfstaat B4'!E27</f>
        <v>99.6</v>
      </c>
      <c r="F27" s="369">
        <f t="shared" si="1"/>
        <v>17430</v>
      </c>
    </row>
    <row r="28" spans="1:6" ht="81.75" customHeight="1">
      <c r="A28" s="367">
        <v>23</v>
      </c>
      <c r="B28" s="388" t="s">
        <v>622</v>
      </c>
      <c r="C28" s="367" t="s">
        <v>463</v>
      </c>
      <c r="D28" s="367">
        <v>1</v>
      </c>
      <c r="E28" s="378">
        <f>+'Inschrijfstaat B4'!E28</f>
        <v>550</v>
      </c>
      <c r="F28" s="369">
        <f t="shared" si="1"/>
        <v>550</v>
      </c>
    </row>
    <row r="29" spans="1:6" ht="63.75">
      <c r="A29" s="367">
        <v>24</v>
      </c>
      <c r="B29" s="384" t="s">
        <v>623</v>
      </c>
      <c r="C29" s="367" t="s">
        <v>8</v>
      </c>
      <c r="D29" s="367">
        <v>25</v>
      </c>
      <c r="E29" s="378">
        <f>+'Inschrijfstaat B4'!E29</f>
        <v>300</v>
      </c>
      <c r="F29" s="369">
        <f t="shared" si="1"/>
        <v>7500</v>
      </c>
    </row>
    <row r="30" spans="1:6" ht="12.75">
      <c r="A30" s="379"/>
      <c r="B30" s="380" t="s">
        <v>624</v>
      </c>
      <c r="C30" s="372"/>
      <c r="D30" s="372"/>
      <c r="E30" s="381"/>
      <c r="F30" s="382"/>
    </row>
    <row r="31" spans="1:6" ht="38.25">
      <c r="A31" s="367">
        <v>25</v>
      </c>
      <c r="B31" s="384" t="s">
        <v>625</v>
      </c>
      <c r="C31" s="367" t="s">
        <v>626</v>
      </c>
      <c r="D31" s="367">
        <v>25</v>
      </c>
      <c r="E31" s="378">
        <f>+'Inschrijfstaat B4'!E31</f>
        <v>200</v>
      </c>
      <c r="F31" s="369">
        <f t="shared" ref="F31:F37" si="2">+E31*D31</f>
        <v>5000</v>
      </c>
    </row>
    <row r="32" spans="1:6" ht="38.25">
      <c r="A32" s="367">
        <v>26</v>
      </c>
      <c r="B32" s="384" t="s">
        <v>627</v>
      </c>
      <c r="C32" s="367" t="s">
        <v>326</v>
      </c>
      <c r="D32" s="367">
        <v>25</v>
      </c>
      <c r="E32" s="378">
        <f>+'Inschrijfstaat B4'!E32</f>
        <v>85</v>
      </c>
      <c r="F32" s="369">
        <f t="shared" si="2"/>
        <v>2125</v>
      </c>
    </row>
    <row r="33" spans="1:6" ht="38.25">
      <c r="A33" s="367">
        <v>27</v>
      </c>
      <c r="B33" s="384" t="s">
        <v>628</v>
      </c>
      <c r="C33" s="367" t="s">
        <v>629</v>
      </c>
      <c r="D33" s="367">
        <v>25</v>
      </c>
      <c r="E33" s="378">
        <f>+'Inschrijfstaat B4'!E33</f>
        <v>300</v>
      </c>
      <c r="F33" s="369">
        <f t="shared" si="2"/>
        <v>7500</v>
      </c>
    </row>
    <row r="34" spans="1:6" ht="12.75">
      <c r="A34" s="367">
        <v>28</v>
      </c>
      <c r="B34" s="387" t="s">
        <v>630</v>
      </c>
      <c r="C34" s="367" t="s">
        <v>291</v>
      </c>
      <c r="D34" s="367">
        <v>25</v>
      </c>
      <c r="E34" s="378">
        <f>+'Inschrijfstaat B4'!E34</f>
        <v>30</v>
      </c>
      <c r="F34" s="369">
        <f t="shared" si="2"/>
        <v>750</v>
      </c>
    </row>
    <row r="35" spans="1:6" ht="12.75">
      <c r="A35" s="367">
        <v>29</v>
      </c>
      <c r="B35" s="387" t="s">
        <v>631</v>
      </c>
      <c r="C35" s="367" t="s">
        <v>291</v>
      </c>
      <c r="D35" s="367">
        <v>10</v>
      </c>
      <c r="E35" s="378">
        <f>+'Inschrijfstaat B4'!E35</f>
        <v>300</v>
      </c>
      <c r="F35" s="369">
        <f t="shared" si="2"/>
        <v>3000</v>
      </c>
    </row>
    <row r="36" spans="1:6" ht="12.75">
      <c r="A36" s="367">
        <v>30</v>
      </c>
      <c r="B36" s="387" t="s">
        <v>632</v>
      </c>
      <c r="C36" s="367" t="s">
        <v>338</v>
      </c>
      <c r="D36" s="367">
        <v>25</v>
      </c>
      <c r="E36" s="378">
        <f>+'Inschrijfstaat B4'!E36</f>
        <v>50</v>
      </c>
      <c r="F36" s="369">
        <f t="shared" si="2"/>
        <v>1250</v>
      </c>
    </row>
    <row r="37" spans="1:6" ht="12.75">
      <c r="A37" s="367">
        <v>31</v>
      </c>
      <c r="B37" s="389" t="s">
        <v>633</v>
      </c>
      <c r="C37" s="367" t="s">
        <v>291</v>
      </c>
      <c r="D37" s="367">
        <v>50</v>
      </c>
      <c r="E37" s="378">
        <f>+'Inschrijfstaat B4'!E37</f>
        <v>25</v>
      </c>
      <c r="F37" s="369">
        <f t="shared" si="2"/>
        <v>1250</v>
      </c>
    </row>
    <row r="38" spans="1:6" ht="12.75">
      <c r="A38" s="379"/>
      <c r="B38" s="380" t="s">
        <v>634</v>
      </c>
      <c r="C38" s="372"/>
      <c r="D38" s="372"/>
      <c r="E38" s="381"/>
      <c r="F38" s="382"/>
    </row>
    <row r="39" spans="1:6" ht="38.25">
      <c r="A39" s="367">
        <v>32</v>
      </c>
      <c r="B39" s="365" t="s">
        <v>635</v>
      </c>
      <c r="C39" s="367" t="s">
        <v>283</v>
      </c>
      <c r="D39" s="367">
        <v>25</v>
      </c>
      <c r="E39" s="378">
        <f>+'Inschrijfstaat B4'!E39</f>
        <v>546.3359999999999</v>
      </c>
      <c r="F39" s="369">
        <f t="shared" ref="F39:F42" si="3">+E39*D39</f>
        <v>13658.399999999998</v>
      </c>
    </row>
    <row r="40" spans="1:6" ht="38.25">
      <c r="A40" s="367">
        <v>33</v>
      </c>
      <c r="B40" s="365" t="s">
        <v>636</v>
      </c>
      <c r="C40" s="367" t="s">
        <v>283</v>
      </c>
      <c r="D40" s="367">
        <v>5</v>
      </c>
      <c r="E40" s="378">
        <f>+'Inschrijfstaat B4'!E40</f>
        <v>888.84</v>
      </c>
      <c r="F40" s="369">
        <f t="shared" si="3"/>
        <v>4444.2</v>
      </c>
    </row>
    <row r="41" spans="1:6" ht="12.75">
      <c r="A41" s="367">
        <v>34</v>
      </c>
      <c r="B41" s="389" t="s">
        <v>637</v>
      </c>
      <c r="C41" s="367" t="s">
        <v>283</v>
      </c>
      <c r="D41" s="367">
        <v>5</v>
      </c>
      <c r="E41" s="378">
        <f>+'Inschrijfstaat B4'!E41</f>
        <v>408.76499999999999</v>
      </c>
      <c r="F41" s="369">
        <f t="shared" si="3"/>
        <v>2043.8249999999998</v>
      </c>
    </row>
    <row r="42" spans="1:6" ht="38.25">
      <c r="A42" s="367">
        <v>35</v>
      </c>
      <c r="B42" s="365" t="s">
        <v>638</v>
      </c>
      <c r="C42" s="367" t="s">
        <v>639</v>
      </c>
      <c r="D42" s="367">
        <v>75</v>
      </c>
      <c r="E42" s="378">
        <f>+'Inschrijfstaat B4'!E42</f>
        <v>145.52999999999997</v>
      </c>
      <c r="F42" s="369">
        <f t="shared" si="3"/>
        <v>10914.749999999998</v>
      </c>
    </row>
    <row r="43" spans="1:6" ht="12.75">
      <c r="A43" s="379"/>
      <c r="B43" s="380" t="s">
        <v>640</v>
      </c>
      <c r="C43" s="372"/>
      <c r="D43" s="372"/>
      <c r="E43" s="381"/>
      <c r="F43" s="382"/>
    </row>
    <row r="44" spans="1:6" ht="12.75">
      <c r="A44" s="367">
        <v>36</v>
      </c>
      <c r="B44" s="384" t="s">
        <v>641</v>
      </c>
      <c r="C44" s="367" t="s">
        <v>642</v>
      </c>
      <c r="D44" s="390">
        <v>50000</v>
      </c>
      <c r="E44" s="378">
        <v>1</v>
      </c>
      <c r="F44" s="371">
        <v>50000</v>
      </c>
    </row>
    <row r="45" spans="1:6" ht="12.75">
      <c r="A45" s="391"/>
      <c r="B45" s="392" t="s">
        <v>643</v>
      </c>
      <c r="C45" s="393"/>
      <c r="D45" s="394"/>
      <c r="E45" s="395" t="s">
        <v>642</v>
      </c>
      <c r="F45" s="396">
        <f>SUM(F4:F44)</f>
        <v>1526468.3199999996</v>
      </c>
    </row>
    <row r="48" spans="1:6" ht="99.75">
      <c r="A48" s="397" t="s">
        <v>644</v>
      </c>
      <c r="B48" s="398" t="s">
        <v>669</v>
      </c>
    </row>
    <row r="50" spans="1:6" ht="12" thickBot="1"/>
    <row r="51" spans="1:6" ht="15.75" thickBot="1">
      <c r="A51" s="587" t="s">
        <v>646</v>
      </c>
      <c r="B51" s="588"/>
      <c r="C51" s="588"/>
      <c r="D51" s="588"/>
      <c r="E51" s="588"/>
      <c r="F51" s="589"/>
    </row>
    <row r="52" spans="1:6" ht="38.25">
      <c r="A52" s="354" t="s">
        <v>10</v>
      </c>
      <c r="B52" s="399" t="s">
        <v>11</v>
      </c>
      <c r="C52" s="400" t="s">
        <v>12</v>
      </c>
      <c r="D52" s="357" t="s">
        <v>594</v>
      </c>
      <c r="E52" s="356" t="s">
        <v>595</v>
      </c>
      <c r="F52" s="356" t="s">
        <v>596</v>
      </c>
    </row>
    <row r="53" spans="1:6" ht="25.5">
      <c r="A53" s="367"/>
      <c r="B53" s="365" t="s">
        <v>647</v>
      </c>
      <c r="C53" s="367" t="s">
        <v>648</v>
      </c>
      <c r="D53" s="367" t="s">
        <v>649</v>
      </c>
      <c r="E53" s="378"/>
      <c r="F53" s="371" t="s">
        <v>649</v>
      </c>
    </row>
    <row r="54" spans="1:6" ht="25.5">
      <c r="A54" s="367"/>
      <c r="B54" s="365" t="s">
        <v>650</v>
      </c>
      <c r="C54" s="367" t="s">
        <v>648</v>
      </c>
      <c r="D54" s="367" t="s">
        <v>649</v>
      </c>
      <c r="E54" s="378"/>
      <c r="F54" s="371" t="s">
        <v>649</v>
      </c>
    </row>
    <row r="55" spans="1:6" ht="24.75" customHeight="1">
      <c r="A55" s="367"/>
      <c r="B55" s="401" t="s">
        <v>651</v>
      </c>
      <c r="C55" s="402" t="s">
        <v>652</v>
      </c>
      <c r="D55" s="367" t="s">
        <v>649</v>
      </c>
      <c r="E55" s="378"/>
      <c r="F55" s="371" t="s">
        <v>649</v>
      </c>
    </row>
    <row r="56" spans="1:6" ht="12.75">
      <c r="A56" s="367"/>
      <c r="B56" s="383"/>
      <c r="C56" s="367"/>
      <c r="D56" s="367" t="s">
        <v>649</v>
      </c>
      <c r="E56" s="378"/>
      <c r="F56" s="371" t="s">
        <v>649</v>
      </c>
    </row>
    <row r="57" spans="1:6" ht="12.75">
      <c r="A57" s="367"/>
      <c r="B57" s="383"/>
      <c r="C57" s="367"/>
      <c r="D57" s="367" t="s">
        <v>649</v>
      </c>
      <c r="E57" s="378"/>
      <c r="F57" s="371" t="s">
        <v>649</v>
      </c>
    </row>
    <row r="58" spans="1:6" ht="12.75">
      <c r="A58" s="367"/>
      <c r="B58" s="383"/>
      <c r="C58" s="367"/>
      <c r="D58" s="367" t="s">
        <v>649</v>
      </c>
      <c r="E58" s="378"/>
      <c r="F58" s="371" t="s">
        <v>649</v>
      </c>
    </row>
    <row r="59" spans="1:6" ht="12.75">
      <c r="A59" s="367"/>
      <c r="B59" s="383"/>
      <c r="C59" s="367"/>
      <c r="D59" s="367" t="s">
        <v>649</v>
      </c>
      <c r="E59" s="378"/>
      <c r="F59" s="371" t="s">
        <v>649</v>
      </c>
    </row>
    <row r="60" spans="1:6" ht="12.75">
      <c r="A60" s="367"/>
      <c r="B60" s="383"/>
      <c r="C60" s="367"/>
      <c r="D60" s="367" t="s">
        <v>649</v>
      </c>
      <c r="E60" s="378"/>
      <c r="F60" s="371" t="s">
        <v>649</v>
      </c>
    </row>
    <row r="61" spans="1:6" ht="12.75">
      <c r="A61" s="367"/>
      <c r="B61" s="383"/>
      <c r="C61" s="367"/>
      <c r="D61" s="367" t="s">
        <v>649</v>
      </c>
      <c r="E61" s="378"/>
      <c r="F61" s="371" t="s">
        <v>649</v>
      </c>
    </row>
    <row r="62" spans="1:6" ht="12.75">
      <c r="A62" s="367"/>
      <c r="B62" s="383"/>
      <c r="C62" s="367"/>
      <c r="D62" s="367" t="s">
        <v>649</v>
      </c>
      <c r="E62" s="378"/>
      <c r="F62" s="371" t="s">
        <v>649</v>
      </c>
    </row>
  </sheetData>
  <mergeCells count="2">
    <mergeCell ref="A1:F1"/>
    <mergeCell ref="A51:F51"/>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4"/>
  <sheetViews>
    <sheetView zoomScale="80" zoomScaleNormal="80" workbookViewId="0">
      <selection activeCell="E9" sqref="E9"/>
    </sheetView>
  </sheetViews>
  <sheetFormatPr defaultColWidth="9.140625" defaultRowHeight="11.25"/>
  <cols>
    <col min="1" max="1" width="14.28515625" style="405" bestFit="1" customWidth="1"/>
    <col min="2" max="2" width="99.28515625" style="405" bestFit="1" customWidth="1"/>
    <col min="3" max="5" width="16.7109375" style="405" customWidth="1"/>
    <col min="6" max="6" width="20.140625" style="405" bestFit="1" customWidth="1"/>
    <col min="7" max="7" width="38.42578125" style="405" customWidth="1"/>
    <col min="8" max="16384" width="9.140625" style="405"/>
  </cols>
  <sheetData>
    <row r="1" spans="1:8" ht="15.75" thickBot="1">
      <c r="A1" s="590" t="s">
        <v>722</v>
      </c>
      <c r="B1" s="591"/>
      <c r="C1" s="591"/>
      <c r="D1" s="591"/>
      <c r="E1" s="591"/>
      <c r="F1" s="592"/>
    </row>
    <row r="2" spans="1:8" ht="38.25">
      <c r="A2" s="406" t="s">
        <v>10</v>
      </c>
      <c r="B2" s="407" t="s">
        <v>11</v>
      </c>
      <c r="C2" s="408" t="s">
        <v>12</v>
      </c>
      <c r="D2" s="409" t="s">
        <v>594</v>
      </c>
      <c r="E2" s="408" t="s">
        <v>595</v>
      </c>
      <c r="F2" s="408" t="s">
        <v>596</v>
      </c>
    </row>
    <row r="3" spans="1:8" ht="12.75">
      <c r="A3" s="410"/>
      <c r="B3" s="411" t="s">
        <v>19</v>
      </c>
      <c r="C3" s="412"/>
      <c r="D3" s="413"/>
      <c r="E3" s="414"/>
      <c r="F3" s="415"/>
    </row>
    <row r="4" spans="1:8" ht="42" customHeight="1">
      <c r="A4" s="416" t="s">
        <v>597</v>
      </c>
      <c r="B4" s="423" t="s">
        <v>598</v>
      </c>
      <c r="C4" s="418" t="s">
        <v>599</v>
      </c>
      <c r="D4" s="419">
        <v>60</v>
      </c>
      <c r="E4" s="420">
        <f>+('B7'!F11+'B7'!F13)*0.8</f>
        <v>13569.321999999998</v>
      </c>
      <c r="F4" s="421">
        <f>+E4*D4</f>
        <v>814159.32</v>
      </c>
      <c r="G4" s="422"/>
    </row>
    <row r="5" spans="1:8" ht="42.75" customHeight="1">
      <c r="A5" s="419">
        <v>2</v>
      </c>
      <c r="B5" s="423" t="s">
        <v>600</v>
      </c>
      <c r="C5" s="418" t="s">
        <v>599</v>
      </c>
      <c r="D5" s="419">
        <v>60</v>
      </c>
      <c r="E5" s="424">
        <f>+'B7'!F14</f>
        <v>1360</v>
      </c>
      <c r="F5" s="421">
        <f>+E5*D5</f>
        <v>81600</v>
      </c>
    </row>
    <row r="6" spans="1:8" ht="12.75">
      <c r="A6" s="425"/>
      <c r="B6" s="426" t="s">
        <v>46</v>
      </c>
      <c r="C6" s="427"/>
      <c r="D6" s="428"/>
      <c r="E6" s="429"/>
      <c r="F6" s="429"/>
    </row>
    <row r="7" spans="1:8" ht="12.75">
      <c r="A7" s="419">
        <v>3</v>
      </c>
      <c r="B7" s="430" t="s">
        <v>601</v>
      </c>
      <c r="C7" s="418" t="s">
        <v>8</v>
      </c>
      <c r="D7" s="431">
        <v>405</v>
      </c>
      <c r="E7" s="432">
        <f>+'Inschrijfstaat B2'!E7</f>
        <v>530.56499999999994</v>
      </c>
      <c r="F7" s="421">
        <f>+E7*D7</f>
        <v>214878.82499999998</v>
      </c>
    </row>
    <row r="8" spans="1:8" ht="12.75">
      <c r="A8" s="433"/>
      <c r="B8" s="434" t="s">
        <v>602</v>
      </c>
      <c r="C8" s="433"/>
      <c r="D8" s="433"/>
      <c r="E8" s="435"/>
      <c r="F8" s="436"/>
    </row>
    <row r="9" spans="1:8" ht="83.25" customHeight="1">
      <c r="A9" s="419">
        <v>4</v>
      </c>
      <c r="B9" s="437" t="s">
        <v>654</v>
      </c>
      <c r="C9" s="419" t="s">
        <v>8</v>
      </c>
      <c r="D9" s="419">
        <v>10</v>
      </c>
      <c r="E9" s="432">
        <f>+'Inschrijfstaat B2'!E9</f>
        <v>220.64400000000001</v>
      </c>
      <c r="F9" s="421">
        <f t="shared" ref="F9:F23" si="0">+E9*D9</f>
        <v>2206.44</v>
      </c>
    </row>
    <row r="10" spans="1:8" ht="30" customHeight="1">
      <c r="A10" s="419">
        <v>5</v>
      </c>
      <c r="B10" s="417" t="s">
        <v>655</v>
      </c>
      <c r="C10" s="419" t="s">
        <v>8</v>
      </c>
      <c r="D10" s="419">
        <v>40</v>
      </c>
      <c r="E10" s="432">
        <f>+'Inschrijfstaat B2'!E10</f>
        <v>84.887999999999991</v>
      </c>
      <c r="F10" s="421">
        <f t="shared" si="0"/>
        <v>3395.5199999999995</v>
      </c>
      <c r="H10" s="438"/>
    </row>
    <row r="11" spans="1:8" ht="29.25" customHeight="1">
      <c r="A11" s="419">
        <v>6</v>
      </c>
      <c r="B11" s="417" t="s">
        <v>656</v>
      </c>
      <c r="C11" s="419" t="s">
        <v>8</v>
      </c>
      <c r="D11" s="419">
        <v>24</v>
      </c>
      <c r="E11" s="432">
        <f>+'Inschrijfstaat B2'!E11</f>
        <v>142.15199999999999</v>
      </c>
      <c r="F11" s="421">
        <f t="shared" si="0"/>
        <v>3411.6479999999997</v>
      </c>
    </row>
    <row r="12" spans="1:8" ht="43.5" customHeight="1">
      <c r="A12" s="419">
        <v>7</v>
      </c>
      <c r="B12" s="417" t="s">
        <v>657</v>
      </c>
      <c r="C12" s="419" t="s">
        <v>8</v>
      </c>
      <c r="D12" s="419">
        <v>40</v>
      </c>
      <c r="E12" s="432">
        <f>+'Inschrijfstaat B2'!E12</f>
        <v>122.35199999999999</v>
      </c>
      <c r="F12" s="421">
        <f t="shared" si="0"/>
        <v>4894.08</v>
      </c>
    </row>
    <row r="13" spans="1:8" ht="44.25" customHeight="1">
      <c r="A13" s="419">
        <v>8</v>
      </c>
      <c r="B13" s="417" t="s">
        <v>723</v>
      </c>
      <c r="C13" s="419" t="s">
        <v>8</v>
      </c>
      <c r="D13" s="419">
        <v>40</v>
      </c>
      <c r="E13" s="432">
        <f>+'Inschrijfstaat B2'!E13</f>
        <v>150</v>
      </c>
      <c r="F13" s="421">
        <f t="shared" si="0"/>
        <v>6000</v>
      </c>
    </row>
    <row r="14" spans="1:8" ht="42" customHeight="1">
      <c r="A14" s="419">
        <v>9</v>
      </c>
      <c r="B14" s="417" t="s">
        <v>659</v>
      </c>
      <c r="C14" s="419" t="s">
        <v>8</v>
      </c>
      <c r="D14" s="419">
        <v>40</v>
      </c>
      <c r="E14" s="432">
        <f>+'Inschrijfstaat B2'!E14</f>
        <v>340.71600000000001</v>
      </c>
      <c r="F14" s="421">
        <f t="shared" si="0"/>
        <v>13628.64</v>
      </c>
    </row>
    <row r="15" spans="1:8" ht="55.5" customHeight="1">
      <c r="A15" s="419">
        <v>10</v>
      </c>
      <c r="B15" s="439" t="s">
        <v>660</v>
      </c>
      <c r="C15" s="419" t="s">
        <v>8</v>
      </c>
      <c r="D15" s="419">
        <v>16</v>
      </c>
      <c r="E15" s="432">
        <f>+'Inschrijfstaat B2'!E15</f>
        <v>286.84799999999996</v>
      </c>
      <c r="F15" s="421">
        <f t="shared" si="0"/>
        <v>4589.5679999999993</v>
      </c>
    </row>
    <row r="16" spans="1:8" ht="43.5" customHeight="1">
      <c r="A16" s="419">
        <v>11</v>
      </c>
      <c r="B16" s="417" t="s">
        <v>610</v>
      </c>
      <c r="C16" s="419" t="s">
        <v>8</v>
      </c>
      <c r="D16" s="419">
        <v>40</v>
      </c>
      <c r="E16" s="432">
        <f>+'Inschrijfstaat B2'!E16</f>
        <v>200</v>
      </c>
      <c r="F16" s="421">
        <f t="shared" si="0"/>
        <v>8000</v>
      </c>
    </row>
    <row r="17" spans="1:6" ht="66.75" customHeight="1">
      <c r="A17" s="419">
        <v>12</v>
      </c>
      <c r="B17" s="440" t="s">
        <v>611</v>
      </c>
      <c r="C17" s="419" t="s">
        <v>8</v>
      </c>
      <c r="D17" s="431">
        <v>340</v>
      </c>
      <c r="E17" s="432">
        <f>+'Inschrijfstaat B2'!E17</f>
        <v>212.952</v>
      </c>
      <c r="F17" s="421">
        <f t="shared" si="0"/>
        <v>72403.679999999993</v>
      </c>
    </row>
    <row r="18" spans="1:6" ht="31.5" customHeight="1">
      <c r="A18" s="419">
        <v>13</v>
      </c>
      <c r="B18" s="417" t="s">
        <v>612</v>
      </c>
      <c r="C18" s="419" t="s">
        <v>8</v>
      </c>
      <c r="D18" s="419">
        <v>120</v>
      </c>
      <c r="E18" s="432">
        <f>+'Inschrijfstaat B2'!E18</f>
        <v>320.23200000000003</v>
      </c>
      <c r="F18" s="421">
        <f t="shared" si="0"/>
        <v>38427.840000000004</v>
      </c>
    </row>
    <row r="19" spans="1:6" ht="30.75" customHeight="1">
      <c r="A19" s="431">
        <v>14</v>
      </c>
      <c r="B19" s="417" t="s">
        <v>613</v>
      </c>
      <c r="C19" s="419" t="s">
        <v>8</v>
      </c>
      <c r="D19" s="419">
        <v>4</v>
      </c>
      <c r="E19" s="432">
        <f>+'Inschrijfstaat B2'!E19</f>
        <v>862.66800000000001</v>
      </c>
      <c r="F19" s="421">
        <f t="shared" si="0"/>
        <v>3450.672</v>
      </c>
    </row>
    <row r="20" spans="1:6" ht="30" customHeight="1">
      <c r="A20" s="431">
        <v>15</v>
      </c>
      <c r="B20" s="439" t="s">
        <v>614</v>
      </c>
      <c r="C20" s="419" t="s">
        <v>8</v>
      </c>
      <c r="D20" s="419">
        <v>64</v>
      </c>
      <c r="E20" s="432">
        <f>+'Inschrijfstaat B2'!E20</f>
        <v>251.60799999999998</v>
      </c>
      <c r="F20" s="421">
        <f t="shared" si="0"/>
        <v>16102.911999999998</v>
      </c>
    </row>
    <row r="21" spans="1:6" ht="29.25" customHeight="1">
      <c r="A21" s="431">
        <v>16</v>
      </c>
      <c r="B21" s="441" t="s">
        <v>661</v>
      </c>
      <c r="C21" s="419" t="s">
        <v>8</v>
      </c>
      <c r="D21" s="419">
        <v>40</v>
      </c>
      <c r="E21" s="432">
        <f>+'Inschrijfstaat B2'!E21</f>
        <v>109.68</v>
      </c>
      <c r="F21" s="421">
        <f t="shared" si="0"/>
        <v>4387.2000000000007</v>
      </c>
    </row>
    <row r="22" spans="1:6" ht="42" customHeight="1">
      <c r="A22" s="431">
        <v>17</v>
      </c>
      <c r="B22" s="441" t="s">
        <v>616</v>
      </c>
      <c r="C22" s="419" t="s">
        <v>126</v>
      </c>
      <c r="D22" s="431">
        <v>8</v>
      </c>
      <c r="E22" s="432">
        <f>+'Inschrijfstaat B2'!E22</f>
        <v>193.43999999999997</v>
      </c>
      <c r="F22" s="421">
        <f t="shared" si="0"/>
        <v>1547.5199999999998</v>
      </c>
    </row>
    <row r="23" spans="1:6" ht="41.25" customHeight="1">
      <c r="A23" s="431">
        <v>18</v>
      </c>
      <c r="B23" s="441" t="s">
        <v>617</v>
      </c>
      <c r="C23" s="419" t="s">
        <v>126</v>
      </c>
      <c r="D23" s="431">
        <v>40</v>
      </c>
      <c r="E23" s="432">
        <f>+'Inschrijfstaat B2'!E23</f>
        <v>145.08000000000001</v>
      </c>
      <c r="F23" s="421">
        <f t="shared" si="0"/>
        <v>5803.2000000000007</v>
      </c>
    </row>
    <row r="24" spans="1:6" ht="27.75" customHeight="1">
      <c r="A24" s="433"/>
      <c r="B24" s="434" t="s">
        <v>618</v>
      </c>
      <c r="C24" s="433"/>
      <c r="D24" s="433"/>
      <c r="E24" s="435"/>
      <c r="F24" s="436"/>
    </row>
    <row r="25" spans="1:6" ht="28.5" customHeight="1">
      <c r="A25" s="431">
        <v>19</v>
      </c>
      <c r="B25" s="439" t="s">
        <v>619</v>
      </c>
      <c r="C25" s="419" t="s">
        <v>8</v>
      </c>
      <c r="D25" s="419">
        <v>200</v>
      </c>
      <c r="E25" s="432">
        <f>+'Inschrijfstaat B2'!E25</f>
        <v>75.239999999999995</v>
      </c>
      <c r="F25" s="421">
        <f t="shared" ref="F25:F29" si="1">+E25*D25</f>
        <v>15047.999999999998</v>
      </c>
    </row>
    <row r="26" spans="1:6" ht="42" customHeight="1">
      <c r="A26" s="431">
        <v>20</v>
      </c>
      <c r="B26" s="417" t="s">
        <v>620</v>
      </c>
      <c r="C26" s="419" t="s">
        <v>621</v>
      </c>
      <c r="D26" s="431">
        <v>20</v>
      </c>
      <c r="E26" s="432">
        <f>+'Inschrijfstaat B2'!E26</f>
        <v>1759.2</v>
      </c>
      <c r="F26" s="421">
        <f t="shared" si="1"/>
        <v>35184</v>
      </c>
    </row>
    <row r="27" spans="1:6" ht="12.75">
      <c r="A27" s="431">
        <v>21</v>
      </c>
      <c r="B27" s="417" t="s">
        <v>582</v>
      </c>
      <c r="C27" s="419" t="s">
        <v>8</v>
      </c>
      <c r="D27" s="431">
        <v>150</v>
      </c>
      <c r="E27" s="432">
        <f>+'Inschrijfstaat B2'!E27</f>
        <v>99.6</v>
      </c>
      <c r="F27" s="421">
        <f t="shared" si="1"/>
        <v>14940</v>
      </c>
    </row>
    <row r="28" spans="1:6" ht="108" customHeight="1">
      <c r="A28" s="431">
        <v>22</v>
      </c>
      <c r="B28" s="442" t="s">
        <v>622</v>
      </c>
      <c r="C28" s="419" t="s">
        <v>463</v>
      </c>
      <c r="D28" s="419">
        <v>1</v>
      </c>
      <c r="E28" s="432">
        <f>+'Inschrijfstaat B2'!E28</f>
        <v>550</v>
      </c>
      <c r="F28" s="421">
        <f t="shared" si="1"/>
        <v>550</v>
      </c>
    </row>
    <row r="29" spans="1:6" ht="69.75" customHeight="1">
      <c r="A29" s="431">
        <v>23</v>
      </c>
      <c r="B29" s="417" t="s">
        <v>623</v>
      </c>
      <c r="C29" s="419" t="s">
        <v>8</v>
      </c>
      <c r="D29" s="431">
        <v>25</v>
      </c>
      <c r="E29" s="432">
        <f>+'Inschrijfstaat B2'!E29</f>
        <v>300</v>
      </c>
      <c r="F29" s="421">
        <f t="shared" si="1"/>
        <v>7500</v>
      </c>
    </row>
    <row r="30" spans="1:6" ht="12.75">
      <c r="A30" s="433"/>
      <c r="B30" s="434" t="s">
        <v>624</v>
      </c>
      <c r="C30" s="425"/>
      <c r="D30" s="425"/>
      <c r="E30" s="435"/>
      <c r="F30" s="436"/>
    </row>
    <row r="31" spans="1:6" ht="45" customHeight="1">
      <c r="A31" s="431">
        <v>24</v>
      </c>
      <c r="B31" s="417" t="s">
        <v>625</v>
      </c>
      <c r="C31" s="419" t="s">
        <v>626</v>
      </c>
      <c r="D31" s="431">
        <v>25</v>
      </c>
      <c r="E31" s="432">
        <f>+'Inschrijfstaat B2'!E31</f>
        <v>200</v>
      </c>
      <c r="F31" s="421">
        <f t="shared" ref="F31:F37" si="2">+E31*D31</f>
        <v>5000</v>
      </c>
    </row>
    <row r="32" spans="1:6" ht="42.75" customHeight="1">
      <c r="A32" s="431">
        <v>25</v>
      </c>
      <c r="B32" s="417" t="s">
        <v>627</v>
      </c>
      <c r="C32" s="419" t="s">
        <v>326</v>
      </c>
      <c r="D32" s="431">
        <v>25</v>
      </c>
      <c r="E32" s="432">
        <f>+'Inschrijfstaat B2'!E32</f>
        <v>85</v>
      </c>
      <c r="F32" s="421">
        <f t="shared" si="2"/>
        <v>2125</v>
      </c>
    </row>
    <row r="33" spans="1:6" ht="42" customHeight="1">
      <c r="A33" s="431">
        <v>26</v>
      </c>
      <c r="B33" s="417" t="s">
        <v>628</v>
      </c>
      <c r="C33" s="419" t="s">
        <v>629</v>
      </c>
      <c r="D33" s="431">
        <v>25</v>
      </c>
      <c r="E33" s="432">
        <f>+'Inschrijfstaat B2'!E33</f>
        <v>300</v>
      </c>
      <c r="F33" s="421">
        <f t="shared" si="2"/>
        <v>7500</v>
      </c>
    </row>
    <row r="34" spans="1:6" ht="16.5" customHeight="1">
      <c r="A34" s="431">
        <v>27</v>
      </c>
      <c r="B34" s="441" t="s">
        <v>630</v>
      </c>
      <c r="C34" s="419" t="s">
        <v>291</v>
      </c>
      <c r="D34" s="431">
        <v>25</v>
      </c>
      <c r="E34" s="432">
        <f>+'Inschrijfstaat B2'!E34</f>
        <v>30</v>
      </c>
      <c r="F34" s="421">
        <f t="shared" si="2"/>
        <v>750</v>
      </c>
    </row>
    <row r="35" spans="1:6" ht="16.5" customHeight="1">
      <c r="A35" s="431">
        <v>28</v>
      </c>
      <c r="B35" s="441" t="s">
        <v>631</v>
      </c>
      <c r="C35" s="419" t="s">
        <v>291</v>
      </c>
      <c r="D35" s="419">
        <v>10</v>
      </c>
      <c r="E35" s="432">
        <f>+'Inschrijfstaat B2'!E35</f>
        <v>300</v>
      </c>
      <c r="F35" s="421">
        <f t="shared" si="2"/>
        <v>3000</v>
      </c>
    </row>
    <row r="36" spans="1:6" ht="16.5" customHeight="1">
      <c r="A36" s="431">
        <v>29</v>
      </c>
      <c r="B36" s="441" t="s">
        <v>632</v>
      </c>
      <c r="C36" s="419" t="s">
        <v>338</v>
      </c>
      <c r="D36" s="431">
        <v>25</v>
      </c>
      <c r="E36" s="432">
        <f>+'Inschrijfstaat B2'!E36</f>
        <v>50</v>
      </c>
      <c r="F36" s="421">
        <f t="shared" si="2"/>
        <v>1250</v>
      </c>
    </row>
    <row r="37" spans="1:6" ht="16.5" customHeight="1">
      <c r="A37" s="431">
        <v>30</v>
      </c>
      <c r="B37" s="443" t="s">
        <v>633</v>
      </c>
      <c r="C37" s="419" t="s">
        <v>291</v>
      </c>
      <c r="D37" s="419">
        <v>50</v>
      </c>
      <c r="E37" s="432">
        <f>+'Inschrijfstaat B2'!E37</f>
        <v>25</v>
      </c>
      <c r="F37" s="421">
        <f t="shared" si="2"/>
        <v>1250</v>
      </c>
    </row>
    <row r="38" spans="1:6" ht="12.75">
      <c r="A38" s="433"/>
      <c r="B38" s="434" t="s">
        <v>634</v>
      </c>
      <c r="C38" s="425"/>
      <c r="D38" s="425"/>
      <c r="E38" s="435"/>
      <c r="F38" s="436"/>
    </row>
    <row r="39" spans="1:6" ht="44.25" customHeight="1">
      <c r="A39" s="431">
        <v>31</v>
      </c>
      <c r="B39" s="423" t="s">
        <v>635</v>
      </c>
      <c r="C39" s="419" t="s">
        <v>283</v>
      </c>
      <c r="D39" s="431">
        <v>25</v>
      </c>
      <c r="E39" s="465">
        <f>+'Inschrijfstaat B2'!E39</f>
        <v>546.3359999999999</v>
      </c>
      <c r="F39" s="421">
        <f t="shared" ref="F39:F45" si="3">+E39*D39</f>
        <v>13658.399999999998</v>
      </c>
    </row>
    <row r="40" spans="1:6" ht="42.75" customHeight="1">
      <c r="A40" s="431">
        <v>32</v>
      </c>
      <c r="B40" s="423" t="s">
        <v>636</v>
      </c>
      <c r="C40" s="419" t="s">
        <v>283</v>
      </c>
      <c r="D40" s="419">
        <v>5</v>
      </c>
      <c r="E40" s="465">
        <f>+'Inschrijfstaat B2'!E40</f>
        <v>888.84</v>
      </c>
      <c r="F40" s="421">
        <f t="shared" si="3"/>
        <v>4444.2</v>
      </c>
    </row>
    <row r="41" spans="1:6" ht="16.5" customHeight="1">
      <c r="A41" s="431">
        <v>33</v>
      </c>
      <c r="B41" s="443" t="s">
        <v>637</v>
      </c>
      <c r="C41" s="419" t="s">
        <v>283</v>
      </c>
      <c r="D41" s="419">
        <v>5</v>
      </c>
      <c r="E41" s="465">
        <f>+'Inschrijfstaat B2'!E41</f>
        <v>408.76499999999999</v>
      </c>
      <c r="F41" s="421">
        <f t="shared" si="3"/>
        <v>2043.8249999999998</v>
      </c>
    </row>
    <row r="42" spans="1:6" ht="42" customHeight="1">
      <c r="A42" s="431">
        <v>34</v>
      </c>
      <c r="B42" s="423" t="s">
        <v>638</v>
      </c>
      <c r="C42" s="419" t="s">
        <v>639</v>
      </c>
      <c r="D42" s="431">
        <v>75</v>
      </c>
      <c r="E42" s="465">
        <f>+'Inschrijfstaat B2'!E42</f>
        <v>145.52999999999997</v>
      </c>
      <c r="F42" s="421">
        <f t="shared" si="3"/>
        <v>10914.749999999998</v>
      </c>
    </row>
    <row r="43" spans="1:6" ht="42" customHeight="1">
      <c r="A43" s="431">
        <v>35</v>
      </c>
      <c r="B43" s="444" t="s">
        <v>662</v>
      </c>
      <c r="C43" s="431" t="s">
        <v>663</v>
      </c>
      <c r="D43" s="431">
        <v>40</v>
      </c>
      <c r="E43" s="465">
        <v>200</v>
      </c>
      <c r="F43" s="421">
        <f t="shared" si="3"/>
        <v>8000</v>
      </c>
    </row>
    <row r="44" spans="1:6" ht="42" customHeight="1">
      <c r="A44" s="431">
        <v>36</v>
      </c>
      <c r="B44" s="444" t="s">
        <v>664</v>
      </c>
      <c r="C44" s="431" t="s">
        <v>665</v>
      </c>
      <c r="D44" s="431">
        <v>12000</v>
      </c>
      <c r="E44" s="465">
        <f>+'Inschrijfstaat B2'!E44</f>
        <v>1.25</v>
      </c>
      <c r="F44" s="421">
        <f t="shared" si="3"/>
        <v>15000</v>
      </c>
    </row>
    <row r="45" spans="1:6" ht="42" customHeight="1">
      <c r="A45" s="431">
        <v>37</v>
      </c>
      <c r="B45" s="444" t="s">
        <v>666</v>
      </c>
      <c r="C45" s="431" t="s">
        <v>667</v>
      </c>
      <c r="D45" s="431">
        <v>5</v>
      </c>
      <c r="E45" s="465">
        <f>+'Inschrijfstaat B2'!E45</f>
        <v>163</v>
      </c>
      <c r="F45" s="421">
        <f t="shared" si="3"/>
        <v>815</v>
      </c>
    </row>
    <row r="46" spans="1:6" ht="12.75">
      <c r="A46" s="433"/>
      <c r="B46" s="434" t="s">
        <v>640</v>
      </c>
      <c r="C46" s="425"/>
      <c r="D46" s="425"/>
      <c r="E46" s="435"/>
      <c r="F46" s="436"/>
    </row>
    <row r="47" spans="1:6" ht="12.75">
      <c r="A47" s="431">
        <v>38</v>
      </c>
      <c r="B47" s="417" t="s">
        <v>641</v>
      </c>
      <c r="C47" s="419" t="s">
        <v>642</v>
      </c>
      <c r="D47" s="445">
        <v>50000</v>
      </c>
      <c r="E47" s="432">
        <v>1</v>
      </c>
      <c r="F47" s="424">
        <v>50000</v>
      </c>
    </row>
    <row r="48" spans="1:6" ht="12.75">
      <c r="A48" s="446"/>
      <c r="B48" s="447" t="s">
        <v>643</v>
      </c>
      <c r="C48" s="448"/>
      <c r="D48" s="449"/>
      <c r="E48" s="450" t="s">
        <v>642</v>
      </c>
      <c r="F48" s="451">
        <f>SUM(F4:F47)</f>
        <v>1497860.2399999998</v>
      </c>
    </row>
    <row r="51" spans="1:6" ht="99.75">
      <c r="A51" s="452" t="s">
        <v>644</v>
      </c>
      <c r="B51" s="453" t="s">
        <v>668</v>
      </c>
    </row>
    <row r="53" spans="1:6" ht="12" thickBot="1"/>
    <row r="54" spans="1:6" ht="15.75" thickBot="1">
      <c r="A54" s="590" t="s">
        <v>646</v>
      </c>
      <c r="B54" s="591"/>
      <c r="C54" s="591"/>
      <c r="D54" s="591"/>
      <c r="E54" s="591"/>
      <c r="F54" s="592"/>
    </row>
    <row r="55" spans="1:6" ht="38.25">
      <c r="A55" s="406" t="s">
        <v>10</v>
      </c>
      <c r="B55" s="454" t="s">
        <v>11</v>
      </c>
      <c r="C55" s="455" t="s">
        <v>12</v>
      </c>
      <c r="D55" s="409" t="s">
        <v>594</v>
      </c>
      <c r="E55" s="408" t="s">
        <v>595</v>
      </c>
      <c r="F55" s="408" t="s">
        <v>596</v>
      </c>
    </row>
    <row r="56" spans="1:6" ht="45.75" customHeight="1">
      <c r="A56" s="419"/>
      <c r="B56" s="423" t="s">
        <v>647</v>
      </c>
      <c r="C56" s="419" t="s">
        <v>648</v>
      </c>
      <c r="D56" s="419" t="s">
        <v>649</v>
      </c>
      <c r="E56" s="432"/>
      <c r="F56" s="424" t="s">
        <v>649</v>
      </c>
    </row>
    <row r="57" spans="1:6" ht="45.75" customHeight="1">
      <c r="A57" s="419"/>
      <c r="B57" s="423" t="s">
        <v>650</v>
      </c>
      <c r="C57" s="419" t="s">
        <v>648</v>
      </c>
      <c r="D57" s="419" t="s">
        <v>649</v>
      </c>
      <c r="E57" s="432"/>
      <c r="F57" s="424" t="s">
        <v>649</v>
      </c>
    </row>
    <row r="58" spans="1:6" ht="32.25" customHeight="1">
      <c r="A58" s="419"/>
      <c r="B58" s="456" t="s">
        <v>651</v>
      </c>
      <c r="C58" s="457" t="s">
        <v>652</v>
      </c>
      <c r="D58" s="419" t="s">
        <v>649</v>
      </c>
      <c r="E58" s="432"/>
      <c r="F58" s="424" t="s">
        <v>649</v>
      </c>
    </row>
    <row r="59" spans="1:6" ht="12.75">
      <c r="A59" s="419"/>
      <c r="B59" s="437"/>
      <c r="C59" s="419"/>
      <c r="D59" s="419" t="s">
        <v>649</v>
      </c>
      <c r="E59" s="432"/>
      <c r="F59" s="424" t="s">
        <v>649</v>
      </c>
    </row>
    <row r="60" spans="1:6" ht="12.75">
      <c r="A60" s="419"/>
      <c r="B60" s="437"/>
      <c r="C60" s="419"/>
      <c r="D60" s="419" t="s">
        <v>649</v>
      </c>
      <c r="E60" s="432"/>
      <c r="F60" s="424" t="s">
        <v>649</v>
      </c>
    </row>
    <row r="61" spans="1:6" ht="12.75">
      <c r="A61" s="419"/>
      <c r="B61" s="437"/>
      <c r="C61" s="419"/>
      <c r="D61" s="419" t="s">
        <v>649</v>
      </c>
      <c r="E61" s="432"/>
      <c r="F61" s="424" t="s">
        <v>649</v>
      </c>
    </row>
    <row r="62" spans="1:6" ht="12.75">
      <c r="A62" s="419"/>
      <c r="B62" s="437"/>
      <c r="C62" s="419"/>
      <c r="D62" s="419" t="s">
        <v>649</v>
      </c>
      <c r="E62" s="432"/>
      <c r="F62" s="424" t="s">
        <v>649</v>
      </c>
    </row>
    <row r="63" spans="1:6" ht="12.75">
      <c r="A63" s="419"/>
      <c r="B63" s="437"/>
      <c r="C63" s="419"/>
      <c r="D63" s="419" t="s">
        <v>649</v>
      </c>
      <c r="E63" s="432"/>
      <c r="F63" s="424" t="s">
        <v>649</v>
      </c>
    </row>
    <row r="64" spans="1:6" ht="12.75">
      <c r="A64" s="419"/>
      <c r="B64" s="437"/>
      <c r="C64" s="419"/>
      <c r="D64" s="419" t="s">
        <v>649</v>
      </c>
      <c r="E64" s="432"/>
      <c r="F64" s="424" t="s">
        <v>649</v>
      </c>
    </row>
    <row r="65" spans="1:7" ht="12.75">
      <c r="A65" s="419"/>
      <c r="B65" s="437"/>
      <c r="C65" s="419"/>
      <c r="D65" s="419" t="s">
        <v>649</v>
      </c>
      <c r="E65" s="432"/>
      <c r="F65" s="424" t="s">
        <v>649</v>
      </c>
    </row>
    <row r="69" spans="1:7" ht="10.5" customHeight="1">
      <c r="A69" s="458"/>
      <c r="B69" s="458"/>
      <c r="C69" s="459"/>
      <c r="D69" s="459"/>
      <c r="E69" s="459"/>
      <c r="F69" s="459"/>
      <c r="G69" s="459"/>
    </row>
    <row r="70" spans="1:7" ht="12">
      <c r="A70" s="459"/>
      <c r="B70" s="460"/>
      <c r="C70" s="459"/>
      <c r="D70" s="459"/>
      <c r="E70" s="461"/>
      <c r="F70" s="459"/>
      <c r="G70" s="459"/>
    </row>
    <row r="71" spans="1:7" ht="12">
      <c r="A71" s="459"/>
      <c r="B71" s="460"/>
      <c r="C71" s="459"/>
      <c r="D71" s="459"/>
      <c r="E71" s="461"/>
      <c r="F71" s="459"/>
      <c r="G71" s="459"/>
    </row>
    <row r="72" spans="1:7" ht="12">
      <c r="A72" s="459"/>
      <c r="B72" s="460"/>
      <c r="C72" s="459"/>
      <c r="D72" s="459"/>
      <c r="E72" s="461"/>
      <c r="F72" s="459"/>
      <c r="G72" s="459"/>
    </row>
    <row r="73" spans="1:7" ht="12">
      <c r="B73" s="462"/>
      <c r="C73" s="459"/>
      <c r="E73" s="463"/>
      <c r="G73" s="459"/>
    </row>
    <row r="74" spans="1:7" ht="12">
      <c r="B74" s="462"/>
      <c r="C74" s="459"/>
      <c r="E74" s="463"/>
      <c r="G74" s="459"/>
    </row>
    <row r="75" spans="1:7" ht="12">
      <c r="B75" s="462"/>
      <c r="C75" s="459"/>
      <c r="E75" s="463"/>
      <c r="G75" s="459"/>
    </row>
    <row r="76" spans="1:7" ht="12">
      <c r="B76" s="462"/>
      <c r="C76" s="459"/>
      <c r="E76" s="463"/>
      <c r="G76" s="459"/>
    </row>
    <row r="77" spans="1:7" ht="12">
      <c r="B77" s="462"/>
      <c r="C77" s="459"/>
      <c r="E77" s="463"/>
      <c r="G77" s="459"/>
    </row>
    <row r="78" spans="1:7" ht="12">
      <c r="B78" s="462"/>
      <c r="C78" s="459"/>
      <c r="E78" s="463"/>
    </row>
    <row r="79" spans="1:7" ht="12">
      <c r="B79" s="462"/>
      <c r="C79" s="459"/>
      <c r="E79" s="463"/>
    </row>
    <row r="80" spans="1:7" ht="12">
      <c r="B80" s="462"/>
      <c r="C80" s="459"/>
      <c r="E80" s="463"/>
    </row>
    <row r="81" spans="2:5" ht="12">
      <c r="B81" s="462"/>
      <c r="C81" s="459"/>
      <c r="E81" s="463"/>
    </row>
    <row r="82" spans="2:5" ht="12">
      <c r="B82" s="462"/>
      <c r="C82" s="459"/>
      <c r="E82" s="463"/>
    </row>
    <row r="83" spans="2:5" ht="12">
      <c r="B83" s="462"/>
      <c r="C83" s="459"/>
      <c r="E83" s="463"/>
    </row>
    <row r="84" spans="2:5" ht="12">
      <c r="B84" s="462"/>
      <c r="C84" s="459"/>
      <c r="E84" s="463"/>
    </row>
    <row r="85" spans="2:5" ht="12">
      <c r="B85" s="462"/>
      <c r="C85" s="459"/>
      <c r="E85" s="463"/>
    </row>
    <row r="86" spans="2:5" ht="12">
      <c r="B86" s="462"/>
      <c r="C86" s="459"/>
      <c r="E86" s="463"/>
    </row>
    <row r="87" spans="2:5" ht="12">
      <c r="B87" s="462"/>
      <c r="C87" s="459"/>
      <c r="E87" s="463"/>
    </row>
    <row r="88" spans="2:5" ht="12">
      <c r="B88" s="462"/>
      <c r="C88" s="459"/>
      <c r="E88" s="463"/>
    </row>
    <row r="89" spans="2:5" ht="12">
      <c r="B89" s="462"/>
      <c r="C89" s="459"/>
      <c r="E89" s="463"/>
    </row>
    <row r="90" spans="2:5" ht="12">
      <c r="B90" s="462"/>
      <c r="C90" s="459"/>
      <c r="E90" s="463"/>
    </row>
    <row r="91" spans="2:5" ht="12">
      <c r="B91" s="462"/>
      <c r="C91" s="459"/>
      <c r="E91" s="463"/>
    </row>
    <row r="92" spans="2:5" ht="12">
      <c r="B92" s="462"/>
      <c r="C92" s="459"/>
      <c r="E92" s="463"/>
    </row>
    <row r="93" spans="2:5">
      <c r="E93" s="463"/>
    </row>
    <row r="94" spans="2:5">
      <c r="E94" s="463"/>
    </row>
    <row r="95" spans="2:5">
      <c r="E95" s="463"/>
    </row>
    <row r="96" spans="2:5">
      <c r="E96" s="463"/>
    </row>
    <row r="97" spans="5:5">
      <c r="E97" s="463"/>
    </row>
    <row r="98" spans="5:5">
      <c r="E98" s="463"/>
    </row>
    <row r="99" spans="5:5">
      <c r="E99" s="463"/>
    </row>
    <row r="100" spans="5:5">
      <c r="E100" s="463"/>
    </row>
    <row r="101" spans="5:5">
      <c r="E101" s="463"/>
    </row>
    <row r="102" spans="5:5">
      <c r="E102" s="463"/>
    </row>
    <row r="103" spans="5:5">
      <c r="E103" s="463"/>
    </row>
    <row r="104" spans="5:5">
      <c r="E104" s="463"/>
    </row>
    <row r="105" spans="5:5">
      <c r="E105" s="463"/>
    </row>
    <row r="106" spans="5:5">
      <c r="E106" s="463"/>
    </row>
    <row r="107" spans="5:5">
      <c r="E107" s="463"/>
    </row>
    <row r="108" spans="5:5">
      <c r="E108" s="463"/>
    </row>
    <row r="109" spans="5:5">
      <c r="E109" s="463"/>
    </row>
    <row r="110" spans="5:5">
      <c r="E110" s="463"/>
    </row>
    <row r="111" spans="5:5">
      <c r="E111" s="463"/>
    </row>
    <row r="112" spans="5:5">
      <c r="E112" s="463"/>
    </row>
    <row r="113" spans="5:5">
      <c r="E113" s="463"/>
    </row>
    <row r="114" spans="5:5">
      <c r="E114" s="463"/>
    </row>
  </sheetData>
  <mergeCells count="2">
    <mergeCell ref="A1:F1"/>
    <mergeCell ref="A54:F54"/>
  </mergeCells>
  <pageMargins left="0.7" right="0.7" top="0.75" bottom="0.75" header="0.3" footer="0.3"/>
  <pageSetup paperSize="9" scale="55" fitToHeight="0"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G1" workbookViewId="0">
      <selection activeCell="H3" sqref="H3"/>
    </sheetView>
  </sheetViews>
  <sheetFormatPr defaultColWidth="9.140625" defaultRowHeight="11.25"/>
  <cols>
    <col min="1" max="1" width="46.140625" style="13" customWidth="1"/>
    <col min="2" max="2" width="34.85546875" style="14" customWidth="1"/>
    <col min="3" max="3" width="3.140625" style="14" customWidth="1"/>
    <col min="4" max="4" width="22.85546875" style="13" bestFit="1" customWidth="1"/>
    <col min="5" max="5" width="22.140625" style="13" customWidth="1"/>
    <col min="6" max="6" width="21" style="13" customWidth="1"/>
    <col min="7" max="7" width="13.140625" style="13" bestFit="1" customWidth="1"/>
    <col min="8" max="8" width="14.140625" style="13" bestFit="1" customWidth="1"/>
    <col min="9" max="9" width="23" style="13" customWidth="1"/>
    <col min="10" max="10" width="18.140625" style="13" bestFit="1" customWidth="1"/>
    <col min="11" max="11" width="18.7109375" style="13" customWidth="1"/>
    <col min="12" max="12" width="24.42578125" style="13" customWidth="1"/>
    <col min="13" max="13" width="2.42578125" style="13" customWidth="1"/>
    <col min="14" max="14" width="14.28515625" style="13" bestFit="1" customWidth="1"/>
    <col min="15" max="15" width="12.7109375" style="13" bestFit="1" customWidth="1"/>
    <col min="16" max="16" width="12.42578125" style="13" bestFit="1" customWidth="1"/>
    <col min="17" max="17" width="12.7109375" style="13" bestFit="1" customWidth="1"/>
    <col min="18" max="16384" width="9.140625" style="13"/>
  </cols>
  <sheetData>
    <row r="1" spans="1:17" ht="37.5" customHeight="1" thickBot="1">
      <c r="A1" s="15"/>
      <c r="B1" s="16" t="s">
        <v>489</v>
      </c>
      <c r="C1" s="16"/>
      <c r="D1" s="17" t="s">
        <v>490</v>
      </c>
      <c r="E1" s="32" t="s">
        <v>491</v>
      </c>
      <c r="F1" s="32" t="s">
        <v>492</v>
      </c>
      <c r="G1" s="13" t="s">
        <v>493</v>
      </c>
      <c r="H1" s="345" t="s">
        <v>494</v>
      </c>
      <c r="I1" s="345" t="s">
        <v>495</v>
      </c>
      <c r="J1" s="13" t="s">
        <v>496</v>
      </c>
      <c r="M1" s="18"/>
      <c r="N1" s="18"/>
      <c r="O1" s="18"/>
      <c r="P1" s="18"/>
    </row>
    <row r="2" spans="1:17">
      <c r="E2" s="31"/>
      <c r="F2" s="31"/>
      <c r="M2" s="18"/>
      <c r="N2" s="18"/>
      <c r="O2" s="18"/>
      <c r="P2" s="18"/>
    </row>
    <row r="3" spans="1:17">
      <c r="A3" s="13" t="str">
        <f>'B1'!A1:P1</f>
        <v>B1- Zuidwestelijke Delta</v>
      </c>
      <c r="B3" s="24">
        <f>'B1'!H248</f>
        <v>3726711.3489144007</v>
      </c>
      <c r="D3" s="14">
        <f>B3/5</f>
        <v>745342.26978288009</v>
      </c>
      <c r="E3" s="34">
        <f>'B1'!$G$251</f>
        <v>275235.25754999992</v>
      </c>
      <c r="F3" s="34">
        <f>'B1'!$G$252</f>
        <v>470107.01223287993</v>
      </c>
      <c r="G3" s="344">
        <f t="shared" ref="G3:G9" si="0">+E3</f>
        <v>275235.25754999992</v>
      </c>
      <c r="H3" s="344">
        <f>+E3*0.1</f>
        <v>27523.525754999995</v>
      </c>
      <c r="I3" s="14">
        <f>+H3+E3</f>
        <v>302758.78330499993</v>
      </c>
      <c r="J3" s="344">
        <f>+I3*5</f>
        <v>1513793.9165249998</v>
      </c>
      <c r="K3" s="13" t="str">
        <f>+A3</f>
        <v>B1- Zuidwestelijke Delta</v>
      </c>
      <c r="M3" s="18"/>
      <c r="N3" s="21">
        <f>0.7*J3</f>
        <v>1059655.7415674997</v>
      </c>
      <c r="O3" s="21"/>
      <c r="P3" s="21"/>
      <c r="Q3" s="21"/>
    </row>
    <row r="4" spans="1:17">
      <c r="A4" s="13" t="str">
        <f>'B2'!A1:P1</f>
        <v>B2- Rijkswateren Drechtsteden</v>
      </c>
      <c r="B4" s="24">
        <f>'B2'!H248</f>
        <v>5275898.5899963174</v>
      </c>
      <c r="D4" s="14">
        <f t="shared" ref="D4:D9" si="1">B4/5</f>
        <v>1055179.7179992634</v>
      </c>
      <c r="E4" s="34">
        <f>'B2'!$G$251</f>
        <v>241875.2577119999</v>
      </c>
      <c r="F4" s="34">
        <f>'B2'!$G$252</f>
        <v>813304.4602872635</v>
      </c>
      <c r="G4" s="344">
        <f t="shared" si="0"/>
        <v>241875.2577119999</v>
      </c>
      <c r="H4" s="344">
        <f t="shared" ref="H4:H9" si="2">+E4*0.1</f>
        <v>24187.525771199991</v>
      </c>
      <c r="I4" s="14">
        <f t="shared" ref="I4:I9" si="3">+H4+E4</f>
        <v>266062.78348319989</v>
      </c>
      <c r="J4" s="344">
        <f t="shared" ref="J4:J9" si="4">+I4*5</f>
        <v>1330313.9174159993</v>
      </c>
      <c r="K4" s="13" t="str">
        <f t="shared" ref="K4:K9" si="5">+A4</f>
        <v>B2- Rijkswateren Drechtsteden</v>
      </c>
      <c r="M4" s="18"/>
      <c r="N4" s="21"/>
      <c r="O4" s="21"/>
      <c r="P4" s="21"/>
      <c r="Q4" s="21"/>
    </row>
    <row r="5" spans="1:17">
      <c r="A5" s="13" t="str">
        <f>'B3'!A1:P1</f>
        <v xml:space="preserve">B3- Noordzeekanaal – Amsterdam Rijnkanaal </v>
      </c>
      <c r="B5" s="24">
        <f>'B3'!H248</f>
        <v>5049737.1887063188</v>
      </c>
      <c r="D5" s="14">
        <f t="shared" si="1"/>
        <v>1009947.4377412638</v>
      </c>
      <c r="E5" s="34">
        <f>'B3'!$G$251</f>
        <v>214241.94587399997</v>
      </c>
      <c r="F5" s="34">
        <f>'B3'!$G$252</f>
        <v>795705.49186726403</v>
      </c>
      <c r="G5" s="344">
        <f t="shared" si="0"/>
        <v>214241.94587399997</v>
      </c>
      <c r="H5" s="344">
        <f t="shared" si="2"/>
        <v>21424.194587399998</v>
      </c>
      <c r="I5" s="14">
        <f t="shared" si="3"/>
        <v>235666.14046139998</v>
      </c>
      <c r="J5" s="344">
        <f t="shared" si="4"/>
        <v>1178330.7023069998</v>
      </c>
      <c r="K5" s="13" t="str">
        <f t="shared" si="5"/>
        <v xml:space="preserve">B3- Noordzeekanaal – Amsterdam Rijnkanaal </v>
      </c>
      <c r="M5" s="18"/>
      <c r="N5" s="21">
        <f t="shared" ref="N5:N8" si="6">0.7*J5</f>
        <v>824831.49161489983</v>
      </c>
      <c r="O5" s="21"/>
      <c r="P5" s="21"/>
      <c r="Q5" s="21"/>
    </row>
    <row r="6" spans="1:17">
      <c r="A6" s="13" t="str">
        <f>'B4'!A1:P1</f>
        <v>B4- IJsselmeergebied</v>
      </c>
      <c r="B6" s="24">
        <f>'B4'!H248</f>
        <v>2170222.3131063199</v>
      </c>
      <c r="D6" s="14">
        <f t="shared" si="1"/>
        <v>434044.46262126399</v>
      </c>
      <c r="E6" s="34">
        <f>'B4'!$G$251</f>
        <v>214241.94587399997</v>
      </c>
      <c r="F6" s="34">
        <f>'B4'!$G$252</f>
        <v>219802.51674726396</v>
      </c>
      <c r="G6" s="344">
        <f t="shared" si="0"/>
        <v>214241.94587399997</v>
      </c>
      <c r="H6" s="344">
        <f t="shared" si="2"/>
        <v>21424.194587399998</v>
      </c>
      <c r="I6" s="14">
        <f t="shared" si="3"/>
        <v>235666.14046139998</v>
      </c>
      <c r="J6" s="344">
        <f t="shared" si="4"/>
        <v>1178330.7023069998</v>
      </c>
      <c r="K6" s="13" t="str">
        <f t="shared" si="5"/>
        <v>B4- IJsselmeergebied</v>
      </c>
      <c r="M6" s="18"/>
      <c r="N6" s="21">
        <f t="shared" si="6"/>
        <v>824831.49161489983</v>
      </c>
      <c r="O6" s="21"/>
      <c r="P6" s="21"/>
      <c r="Q6" s="21"/>
    </row>
    <row r="7" spans="1:17">
      <c r="A7" s="13" t="str">
        <f>'B5'!A1:P1</f>
        <v>B5- Waddengebied</v>
      </c>
      <c r="B7" s="24">
        <f>'B5'!H249</f>
        <v>5353240.8098963182</v>
      </c>
      <c r="D7" s="14">
        <f t="shared" si="1"/>
        <v>1070648.1619792636</v>
      </c>
      <c r="E7" s="34">
        <f>'B5'!$G$252</f>
        <v>606544.22281199985</v>
      </c>
      <c r="F7" s="34">
        <f>'B5'!$G$253</f>
        <v>464103.93916726403</v>
      </c>
      <c r="G7" s="344">
        <f t="shared" si="0"/>
        <v>606544.22281199985</v>
      </c>
      <c r="H7" s="344">
        <f t="shared" si="2"/>
        <v>60654.422281199986</v>
      </c>
      <c r="I7" s="14">
        <f t="shared" si="3"/>
        <v>667198.6450931998</v>
      </c>
      <c r="J7" s="344">
        <f t="shared" si="4"/>
        <v>3335993.225465999</v>
      </c>
      <c r="K7" s="13" t="str">
        <f t="shared" si="5"/>
        <v>B5- Waddengebied</v>
      </c>
      <c r="M7" s="18"/>
      <c r="N7" s="21"/>
      <c r="O7" s="21"/>
      <c r="P7" s="21"/>
      <c r="Q7" s="21"/>
    </row>
    <row r="8" spans="1:17">
      <c r="A8" s="13" t="str">
        <f>'B6'!A1:P1</f>
        <v>B6- Rijkswateren Overijssel Gelderland</v>
      </c>
      <c r="B8" s="24">
        <f>'B6'!H248</f>
        <v>3225538.4480563207</v>
      </c>
      <c r="D8" s="14">
        <f t="shared" si="1"/>
        <v>645107.68961126416</v>
      </c>
      <c r="E8" s="34">
        <f>'B6'!$G$251</f>
        <v>247601.94571199996</v>
      </c>
      <c r="F8" s="34">
        <f>'B6'!$G$252</f>
        <v>397505.74389926385</v>
      </c>
      <c r="G8" s="344">
        <f t="shared" si="0"/>
        <v>247601.94571199996</v>
      </c>
      <c r="H8" s="344">
        <f t="shared" si="2"/>
        <v>24760.194571199998</v>
      </c>
      <c r="I8" s="14">
        <f t="shared" si="3"/>
        <v>272362.14028319996</v>
      </c>
      <c r="J8" s="344">
        <f t="shared" si="4"/>
        <v>1361810.7014159998</v>
      </c>
      <c r="K8" s="13" t="str">
        <f t="shared" si="5"/>
        <v>B6- Rijkswateren Overijssel Gelderland</v>
      </c>
      <c r="M8" s="18"/>
      <c r="N8" s="21">
        <f t="shared" si="6"/>
        <v>953267.49099119974</v>
      </c>
      <c r="O8" s="21"/>
      <c r="P8" s="21"/>
      <c r="Q8" s="21"/>
    </row>
    <row r="9" spans="1:17">
      <c r="A9" s="13" t="str">
        <f>'B7'!A1:P1</f>
        <v>B7- Rijkswateren Brabant Limburg</v>
      </c>
      <c r="B9" s="24">
        <f>'B7'!H248</f>
        <v>3571337.695476321</v>
      </c>
      <c r="D9" s="14">
        <f t="shared" si="1"/>
        <v>714267.53909526416</v>
      </c>
      <c r="E9" s="34">
        <f>'B7'!$G$251</f>
        <v>308595.25738799991</v>
      </c>
      <c r="F9" s="34">
        <f>'B7'!$G$252</f>
        <v>405672.2817072639</v>
      </c>
      <c r="G9" s="344">
        <f t="shared" si="0"/>
        <v>308595.25738799991</v>
      </c>
      <c r="H9" s="344">
        <f t="shared" si="2"/>
        <v>30859.525738799992</v>
      </c>
      <c r="I9" s="14">
        <f t="shared" si="3"/>
        <v>339454.78312679991</v>
      </c>
      <c r="J9" s="344">
        <f t="shared" si="4"/>
        <v>1697273.9156339995</v>
      </c>
      <c r="K9" s="13" t="str">
        <f t="shared" si="5"/>
        <v>B7- Rijkswateren Brabant Limburg</v>
      </c>
      <c r="M9" s="18"/>
      <c r="N9" s="21"/>
      <c r="O9" s="21"/>
      <c r="P9" s="21"/>
      <c r="Q9" s="21"/>
    </row>
    <row r="10" spans="1:17">
      <c r="B10" s="24"/>
      <c r="M10" s="18"/>
      <c r="N10" s="21"/>
      <c r="O10" s="21"/>
      <c r="P10" s="21"/>
      <c r="Q10" s="21"/>
    </row>
    <row r="11" spans="1:17" s="23" customFormat="1">
      <c r="A11" s="23" t="s">
        <v>481</v>
      </c>
      <c r="B11" s="25">
        <f>SUM(B3:B10)</f>
        <v>28372686.394152321</v>
      </c>
      <c r="C11" s="26"/>
      <c r="D11" s="26">
        <f>SUM(D3:D10)</f>
        <v>5674537.278830464</v>
      </c>
      <c r="E11" s="33">
        <f t="shared" ref="E11:J11" si="7">SUM(E3:E10)</f>
        <v>2108335.8329219995</v>
      </c>
      <c r="F11" s="33">
        <f t="shared" si="7"/>
        <v>3566201.4459084636</v>
      </c>
      <c r="I11" s="33">
        <f t="shared" si="7"/>
        <v>2319169.4162141993</v>
      </c>
      <c r="J11" s="33">
        <f t="shared" si="7"/>
        <v>11595847.081070997</v>
      </c>
      <c r="M11" s="27"/>
      <c r="N11" s="28"/>
      <c r="O11" s="28"/>
      <c r="P11" s="28"/>
      <c r="Q11" s="28"/>
    </row>
    <row r="12" spans="1:17">
      <c r="B12" s="24"/>
      <c r="M12" s="18"/>
      <c r="N12" s="18"/>
      <c r="O12" s="18"/>
      <c r="P12" s="18"/>
    </row>
    <row r="13" spans="1:17">
      <c r="A13" s="13" t="s">
        <v>497</v>
      </c>
      <c r="B13" s="24">
        <f>B3+B5+B6+B8</f>
        <v>14172209.298783362</v>
      </c>
      <c r="D13" s="14">
        <f>D3+D5+D6+D8</f>
        <v>2834441.8597566718</v>
      </c>
      <c r="E13" s="34">
        <f>E3+E5+E6+E8</f>
        <v>951321.09500999982</v>
      </c>
      <c r="M13" s="18"/>
      <c r="N13" s="18"/>
      <c r="O13" s="18"/>
      <c r="P13" s="18"/>
    </row>
    <row r="14" spans="1:17">
      <c r="A14" s="13" t="s">
        <v>498</v>
      </c>
      <c r="B14" s="24">
        <f>B4+B13</f>
        <v>19448107.888779677</v>
      </c>
      <c r="D14" s="14">
        <f>D4+D13</f>
        <v>3889621.5777559355</v>
      </c>
      <c r="E14" s="34">
        <f>E4+E13</f>
        <v>1193196.3527219996</v>
      </c>
      <c r="M14" s="18"/>
      <c r="N14" s="18"/>
      <c r="O14" s="18"/>
      <c r="P14" s="18"/>
    </row>
    <row r="15" spans="1:17">
      <c r="A15" s="13" t="s">
        <v>499</v>
      </c>
      <c r="B15" s="24">
        <f>B14+B9</f>
        <v>23019445.584255997</v>
      </c>
      <c r="D15" s="14">
        <f>D14+D9</f>
        <v>4603889.1168511994</v>
      </c>
      <c r="E15" s="34">
        <f>E14+E9</f>
        <v>1501791.6101099995</v>
      </c>
      <c r="M15" s="18"/>
      <c r="N15" s="18"/>
      <c r="O15" s="18"/>
      <c r="P15" s="18"/>
    </row>
    <row r="20" spans="8:13">
      <c r="I20" s="346" t="s">
        <v>500</v>
      </c>
      <c r="J20" s="346" t="s">
        <v>501</v>
      </c>
      <c r="K20" s="346" t="s">
        <v>502</v>
      </c>
      <c r="L20" s="346" t="s">
        <v>503</v>
      </c>
    </row>
    <row r="21" spans="8:13">
      <c r="I21" s="349">
        <v>119815</v>
      </c>
      <c r="J21" s="349">
        <v>95145</v>
      </c>
      <c r="K21" s="349">
        <v>95145</v>
      </c>
      <c r="L21" s="349">
        <v>108910</v>
      </c>
    </row>
    <row r="22" spans="8:13">
      <c r="I22" s="349">
        <v>35945</v>
      </c>
      <c r="J22" s="349">
        <v>28542</v>
      </c>
      <c r="K22" s="349">
        <v>28542</v>
      </c>
      <c r="L22" s="349">
        <v>32675</v>
      </c>
    </row>
    <row r="23" spans="8:13">
      <c r="I23" s="349">
        <v>179725</v>
      </c>
      <c r="J23" s="349">
        <v>142710</v>
      </c>
      <c r="K23" s="349">
        <v>142710</v>
      </c>
      <c r="L23" s="349">
        <v>163365</v>
      </c>
    </row>
    <row r="24" spans="8:13">
      <c r="I24" s="349">
        <v>359446</v>
      </c>
      <c r="J24" s="349">
        <v>285425</v>
      </c>
      <c r="K24" s="349">
        <v>285425</v>
      </c>
      <c r="L24" s="349">
        <v>326730</v>
      </c>
    </row>
    <row r="25" spans="8:13">
      <c r="I25" s="349">
        <v>239630</v>
      </c>
      <c r="J25" s="349">
        <v>190285</v>
      </c>
      <c r="K25" s="349">
        <v>190285</v>
      </c>
      <c r="L25" s="349">
        <v>217820</v>
      </c>
    </row>
    <row r="26" spans="8:13">
      <c r="I26" s="349">
        <v>179723</v>
      </c>
      <c r="J26" s="349">
        <v>142712</v>
      </c>
      <c r="K26" s="349">
        <v>142712</v>
      </c>
      <c r="L26" s="349">
        <v>163365</v>
      </c>
    </row>
    <row r="27" spans="8:13">
      <c r="I27" s="349">
        <v>83870</v>
      </c>
      <c r="J27" s="349">
        <v>66600</v>
      </c>
      <c r="K27" s="349">
        <v>66600</v>
      </c>
      <c r="L27" s="349">
        <v>76235</v>
      </c>
      <c r="M27" s="350"/>
    </row>
    <row r="28" spans="8:13">
      <c r="H28" s="351" t="s">
        <v>504</v>
      </c>
      <c r="I28" s="347">
        <f>SUM(I21:I27)</f>
        <v>1198154</v>
      </c>
      <c r="J28" s="347">
        <f t="shared" ref="J28:L28" si="8">SUM(J21:J27)</f>
        <v>951419</v>
      </c>
      <c r="K28" s="347">
        <f t="shared" si="8"/>
        <v>951419</v>
      </c>
      <c r="L28" s="347">
        <f t="shared" si="8"/>
        <v>1089100</v>
      </c>
    </row>
    <row r="29" spans="8:13">
      <c r="I29" s="348"/>
      <c r="J29" s="348"/>
      <c r="K29" s="348"/>
      <c r="L29" s="348"/>
    </row>
    <row r="30" spans="8:13">
      <c r="I30" s="352">
        <f>I28/J3</f>
        <v>0.79149082772801127</v>
      </c>
      <c r="J30" s="352">
        <f>J28/J5</f>
        <v>0.80742952563084391</v>
      </c>
      <c r="K30" s="352">
        <f>K28/J6</f>
        <v>0.80742952563084391</v>
      </c>
      <c r="L30" s="352">
        <f>L28/J8</f>
        <v>0.79974404582631242</v>
      </c>
    </row>
    <row r="31" spans="8:13">
      <c r="I31" s="34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zoomScale="85" zoomScaleNormal="85" workbookViewId="0">
      <pane ySplit="5" topLeftCell="A6" activePane="bottomLeft" state="frozen"/>
      <selection activeCell="D259" sqref="D259"/>
      <selection pane="bottomLeft" activeCell="K8" sqref="K8"/>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3" style="6" customWidth="1"/>
    <col min="12" max="12" width="19" style="7" bestFit="1" customWidth="1"/>
    <col min="13" max="13" width="12.5703125" style="7" customWidth="1"/>
    <col min="14" max="14" width="9.5703125" style="7" bestFit="1" customWidth="1"/>
    <col min="15" max="15" width="16.5703125" style="7" customWidth="1"/>
    <col min="16" max="16" width="48.85546875" style="8" customWidth="1"/>
    <col min="17" max="16384" width="9.140625" style="3"/>
  </cols>
  <sheetData>
    <row r="1" spans="1:17" ht="32.25" customHeight="1" thickBot="1">
      <c r="A1" s="583" t="s">
        <v>505</v>
      </c>
      <c r="B1" s="584"/>
      <c r="C1" s="584"/>
      <c r="D1" s="584"/>
      <c r="E1" s="584"/>
      <c r="F1" s="584"/>
      <c r="G1" s="584"/>
      <c r="H1" s="584"/>
      <c r="I1" s="584"/>
      <c r="J1" s="584"/>
      <c r="K1" s="584"/>
      <c r="L1" s="584"/>
      <c r="M1" s="584"/>
      <c r="N1" s="584"/>
      <c r="O1" s="584"/>
      <c r="P1" s="585"/>
    </row>
    <row r="2" spans="1:17" s="12" customFormat="1" ht="24.75" customHeight="1" thickBo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thickBot="1">
      <c r="A3" s="308" t="s">
        <v>4</v>
      </c>
      <c r="B3" s="309" t="s">
        <v>5</v>
      </c>
      <c r="C3" s="289">
        <v>200</v>
      </c>
      <c r="D3" s="290">
        <f>C4*C3</f>
        <v>600</v>
      </c>
      <c r="E3" s="578" t="s">
        <v>6</v>
      </c>
      <c r="F3" s="579"/>
      <c r="G3" s="291">
        <v>40</v>
      </c>
      <c r="H3" s="292">
        <f>G3*G4</f>
        <v>360</v>
      </c>
      <c r="I3" s="293"/>
      <c r="J3" s="293"/>
      <c r="K3" s="294"/>
      <c r="L3" s="294"/>
      <c r="M3" s="294"/>
      <c r="N3" s="294"/>
      <c r="O3" s="294"/>
      <c r="P3" s="294"/>
      <c r="Q3" s="295"/>
    </row>
    <row r="4" spans="1:17"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17" s="5" customFormat="1" ht="46.5" customHeight="1">
      <c r="A5" s="61" t="s">
        <v>10</v>
      </c>
      <c r="B5" s="62" t="s">
        <v>11</v>
      </c>
      <c r="C5" s="63"/>
      <c r="D5" s="35" t="s">
        <v>12</v>
      </c>
      <c r="E5" s="36" t="s">
        <v>13</v>
      </c>
      <c r="F5" s="37" t="s">
        <v>14</v>
      </c>
      <c r="G5" s="37" t="s">
        <v>15</v>
      </c>
      <c r="H5" s="37" t="s">
        <v>16</v>
      </c>
      <c r="I5" s="563" t="s">
        <v>17</v>
      </c>
      <c r="J5" s="564"/>
      <c r="K5" s="564"/>
      <c r="L5" s="564"/>
      <c r="M5" s="564"/>
      <c r="N5" s="564"/>
      <c r="O5" s="564"/>
      <c r="P5" s="38" t="s">
        <v>18</v>
      </c>
      <c r="Q5" s="301"/>
    </row>
    <row r="6" spans="1:17" ht="34.9"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s="22" customFormat="1" ht="11.25">
      <c r="A7" s="501"/>
      <c r="B7" s="501"/>
      <c r="C7" s="501"/>
      <c r="D7" s="501"/>
      <c r="E7" s="501"/>
      <c r="F7" s="501"/>
      <c r="G7" s="501"/>
      <c r="H7" s="501"/>
      <c r="I7" s="501"/>
      <c r="J7" s="501"/>
      <c r="K7" s="322">
        <v>2.5</v>
      </c>
      <c r="L7" s="501" t="s">
        <v>22</v>
      </c>
      <c r="M7" s="501"/>
      <c r="N7" s="501"/>
      <c r="O7" s="501"/>
      <c r="P7" s="501"/>
      <c r="Q7" s="502"/>
    </row>
    <row r="8" spans="1:17" s="22" customFormat="1" ht="11.25">
      <c r="A8" s="503"/>
      <c r="B8" s="503"/>
      <c r="C8" s="503"/>
      <c r="D8" s="503"/>
      <c r="E8" s="503"/>
      <c r="F8" s="503"/>
      <c r="G8" s="503"/>
      <c r="H8" s="503"/>
      <c r="I8" s="503"/>
      <c r="J8" s="503"/>
      <c r="K8" s="322">
        <v>1</v>
      </c>
      <c r="L8" s="503" t="s">
        <v>23</v>
      </c>
      <c r="M8" s="503"/>
      <c r="N8" s="503"/>
      <c r="O8" s="503"/>
      <c r="P8" s="501"/>
      <c r="Q8" s="502"/>
    </row>
    <row r="9" spans="1:17" customFormat="1" ht="17.25" customHeight="1">
      <c r="A9" s="272"/>
      <c r="B9" s="272"/>
      <c r="C9" s="272"/>
      <c r="D9" s="272"/>
      <c r="E9" s="272"/>
      <c r="F9" s="272"/>
      <c r="G9" s="272"/>
      <c r="H9" s="272"/>
      <c r="I9" s="272"/>
      <c r="J9" s="272"/>
      <c r="K9" s="321">
        <f>($K$7*2)+($K$8*2)+1+1</f>
        <v>9</v>
      </c>
      <c r="L9" s="272" t="str">
        <f>Rekenblad!L9</f>
        <v>man in de binding</v>
      </c>
      <c r="M9" s="273">
        <f>Rekenblad!M9</f>
        <v>116.03999999999999</v>
      </c>
      <c r="N9" s="272" t="str">
        <f>Rekenblad!N9</f>
        <v>/man/week</v>
      </c>
      <c r="O9" s="273"/>
      <c r="P9" s="112"/>
      <c r="Q9" s="310"/>
    </row>
    <row r="10" spans="1:17" customFormat="1" ht="17.25" customHeight="1">
      <c r="A10" s="112"/>
      <c r="B10" s="112"/>
      <c r="C10" s="112"/>
      <c r="D10" s="112"/>
      <c r="E10" s="112"/>
      <c r="F10" s="112"/>
      <c r="G10" s="112"/>
      <c r="H10" s="112"/>
      <c r="I10" s="112"/>
      <c r="J10" s="112"/>
      <c r="K10" s="319">
        <f>K9</f>
        <v>9</v>
      </c>
      <c r="L10" s="112" t="str">
        <f>Rekenblad!L10</f>
        <v>Telefoon abonnement</v>
      </c>
      <c r="M10" s="113">
        <f>Rekenblad!M10</f>
        <v>60</v>
      </c>
      <c r="N10" s="112" t="str">
        <f>Rekenblad!N10</f>
        <v>/maand</v>
      </c>
      <c r="O10" s="113"/>
      <c r="P10" s="112"/>
      <c r="Q10" s="310"/>
    </row>
    <row r="11" spans="1:17" ht="35.450000000000003" customHeight="1">
      <c r="A11" s="78" t="s">
        <v>24</v>
      </c>
      <c r="B11" s="79" t="s">
        <v>25</v>
      </c>
      <c r="C11" s="80" t="s">
        <v>26</v>
      </c>
      <c r="D11" s="68" t="s">
        <v>27</v>
      </c>
      <c r="E11" s="69">
        <v>60</v>
      </c>
      <c r="F11" s="70">
        <f>O11</f>
        <v>5065.5599999999995</v>
      </c>
      <c r="G11" s="81">
        <f>H11/5</f>
        <v>60786.719999999994</v>
      </c>
      <c r="H11" s="82">
        <f>F11*E11</f>
        <v>303933.59999999998</v>
      </c>
      <c r="I11" s="274" t="s">
        <v>28</v>
      </c>
      <c r="J11" s="275" t="s">
        <v>29</v>
      </c>
      <c r="K11" s="319"/>
      <c r="L11" s="112"/>
      <c r="M11" s="86"/>
      <c r="N11" s="112"/>
      <c r="O11" s="113">
        <f>K9*(M9*(52/12))+K10*M10</f>
        <v>5065.5599999999995</v>
      </c>
      <c r="P11" s="276" t="s">
        <v>506</v>
      </c>
      <c r="Q11" s="151"/>
    </row>
    <row r="12" spans="1:17" s="20" customFormat="1">
      <c r="A12" s="90" t="s">
        <v>31</v>
      </c>
      <c r="B12" s="91" t="s">
        <v>32</v>
      </c>
      <c r="C12" s="92" t="s">
        <v>33</v>
      </c>
      <c r="D12" s="93" t="s">
        <v>27</v>
      </c>
      <c r="E12" s="94">
        <v>60</v>
      </c>
      <c r="F12" s="95">
        <v>10000</v>
      </c>
      <c r="G12" s="96">
        <f>F12*12</f>
        <v>120000</v>
      </c>
      <c r="H12" s="97"/>
      <c r="I12" s="98"/>
      <c r="J12" s="99"/>
      <c r="K12" s="319"/>
      <c r="L12" s="112"/>
      <c r="M12" s="113"/>
      <c r="N12" s="112"/>
      <c r="O12" s="113"/>
      <c r="P12" s="99"/>
      <c r="Q12" s="302"/>
    </row>
    <row r="13" spans="1:17" ht="67.5">
      <c r="A13" s="78" t="s">
        <v>34</v>
      </c>
      <c r="B13" s="79" t="s">
        <v>35</v>
      </c>
      <c r="C13" s="80" t="s">
        <v>26</v>
      </c>
      <c r="D13" s="68" t="s">
        <v>27</v>
      </c>
      <c r="E13" s="69">
        <v>60</v>
      </c>
      <c r="F13" s="70">
        <f>O13</f>
        <v>7934.8499999999985</v>
      </c>
      <c r="G13" s="81">
        <f>H13/5</f>
        <v>95218.199999999983</v>
      </c>
      <c r="H13" s="82">
        <f>F13*E13</f>
        <v>476090.99999999988</v>
      </c>
      <c r="I13" s="76" t="s">
        <v>36</v>
      </c>
      <c r="J13" s="84" t="s">
        <v>37</v>
      </c>
      <c r="K13" s="325">
        <f>Rekenblad!K13</f>
        <v>3.75</v>
      </c>
      <c r="L13" s="324" t="s">
        <v>38</v>
      </c>
      <c r="M13" s="500">
        <f>K7*(F16+F17)+K8*F18</f>
        <v>2115.9599999999996</v>
      </c>
      <c r="N13" s="324" t="s">
        <v>39</v>
      </c>
      <c r="O13" s="113">
        <f>(M13*K13)</f>
        <v>7934.8499999999985</v>
      </c>
      <c r="P13" s="103" t="s">
        <v>40</v>
      </c>
      <c r="Q13" s="151"/>
    </row>
    <row r="14" spans="1:17" ht="69.599999999999994" customHeight="1">
      <c r="A14" s="104" t="s">
        <v>41</v>
      </c>
      <c r="B14" s="105" t="s">
        <v>42</v>
      </c>
      <c r="C14" s="106" t="s">
        <v>26</v>
      </c>
      <c r="D14" s="107" t="s">
        <v>27</v>
      </c>
      <c r="E14" s="108">
        <v>60</v>
      </c>
      <c r="F14" s="109">
        <f>O14</f>
        <v>1360</v>
      </c>
      <c r="G14" s="81">
        <f>H14/5</f>
        <v>16320</v>
      </c>
      <c r="H14" s="82">
        <f>F14*E14</f>
        <v>81600</v>
      </c>
      <c r="I14" s="83" t="s">
        <v>43</v>
      </c>
      <c r="J14" s="111" t="s">
        <v>44</v>
      </c>
      <c r="K14" s="320">
        <v>16</v>
      </c>
      <c r="L14" s="112" t="s">
        <v>8</v>
      </c>
      <c r="M14" s="113">
        <v>85</v>
      </c>
      <c r="N14" s="112" t="s">
        <v>8</v>
      </c>
      <c r="O14" s="113">
        <f>M14*K14</f>
        <v>1360</v>
      </c>
      <c r="P14" s="282" t="s">
        <v>507</v>
      </c>
      <c r="Q14" s="151"/>
    </row>
    <row r="15" spans="1:17" ht="33.75">
      <c r="A15" s="64">
        <v>2</v>
      </c>
      <c r="B15" s="115" t="s">
        <v>46</v>
      </c>
      <c r="C15" s="115"/>
      <c r="D15" s="38" t="s">
        <v>12</v>
      </c>
      <c r="E15" s="47" t="s">
        <v>13</v>
      </c>
      <c r="F15" s="48" t="s">
        <v>14</v>
      </c>
      <c r="G15" s="48" t="s">
        <v>15</v>
      </c>
      <c r="H15" s="48" t="s">
        <v>16</v>
      </c>
      <c r="I15" s="38" t="s">
        <v>17</v>
      </c>
      <c r="J15" s="49" t="s">
        <v>47</v>
      </c>
      <c r="K15" s="37" t="s">
        <v>48</v>
      </c>
      <c r="L15" s="50" t="s">
        <v>49</v>
      </c>
      <c r="M15" s="58" t="s">
        <v>50</v>
      </c>
      <c r="N15" s="58"/>
      <c r="O15" s="59"/>
      <c r="P15" s="49" t="s">
        <v>18</v>
      </c>
      <c r="Q15" s="151"/>
    </row>
    <row r="16" spans="1:17" ht="96" customHeight="1">
      <c r="A16" s="78" t="s">
        <v>51</v>
      </c>
      <c r="B16" s="116" t="s">
        <v>52</v>
      </c>
      <c r="C16" s="75" t="s">
        <v>53</v>
      </c>
      <c r="D16" s="107" t="s">
        <v>8</v>
      </c>
      <c r="E16" s="117">
        <f>D3</f>
        <v>600</v>
      </c>
      <c r="F16" s="118">
        <f>Rekenblad!F16</f>
        <v>530.56499999999994</v>
      </c>
      <c r="G16" s="118">
        <f>E16*F16</f>
        <v>318338.99999999994</v>
      </c>
      <c r="H16" s="109">
        <f>A4*G16</f>
        <v>1591694.9999999998</v>
      </c>
      <c r="I16" s="76" t="s">
        <v>54</v>
      </c>
      <c r="J16" s="76" t="s">
        <v>55</v>
      </c>
      <c r="K16" s="119">
        <v>100</v>
      </c>
      <c r="L16" s="120">
        <v>500</v>
      </c>
      <c r="M16" s="278">
        <v>3</v>
      </c>
      <c r="N16" s="278"/>
      <c r="O16" s="76"/>
      <c r="P16" s="77"/>
      <c r="Q16" s="151"/>
    </row>
    <row r="17" spans="1:17" ht="96" customHeight="1">
      <c r="A17" s="78" t="s">
        <v>51</v>
      </c>
      <c r="B17" s="116" t="s">
        <v>56</v>
      </c>
      <c r="C17" s="75" t="s">
        <v>57</v>
      </c>
      <c r="D17" s="107" t="s">
        <v>8</v>
      </c>
      <c r="E17" s="108"/>
      <c r="F17" s="118">
        <f>Rekenblad!F17</f>
        <v>225.58499999999998</v>
      </c>
      <c r="G17" s="118"/>
      <c r="H17" s="109"/>
      <c r="I17" s="76" t="s">
        <v>58</v>
      </c>
      <c r="J17" s="76"/>
      <c r="K17" s="119"/>
      <c r="L17" s="120"/>
      <c r="M17" s="121"/>
      <c r="N17" s="121"/>
      <c r="O17" s="75"/>
      <c r="P17" s="77"/>
      <c r="Q17" s="151"/>
    </row>
    <row r="18" spans="1:17" ht="71.25" customHeight="1">
      <c r="A18" s="104" t="s">
        <v>59</v>
      </c>
      <c r="B18" s="116" t="s">
        <v>60</v>
      </c>
      <c r="C18" s="75" t="s">
        <v>53</v>
      </c>
      <c r="D18" s="107" t="s">
        <v>8</v>
      </c>
      <c r="E18" s="30">
        <f>H3</f>
        <v>360</v>
      </c>
      <c r="F18" s="118">
        <f>Rekenblad!F18</f>
        <v>225.58499999999998</v>
      </c>
      <c r="G18" s="118">
        <f>F18*E18</f>
        <v>81210.599999999991</v>
      </c>
      <c r="H18" s="109">
        <f>A4*G18</f>
        <v>406052.99999999994</v>
      </c>
      <c r="I18" s="76" t="s">
        <v>61</v>
      </c>
      <c r="J18" s="76" t="s">
        <v>62</v>
      </c>
      <c r="K18" s="122">
        <v>10</v>
      </c>
      <c r="L18" s="122">
        <v>50</v>
      </c>
      <c r="M18" s="279">
        <v>4</v>
      </c>
      <c r="N18" s="279"/>
      <c r="O18" s="124"/>
      <c r="P18" s="77"/>
      <c r="Q18" s="151"/>
    </row>
    <row r="19" spans="1:17" s="19" customFormat="1" ht="47.25" customHeight="1">
      <c r="A19" s="125" t="s">
        <v>63</v>
      </c>
      <c r="B19" s="126" t="s">
        <v>64</v>
      </c>
      <c r="C19" s="127" t="s">
        <v>33</v>
      </c>
      <c r="D19" s="127" t="s">
        <v>8</v>
      </c>
      <c r="E19" s="128">
        <f>E16</f>
        <v>600</v>
      </c>
      <c r="F19" s="130">
        <f>Rekenblad!F19</f>
        <v>424</v>
      </c>
      <c r="G19" s="130">
        <f t="shared" ref="G19:G22" si="0">F19*E19</f>
        <v>254400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30">
        <f>Rekenblad!F20</f>
        <v>689</v>
      </c>
      <c r="G20" s="130">
        <f t="shared" si="0"/>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30">
        <f>Rekenblad!F21</f>
        <v>2031.6666666666702</v>
      </c>
      <c r="G21" s="130">
        <f t="shared" si="0"/>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30">
        <f>Rekenblad!F22</f>
        <v>3445</v>
      </c>
      <c r="G22" s="130">
        <f t="shared" si="0"/>
        <v>0</v>
      </c>
      <c r="H22" s="139"/>
      <c r="I22" s="132"/>
      <c r="J22" s="133"/>
      <c r="K22" s="134"/>
      <c r="L22" s="135"/>
      <c r="M22" s="136"/>
      <c r="N22" s="136"/>
      <c r="O22" s="137"/>
      <c r="P22" s="138"/>
      <c r="Q22" s="303"/>
    </row>
    <row r="23" spans="1:17" ht="59.25" customHeight="1">
      <c r="A23" s="64">
        <v>3</v>
      </c>
      <c r="B23" s="65" t="s">
        <v>71</v>
      </c>
      <c r="C23" s="140"/>
      <c r="D23" s="51" t="s">
        <v>12</v>
      </c>
      <c r="E23" s="52" t="s">
        <v>13</v>
      </c>
      <c r="F23" s="60" t="str">
        <f>Rekenblad!F23</f>
        <v>bedrag per eenheid (excl. btw)</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18">
        <f>Rekenblad!F24</f>
        <v>0</v>
      </c>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1066.6666666666665</v>
      </c>
      <c r="F25" s="118">
        <f>Rekenblad!F25</f>
        <v>55.650000000000006</v>
      </c>
      <c r="G25" s="145" t="s">
        <v>77</v>
      </c>
      <c r="H25" s="145">
        <f>E25*F25</f>
        <v>59360</v>
      </c>
      <c r="I25" s="280">
        <f>Rekenblad!I25</f>
        <v>0.66666666666666663</v>
      </c>
      <c r="J25" s="151"/>
      <c r="K25" s="118"/>
      <c r="L25" s="146"/>
      <c r="M25" s="146"/>
      <c r="N25" s="146"/>
      <c r="O25" s="146"/>
      <c r="P25" s="147"/>
      <c r="Q25" s="151"/>
    </row>
    <row r="26" spans="1:17" ht="30" customHeight="1">
      <c r="A26" s="143"/>
      <c r="B26" s="148" t="s">
        <v>78</v>
      </c>
      <c r="C26" s="149" t="s">
        <v>76</v>
      </c>
      <c r="D26" s="143" t="s">
        <v>8</v>
      </c>
      <c r="E26" s="108">
        <f>((1/3)*($D$3+$H$3)*$A$4)*I26</f>
        <v>266.66666666666663</v>
      </c>
      <c r="F26" s="118">
        <f>Rekenblad!F26</f>
        <v>68.900000000000006</v>
      </c>
      <c r="G26" s="145" t="s">
        <v>77</v>
      </c>
      <c r="H26" s="145">
        <f t="shared" ref="H26:H30" si="1">E26*F26</f>
        <v>18373.333333333332</v>
      </c>
      <c r="I26" s="280">
        <f>Rekenblad!I26</f>
        <v>0.16666666666666666</v>
      </c>
      <c r="J26" s="152"/>
      <c r="K26" s="118"/>
      <c r="L26" s="146"/>
      <c r="M26" s="146"/>
      <c r="N26" s="146"/>
      <c r="O26" s="146"/>
      <c r="P26" s="147"/>
      <c r="Q26" s="151"/>
    </row>
    <row r="27" spans="1:17" ht="30" customHeight="1">
      <c r="A27" s="143"/>
      <c r="B27" s="148" t="s">
        <v>79</v>
      </c>
      <c r="C27" s="149" t="s">
        <v>76</v>
      </c>
      <c r="D27" s="143" t="s">
        <v>8</v>
      </c>
      <c r="E27" s="108">
        <f>((1/3)*($D$3+$H$3)*$A$4)*I27</f>
        <v>133.33333333333331</v>
      </c>
      <c r="F27" s="118">
        <f>Rekenblad!F27</f>
        <v>79.5</v>
      </c>
      <c r="G27" s="145" t="s">
        <v>77</v>
      </c>
      <c r="H27" s="145">
        <f t="shared" si="1"/>
        <v>10599.999999999998</v>
      </c>
      <c r="I27" s="280">
        <f>Rekenblad!I27</f>
        <v>8.3333333333333329E-2</v>
      </c>
      <c r="J27" s="152"/>
      <c r="K27" s="118"/>
      <c r="L27" s="146"/>
      <c r="M27" s="146"/>
      <c r="N27" s="146"/>
      <c r="O27" s="146"/>
      <c r="P27" s="147"/>
      <c r="Q27" s="151"/>
    </row>
    <row r="28" spans="1:17" ht="30" customHeight="1">
      <c r="A28" s="143"/>
      <c r="B28" s="148" t="s">
        <v>80</v>
      </c>
      <c r="C28" s="149" t="s">
        <v>76</v>
      </c>
      <c r="D28" s="143" t="s">
        <v>8</v>
      </c>
      <c r="E28" s="108">
        <f>((1/3)*($D$3+$H$3)*$A$4)*I28</f>
        <v>133.33333333333331</v>
      </c>
      <c r="F28" s="118">
        <f>Rekenblad!F28</f>
        <v>100.7</v>
      </c>
      <c r="G28" s="145" t="s">
        <v>77</v>
      </c>
      <c r="H28" s="145">
        <f t="shared" si="1"/>
        <v>13426.666666666664</v>
      </c>
      <c r="I28" s="280">
        <f>Rekenblad!I28</f>
        <v>8.3333333333333329E-2</v>
      </c>
      <c r="J28" s="152"/>
      <c r="K28" s="118"/>
      <c r="L28" s="146"/>
      <c r="M28" s="146"/>
      <c r="N28" s="146"/>
      <c r="O28" s="146"/>
      <c r="P28" s="147"/>
      <c r="Q28" s="151"/>
    </row>
    <row r="29" spans="1:17" ht="30" customHeight="1">
      <c r="A29" s="143"/>
      <c r="B29" s="148" t="s">
        <v>81</v>
      </c>
      <c r="C29" s="149" t="s">
        <v>33</v>
      </c>
      <c r="D29" s="143" t="s">
        <v>8</v>
      </c>
      <c r="E29" s="108">
        <f>Rekenblad!E29</f>
        <v>0</v>
      </c>
      <c r="F29" s="118">
        <f>Rekenblad!F29</f>
        <v>76.850000000000009</v>
      </c>
      <c r="G29" s="145" t="s">
        <v>77</v>
      </c>
      <c r="H29" s="145">
        <f t="shared" si="1"/>
        <v>0</v>
      </c>
      <c r="I29" s="153"/>
      <c r="J29" s="152"/>
      <c r="K29" s="118"/>
      <c r="L29" s="146"/>
      <c r="M29" s="146"/>
      <c r="N29" s="146"/>
      <c r="O29" s="146"/>
      <c r="P29" s="147"/>
      <c r="Q29" s="151"/>
    </row>
    <row r="30" spans="1:17" ht="30" customHeight="1">
      <c r="A30" s="143"/>
      <c r="B30" s="148" t="s">
        <v>82</v>
      </c>
      <c r="C30" s="149" t="s">
        <v>57</v>
      </c>
      <c r="D30" s="143" t="s">
        <v>8</v>
      </c>
      <c r="E30" s="108">
        <f>Rekenblad!E30</f>
        <v>0</v>
      </c>
      <c r="F30" s="118">
        <f>Rekenblad!F30</f>
        <v>113.102</v>
      </c>
      <c r="G30" s="145" t="s">
        <v>77</v>
      </c>
      <c r="H30" s="145">
        <f t="shared" si="1"/>
        <v>0</v>
      </c>
      <c r="I30" s="153"/>
      <c r="J30" s="152"/>
      <c r="K30" s="118"/>
      <c r="L30" s="146"/>
      <c r="M30" s="146"/>
      <c r="N30" s="146"/>
      <c r="O30" s="146"/>
      <c r="P30" s="147"/>
      <c r="Q30" s="151"/>
    </row>
    <row r="31" spans="1:17" ht="30" customHeight="1">
      <c r="A31" s="143"/>
      <c r="B31" s="148"/>
      <c r="C31" s="149"/>
      <c r="D31" s="143"/>
      <c r="E31" s="108"/>
      <c r="F31" s="118"/>
      <c r="G31" s="145"/>
      <c r="H31" s="145"/>
      <c r="I31" s="153"/>
      <c r="J31" s="152"/>
      <c r="K31" s="118"/>
      <c r="L31" s="146"/>
      <c r="M31" s="146"/>
      <c r="N31" s="146"/>
      <c r="O31" s="146"/>
      <c r="P31" s="147"/>
      <c r="Q31" s="151"/>
    </row>
    <row r="32" spans="1:17" ht="30" customHeight="1">
      <c r="A32" s="141" t="s">
        <v>83</v>
      </c>
      <c r="B32" s="142" t="s">
        <v>84</v>
      </c>
      <c r="C32" s="65"/>
      <c r="D32" s="64"/>
      <c r="E32" s="108"/>
      <c r="F32" s="118"/>
      <c r="G32" s="145"/>
      <c r="H32" s="145"/>
      <c r="I32" s="153"/>
      <c r="J32" s="155"/>
      <c r="K32" s="118"/>
      <c r="L32" s="146"/>
      <c r="M32" s="146"/>
      <c r="N32" s="146"/>
      <c r="O32" s="146"/>
      <c r="P32" s="147"/>
      <c r="Q32" s="151"/>
    </row>
    <row r="33" spans="1:17" ht="30" customHeight="1">
      <c r="A33" s="143"/>
      <c r="B33" s="148" t="s">
        <v>75</v>
      </c>
      <c r="C33" s="149" t="s">
        <v>76</v>
      </c>
      <c r="D33" s="143" t="s">
        <v>8</v>
      </c>
      <c r="E33" s="108">
        <f>Rekenblad!E33</f>
        <v>0</v>
      </c>
      <c r="F33" s="118">
        <f>Rekenblad!F33</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f>Rekenblad!E34</f>
        <v>0</v>
      </c>
      <c r="F34" s="118">
        <f>Rekenblad!F34</f>
        <v>63.6</v>
      </c>
      <c r="G34" s="145"/>
      <c r="H34" s="145">
        <f t="shared" ref="H34:H41" si="2">F34*E34</f>
        <v>0</v>
      </c>
      <c r="I34" s="569"/>
      <c r="J34" s="573"/>
      <c r="K34" s="118"/>
      <c r="L34" s="146"/>
      <c r="M34" s="146"/>
      <c r="N34" s="146"/>
      <c r="O34" s="146"/>
      <c r="P34" s="147"/>
      <c r="Q34" s="151"/>
    </row>
    <row r="35" spans="1:17" ht="30" customHeight="1">
      <c r="A35" s="143"/>
      <c r="B35" s="148" t="s">
        <v>79</v>
      </c>
      <c r="C35" s="149" t="s">
        <v>76</v>
      </c>
      <c r="D35" s="143" t="s">
        <v>8</v>
      </c>
      <c r="E35" s="108">
        <f>Rekenblad!E35</f>
        <v>0</v>
      </c>
      <c r="F35" s="118">
        <f>Rekenblad!F35</f>
        <v>74.2</v>
      </c>
      <c r="G35" s="145"/>
      <c r="H35" s="145">
        <f t="shared" si="2"/>
        <v>0</v>
      </c>
      <c r="I35" s="569"/>
      <c r="J35" s="573"/>
      <c r="K35" s="118"/>
      <c r="L35" s="146"/>
      <c r="M35" s="146"/>
      <c r="N35" s="146"/>
      <c r="O35" s="146"/>
      <c r="P35" s="147"/>
      <c r="Q35" s="151"/>
    </row>
    <row r="36" spans="1:17" ht="30" customHeight="1">
      <c r="A36" s="143"/>
      <c r="B36" s="148" t="s">
        <v>80</v>
      </c>
      <c r="C36" s="149" t="s">
        <v>76</v>
      </c>
      <c r="D36" s="143" t="s">
        <v>8</v>
      </c>
      <c r="E36" s="108">
        <f>Rekenblad!E36</f>
        <v>0</v>
      </c>
      <c r="F36" s="118">
        <f>Rekenblad!F36</f>
        <v>84.800000000000011</v>
      </c>
      <c r="G36" s="145"/>
      <c r="H36" s="145">
        <f t="shared" si="2"/>
        <v>0</v>
      </c>
      <c r="I36" s="569"/>
      <c r="J36" s="573"/>
      <c r="K36" s="118"/>
      <c r="L36" s="146"/>
      <c r="M36" s="146"/>
      <c r="N36" s="146"/>
      <c r="O36" s="146"/>
      <c r="P36" s="147"/>
      <c r="Q36" s="151"/>
    </row>
    <row r="37" spans="1:17" ht="30" customHeight="1">
      <c r="A37" s="141" t="s">
        <v>85</v>
      </c>
      <c r="B37" s="156" t="s">
        <v>86</v>
      </c>
      <c r="C37" s="141"/>
      <c r="D37" s="64"/>
      <c r="E37" s="108"/>
      <c r="F37" s="118"/>
      <c r="G37" s="145"/>
      <c r="H37" s="145">
        <f t="shared" si="2"/>
        <v>0</v>
      </c>
      <c r="I37" s="569"/>
      <c r="J37" s="573"/>
      <c r="K37" s="118"/>
      <c r="L37" s="146"/>
      <c r="M37" s="146"/>
      <c r="N37" s="146"/>
      <c r="O37" s="146"/>
      <c r="P37" s="147"/>
      <c r="Q37" s="151"/>
    </row>
    <row r="38" spans="1:17" ht="30" customHeight="1">
      <c r="A38" s="143"/>
      <c r="B38" s="157" t="s">
        <v>75</v>
      </c>
      <c r="C38" s="143" t="s">
        <v>76</v>
      </c>
      <c r="D38" s="143" t="s">
        <v>8</v>
      </c>
      <c r="E38" s="108">
        <f>Rekenblad!E38</f>
        <v>0</v>
      </c>
      <c r="F38" s="118">
        <f>Rekenblad!F38</f>
        <v>50.88</v>
      </c>
      <c r="G38" s="145"/>
      <c r="H38" s="145">
        <f t="shared" si="2"/>
        <v>0</v>
      </c>
      <c r="I38" s="569"/>
      <c r="J38" s="573"/>
      <c r="K38" s="118"/>
      <c r="L38" s="146"/>
      <c r="M38" s="146"/>
      <c r="N38" s="146"/>
      <c r="O38" s="146"/>
      <c r="P38" s="147"/>
      <c r="Q38" s="151"/>
    </row>
    <row r="39" spans="1:17" ht="30" customHeight="1">
      <c r="A39" s="143"/>
      <c r="B39" s="157" t="s">
        <v>78</v>
      </c>
      <c r="C39" s="143" t="s">
        <v>76</v>
      </c>
      <c r="D39" s="143" t="s">
        <v>8</v>
      </c>
      <c r="E39" s="108">
        <f>Rekenblad!E39</f>
        <v>0</v>
      </c>
      <c r="F39" s="118">
        <f>Rekenblad!F39</f>
        <v>58.300000000000004</v>
      </c>
      <c r="G39" s="145"/>
      <c r="H39" s="145">
        <f t="shared" si="2"/>
        <v>0</v>
      </c>
      <c r="I39" s="569"/>
      <c r="J39" s="573"/>
      <c r="K39" s="118"/>
      <c r="L39" s="146"/>
      <c r="M39" s="146"/>
      <c r="N39" s="146"/>
      <c r="O39" s="146"/>
      <c r="P39" s="147"/>
      <c r="Q39" s="151"/>
    </row>
    <row r="40" spans="1:17" ht="30" customHeight="1">
      <c r="A40" s="143"/>
      <c r="B40" s="157" t="s">
        <v>79</v>
      </c>
      <c r="C40" s="143" t="s">
        <v>76</v>
      </c>
      <c r="D40" s="143" t="s">
        <v>8</v>
      </c>
      <c r="E40" s="108">
        <f>Rekenblad!E40</f>
        <v>0</v>
      </c>
      <c r="F40" s="118">
        <f>Rekenblad!F40</f>
        <v>68.900000000000006</v>
      </c>
      <c r="G40" s="145"/>
      <c r="H40" s="145">
        <f t="shared" si="2"/>
        <v>0</v>
      </c>
      <c r="I40" s="569"/>
      <c r="J40" s="573"/>
      <c r="K40" s="118"/>
      <c r="L40" s="146"/>
      <c r="M40" s="146"/>
      <c r="N40" s="146"/>
      <c r="O40" s="146"/>
      <c r="P40" s="147"/>
      <c r="Q40" s="151"/>
    </row>
    <row r="41" spans="1:17" ht="30" customHeight="1">
      <c r="A41" s="143"/>
      <c r="B41" s="157" t="s">
        <v>80</v>
      </c>
      <c r="C41" s="143" t="s">
        <v>76</v>
      </c>
      <c r="D41" s="143" t="s">
        <v>8</v>
      </c>
      <c r="E41" s="108">
        <f>Rekenblad!E41</f>
        <v>0</v>
      </c>
      <c r="F41" s="118">
        <f>Rekenblad!F41</f>
        <v>79.5</v>
      </c>
      <c r="G41" s="145"/>
      <c r="H41" s="145">
        <f t="shared" si="2"/>
        <v>0</v>
      </c>
      <c r="I41" s="569"/>
      <c r="J41" s="573"/>
      <c r="K41" s="118"/>
      <c r="L41" s="146"/>
      <c r="M41" s="146"/>
      <c r="N41" s="146"/>
      <c r="O41" s="146"/>
      <c r="P41" s="147"/>
      <c r="Q41" s="151"/>
    </row>
    <row r="42" spans="1:17" ht="30" customHeight="1">
      <c r="A42" s="141" t="s">
        <v>87</v>
      </c>
      <c r="B42" s="142" t="s">
        <v>88</v>
      </c>
      <c r="C42" s="65"/>
      <c r="D42" s="64"/>
      <c r="E42" s="108"/>
      <c r="F42" s="118"/>
      <c r="G42" s="145"/>
      <c r="H42" s="145"/>
      <c r="I42" s="569"/>
      <c r="J42" s="573"/>
      <c r="K42" s="118"/>
      <c r="L42" s="146"/>
      <c r="M42" s="146"/>
      <c r="N42" s="146"/>
      <c r="O42" s="146"/>
      <c r="P42" s="147"/>
      <c r="Q42" s="151"/>
    </row>
    <row r="43" spans="1:17" ht="30" customHeight="1">
      <c r="A43" s="143"/>
      <c r="B43" s="148" t="s">
        <v>75</v>
      </c>
      <c r="C43" s="149" t="s">
        <v>76</v>
      </c>
      <c r="D43" s="143" t="s">
        <v>8</v>
      </c>
      <c r="E43" s="108">
        <f>Rekenblad!E43</f>
        <v>0</v>
      </c>
      <c r="F43" s="118">
        <f>Rekenblad!F43</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f>Rekenblad!E44</f>
        <v>0</v>
      </c>
      <c r="F44" s="118">
        <f>Rekenblad!F44</f>
        <v>53</v>
      </c>
      <c r="G44" s="145"/>
      <c r="H44" s="145">
        <f t="shared" ref="H44:H46" si="3">E44*F44</f>
        <v>0</v>
      </c>
      <c r="I44" s="569"/>
      <c r="J44" s="573"/>
      <c r="K44" s="118"/>
      <c r="L44" s="146"/>
      <c r="M44" s="146"/>
      <c r="N44" s="146"/>
      <c r="O44" s="146"/>
      <c r="P44" s="147"/>
      <c r="Q44" s="151"/>
    </row>
    <row r="45" spans="1:17" ht="30" customHeight="1">
      <c r="A45" s="143"/>
      <c r="B45" s="148" t="s">
        <v>79</v>
      </c>
      <c r="C45" s="149" t="s">
        <v>76</v>
      </c>
      <c r="D45" s="143" t="s">
        <v>8</v>
      </c>
      <c r="E45" s="108">
        <f>Rekenblad!E45</f>
        <v>0</v>
      </c>
      <c r="F45" s="118">
        <f>Rekenblad!F45</f>
        <v>63.6</v>
      </c>
      <c r="G45" s="145"/>
      <c r="H45" s="145">
        <f t="shared" si="3"/>
        <v>0</v>
      </c>
      <c r="I45" s="569"/>
      <c r="J45" s="573"/>
      <c r="K45" s="118"/>
      <c r="L45" s="146"/>
      <c r="M45" s="146"/>
      <c r="N45" s="146"/>
      <c r="O45" s="146"/>
      <c r="P45" s="147"/>
      <c r="Q45" s="151"/>
    </row>
    <row r="46" spans="1:17" ht="30" customHeight="1">
      <c r="A46" s="143"/>
      <c r="B46" s="148" t="s">
        <v>80</v>
      </c>
      <c r="C46" s="149" t="s">
        <v>76</v>
      </c>
      <c r="D46" s="143" t="s">
        <v>8</v>
      </c>
      <c r="E46" s="108">
        <f>Rekenblad!E46</f>
        <v>0</v>
      </c>
      <c r="F46" s="118">
        <f>Rekenblad!F46</f>
        <v>79.5</v>
      </c>
      <c r="G46" s="145"/>
      <c r="H46" s="145">
        <f t="shared" si="3"/>
        <v>0</v>
      </c>
      <c r="I46" s="569"/>
      <c r="J46" s="573"/>
      <c r="K46" s="118"/>
      <c r="L46" s="146"/>
      <c r="M46" s="146"/>
      <c r="N46" s="146"/>
      <c r="O46" s="146"/>
      <c r="P46" s="147"/>
      <c r="Q46" s="151"/>
    </row>
    <row r="47" spans="1:17" ht="30" customHeight="1">
      <c r="A47" s="143"/>
      <c r="B47" s="148" t="s">
        <v>89</v>
      </c>
      <c r="C47" s="149" t="s">
        <v>33</v>
      </c>
      <c r="D47" s="143" t="s">
        <v>8</v>
      </c>
      <c r="E47" s="108">
        <f>Rekenblad!E47</f>
        <v>16</v>
      </c>
      <c r="F47" s="118">
        <f>Rekenblad!F47</f>
        <v>111.83000000000001</v>
      </c>
      <c r="G47" s="118"/>
      <c r="H47" s="118">
        <f>E47*F47</f>
        <v>1789.2800000000002</v>
      </c>
      <c r="I47" s="569" t="s">
        <v>90</v>
      </c>
      <c r="J47" s="573"/>
      <c r="K47" s="118"/>
      <c r="L47" s="146"/>
      <c r="M47" s="146"/>
      <c r="N47" s="146"/>
      <c r="O47" s="146"/>
      <c r="P47" s="147"/>
      <c r="Q47" s="151"/>
    </row>
    <row r="48" spans="1:17" ht="30" customHeight="1">
      <c r="A48" s="143"/>
      <c r="B48" s="148" t="s">
        <v>91</v>
      </c>
      <c r="C48" s="149" t="s">
        <v>33</v>
      </c>
      <c r="D48" s="143" t="s">
        <v>8</v>
      </c>
      <c r="E48" s="108">
        <f>Rekenblad!E48</f>
        <v>2</v>
      </c>
      <c r="F48" s="118">
        <f>Rekenblad!F48</f>
        <v>97.52000000000001</v>
      </c>
      <c r="G48" s="118"/>
      <c r="H48" s="118">
        <f t="shared" ref="H48:H60" si="4">E48*F48</f>
        <v>195.04000000000002</v>
      </c>
      <c r="I48" s="569" t="s">
        <v>92</v>
      </c>
      <c r="J48" s="573"/>
      <c r="K48" s="118"/>
      <c r="L48" s="146"/>
      <c r="M48" s="146"/>
      <c r="N48" s="146"/>
      <c r="O48" s="146"/>
      <c r="P48" s="147"/>
      <c r="Q48" s="151"/>
    </row>
    <row r="49" spans="1:17" ht="30" customHeight="1">
      <c r="A49" s="143"/>
      <c r="B49" s="148" t="s">
        <v>93</v>
      </c>
      <c r="C49" s="149" t="s">
        <v>33</v>
      </c>
      <c r="D49" s="143" t="s">
        <v>8</v>
      </c>
      <c r="E49" s="108">
        <f>Rekenblad!E49</f>
        <v>40</v>
      </c>
      <c r="F49" s="118">
        <f>Rekenblad!F49</f>
        <v>68.37</v>
      </c>
      <c r="G49" s="118"/>
      <c r="H49" s="118">
        <f t="shared" si="4"/>
        <v>2734.8</v>
      </c>
      <c r="I49" s="569" t="s">
        <v>94</v>
      </c>
      <c r="J49" s="573"/>
      <c r="K49" s="118"/>
      <c r="L49" s="146"/>
      <c r="M49" s="146"/>
      <c r="N49" s="146"/>
      <c r="O49" s="146"/>
      <c r="P49" s="147"/>
      <c r="Q49" s="151"/>
    </row>
    <row r="50" spans="1:17" ht="30" customHeight="1">
      <c r="A50" s="143"/>
      <c r="B50" s="148" t="s">
        <v>95</v>
      </c>
      <c r="C50" s="149" t="s">
        <v>33</v>
      </c>
      <c r="D50" s="143" t="s">
        <v>8</v>
      </c>
      <c r="E50" s="108">
        <f>Rekenblad!E50</f>
        <v>2</v>
      </c>
      <c r="F50" s="118">
        <f>Rekenblad!F50</f>
        <v>68.37</v>
      </c>
      <c r="G50" s="118"/>
      <c r="H50" s="118">
        <f t="shared" si="4"/>
        <v>136.74</v>
      </c>
      <c r="I50" s="569" t="s">
        <v>92</v>
      </c>
      <c r="J50" s="573"/>
      <c r="K50" s="118"/>
      <c r="L50" s="146"/>
      <c r="M50" s="146"/>
      <c r="N50" s="146"/>
      <c r="O50" s="146"/>
      <c r="P50" s="147"/>
      <c r="Q50" s="151"/>
    </row>
    <row r="51" spans="1:17" ht="30" customHeight="1">
      <c r="A51" s="143"/>
      <c r="B51" s="148" t="s">
        <v>96</v>
      </c>
      <c r="C51" s="149" t="s">
        <v>33</v>
      </c>
      <c r="D51" s="143" t="s">
        <v>8</v>
      </c>
      <c r="E51" s="108">
        <f>Rekenblad!E51</f>
        <v>2</v>
      </c>
      <c r="F51" s="118">
        <f>Rekenblad!F51</f>
        <v>82.68</v>
      </c>
      <c r="G51" s="118"/>
      <c r="H51" s="118">
        <f t="shared" si="4"/>
        <v>165.36</v>
      </c>
      <c r="I51" s="569" t="s">
        <v>92</v>
      </c>
      <c r="J51" s="573"/>
      <c r="K51" s="118"/>
      <c r="L51" s="146"/>
      <c r="M51" s="146"/>
      <c r="N51" s="146"/>
      <c r="O51" s="146"/>
      <c r="P51" s="147"/>
      <c r="Q51" s="151"/>
    </row>
    <row r="52" spans="1:17" ht="30" customHeight="1">
      <c r="A52" s="143"/>
      <c r="B52" s="157" t="s">
        <v>97</v>
      </c>
      <c r="C52" s="160" t="s">
        <v>33</v>
      </c>
      <c r="D52" s="143" t="s">
        <v>8</v>
      </c>
      <c r="E52" s="108">
        <f>Rekenblad!E52</f>
        <v>40</v>
      </c>
      <c r="F52" s="118">
        <f>Rekenblad!F52</f>
        <v>100.17</v>
      </c>
      <c r="G52" s="118"/>
      <c r="H52" s="118">
        <f t="shared" si="4"/>
        <v>4006.8</v>
      </c>
      <c r="I52" s="569" t="s">
        <v>94</v>
      </c>
      <c r="J52" s="573"/>
      <c r="K52" s="161"/>
      <c r="L52" s="162"/>
      <c r="M52" s="162"/>
      <c r="N52" s="162"/>
      <c r="O52" s="162"/>
      <c r="P52" s="163"/>
      <c r="Q52" s="151"/>
    </row>
    <row r="53" spans="1:17" ht="30" customHeight="1">
      <c r="A53" s="143"/>
      <c r="B53" s="157" t="s">
        <v>98</v>
      </c>
      <c r="C53" s="160" t="s">
        <v>57</v>
      </c>
      <c r="D53" s="143" t="s">
        <v>8</v>
      </c>
      <c r="E53" s="108">
        <f>Rekenblad!E53</f>
        <v>5</v>
      </c>
      <c r="F53" s="118">
        <f>Rekenblad!F53</f>
        <v>113.102</v>
      </c>
      <c r="G53" s="118"/>
      <c r="H53" s="118">
        <f t="shared" si="4"/>
        <v>565.51</v>
      </c>
      <c r="I53" s="153" t="s">
        <v>99</v>
      </c>
      <c r="J53" s="155"/>
      <c r="K53" s="161"/>
      <c r="L53" s="162"/>
      <c r="M53" s="162"/>
      <c r="N53" s="162"/>
      <c r="O53" s="162"/>
      <c r="P53" s="163"/>
      <c r="Q53" s="151"/>
    </row>
    <row r="54" spans="1:17" ht="30" customHeight="1">
      <c r="A54" s="143"/>
      <c r="B54" s="157" t="s">
        <v>100</v>
      </c>
      <c r="C54" s="160" t="s">
        <v>101</v>
      </c>
      <c r="D54" s="143" t="s">
        <v>8</v>
      </c>
      <c r="E54" s="108">
        <f>Rekenblad!E54</f>
        <v>0</v>
      </c>
      <c r="F54" s="118">
        <f>Rekenblad!F54</f>
        <v>42.400000000000006</v>
      </c>
      <c r="G54" s="145"/>
      <c r="H54" s="118">
        <f t="shared" si="4"/>
        <v>0</v>
      </c>
      <c r="I54" s="153"/>
      <c r="J54" s="155"/>
      <c r="K54" s="161"/>
      <c r="L54" s="162"/>
      <c r="M54" s="162"/>
      <c r="N54" s="162"/>
      <c r="O54" s="162"/>
      <c r="P54" s="163"/>
      <c r="Q54" s="151"/>
    </row>
    <row r="55" spans="1:17" ht="30" customHeight="1">
      <c r="A55" s="143"/>
      <c r="B55" s="157"/>
      <c r="C55" s="160"/>
      <c r="D55" s="143"/>
      <c r="E55" s="108"/>
      <c r="F55" s="118"/>
      <c r="G55" s="145"/>
      <c r="H55" s="145"/>
      <c r="I55" s="153"/>
      <c r="J55" s="155"/>
      <c r="K55" s="161"/>
      <c r="L55" s="162"/>
      <c r="M55" s="162"/>
      <c r="N55" s="162"/>
      <c r="O55" s="162"/>
      <c r="P55" s="163"/>
      <c r="Q55" s="151"/>
    </row>
    <row r="56" spans="1:17" ht="30" customHeight="1">
      <c r="A56" s="64" t="s">
        <v>102</v>
      </c>
      <c r="B56" s="156" t="s">
        <v>103</v>
      </c>
      <c r="C56" s="141"/>
      <c r="D56" s="64"/>
      <c r="E56" s="108"/>
      <c r="F56" s="118"/>
      <c r="G56" s="145"/>
      <c r="H56" s="145"/>
      <c r="I56" s="569"/>
      <c r="J56" s="573"/>
      <c r="K56" s="118"/>
      <c r="L56" s="146"/>
      <c r="M56" s="146"/>
      <c r="N56" s="146"/>
      <c r="O56" s="146"/>
      <c r="P56" s="147"/>
      <c r="Q56" s="151"/>
    </row>
    <row r="57" spans="1:17" ht="30" customHeight="1">
      <c r="A57" s="143"/>
      <c r="B57" s="157" t="s">
        <v>75</v>
      </c>
      <c r="C57" s="143" t="s">
        <v>76</v>
      </c>
      <c r="D57" s="143" t="s">
        <v>8</v>
      </c>
      <c r="E57" s="108">
        <f>Rekenblad!E57</f>
        <v>0</v>
      </c>
      <c r="F57" s="118">
        <f>Rekenblad!F57</f>
        <v>47.7</v>
      </c>
      <c r="G57" s="145"/>
      <c r="H57" s="145">
        <f t="shared" si="4"/>
        <v>0</v>
      </c>
      <c r="I57" s="569"/>
      <c r="J57" s="573"/>
      <c r="K57" s="118"/>
      <c r="L57" s="146"/>
      <c r="M57" s="146"/>
      <c r="N57" s="146"/>
      <c r="O57" s="146"/>
      <c r="P57" s="147"/>
      <c r="Q57" s="151"/>
    </row>
    <row r="58" spans="1:17" ht="30" customHeight="1">
      <c r="A58" s="143"/>
      <c r="B58" s="157" t="s">
        <v>78</v>
      </c>
      <c r="C58" s="143" t="s">
        <v>76</v>
      </c>
      <c r="D58" s="143" t="s">
        <v>8</v>
      </c>
      <c r="E58" s="108">
        <f>Rekenblad!E58</f>
        <v>0</v>
      </c>
      <c r="F58" s="118">
        <f>Rekenblad!F58</f>
        <v>58.300000000000004</v>
      </c>
      <c r="G58" s="145"/>
      <c r="H58" s="145">
        <f t="shared" si="4"/>
        <v>0</v>
      </c>
      <c r="I58" s="569"/>
      <c r="J58" s="573"/>
      <c r="K58" s="118"/>
      <c r="L58" s="146"/>
      <c r="M58" s="146"/>
      <c r="N58" s="146"/>
      <c r="O58" s="146"/>
      <c r="P58" s="147"/>
      <c r="Q58" s="151"/>
    </row>
    <row r="59" spans="1:17" ht="30" customHeight="1">
      <c r="A59" s="143"/>
      <c r="B59" s="157" t="s">
        <v>79</v>
      </c>
      <c r="C59" s="143" t="s">
        <v>76</v>
      </c>
      <c r="D59" s="143" t="s">
        <v>8</v>
      </c>
      <c r="E59" s="108">
        <f>Rekenblad!E59</f>
        <v>0</v>
      </c>
      <c r="F59" s="118">
        <f>Rekenblad!F59</f>
        <v>68.900000000000006</v>
      </c>
      <c r="G59" s="145"/>
      <c r="H59" s="145">
        <f t="shared" si="4"/>
        <v>0</v>
      </c>
      <c r="I59" s="569"/>
      <c r="J59" s="573"/>
      <c r="K59" s="118"/>
      <c r="L59" s="146"/>
      <c r="M59" s="146"/>
      <c r="N59" s="146"/>
      <c r="O59" s="146"/>
      <c r="P59" s="147"/>
      <c r="Q59" s="151"/>
    </row>
    <row r="60" spans="1:17" ht="30" customHeight="1">
      <c r="A60" s="143"/>
      <c r="B60" s="157" t="s">
        <v>80</v>
      </c>
      <c r="C60" s="143" t="s">
        <v>76</v>
      </c>
      <c r="D60" s="143" t="s">
        <v>8</v>
      </c>
      <c r="E60" s="108">
        <f>Rekenblad!E60</f>
        <v>0</v>
      </c>
      <c r="F60" s="118">
        <f>Rekenblad!F60</f>
        <v>95.4</v>
      </c>
      <c r="G60" s="145"/>
      <c r="H60" s="145">
        <f t="shared" si="4"/>
        <v>0</v>
      </c>
      <c r="I60" s="569"/>
      <c r="J60" s="573"/>
      <c r="K60" s="118"/>
      <c r="L60" s="146"/>
      <c r="M60" s="146"/>
      <c r="N60" s="146"/>
      <c r="O60" s="146"/>
      <c r="P60" s="147"/>
      <c r="Q60" s="151"/>
    </row>
    <row r="61" spans="1:17" ht="30" customHeight="1">
      <c r="A61" s="143"/>
      <c r="B61" s="157"/>
      <c r="C61" s="143"/>
      <c r="D61" s="143"/>
      <c r="E61" s="108"/>
      <c r="F61" s="118"/>
      <c r="G61" s="145"/>
      <c r="H61" s="145"/>
      <c r="I61" s="569"/>
      <c r="J61" s="573"/>
      <c r="K61" s="161"/>
      <c r="L61" s="162"/>
      <c r="M61" s="162"/>
      <c r="N61" s="162"/>
      <c r="O61" s="162"/>
      <c r="P61" s="163"/>
      <c r="Q61" s="151"/>
    </row>
    <row r="62" spans="1:17" ht="30" customHeight="1">
      <c r="A62" s="64" t="s">
        <v>104</v>
      </c>
      <c r="B62" s="65" t="s">
        <v>105</v>
      </c>
      <c r="C62" s="164"/>
      <c r="D62" s="35" t="s">
        <v>12</v>
      </c>
      <c r="E62" s="57" t="s">
        <v>13</v>
      </c>
      <c r="F62" s="60" t="str">
        <f>Rekenblad!F62</f>
        <v>bedrag per eenheid (excl. btw)</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f>Rekenblad!E63</f>
        <v>20</v>
      </c>
      <c r="F63" s="118">
        <f>Rekenblad!F63</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f>Rekenblad!E64</f>
        <v>0</v>
      </c>
      <c r="F64" s="118">
        <f>Rekenblad!F64</f>
        <v>238.5</v>
      </c>
      <c r="G64" s="145"/>
      <c r="H64" s="145">
        <f t="shared" ref="H64:H67" si="5">E64*F64</f>
        <v>0</v>
      </c>
      <c r="I64" s="569"/>
      <c r="J64" s="573"/>
      <c r="K64" s="118"/>
      <c r="L64" s="146"/>
      <c r="M64" s="146"/>
      <c r="N64" s="146"/>
      <c r="O64" s="146"/>
      <c r="P64" s="147"/>
      <c r="Q64" s="151"/>
    </row>
    <row r="65" spans="1:17" ht="30" customHeight="1">
      <c r="A65" s="143"/>
      <c r="B65" s="148" t="s">
        <v>79</v>
      </c>
      <c r="C65" s="149" t="s">
        <v>26</v>
      </c>
      <c r="D65" s="143" t="s">
        <v>8</v>
      </c>
      <c r="E65" s="108">
        <f>Rekenblad!E65</f>
        <v>0</v>
      </c>
      <c r="F65" s="118">
        <f>Rekenblad!F65</f>
        <v>1166</v>
      </c>
      <c r="G65" s="145"/>
      <c r="H65" s="145">
        <f t="shared" si="5"/>
        <v>0</v>
      </c>
      <c r="I65" s="569"/>
      <c r="J65" s="573"/>
      <c r="K65" s="118"/>
      <c r="L65" s="146"/>
      <c r="M65" s="146"/>
      <c r="N65" s="146"/>
      <c r="O65" s="146"/>
      <c r="P65" s="147"/>
      <c r="Q65" s="151"/>
    </row>
    <row r="66" spans="1:17" ht="30" customHeight="1">
      <c r="A66" s="143"/>
      <c r="B66" s="148" t="s">
        <v>80</v>
      </c>
      <c r="C66" s="149" t="s">
        <v>26</v>
      </c>
      <c r="D66" s="143" t="s">
        <v>8</v>
      </c>
      <c r="E66" s="108">
        <f>Rekenblad!E66</f>
        <v>0</v>
      </c>
      <c r="F66" s="118">
        <f>Rekenblad!F66</f>
        <v>344.5</v>
      </c>
      <c r="G66" s="145"/>
      <c r="H66" s="145">
        <f t="shared" si="5"/>
        <v>0</v>
      </c>
      <c r="I66" s="569"/>
      <c r="J66" s="573"/>
      <c r="K66" s="118"/>
      <c r="L66" s="146"/>
      <c r="M66" s="146"/>
      <c r="N66" s="146"/>
      <c r="O66" s="146"/>
      <c r="P66" s="147"/>
      <c r="Q66" s="151"/>
    </row>
    <row r="67" spans="1:17" ht="30" customHeight="1">
      <c r="A67" s="143"/>
      <c r="B67" s="148" t="s">
        <v>107</v>
      </c>
      <c r="C67" s="149" t="s">
        <v>57</v>
      </c>
      <c r="D67" s="143" t="s">
        <v>8</v>
      </c>
      <c r="E67" s="108">
        <f>Rekenblad!E67</f>
        <v>0</v>
      </c>
      <c r="F67" s="118">
        <f>Rekenblad!F67</f>
        <v>339.20000000000005</v>
      </c>
      <c r="G67" s="145"/>
      <c r="H67" s="145">
        <f t="shared" si="5"/>
        <v>0</v>
      </c>
      <c r="I67" s="153"/>
      <c r="J67" s="155"/>
      <c r="K67" s="118"/>
      <c r="L67" s="146"/>
      <c r="M67" s="146"/>
      <c r="N67" s="146"/>
      <c r="O67" s="146"/>
      <c r="P67" s="147"/>
      <c r="Q67" s="151"/>
    </row>
    <row r="68" spans="1:17" ht="30" customHeight="1">
      <c r="A68" s="143"/>
      <c r="B68" s="148"/>
      <c r="C68" s="149"/>
      <c r="D68" s="143"/>
      <c r="E68" s="108"/>
      <c r="F68" s="118"/>
      <c r="G68" s="145"/>
      <c r="H68" s="145"/>
      <c r="I68" s="569"/>
      <c r="J68" s="573"/>
      <c r="K68" s="118"/>
      <c r="L68" s="146"/>
      <c r="M68" s="146"/>
      <c r="N68" s="146"/>
      <c r="O68" s="146"/>
      <c r="P68" s="147"/>
      <c r="Q68" s="151"/>
    </row>
    <row r="69" spans="1:17" ht="30" customHeight="1">
      <c r="A69" s="165">
        <v>4</v>
      </c>
      <c r="B69" s="166" t="s">
        <v>108</v>
      </c>
      <c r="C69" s="166"/>
      <c r="D69" s="51" t="s">
        <v>12</v>
      </c>
      <c r="E69" s="52" t="s">
        <v>13</v>
      </c>
      <c r="F69" s="60" t="str">
        <f>Rekenblad!F69</f>
        <v>bedrag per eenheid (excl. btw)</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Rekenblad!E70</f>
        <v>40</v>
      </c>
      <c r="F70" s="118">
        <f>Rekenblad!F70</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Rekenblad!E71</f>
        <v>40</v>
      </c>
      <c r="F71" s="118">
        <f>Rekenblad!F71</f>
        <v>220.64400000000001</v>
      </c>
      <c r="G71" s="109"/>
      <c r="H71" s="167">
        <f t="shared" ref="H71:H76" si="6">E71*F71</f>
        <v>8825.76</v>
      </c>
      <c r="I71" s="569" t="s">
        <v>114</v>
      </c>
      <c r="J71" s="573"/>
      <c r="K71" s="118"/>
      <c r="L71" s="146"/>
      <c r="M71" s="146"/>
      <c r="N71" s="146"/>
      <c r="O71" s="146"/>
      <c r="P71" s="77"/>
      <c r="Q71" s="151"/>
    </row>
    <row r="72" spans="1:17" ht="30" customHeight="1">
      <c r="A72" s="78" t="s">
        <v>115</v>
      </c>
      <c r="B72" s="170" t="s">
        <v>116</v>
      </c>
      <c r="C72" s="89" t="s">
        <v>117</v>
      </c>
      <c r="D72" s="171" t="s">
        <v>118</v>
      </c>
      <c r="E72" s="108">
        <f>Rekenblad!E72</f>
        <v>0</v>
      </c>
      <c r="F72" s="118">
        <f>Rekenblad!F72</f>
        <v>39.75</v>
      </c>
      <c r="G72" s="109"/>
      <c r="H72" s="167">
        <f t="shared" si="6"/>
        <v>0</v>
      </c>
      <c r="I72" s="153"/>
      <c r="J72" s="152"/>
      <c r="K72" s="161"/>
      <c r="L72" s="162"/>
      <c r="M72" s="162"/>
      <c r="N72" s="162"/>
      <c r="O72" s="162"/>
      <c r="P72" s="163"/>
      <c r="Q72" s="151"/>
    </row>
    <row r="73" spans="1:17" ht="30" customHeight="1">
      <c r="A73" s="78" t="s">
        <v>119</v>
      </c>
      <c r="B73" s="170" t="s">
        <v>120</v>
      </c>
      <c r="C73" s="89" t="s">
        <v>117</v>
      </c>
      <c r="D73" s="171" t="s">
        <v>118</v>
      </c>
      <c r="E73" s="108">
        <f>Rekenblad!E73</f>
        <v>0</v>
      </c>
      <c r="F73" s="118">
        <f>Rekenblad!F73</f>
        <v>39.75</v>
      </c>
      <c r="G73" s="109"/>
      <c r="H73" s="167">
        <f t="shared" si="6"/>
        <v>0</v>
      </c>
      <c r="I73" s="153"/>
      <c r="J73" s="152"/>
      <c r="K73" s="161"/>
      <c r="L73" s="162"/>
      <c r="M73" s="162"/>
      <c r="N73" s="162"/>
      <c r="O73" s="162"/>
      <c r="P73" s="163"/>
      <c r="Q73" s="151"/>
    </row>
    <row r="74" spans="1:17" ht="30" customHeight="1">
      <c r="A74" s="78" t="s">
        <v>121</v>
      </c>
      <c r="B74" s="116" t="s">
        <v>122</v>
      </c>
      <c r="C74" s="75" t="s">
        <v>26</v>
      </c>
      <c r="D74" s="107" t="s">
        <v>8</v>
      </c>
      <c r="E74" s="108">
        <f>Rekenblad!E74</f>
        <v>40</v>
      </c>
      <c r="F74" s="118">
        <f>Rekenblad!F74</f>
        <v>82.987400000000008</v>
      </c>
      <c r="G74" s="109"/>
      <c r="H74" s="167">
        <f t="shared" si="6"/>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Rekenblad!E75</f>
        <v>40</v>
      </c>
      <c r="F75" s="118">
        <f>Rekenblad!F75</f>
        <v>147.55199999999999</v>
      </c>
      <c r="G75" s="109"/>
      <c r="H75" s="167">
        <f t="shared" si="6"/>
        <v>5902.08</v>
      </c>
      <c r="I75" s="569" t="s">
        <v>127</v>
      </c>
      <c r="J75" s="573"/>
      <c r="K75" s="168"/>
      <c r="L75" s="169"/>
      <c r="M75" s="169"/>
      <c r="N75" s="169"/>
      <c r="O75" s="169"/>
      <c r="P75" s="77"/>
      <c r="Q75" s="151"/>
    </row>
    <row r="76" spans="1:17" ht="30" customHeight="1">
      <c r="A76" s="171" t="s">
        <v>128</v>
      </c>
      <c r="B76" s="116" t="s">
        <v>129</v>
      </c>
      <c r="C76" s="75"/>
      <c r="D76" s="171" t="s">
        <v>126</v>
      </c>
      <c r="E76" s="108">
        <f>Rekenblad!E76</f>
        <v>0</v>
      </c>
      <c r="F76" s="118">
        <f>Rekenblad!F76</f>
        <v>190.8</v>
      </c>
      <c r="G76" s="109"/>
      <c r="H76" s="167">
        <f t="shared" si="6"/>
        <v>0</v>
      </c>
      <c r="I76" s="567"/>
      <c r="J76" s="567"/>
      <c r="K76" s="168"/>
      <c r="L76" s="169"/>
      <c r="M76" s="169"/>
      <c r="N76" s="169"/>
      <c r="O76" s="169"/>
      <c r="P76" s="77"/>
      <c r="Q76" s="151"/>
    </row>
    <row r="77" spans="1:17" ht="30" customHeight="1">
      <c r="A77" s="171" t="s">
        <v>130</v>
      </c>
      <c r="B77" s="116" t="s">
        <v>131</v>
      </c>
      <c r="C77" s="75"/>
      <c r="D77" s="171" t="s">
        <v>126</v>
      </c>
      <c r="E77" s="108">
        <f>Rekenblad!E77</f>
        <v>5</v>
      </c>
      <c r="F77" s="118">
        <f>Rekenblad!F77</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f>Rekenblad!E78</f>
        <v>0</v>
      </c>
      <c r="F78" s="118">
        <f>Rekenblad!F78</f>
        <v>68.900000000000006</v>
      </c>
      <c r="G78" s="109"/>
      <c r="H78" s="167">
        <f t="shared" ref="H78:H80" si="7">F78*E78</f>
        <v>0</v>
      </c>
      <c r="I78" s="76"/>
      <c r="J78" s="89"/>
      <c r="K78" s="161"/>
      <c r="L78" s="162"/>
      <c r="M78" s="162"/>
      <c r="N78" s="162"/>
      <c r="O78" s="162"/>
      <c r="P78" s="163"/>
      <c r="Q78" s="151"/>
    </row>
    <row r="79" spans="1:17" ht="30" customHeight="1">
      <c r="A79" s="171" t="s">
        <v>135</v>
      </c>
      <c r="B79" s="89" t="s">
        <v>136</v>
      </c>
      <c r="C79" s="89" t="s">
        <v>117</v>
      </c>
      <c r="D79" s="171" t="s">
        <v>118</v>
      </c>
      <c r="E79" s="108">
        <f>Rekenblad!E79</f>
        <v>0</v>
      </c>
      <c r="F79" s="118">
        <f>Rekenblad!F79</f>
        <v>196.10000000000002</v>
      </c>
      <c r="G79" s="109"/>
      <c r="H79" s="167">
        <f t="shared" si="7"/>
        <v>0</v>
      </c>
      <c r="I79" s="76"/>
      <c r="J79" s="89"/>
      <c r="K79" s="161"/>
      <c r="L79" s="162"/>
      <c r="M79" s="162"/>
      <c r="N79" s="162"/>
      <c r="O79" s="162"/>
      <c r="P79" s="163"/>
      <c r="Q79" s="151"/>
    </row>
    <row r="80" spans="1:17" ht="30" customHeight="1">
      <c r="A80" s="171" t="s">
        <v>137</v>
      </c>
      <c r="B80" s="89" t="s">
        <v>138</v>
      </c>
      <c r="C80" s="89" t="s">
        <v>117</v>
      </c>
      <c r="D80" s="171" t="s">
        <v>139</v>
      </c>
      <c r="E80" s="108">
        <f>Rekenblad!E80</f>
        <v>0</v>
      </c>
      <c r="F80" s="118">
        <f>Rekenblad!F80</f>
        <v>174.9</v>
      </c>
      <c r="G80" s="118"/>
      <c r="H80" s="167">
        <f t="shared" si="7"/>
        <v>0</v>
      </c>
      <c r="I80" s="173"/>
      <c r="J80" s="75"/>
      <c r="K80" s="37"/>
      <c r="L80" s="50"/>
      <c r="M80" s="50"/>
      <c r="N80" s="50"/>
      <c r="O80" s="50"/>
      <c r="P80" s="49"/>
      <c r="Q80" s="151"/>
    </row>
    <row r="81" spans="1:17" ht="30" customHeight="1">
      <c r="A81" s="171" t="s">
        <v>140</v>
      </c>
      <c r="B81" s="174" t="s">
        <v>141</v>
      </c>
      <c r="C81" s="107" t="s">
        <v>26</v>
      </c>
      <c r="D81" s="107" t="s">
        <v>8</v>
      </c>
      <c r="E81" s="108">
        <f>Rekenblad!E81</f>
        <v>40</v>
      </c>
      <c r="F81" s="118">
        <f>Rekenblad!F81</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Rekenblad!E82</f>
        <v>40</v>
      </c>
      <c r="F82" s="118">
        <f>Rekenblad!F82</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f>Rekenblad!E83</f>
        <v>0</v>
      </c>
      <c r="F83" s="118">
        <f>Rekenblad!F83</f>
        <v>0</v>
      </c>
      <c r="G83" s="109"/>
      <c r="H83" s="167">
        <f t="shared" ref="H83:H89" si="8">SUM(E83*F83)</f>
        <v>0</v>
      </c>
      <c r="I83" s="76"/>
      <c r="J83" s="89"/>
      <c r="K83" s="161"/>
      <c r="L83" s="162"/>
      <c r="M83" s="162"/>
      <c r="N83" s="162"/>
      <c r="O83" s="162"/>
      <c r="P83" s="163"/>
      <c r="Q83" s="151"/>
    </row>
    <row r="84" spans="1:17" ht="30" customHeight="1">
      <c r="A84" s="171" t="s">
        <v>148</v>
      </c>
      <c r="B84" s="89" t="s">
        <v>149</v>
      </c>
      <c r="C84" s="89" t="s">
        <v>117</v>
      </c>
      <c r="D84" s="171" t="s">
        <v>118</v>
      </c>
      <c r="E84" s="108">
        <f>Rekenblad!E84</f>
        <v>0</v>
      </c>
      <c r="F84" s="118">
        <f>Rekenblad!F84</f>
        <v>0</v>
      </c>
      <c r="G84" s="109"/>
      <c r="H84" s="167">
        <f t="shared" si="8"/>
        <v>0</v>
      </c>
      <c r="I84" s="175"/>
      <c r="J84" s="176"/>
      <c r="K84" s="161"/>
      <c r="L84" s="162"/>
      <c r="M84" s="162"/>
      <c r="N84" s="162"/>
      <c r="O84" s="162"/>
      <c r="P84" s="163"/>
      <c r="Q84" s="151"/>
    </row>
    <row r="85" spans="1:17" ht="30" customHeight="1">
      <c r="A85" s="171" t="s">
        <v>150</v>
      </c>
      <c r="B85" s="89" t="s">
        <v>151</v>
      </c>
      <c r="C85" s="89" t="s">
        <v>117</v>
      </c>
      <c r="D85" s="171" t="s">
        <v>118</v>
      </c>
      <c r="E85" s="108">
        <f>Rekenblad!E85</f>
        <v>0</v>
      </c>
      <c r="F85" s="118">
        <f>Rekenblad!F85</f>
        <v>174.9</v>
      </c>
      <c r="G85" s="109"/>
      <c r="H85" s="167">
        <f t="shared" si="8"/>
        <v>0</v>
      </c>
      <c r="I85" s="153"/>
      <c r="J85" s="152"/>
      <c r="K85" s="161"/>
      <c r="L85" s="162"/>
      <c r="M85" s="162"/>
      <c r="N85" s="162"/>
      <c r="O85" s="162"/>
      <c r="P85" s="163"/>
      <c r="Q85" s="151"/>
    </row>
    <row r="86" spans="1:17" ht="30" customHeight="1">
      <c r="A86" s="171" t="s">
        <v>152</v>
      </c>
      <c r="B86" s="170" t="s">
        <v>153</v>
      </c>
      <c r="C86" s="89" t="s">
        <v>117</v>
      </c>
      <c r="D86" s="171" t="s">
        <v>118</v>
      </c>
      <c r="E86" s="108">
        <f>Rekenblad!E86</f>
        <v>0</v>
      </c>
      <c r="F86" s="118">
        <f>Rekenblad!F86</f>
        <v>156.35</v>
      </c>
      <c r="G86" s="109"/>
      <c r="H86" s="167">
        <f t="shared" si="8"/>
        <v>0</v>
      </c>
      <c r="I86" s="153"/>
      <c r="J86" s="152"/>
      <c r="K86" s="161"/>
      <c r="L86" s="162"/>
      <c r="M86" s="162"/>
      <c r="N86" s="162"/>
      <c r="O86" s="162"/>
      <c r="P86" s="163"/>
      <c r="Q86" s="151"/>
    </row>
    <row r="87" spans="1:17" ht="30" customHeight="1">
      <c r="A87" s="171" t="s">
        <v>154</v>
      </c>
      <c r="B87" s="170" t="s">
        <v>153</v>
      </c>
      <c r="C87" s="89" t="s">
        <v>117</v>
      </c>
      <c r="D87" s="171" t="s">
        <v>118</v>
      </c>
      <c r="E87" s="108">
        <f>Rekenblad!E87</f>
        <v>0</v>
      </c>
      <c r="F87" s="118">
        <f>Rekenblad!F87</f>
        <v>234.52500000000001</v>
      </c>
      <c r="G87" s="109"/>
      <c r="H87" s="167">
        <f t="shared" si="8"/>
        <v>0</v>
      </c>
      <c r="I87" s="153"/>
      <c r="J87" s="152"/>
      <c r="K87" s="161"/>
      <c r="L87" s="162"/>
      <c r="M87" s="162"/>
      <c r="N87" s="162"/>
      <c r="O87" s="162"/>
      <c r="P87" s="163"/>
      <c r="Q87" s="151"/>
    </row>
    <row r="88" spans="1:17" ht="30" customHeight="1">
      <c r="A88" s="171" t="s">
        <v>155</v>
      </c>
      <c r="B88" s="170" t="s">
        <v>153</v>
      </c>
      <c r="C88" s="89" t="s">
        <v>117</v>
      </c>
      <c r="D88" s="171" t="s">
        <v>118</v>
      </c>
      <c r="E88" s="108">
        <f>Rekenblad!E88</f>
        <v>0</v>
      </c>
      <c r="F88" s="118">
        <f>Rekenblad!F88</f>
        <v>340.71600000000001</v>
      </c>
      <c r="G88" s="109"/>
      <c r="H88" s="167">
        <f t="shared" si="8"/>
        <v>0</v>
      </c>
      <c r="I88" s="153"/>
      <c r="J88" s="152"/>
      <c r="K88" s="161"/>
      <c r="L88" s="162"/>
      <c r="M88" s="162"/>
      <c r="N88" s="162"/>
      <c r="O88" s="162"/>
      <c r="P88" s="163"/>
      <c r="Q88" s="151"/>
    </row>
    <row r="89" spans="1:17" ht="30" customHeight="1">
      <c r="A89" s="171" t="s">
        <v>156</v>
      </c>
      <c r="B89" s="170" t="s">
        <v>153</v>
      </c>
      <c r="C89" s="89" t="s">
        <v>117</v>
      </c>
      <c r="D89" s="171" t="s">
        <v>118</v>
      </c>
      <c r="E89" s="108">
        <f>Rekenblad!E89</f>
        <v>0</v>
      </c>
      <c r="F89" s="118">
        <f>Rekenblad!F89</f>
        <v>312.7</v>
      </c>
      <c r="G89" s="109"/>
      <c r="H89" s="167">
        <f t="shared" si="8"/>
        <v>0</v>
      </c>
      <c r="I89" s="153"/>
      <c r="J89" s="152"/>
      <c r="K89" s="161"/>
      <c r="L89" s="162"/>
      <c r="M89" s="162"/>
      <c r="N89" s="162"/>
      <c r="O89" s="162"/>
      <c r="P89" s="163"/>
      <c r="Q89" s="151"/>
    </row>
    <row r="90" spans="1:17" ht="30" customHeight="1">
      <c r="A90" s="177"/>
      <c r="B90" s="174"/>
      <c r="C90" s="178"/>
      <c r="D90" s="178"/>
      <c r="E90" s="108"/>
      <c r="F90" s="118"/>
      <c r="G90" s="181"/>
      <c r="H90" s="182"/>
      <c r="I90" s="153"/>
      <c r="J90" s="152"/>
      <c r="K90" s="161"/>
      <c r="L90" s="162"/>
      <c r="M90" s="162"/>
      <c r="N90" s="162"/>
      <c r="O90" s="162"/>
      <c r="P90" s="163"/>
      <c r="Q90" s="151"/>
    </row>
    <row r="91" spans="1:17" ht="30" customHeight="1">
      <c r="A91" s="165">
        <v>5</v>
      </c>
      <c r="B91" s="115" t="s">
        <v>157</v>
      </c>
      <c r="C91" s="166"/>
      <c r="D91" s="51" t="s">
        <v>12</v>
      </c>
      <c r="E91" s="52" t="s">
        <v>13</v>
      </c>
      <c r="F91" s="60" t="str">
        <f>Rekenblad!F91</f>
        <v>bedrag per eenheid (excl. btw)</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08">
        <f>Rekenblad!E92</f>
        <v>0</v>
      </c>
      <c r="F92" s="118">
        <f>Rekenblad!F92</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Rekenblad!E93</f>
        <v>40</v>
      </c>
      <c r="F93" s="118">
        <f>Rekenblad!F93</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Rekenblad!E94</f>
        <v>40</v>
      </c>
      <c r="F94" s="118">
        <f>Rekenblad!F94</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f>Rekenblad!E95</f>
        <v>0</v>
      </c>
      <c r="F95" s="118">
        <f>Rekenblad!F95</f>
        <v>0</v>
      </c>
      <c r="G95" s="109"/>
      <c r="H95" s="167">
        <f t="shared" ref="H95:H98" si="9">E95*5</f>
        <v>0</v>
      </c>
      <c r="I95" s="76"/>
      <c r="J95" s="89"/>
      <c r="K95" s="161"/>
      <c r="L95" s="162"/>
      <c r="M95" s="162"/>
      <c r="N95" s="162"/>
      <c r="O95" s="162"/>
      <c r="P95" s="163"/>
      <c r="Q95" s="151"/>
    </row>
    <row r="96" spans="1:17" ht="30" customHeight="1">
      <c r="A96" s="171" t="s">
        <v>168</v>
      </c>
      <c r="B96" s="170" t="s">
        <v>169</v>
      </c>
      <c r="C96" s="89" t="s">
        <v>117</v>
      </c>
      <c r="D96" s="171" t="s">
        <v>118</v>
      </c>
      <c r="E96" s="108">
        <f>Rekenblad!E96</f>
        <v>0</v>
      </c>
      <c r="F96" s="118">
        <f>Rekenblad!F96</f>
        <v>0</v>
      </c>
      <c r="G96" s="109"/>
      <c r="H96" s="167">
        <f t="shared" si="9"/>
        <v>0</v>
      </c>
      <c r="I96" s="76"/>
      <c r="J96" s="89"/>
      <c r="K96" s="161"/>
      <c r="L96" s="162"/>
      <c r="M96" s="162"/>
      <c r="N96" s="162"/>
      <c r="O96" s="162"/>
      <c r="P96" s="163"/>
      <c r="Q96" s="151"/>
    </row>
    <row r="97" spans="1:17" ht="30" customHeight="1">
      <c r="A97" s="171" t="s">
        <v>170</v>
      </c>
      <c r="B97" s="170" t="s">
        <v>171</v>
      </c>
      <c r="C97" s="89" t="s">
        <v>117</v>
      </c>
      <c r="D97" s="171" t="s">
        <v>118</v>
      </c>
      <c r="E97" s="108">
        <f>Rekenblad!E97</f>
        <v>0</v>
      </c>
      <c r="F97" s="118">
        <f>Rekenblad!F97</f>
        <v>0</v>
      </c>
      <c r="G97" s="109"/>
      <c r="H97" s="167">
        <f t="shared" si="9"/>
        <v>0</v>
      </c>
      <c r="I97" s="76"/>
      <c r="J97" s="89"/>
      <c r="K97" s="161"/>
      <c r="L97" s="162"/>
      <c r="M97" s="162"/>
      <c r="N97" s="162"/>
      <c r="O97" s="162"/>
      <c r="P97" s="163"/>
      <c r="Q97" s="151"/>
    </row>
    <row r="98" spans="1:17" ht="30" customHeight="1">
      <c r="A98" s="171" t="s">
        <v>172</v>
      </c>
      <c r="B98" s="170" t="s">
        <v>173</v>
      </c>
      <c r="C98" s="89" t="s">
        <v>117</v>
      </c>
      <c r="D98" s="171" t="s">
        <v>118</v>
      </c>
      <c r="E98" s="108">
        <f>Rekenblad!E98</f>
        <v>0</v>
      </c>
      <c r="F98" s="118">
        <f>Rekenblad!F98</f>
        <v>0</v>
      </c>
      <c r="G98" s="109"/>
      <c r="H98" s="167">
        <f t="shared" si="9"/>
        <v>0</v>
      </c>
      <c r="I98" s="76"/>
      <c r="J98" s="89"/>
      <c r="K98" s="161"/>
      <c r="L98" s="162"/>
      <c r="M98" s="162"/>
      <c r="N98" s="162"/>
      <c r="O98" s="162"/>
      <c r="P98" s="163"/>
      <c r="Q98" s="151"/>
    </row>
    <row r="99" spans="1:17" ht="30" customHeight="1">
      <c r="A99" s="171" t="s">
        <v>174</v>
      </c>
      <c r="B99" s="116" t="s">
        <v>175</v>
      </c>
      <c r="C99" s="75" t="s">
        <v>57</v>
      </c>
      <c r="D99" s="107" t="s">
        <v>8</v>
      </c>
      <c r="E99" s="108">
        <f>Rekenblad!E99</f>
        <v>24</v>
      </c>
      <c r="F99" s="118">
        <f>Rekenblad!F99</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f>Rekenblad!E100</f>
        <v>0</v>
      </c>
      <c r="F100" s="118">
        <f>Rekenblad!F100</f>
        <v>36.887999999999998</v>
      </c>
      <c r="G100" s="109"/>
      <c r="H100" s="167">
        <f t="shared" ref="H100:H102" si="10">E100*5</f>
        <v>0</v>
      </c>
      <c r="I100" s="76"/>
      <c r="J100" s="89"/>
      <c r="K100" s="161"/>
      <c r="L100" s="162"/>
      <c r="M100" s="162"/>
      <c r="N100" s="162"/>
      <c r="O100" s="162"/>
      <c r="P100" s="163"/>
      <c r="Q100" s="151"/>
    </row>
    <row r="101" spans="1:17" ht="30" customHeight="1">
      <c r="A101" s="171" t="s">
        <v>179</v>
      </c>
      <c r="B101" s="89" t="s">
        <v>180</v>
      </c>
      <c r="C101" s="89" t="s">
        <v>117</v>
      </c>
      <c r="D101" s="171" t="s">
        <v>118</v>
      </c>
      <c r="E101" s="108">
        <f>Rekenblad!E101</f>
        <v>0</v>
      </c>
      <c r="F101" s="118">
        <f>Rekenblad!F101</f>
        <v>185.5</v>
      </c>
      <c r="G101" s="118"/>
      <c r="H101" s="167">
        <f t="shared" si="10"/>
        <v>0</v>
      </c>
      <c r="I101" s="173"/>
      <c r="J101" s="75"/>
      <c r="K101" s="183"/>
      <c r="L101" s="184"/>
      <c r="M101" s="184"/>
      <c r="N101" s="184"/>
      <c r="O101" s="184"/>
      <c r="P101" s="185"/>
      <c r="Q101" s="151"/>
    </row>
    <row r="102" spans="1:17" ht="30" customHeight="1">
      <c r="A102" s="186" t="s">
        <v>181</v>
      </c>
      <c r="B102" s="187" t="s">
        <v>182</v>
      </c>
      <c r="C102" s="188" t="s">
        <v>117</v>
      </c>
      <c r="D102" s="186" t="s">
        <v>118</v>
      </c>
      <c r="E102" s="108">
        <f>Rekenblad!E102</f>
        <v>0</v>
      </c>
      <c r="F102" s="118">
        <f>Rekenblad!F102</f>
        <v>0</v>
      </c>
      <c r="G102" s="189"/>
      <c r="H102" s="167">
        <f t="shared" si="10"/>
        <v>0</v>
      </c>
      <c r="I102" s="190"/>
      <c r="J102" s="191"/>
      <c r="K102" s="183"/>
      <c r="L102" s="184"/>
      <c r="M102" s="184"/>
      <c r="N102" s="184"/>
      <c r="O102" s="184"/>
      <c r="P102" s="185"/>
      <c r="Q102" s="151"/>
    </row>
    <row r="103" spans="1:17" ht="30" customHeight="1">
      <c r="A103" s="171"/>
      <c r="B103" s="116"/>
      <c r="C103" s="75"/>
      <c r="D103" s="107"/>
      <c r="E103" s="108"/>
      <c r="F103" s="118"/>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60" t="str">
        <f>Rekenblad!F104</f>
        <v>bedrag per eenheid (excl. btw)</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f>Rekenblad!E105</f>
        <v>0</v>
      </c>
      <c r="F105" s="118">
        <f>Rekenblad!F105</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f>Rekenblad!E106</f>
        <v>16</v>
      </c>
      <c r="F106" s="118">
        <f>Rekenblad!F106</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f>Rekenblad!E107</f>
        <v>8</v>
      </c>
      <c r="F107" s="118">
        <f>Rekenblad!F107</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Rekenblad!E108</f>
        <v>40</v>
      </c>
      <c r="F108" s="118">
        <f>Rekenblad!F108</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40</v>
      </c>
      <c r="F109" s="118">
        <f>Rekenblad!F109</f>
        <v>74.2</v>
      </c>
      <c r="G109" s="118"/>
      <c r="H109" s="195">
        <f t="shared" ref="H109:H120" si="11">SUM(E109*F109)</f>
        <v>2968</v>
      </c>
      <c r="I109" s="569" t="s">
        <v>197</v>
      </c>
      <c r="J109" s="570"/>
      <c r="K109" s="161"/>
      <c r="L109" s="162"/>
      <c r="M109" s="162"/>
      <c r="N109" s="162"/>
      <c r="O109" s="162"/>
      <c r="P109" s="163"/>
      <c r="Q109" s="151"/>
    </row>
    <row r="110" spans="1:17" ht="30" customHeight="1">
      <c r="A110" s="104" t="s">
        <v>198</v>
      </c>
      <c r="B110" s="170" t="s">
        <v>199</v>
      </c>
      <c r="C110" s="171" t="s">
        <v>76</v>
      </c>
      <c r="D110" s="171" t="s">
        <v>8</v>
      </c>
      <c r="E110" s="108">
        <f>Rekenblad!E110</f>
        <v>0</v>
      </c>
      <c r="F110" s="118">
        <f>Rekenblad!F110</f>
        <v>286.2</v>
      </c>
      <c r="G110" s="118"/>
      <c r="H110" s="167">
        <f t="shared" si="11"/>
        <v>0</v>
      </c>
      <c r="I110" s="567"/>
      <c r="J110" s="568"/>
      <c r="K110" s="161"/>
      <c r="L110" s="162"/>
      <c r="M110" s="162"/>
      <c r="N110" s="162"/>
      <c r="O110" s="162"/>
      <c r="P110" s="163"/>
      <c r="Q110" s="151"/>
    </row>
    <row r="111" spans="1:17" ht="30" customHeight="1">
      <c r="A111" s="104" t="s">
        <v>200</v>
      </c>
      <c r="B111" s="170" t="s">
        <v>201</v>
      </c>
      <c r="C111" s="171" t="s">
        <v>76</v>
      </c>
      <c r="D111" s="171" t="s">
        <v>8</v>
      </c>
      <c r="E111" s="108">
        <f>Rekenblad!E111</f>
        <v>0</v>
      </c>
      <c r="F111" s="118">
        <f>Rekenblad!F111</f>
        <v>296.8</v>
      </c>
      <c r="G111" s="118"/>
      <c r="H111" s="167">
        <f t="shared" si="11"/>
        <v>0</v>
      </c>
      <c r="I111" s="567"/>
      <c r="J111" s="568"/>
      <c r="K111" s="161"/>
      <c r="L111" s="162"/>
      <c r="M111" s="162"/>
      <c r="N111" s="162"/>
      <c r="O111" s="162"/>
      <c r="P111" s="163"/>
      <c r="Q111" s="151"/>
    </row>
    <row r="112" spans="1:17" ht="30" customHeight="1">
      <c r="A112" s="104" t="s">
        <v>202</v>
      </c>
      <c r="B112" s="170" t="s">
        <v>203</v>
      </c>
      <c r="C112" s="171" t="s">
        <v>57</v>
      </c>
      <c r="D112" s="171" t="s">
        <v>8</v>
      </c>
      <c r="E112" s="108">
        <f>Rekenblad!E112</f>
        <v>0</v>
      </c>
      <c r="F112" s="118">
        <f>Rekenblad!F112</f>
        <v>307.40000000000003</v>
      </c>
      <c r="G112" s="118"/>
      <c r="H112" s="167">
        <f t="shared" si="11"/>
        <v>0</v>
      </c>
      <c r="I112" s="567"/>
      <c r="J112" s="568"/>
      <c r="K112" s="161"/>
      <c r="L112" s="162"/>
      <c r="M112" s="162"/>
      <c r="N112" s="162"/>
      <c r="O112" s="162"/>
      <c r="P112" s="163"/>
      <c r="Q112" s="151"/>
    </row>
    <row r="113" spans="1:17" ht="30" customHeight="1">
      <c r="A113" s="104" t="s">
        <v>204</v>
      </c>
      <c r="B113" s="89" t="s">
        <v>205</v>
      </c>
      <c r="C113" s="89" t="s">
        <v>117</v>
      </c>
      <c r="D113" s="171" t="s">
        <v>118</v>
      </c>
      <c r="E113" s="108">
        <f>Rekenblad!E113</f>
        <v>0</v>
      </c>
      <c r="F113" s="118">
        <f>Rekenblad!F113</f>
        <v>47.7</v>
      </c>
      <c r="G113" s="118"/>
      <c r="H113" s="197">
        <f t="shared" si="11"/>
        <v>0</v>
      </c>
      <c r="I113" s="567"/>
      <c r="J113" s="568"/>
      <c r="K113" s="183"/>
      <c r="L113" s="184"/>
      <c r="M113" s="184"/>
      <c r="N113" s="184"/>
      <c r="O113" s="184"/>
      <c r="P113" s="185"/>
      <c r="Q113" s="151"/>
    </row>
    <row r="114" spans="1:17" ht="30" customHeight="1">
      <c r="A114" s="104" t="s">
        <v>206</v>
      </c>
      <c r="B114" s="170" t="s">
        <v>207</v>
      </c>
      <c r="C114" s="171" t="s">
        <v>57</v>
      </c>
      <c r="D114" s="171" t="s">
        <v>8</v>
      </c>
      <c r="E114" s="108">
        <f>Rekenblad!E114</f>
        <v>0</v>
      </c>
      <c r="F114" s="118">
        <f>Rekenblad!F114</f>
        <v>19.080000000000002</v>
      </c>
      <c r="G114" s="118"/>
      <c r="H114" s="167">
        <f t="shared" si="11"/>
        <v>0</v>
      </c>
      <c r="I114" s="567"/>
      <c r="J114" s="568"/>
      <c r="K114" s="161"/>
      <c r="L114" s="162"/>
      <c r="M114" s="162"/>
      <c r="N114" s="162"/>
      <c r="O114" s="162"/>
      <c r="P114" s="163"/>
      <c r="Q114" s="151"/>
    </row>
    <row r="115" spans="1:17" ht="30" customHeight="1">
      <c r="A115" s="104" t="s">
        <v>208</v>
      </c>
      <c r="B115" s="89" t="s">
        <v>209</v>
      </c>
      <c r="C115" s="89" t="s">
        <v>117</v>
      </c>
      <c r="D115" s="171" t="s">
        <v>118</v>
      </c>
      <c r="E115" s="196">
        <f>G3</f>
        <v>40</v>
      </c>
      <c r="F115" s="118">
        <f>Rekenblad!F115</f>
        <v>101.23</v>
      </c>
      <c r="G115" s="118"/>
      <c r="H115" s="198">
        <f t="shared" si="11"/>
        <v>4049.2000000000003</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f>Rekenblad!E116</f>
        <v>0</v>
      </c>
      <c r="F116" s="118">
        <f>Rekenblad!F116</f>
        <v>66.25</v>
      </c>
      <c r="G116" s="118"/>
      <c r="H116" s="197">
        <f t="shared" si="11"/>
        <v>0</v>
      </c>
      <c r="I116" s="567"/>
      <c r="J116" s="568"/>
      <c r="K116" s="183"/>
      <c r="L116" s="184"/>
      <c r="M116" s="184"/>
      <c r="N116" s="184"/>
      <c r="O116" s="184"/>
      <c r="P116" s="185"/>
      <c r="Q116" s="151"/>
    </row>
    <row r="117" spans="1:17" ht="30" customHeight="1">
      <c r="A117" s="104" t="s">
        <v>212</v>
      </c>
      <c r="B117" s="89" t="s">
        <v>213</v>
      </c>
      <c r="C117" s="89" t="s">
        <v>117</v>
      </c>
      <c r="D117" s="171" t="s">
        <v>118</v>
      </c>
      <c r="E117" s="108">
        <f>Rekenblad!E117</f>
        <v>0</v>
      </c>
      <c r="F117" s="118">
        <f>Rekenblad!F117</f>
        <v>0</v>
      </c>
      <c r="G117" s="118"/>
      <c r="H117" s="197">
        <f t="shared" si="11"/>
        <v>0</v>
      </c>
      <c r="I117" s="567"/>
      <c r="J117" s="568"/>
      <c r="K117" s="183"/>
      <c r="L117" s="184"/>
      <c r="M117" s="184"/>
      <c r="N117" s="184"/>
      <c r="O117" s="184"/>
      <c r="P117" s="185"/>
      <c r="Q117" s="151"/>
    </row>
    <row r="118" spans="1:17" ht="30" customHeight="1">
      <c r="A118" s="104" t="s">
        <v>214</v>
      </c>
      <c r="B118" s="170" t="s">
        <v>215</v>
      </c>
      <c r="C118" s="89" t="s">
        <v>117</v>
      </c>
      <c r="D118" s="171" t="s">
        <v>118</v>
      </c>
      <c r="E118" s="108">
        <f>Rekenblad!E118</f>
        <v>0</v>
      </c>
      <c r="F118" s="118">
        <f>Rekenblad!F118</f>
        <v>0</v>
      </c>
      <c r="G118" s="118"/>
      <c r="H118" s="197">
        <f t="shared" si="11"/>
        <v>0</v>
      </c>
      <c r="I118" s="567"/>
      <c r="J118" s="568"/>
      <c r="K118" s="183"/>
      <c r="L118" s="184"/>
      <c r="M118" s="184"/>
      <c r="N118" s="184"/>
      <c r="O118" s="184"/>
      <c r="P118" s="185"/>
      <c r="Q118" s="151"/>
    </row>
    <row r="119" spans="1:17" ht="30" customHeight="1">
      <c r="A119" s="104" t="s">
        <v>216</v>
      </c>
      <c r="B119" s="170" t="s">
        <v>217</v>
      </c>
      <c r="C119" s="89" t="s">
        <v>117</v>
      </c>
      <c r="D119" s="171" t="s">
        <v>218</v>
      </c>
      <c r="E119" s="108">
        <f>Rekenblad!E119</f>
        <v>0</v>
      </c>
      <c r="F119" s="118">
        <f>Rekenblad!F119</f>
        <v>13.25</v>
      </c>
      <c r="G119" s="118"/>
      <c r="H119" s="197">
        <f t="shared" si="11"/>
        <v>0</v>
      </c>
      <c r="I119" s="567"/>
      <c r="J119" s="568"/>
      <c r="K119" s="183"/>
      <c r="L119" s="184"/>
      <c r="M119" s="184"/>
      <c r="N119" s="184"/>
      <c r="O119" s="184"/>
      <c r="P119" s="185"/>
      <c r="Q119" s="151"/>
    </row>
    <row r="120" spans="1:17" ht="30" customHeight="1">
      <c r="A120" s="104" t="s">
        <v>219</v>
      </c>
      <c r="B120" s="89" t="s">
        <v>220</v>
      </c>
      <c r="C120" s="89" t="s">
        <v>117</v>
      </c>
      <c r="D120" s="171" t="s">
        <v>118</v>
      </c>
      <c r="E120" s="108">
        <f>Rekenblad!E120</f>
        <v>0</v>
      </c>
      <c r="F120" s="118">
        <f>Rekenblad!F120</f>
        <v>0</v>
      </c>
      <c r="G120" s="118"/>
      <c r="H120" s="197">
        <f t="shared" si="11"/>
        <v>0</v>
      </c>
      <c r="I120" s="567"/>
      <c r="J120" s="568"/>
      <c r="K120" s="183"/>
      <c r="L120" s="184"/>
      <c r="M120" s="184"/>
      <c r="N120" s="184"/>
      <c r="O120" s="184"/>
      <c r="P120" s="185"/>
      <c r="Q120" s="151"/>
    </row>
    <row r="121" spans="1:17" ht="30" customHeight="1">
      <c r="A121" s="143"/>
      <c r="B121" s="149"/>
      <c r="C121" s="149"/>
      <c r="D121" s="143"/>
      <c r="E121" s="108"/>
      <c r="F121" s="118"/>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60" t="str">
        <f>Rekenblad!F122</f>
        <v>bedrag per eenheid (excl. btw)</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f>Rekenblad!E123</f>
        <v>0</v>
      </c>
      <c r="F123" s="118">
        <f>Rekenblad!F123</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f>Rekenblad!E124</f>
        <v>0</v>
      </c>
      <c r="F124" s="118">
        <f>Rekenblad!F124</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Rekenblad!E125</f>
        <v>200</v>
      </c>
      <c r="F125" s="118">
        <f>Rekenblad!F125</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Rekenblad!E126</f>
        <v>200</v>
      </c>
      <c r="F126" s="118">
        <f>Rekenblad!F126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f>Rekenblad!E127</f>
        <v>0</v>
      </c>
      <c r="F127" s="118">
        <f>Rekenblad!F127</f>
        <v>609.5</v>
      </c>
      <c r="G127" s="109"/>
      <c r="H127" s="167">
        <f t="shared" ref="H127:H136" si="12">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f>Rekenblad!E128</f>
        <v>0</v>
      </c>
      <c r="F128" s="118">
        <f>Rekenblad!F128</f>
        <v>676.28000000000009</v>
      </c>
      <c r="G128" s="109"/>
      <c r="H128" s="167">
        <f t="shared" si="12"/>
        <v>0</v>
      </c>
      <c r="I128" s="569"/>
      <c r="J128" s="570"/>
      <c r="K128" s="118"/>
      <c r="L128" s="146"/>
      <c r="M128" s="146"/>
      <c r="N128" s="146"/>
      <c r="O128" s="146"/>
      <c r="P128" s="147"/>
      <c r="Q128" s="151"/>
    </row>
    <row r="129" spans="1:17" ht="30" customHeight="1">
      <c r="A129" s="171" t="s">
        <v>236</v>
      </c>
      <c r="B129" s="89" t="s">
        <v>237</v>
      </c>
      <c r="C129" s="89" t="s">
        <v>117</v>
      </c>
      <c r="D129" s="171" t="s">
        <v>118</v>
      </c>
      <c r="E129" s="108">
        <f>Rekenblad!E129</f>
        <v>0</v>
      </c>
      <c r="F129" s="118">
        <f>Rekenblad!F129</f>
        <v>318</v>
      </c>
      <c r="G129" s="118"/>
      <c r="H129" s="167">
        <f t="shared" si="12"/>
        <v>0</v>
      </c>
      <c r="I129" s="569"/>
      <c r="J129" s="570"/>
      <c r="K129" s="183"/>
      <c r="L129" s="184"/>
      <c r="M129" s="184"/>
      <c r="N129" s="184"/>
      <c r="O129" s="184"/>
      <c r="P129" s="185"/>
      <c r="Q129" s="151"/>
    </row>
    <row r="130" spans="1:17" ht="30" customHeight="1">
      <c r="A130" s="171" t="s">
        <v>238</v>
      </c>
      <c r="B130" s="89" t="s">
        <v>239</v>
      </c>
      <c r="C130" s="89" t="s">
        <v>117</v>
      </c>
      <c r="D130" s="171" t="s">
        <v>118</v>
      </c>
      <c r="E130" s="108">
        <f>Rekenblad!E130</f>
        <v>0</v>
      </c>
      <c r="F130" s="118">
        <f>Rekenblad!F130</f>
        <v>0</v>
      </c>
      <c r="G130" s="118"/>
      <c r="H130" s="167">
        <f t="shared" si="12"/>
        <v>0</v>
      </c>
      <c r="I130" s="569"/>
      <c r="J130" s="570"/>
      <c r="K130" s="183"/>
      <c r="L130" s="184"/>
      <c r="M130" s="184"/>
      <c r="N130" s="184"/>
      <c r="O130" s="184"/>
      <c r="P130" s="185"/>
      <c r="Q130" s="151"/>
    </row>
    <row r="131" spans="1:17" ht="30" customHeight="1">
      <c r="A131" s="171" t="s">
        <v>240</v>
      </c>
      <c r="B131" s="89" t="s">
        <v>241</v>
      </c>
      <c r="C131" s="89" t="s">
        <v>117</v>
      </c>
      <c r="D131" s="171" t="s">
        <v>118</v>
      </c>
      <c r="E131" s="108">
        <f>Rekenblad!E131</f>
        <v>0</v>
      </c>
      <c r="F131" s="118">
        <f>Rekenblad!F131</f>
        <v>206.70000000000002</v>
      </c>
      <c r="G131" s="118"/>
      <c r="H131" s="167">
        <f t="shared" si="12"/>
        <v>0</v>
      </c>
      <c r="I131" s="569"/>
      <c r="J131" s="570"/>
      <c r="K131" s="183"/>
      <c r="L131" s="184"/>
      <c r="M131" s="184"/>
      <c r="N131" s="184"/>
      <c r="O131" s="184"/>
      <c r="P131" s="185"/>
      <c r="Q131" s="151"/>
    </row>
    <row r="132" spans="1:17" ht="30" customHeight="1">
      <c r="A132" s="171" t="s">
        <v>242</v>
      </c>
      <c r="B132" s="89" t="s">
        <v>243</v>
      </c>
      <c r="C132" s="89" t="s">
        <v>117</v>
      </c>
      <c r="D132" s="171" t="s">
        <v>118</v>
      </c>
      <c r="E132" s="108">
        <f>Rekenblad!E132</f>
        <v>0</v>
      </c>
      <c r="F132" s="118">
        <f>Rekenblad!F132</f>
        <v>0</v>
      </c>
      <c r="G132" s="118"/>
      <c r="H132" s="167">
        <f t="shared" si="12"/>
        <v>0</v>
      </c>
      <c r="I132" s="569"/>
      <c r="J132" s="570"/>
      <c r="K132" s="183"/>
      <c r="L132" s="184"/>
      <c r="M132" s="184"/>
      <c r="N132" s="184"/>
      <c r="O132" s="184"/>
      <c r="P132" s="185"/>
      <c r="Q132" s="151"/>
    </row>
    <row r="133" spans="1:17" ht="30" customHeight="1">
      <c r="A133" s="171" t="s">
        <v>244</v>
      </c>
      <c r="B133" s="174" t="s">
        <v>245</v>
      </c>
      <c r="C133" s="107" t="s">
        <v>57</v>
      </c>
      <c r="D133" s="107" t="s">
        <v>8</v>
      </c>
      <c r="E133" s="108">
        <f>Rekenblad!E133</f>
        <v>0</v>
      </c>
      <c r="F133" s="118">
        <f>Rekenblad!F133</f>
        <v>212.952</v>
      </c>
      <c r="G133" s="109"/>
      <c r="H133" s="167">
        <f t="shared" si="12"/>
        <v>0</v>
      </c>
      <c r="I133" s="569"/>
      <c r="J133" s="570"/>
      <c r="K133" s="118"/>
      <c r="L133" s="146"/>
      <c r="M133" s="146"/>
      <c r="N133" s="146"/>
      <c r="O133" s="146"/>
      <c r="P133" s="147"/>
      <c r="Q133" s="151"/>
    </row>
    <row r="134" spans="1:17" ht="30" customHeight="1">
      <c r="A134" s="171" t="s">
        <v>246</v>
      </c>
      <c r="B134" s="202" t="s">
        <v>247</v>
      </c>
      <c r="C134" s="203" t="s">
        <v>57</v>
      </c>
      <c r="D134" s="178" t="s">
        <v>8</v>
      </c>
      <c r="E134" s="108">
        <f>Rekenblad!E134</f>
        <v>0</v>
      </c>
      <c r="F134" s="118">
        <f>Rekenblad!F134</f>
        <v>270.3</v>
      </c>
      <c r="G134" s="206"/>
      <c r="H134" s="167">
        <f t="shared" si="12"/>
        <v>0</v>
      </c>
      <c r="I134" s="569"/>
      <c r="J134" s="570"/>
      <c r="K134" s="118"/>
      <c r="L134" s="146"/>
      <c r="M134" s="146"/>
      <c r="N134" s="146"/>
      <c r="O134" s="146"/>
      <c r="P134" s="147"/>
      <c r="Q134" s="151"/>
    </row>
    <row r="135" spans="1:17" ht="30" customHeight="1">
      <c r="A135" s="171" t="s">
        <v>248</v>
      </c>
      <c r="B135" s="174" t="s">
        <v>249</v>
      </c>
      <c r="C135" s="107" t="s">
        <v>57</v>
      </c>
      <c r="D135" s="107" t="s">
        <v>8</v>
      </c>
      <c r="E135" s="108">
        <f>Rekenblad!E135</f>
        <v>0</v>
      </c>
      <c r="F135" s="118">
        <f>Rekenblad!F135</f>
        <v>872.38</v>
      </c>
      <c r="G135" s="109"/>
      <c r="H135" s="167">
        <f t="shared" si="12"/>
        <v>0</v>
      </c>
      <c r="I135" s="569"/>
      <c r="J135" s="570"/>
      <c r="K135" s="207"/>
      <c r="L135" s="146"/>
      <c r="M135" s="146"/>
      <c r="N135" s="146"/>
      <c r="O135" s="146"/>
      <c r="P135" s="147"/>
      <c r="Q135" s="151"/>
    </row>
    <row r="136" spans="1:17" ht="30" customHeight="1">
      <c r="A136" s="171" t="s">
        <v>250</v>
      </c>
      <c r="B136" s="89" t="s">
        <v>251</v>
      </c>
      <c r="C136" s="89" t="s">
        <v>117</v>
      </c>
      <c r="D136" s="171" t="s">
        <v>118</v>
      </c>
      <c r="E136" s="108">
        <f>Rekenblad!E136</f>
        <v>0</v>
      </c>
      <c r="F136" s="118">
        <f>Rekenblad!F136</f>
        <v>0</v>
      </c>
      <c r="G136" s="118"/>
      <c r="H136" s="167">
        <f t="shared" si="12"/>
        <v>0</v>
      </c>
      <c r="I136" s="569"/>
      <c r="J136" s="570"/>
      <c r="K136" s="208"/>
      <c r="L136" s="184"/>
      <c r="M136" s="184"/>
      <c r="N136" s="184"/>
      <c r="O136" s="184"/>
      <c r="P136" s="185"/>
      <c r="Q136" s="151"/>
    </row>
    <row r="137" spans="1:17" ht="30" customHeight="1">
      <c r="A137" s="171" t="s">
        <v>252</v>
      </c>
      <c r="B137" s="116" t="s">
        <v>253</v>
      </c>
      <c r="C137" s="75" t="s">
        <v>76</v>
      </c>
      <c r="D137" s="107" t="s">
        <v>8</v>
      </c>
      <c r="E137" s="108">
        <f>Rekenblad!E137</f>
        <v>64</v>
      </c>
      <c r="F137" s="118">
        <f>Rekenblad!F137</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f>Rekenblad!E138</f>
        <v>0</v>
      </c>
      <c r="F138" s="118">
        <f>Rekenblad!F138</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f>Rekenblad!E139</f>
        <v>0</v>
      </c>
      <c r="F139" s="118">
        <f>Rekenblad!F139</f>
        <v>795</v>
      </c>
      <c r="G139" s="118"/>
      <c r="H139" s="109">
        <f t="shared" ref="H139:H149" si="13">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f>Rekenblad!E140</f>
        <v>0</v>
      </c>
      <c r="F140" s="118">
        <f>Rekenblad!F140</f>
        <v>206.70000000000002</v>
      </c>
      <c r="G140" s="118"/>
      <c r="H140" s="109">
        <f t="shared" si="13"/>
        <v>0</v>
      </c>
      <c r="I140" s="567"/>
      <c r="J140" s="567"/>
      <c r="K140" s="210"/>
      <c r="L140" s="211"/>
      <c r="M140" s="211"/>
      <c r="N140" s="211"/>
      <c r="O140" s="211"/>
      <c r="P140" s="74"/>
      <c r="Q140" s="151"/>
    </row>
    <row r="141" spans="1:17" ht="30" customHeight="1">
      <c r="A141" s="171" t="s">
        <v>262</v>
      </c>
      <c r="B141" s="116" t="s">
        <v>263</v>
      </c>
      <c r="C141" s="75" t="s">
        <v>57</v>
      </c>
      <c r="D141" s="107" t="s">
        <v>8</v>
      </c>
      <c r="E141" s="108">
        <f>Rekenblad!E141</f>
        <v>0</v>
      </c>
      <c r="F141" s="118">
        <f>Rekenblad!F141</f>
        <v>291.5</v>
      </c>
      <c r="G141" s="118"/>
      <c r="H141" s="109">
        <f t="shared" si="13"/>
        <v>0</v>
      </c>
      <c r="I141" s="567"/>
      <c r="J141" s="567"/>
      <c r="K141" s="210"/>
      <c r="L141" s="211"/>
      <c r="M141" s="211"/>
      <c r="N141" s="211"/>
      <c r="O141" s="211"/>
      <c r="P141" s="74"/>
      <c r="Q141" s="151"/>
    </row>
    <row r="142" spans="1:17" ht="30" customHeight="1">
      <c r="A142" s="171" t="s">
        <v>264</v>
      </c>
      <c r="B142" s="116" t="s">
        <v>265</v>
      </c>
      <c r="C142" s="75" t="s">
        <v>57</v>
      </c>
      <c r="D142" s="107" t="s">
        <v>8</v>
      </c>
      <c r="E142" s="108">
        <f>Rekenblad!E142</f>
        <v>0</v>
      </c>
      <c r="F142" s="118">
        <f>Rekenblad!F142</f>
        <v>312.7</v>
      </c>
      <c r="G142" s="118"/>
      <c r="H142" s="109">
        <f t="shared" si="13"/>
        <v>0</v>
      </c>
      <c r="I142" s="567"/>
      <c r="J142" s="567"/>
      <c r="K142" s="210"/>
      <c r="L142" s="211"/>
      <c r="M142" s="211"/>
      <c r="N142" s="211"/>
      <c r="O142" s="211"/>
      <c r="P142" s="74"/>
      <c r="Q142" s="151"/>
    </row>
    <row r="143" spans="1:17" ht="30" customHeight="1">
      <c r="A143" s="171" t="s">
        <v>266</v>
      </c>
      <c r="B143" s="89" t="s">
        <v>267</v>
      </c>
      <c r="C143" s="89" t="s">
        <v>117</v>
      </c>
      <c r="D143" s="171" t="s">
        <v>118</v>
      </c>
      <c r="E143" s="108">
        <f>Rekenblad!E143</f>
        <v>0</v>
      </c>
      <c r="F143" s="118">
        <f>Rekenblad!F143</f>
        <v>243.8</v>
      </c>
      <c r="G143" s="118"/>
      <c r="H143" s="109">
        <f t="shared" si="13"/>
        <v>0</v>
      </c>
      <c r="I143" s="567"/>
      <c r="J143" s="567"/>
      <c r="K143" s="208"/>
      <c r="L143" s="184"/>
      <c r="M143" s="184"/>
      <c r="N143" s="184"/>
      <c r="O143" s="184"/>
      <c r="P143" s="185"/>
      <c r="Q143" s="151"/>
    </row>
    <row r="144" spans="1:17" ht="30" customHeight="1">
      <c r="A144" s="171" t="s">
        <v>268</v>
      </c>
      <c r="B144" s="89" t="s">
        <v>269</v>
      </c>
      <c r="C144" s="89" t="s">
        <v>117</v>
      </c>
      <c r="D144" s="171" t="s">
        <v>118</v>
      </c>
      <c r="E144" s="108">
        <f>Rekenblad!E144</f>
        <v>0</v>
      </c>
      <c r="F144" s="118">
        <f>Rekenblad!F144</f>
        <v>0</v>
      </c>
      <c r="G144" s="118"/>
      <c r="H144" s="109">
        <f t="shared" si="13"/>
        <v>0</v>
      </c>
      <c r="I144" s="567"/>
      <c r="J144" s="567"/>
      <c r="K144" s="208"/>
      <c r="L144" s="184"/>
      <c r="M144" s="184"/>
      <c r="N144" s="184"/>
      <c r="O144" s="184"/>
      <c r="P144" s="185"/>
      <c r="Q144" s="151"/>
    </row>
    <row r="145" spans="1:17" ht="30" customHeight="1">
      <c r="A145" s="171" t="s">
        <v>270</v>
      </c>
      <c r="B145" s="89" t="s">
        <v>271</v>
      </c>
      <c r="C145" s="89" t="s">
        <v>117</v>
      </c>
      <c r="D145" s="171" t="s">
        <v>118</v>
      </c>
      <c r="E145" s="108">
        <f>Rekenblad!E145</f>
        <v>0</v>
      </c>
      <c r="F145" s="118">
        <f>Rekenblad!F145</f>
        <v>0</v>
      </c>
      <c r="G145" s="118"/>
      <c r="H145" s="109">
        <f t="shared" si="13"/>
        <v>0</v>
      </c>
      <c r="I145" s="567"/>
      <c r="J145" s="567"/>
      <c r="K145" s="208"/>
      <c r="L145" s="184"/>
      <c r="M145" s="184"/>
      <c r="N145" s="184"/>
      <c r="O145" s="184"/>
      <c r="P145" s="185"/>
      <c r="Q145" s="151"/>
    </row>
    <row r="146" spans="1:17" ht="30" customHeight="1">
      <c r="A146" s="171" t="s">
        <v>272</v>
      </c>
      <c r="B146" s="89" t="s">
        <v>273</v>
      </c>
      <c r="C146" s="89" t="s">
        <v>117</v>
      </c>
      <c r="D146" s="171" t="s">
        <v>118</v>
      </c>
      <c r="E146" s="108">
        <f>Rekenblad!E146</f>
        <v>0</v>
      </c>
      <c r="F146" s="118">
        <f>Rekenblad!F146</f>
        <v>0</v>
      </c>
      <c r="G146" s="118"/>
      <c r="H146" s="109">
        <f t="shared" si="13"/>
        <v>0</v>
      </c>
      <c r="I146" s="567"/>
      <c r="J146" s="567"/>
      <c r="K146" s="208"/>
      <c r="L146" s="184"/>
      <c r="M146" s="184"/>
      <c r="N146" s="184"/>
      <c r="O146" s="184"/>
      <c r="P146" s="185"/>
      <c r="Q146" s="151"/>
    </row>
    <row r="147" spans="1:17" ht="30" customHeight="1">
      <c r="A147" s="171" t="s">
        <v>274</v>
      </c>
      <c r="B147" s="89" t="s">
        <v>275</v>
      </c>
      <c r="C147" s="89" t="s">
        <v>117</v>
      </c>
      <c r="D147" s="171" t="s">
        <v>118</v>
      </c>
      <c r="E147" s="108">
        <f>Rekenblad!E147</f>
        <v>0</v>
      </c>
      <c r="F147" s="118">
        <f>Rekenblad!F147</f>
        <v>58.300000000000004</v>
      </c>
      <c r="G147" s="118"/>
      <c r="H147" s="109">
        <f t="shared" si="13"/>
        <v>0</v>
      </c>
      <c r="I147" s="567"/>
      <c r="J147" s="567"/>
      <c r="K147" s="208"/>
      <c r="L147" s="184"/>
      <c r="M147" s="184"/>
      <c r="N147" s="184"/>
      <c r="O147" s="184"/>
      <c r="P147" s="185"/>
      <c r="Q147" s="151"/>
    </row>
    <row r="148" spans="1:17" ht="30" customHeight="1">
      <c r="A148" s="171" t="s">
        <v>276</v>
      </c>
      <c r="B148" s="89" t="s">
        <v>277</v>
      </c>
      <c r="C148" s="89" t="s">
        <v>117</v>
      </c>
      <c r="D148" s="171" t="s">
        <v>118</v>
      </c>
      <c r="E148" s="108">
        <f>Rekenblad!E148</f>
        <v>0</v>
      </c>
      <c r="F148" s="118">
        <f>Rekenblad!F148</f>
        <v>0</v>
      </c>
      <c r="G148" s="118"/>
      <c r="H148" s="109">
        <f t="shared" si="13"/>
        <v>0</v>
      </c>
      <c r="I148" s="567"/>
      <c r="J148" s="567"/>
      <c r="K148" s="208"/>
      <c r="L148" s="184"/>
      <c r="M148" s="184"/>
      <c r="N148" s="184"/>
      <c r="O148" s="184"/>
      <c r="P148" s="185"/>
      <c r="Q148" s="151"/>
    </row>
    <row r="149" spans="1:17" ht="30" customHeight="1">
      <c r="A149" s="171" t="s">
        <v>278</v>
      </c>
      <c r="B149" s="89" t="s">
        <v>279</v>
      </c>
      <c r="C149" s="89" t="s">
        <v>117</v>
      </c>
      <c r="D149" s="171" t="s">
        <v>118</v>
      </c>
      <c r="E149" s="108">
        <f>Rekenblad!E149</f>
        <v>0</v>
      </c>
      <c r="F149" s="118">
        <f>Rekenblad!F149</f>
        <v>0</v>
      </c>
      <c r="G149" s="118"/>
      <c r="H149" s="109">
        <f t="shared" si="13"/>
        <v>0</v>
      </c>
      <c r="I149" s="567"/>
      <c r="J149" s="567"/>
      <c r="K149" s="208"/>
      <c r="L149" s="184"/>
      <c r="M149" s="184"/>
      <c r="N149" s="184"/>
      <c r="O149" s="184"/>
      <c r="P149" s="185"/>
      <c r="Q149" s="151"/>
    </row>
    <row r="150" spans="1:17" ht="30" customHeight="1">
      <c r="A150" s="212"/>
      <c r="B150" s="151"/>
      <c r="C150" s="151"/>
      <c r="D150" s="213"/>
      <c r="E150" s="108"/>
      <c r="F150" s="118"/>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60" t="str">
        <f>Rekenblad!F151</f>
        <v>bedrag per eenheid (excl. btw)</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f>Rekenblad!E152</f>
        <v>0</v>
      </c>
      <c r="F152" s="118">
        <f>Rekenblad!F152</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Rekenblad!E153</f>
        <v>5</v>
      </c>
      <c r="F153" s="118">
        <f>Rekenblad!F153</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f>Rekenblad!E154</f>
        <v>0</v>
      </c>
      <c r="F154" s="118">
        <f>Rekenblad!F154</f>
        <v>397.5</v>
      </c>
      <c r="G154" s="109"/>
      <c r="H154" s="167"/>
      <c r="I154" s="153"/>
      <c r="J154" s="152"/>
      <c r="K154" s="118"/>
      <c r="L154" s="146"/>
      <c r="M154" s="146"/>
      <c r="N154" s="146"/>
      <c r="O154" s="146"/>
      <c r="P154" s="147"/>
      <c r="Q154" s="151"/>
    </row>
    <row r="155" spans="1:17" ht="30" customHeight="1">
      <c r="A155" s="171"/>
      <c r="B155" s="116"/>
      <c r="C155" s="75"/>
      <c r="D155" s="171"/>
      <c r="E155" s="108">
        <f>Rekenblad!E155</f>
        <v>0</v>
      </c>
      <c r="F155" s="118">
        <f>Rekenblad!F155</f>
        <v>0</v>
      </c>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60" t="str">
        <f>Rekenblad!F156</f>
        <v>bedrag per eenheid (excl. btw)</v>
      </c>
      <c r="G156" s="48" t="s">
        <v>15</v>
      </c>
      <c r="H156" s="48" t="s">
        <v>16</v>
      </c>
      <c r="I156" s="571" t="s">
        <v>17</v>
      </c>
      <c r="J156" s="571"/>
      <c r="K156" s="37"/>
      <c r="L156" s="50"/>
      <c r="M156" s="50"/>
      <c r="N156" s="50"/>
      <c r="O156" s="50"/>
      <c r="P156" s="49" t="s">
        <v>18</v>
      </c>
      <c r="Q156" s="151"/>
    </row>
    <row r="157" spans="1:17">
      <c r="A157" s="218"/>
      <c r="B157" s="219"/>
      <c r="C157" s="219"/>
      <c r="D157" s="218"/>
      <c r="E157" s="220"/>
      <c r="F157" s="118">
        <f>Rekenblad!F157</f>
        <v>0</v>
      </c>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200</v>
      </c>
      <c r="F158" s="118">
        <f>Rekenblad!F158</f>
        <v>23.32</v>
      </c>
      <c r="G158" s="109"/>
      <c r="H158" s="167">
        <f>E158*F158</f>
        <v>4664</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f>Rekenblad!E159</f>
        <v>0</v>
      </c>
      <c r="F159" s="118">
        <f>Rekenblad!F159</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Rekenblad!E160</f>
        <v>10</v>
      </c>
      <c r="F160" s="118">
        <f>Rekenblad!F160</f>
        <v>276.44800000000004</v>
      </c>
      <c r="G160" s="109"/>
      <c r="H160" s="167">
        <f t="shared" ref="H160:H193" si="14">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200</v>
      </c>
      <c r="F161" s="118">
        <f>Rekenblad!F161</f>
        <v>201.4</v>
      </c>
      <c r="G161" s="109"/>
      <c r="H161" s="167">
        <f t="shared" si="14"/>
        <v>40280</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f>Rekenblad!E162</f>
        <v>0</v>
      </c>
      <c r="F162" s="118">
        <f>Rekenblad!F162</f>
        <v>154.44200000000001</v>
      </c>
      <c r="G162" s="109"/>
      <c r="H162" s="167">
        <f t="shared" si="14"/>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200</v>
      </c>
      <c r="F163" s="118">
        <f>Rekenblad!F163</f>
        <v>66.25</v>
      </c>
      <c r="G163" s="118"/>
      <c r="H163" s="168">
        <f t="shared" si="14"/>
        <v>13250</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f>Rekenblad!E164</f>
        <v>0</v>
      </c>
      <c r="F164" s="118">
        <f>Rekenblad!F164</f>
        <v>180.20000000000002</v>
      </c>
      <c r="G164" s="118"/>
      <c r="H164" s="197">
        <f t="shared" si="14"/>
        <v>0</v>
      </c>
      <c r="I164" s="569"/>
      <c r="J164" s="570"/>
      <c r="K164" s="183"/>
      <c r="L164" s="184"/>
      <c r="M164" s="184"/>
      <c r="N164" s="184"/>
      <c r="O164" s="184"/>
      <c r="P164" s="185"/>
      <c r="Q164" s="151"/>
    </row>
    <row r="165" spans="1:17" ht="30" customHeight="1">
      <c r="A165" s="171" t="s">
        <v>311</v>
      </c>
      <c r="B165" s="174" t="s">
        <v>312</v>
      </c>
      <c r="C165" s="107" t="s">
        <v>33</v>
      </c>
      <c r="D165" s="107" t="s">
        <v>313</v>
      </c>
      <c r="E165" s="108">
        <f>Rekenblad!E165</f>
        <v>0</v>
      </c>
      <c r="F165" s="118">
        <f>Rekenblad!F165</f>
        <v>180.20000000000002</v>
      </c>
      <c r="G165" s="109"/>
      <c r="H165" s="167">
        <f t="shared" si="14"/>
        <v>0</v>
      </c>
      <c r="I165" s="569"/>
      <c r="J165" s="570"/>
      <c r="K165" s="118"/>
      <c r="L165" s="146"/>
      <c r="M165" s="146"/>
      <c r="N165" s="146"/>
      <c r="O165" s="146"/>
      <c r="P165" s="147"/>
      <c r="Q165" s="151"/>
    </row>
    <row r="166" spans="1:17" ht="30" customHeight="1">
      <c r="A166" s="171" t="s">
        <v>314</v>
      </c>
      <c r="B166" s="174" t="s">
        <v>315</v>
      </c>
      <c r="C166" s="107" t="s">
        <v>57</v>
      </c>
      <c r="D166" s="107" t="s">
        <v>316</v>
      </c>
      <c r="E166" s="108">
        <f>Rekenblad!E166</f>
        <v>0</v>
      </c>
      <c r="F166" s="118">
        <f>Rekenblad!F166</f>
        <v>1679.0400000000002</v>
      </c>
      <c r="G166" s="109"/>
      <c r="H166" s="167">
        <f t="shared" si="14"/>
        <v>0</v>
      </c>
      <c r="I166" s="569"/>
      <c r="J166" s="570"/>
      <c r="K166" s="118"/>
      <c r="L166" s="146"/>
      <c r="M166" s="146"/>
      <c r="N166" s="146"/>
      <c r="O166" s="146"/>
      <c r="P166" s="147"/>
      <c r="Q166" s="151"/>
    </row>
    <row r="167" spans="1:17" ht="30" customHeight="1">
      <c r="A167" s="171" t="s">
        <v>317</v>
      </c>
      <c r="B167" s="89" t="s">
        <v>318</v>
      </c>
      <c r="C167" s="89" t="s">
        <v>117</v>
      </c>
      <c r="D167" s="171" t="s">
        <v>118</v>
      </c>
      <c r="E167" s="108">
        <f>Rekenblad!E167</f>
        <v>0</v>
      </c>
      <c r="F167" s="118">
        <f>Rekenblad!F167</f>
        <v>10.865</v>
      </c>
      <c r="G167" s="118"/>
      <c r="H167" s="197">
        <f t="shared" si="14"/>
        <v>0</v>
      </c>
      <c r="I167" s="569"/>
      <c r="J167" s="570"/>
      <c r="K167" s="183"/>
      <c r="L167" s="184"/>
      <c r="M167" s="184"/>
      <c r="N167" s="184"/>
      <c r="O167" s="184"/>
      <c r="P167" s="185"/>
      <c r="Q167" s="151"/>
    </row>
    <row r="168" spans="1:17" ht="30" customHeight="1">
      <c r="A168" s="171" t="s">
        <v>319</v>
      </c>
      <c r="B168" s="174" t="s">
        <v>320</v>
      </c>
      <c r="C168" s="107" t="s">
        <v>57</v>
      </c>
      <c r="D168" s="107" t="s">
        <v>316</v>
      </c>
      <c r="E168" s="108">
        <f>Rekenblad!E168</f>
        <v>0</v>
      </c>
      <c r="F168" s="118">
        <f>Rekenblad!F168</f>
        <v>1007.424</v>
      </c>
      <c r="G168" s="109"/>
      <c r="H168" s="167">
        <f t="shared" si="14"/>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f>Rekenblad!E169</f>
        <v>0</v>
      </c>
      <c r="F169" s="118">
        <f>Rekenblad!F169</f>
        <v>13.515000000000001</v>
      </c>
      <c r="G169" s="118"/>
      <c r="H169" s="197">
        <f t="shared" si="14"/>
        <v>0</v>
      </c>
      <c r="I169" s="569"/>
      <c r="J169" s="570"/>
      <c r="K169" s="183"/>
      <c r="L169" s="184"/>
      <c r="M169" s="184"/>
      <c r="N169" s="184"/>
      <c r="O169" s="184"/>
      <c r="P169" s="185"/>
      <c r="Q169" s="151"/>
    </row>
    <row r="170" spans="1:17" ht="30" customHeight="1">
      <c r="A170" s="171" t="s">
        <v>324</v>
      </c>
      <c r="B170" s="174" t="s">
        <v>325</v>
      </c>
      <c r="C170" s="107"/>
      <c r="D170" s="107" t="s">
        <v>326</v>
      </c>
      <c r="E170" s="196">
        <f>$G$3*$A$4</f>
        <v>200</v>
      </c>
      <c r="F170" s="118">
        <f>Rekenblad!F170</f>
        <v>74.2</v>
      </c>
      <c r="G170" s="109"/>
      <c r="H170" s="167">
        <f t="shared" si="14"/>
        <v>14840</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f>Rekenblad!E171</f>
        <v>0</v>
      </c>
      <c r="F171" s="118">
        <f>Rekenblad!F171</f>
        <v>283.23200000000003</v>
      </c>
      <c r="G171" s="109"/>
      <c r="H171" s="167">
        <f t="shared" si="14"/>
        <v>0</v>
      </c>
      <c r="I171" s="569"/>
      <c r="J171" s="570"/>
      <c r="K171" s="118"/>
      <c r="L171" s="146"/>
      <c r="M171" s="146"/>
      <c r="N171" s="146"/>
      <c r="O171" s="146"/>
      <c r="P171" s="147"/>
      <c r="Q171" s="151"/>
    </row>
    <row r="172" spans="1:17" ht="30" customHeight="1">
      <c r="A172" s="171" t="s">
        <v>330</v>
      </c>
      <c r="B172" s="89" t="s">
        <v>331</v>
      </c>
      <c r="C172" s="89" t="s">
        <v>117</v>
      </c>
      <c r="D172" s="171" t="s">
        <v>118</v>
      </c>
      <c r="E172" s="108">
        <f>Rekenblad!E172</f>
        <v>0</v>
      </c>
      <c r="F172" s="118">
        <f>Rekenblad!F172</f>
        <v>95.4</v>
      </c>
      <c r="G172" s="118"/>
      <c r="H172" s="197">
        <f t="shared" si="14"/>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200</v>
      </c>
      <c r="F173" s="118">
        <f>Rekenblad!F173</f>
        <v>33.814</v>
      </c>
      <c r="G173" s="109"/>
      <c r="H173" s="167">
        <f t="shared" si="14"/>
        <v>6762.8</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200</v>
      </c>
      <c r="F174" s="118">
        <f>Rekenblad!F174</f>
        <v>46.11</v>
      </c>
      <c r="G174" s="109"/>
      <c r="H174" s="167">
        <f t="shared" si="14"/>
        <v>9222</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200</v>
      </c>
      <c r="F175" s="118">
        <f>Rekenblad!F175</f>
        <v>461.1</v>
      </c>
      <c r="G175" s="109"/>
      <c r="H175" s="167">
        <f t="shared" si="14"/>
        <v>92220</v>
      </c>
      <c r="I175" s="569" t="s">
        <v>343</v>
      </c>
      <c r="J175" s="570"/>
      <c r="K175" s="118"/>
      <c r="L175" s="146"/>
      <c r="M175" s="146"/>
      <c r="N175" s="146"/>
      <c r="O175" s="146"/>
      <c r="P175" s="147"/>
      <c r="Q175" s="151"/>
    </row>
    <row r="176" spans="1:17" ht="30" customHeight="1">
      <c r="A176" s="171" t="s">
        <v>344</v>
      </c>
      <c r="B176" s="116" t="s">
        <v>345</v>
      </c>
      <c r="C176" s="75" t="s">
        <v>26</v>
      </c>
      <c r="D176" s="171" t="s">
        <v>291</v>
      </c>
      <c r="E176" s="108">
        <f>Rekenblad!E176</f>
        <v>0</v>
      </c>
      <c r="F176" s="118">
        <f>Rekenblad!F176</f>
        <v>954</v>
      </c>
      <c r="G176" s="109"/>
      <c r="H176" s="167">
        <f t="shared" ref="H176" si="15">SUM(E176*F176)</f>
        <v>0</v>
      </c>
      <c r="I176" s="569" t="s">
        <v>346</v>
      </c>
      <c r="J176" s="570"/>
      <c r="K176" s="118"/>
      <c r="L176" s="146"/>
      <c r="M176" s="146"/>
      <c r="N176" s="146"/>
      <c r="O176" s="146"/>
      <c r="P176" s="147"/>
      <c r="Q176" s="151"/>
    </row>
    <row r="177" spans="1:17" ht="30" customHeight="1">
      <c r="A177" s="171" t="s">
        <v>347</v>
      </c>
      <c r="B177" s="116" t="s">
        <v>348</v>
      </c>
      <c r="C177" s="75" t="s">
        <v>57</v>
      </c>
      <c r="D177" s="107" t="s">
        <v>291</v>
      </c>
      <c r="E177" s="108">
        <f>Rekenblad!E178</f>
        <v>50</v>
      </c>
      <c r="F177" s="118">
        <f>Rekenblad!F178</f>
        <v>20.352</v>
      </c>
      <c r="G177" s="109"/>
      <c r="H177" s="167">
        <f t="shared" si="14"/>
        <v>1017.6</v>
      </c>
      <c r="I177" s="569" t="s">
        <v>349</v>
      </c>
      <c r="J177" s="570"/>
      <c r="K177" s="118"/>
      <c r="L177" s="146"/>
      <c r="M177" s="146"/>
      <c r="N177" s="146"/>
      <c r="O177" s="146"/>
      <c r="P177" s="147"/>
      <c r="Q177" s="151"/>
    </row>
    <row r="178" spans="1:17" ht="30" customHeight="1">
      <c r="A178" s="171" t="s">
        <v>350</v>
      </c>
      <c r="B178" s="116" t="s">
        <v>351</v>
      </c>
      <c r="C178" s="75" t="s">
        <v>57</v>
      </c>
      <c r="D178" s="107" t="s">
        <v>257</v>
      </c>
      <c r="E178" s="108">
        <f>Rekenblad!E179</f>
        <v>0</v>
      </c>
      <c r="F178" s="118">
        <f>Rekenblad!F179</f>
        <v>59.466000000000001</v>
      </c>
      <c r="G178" s="109"/>
      <c r="H178" s="167">
        <f t="shared" si="14"/>
        <v>0</v>
      </c>
      <c r="I178" s="569"/>
      <c r="J178" s="570"/>
      <c r="K178" s="118"/>
      <c r="L178" s="146"/>
      <c r="M178" s="146"/>
      <c r="N178" s="146"/>
      <c r="O178" s="146"/>
      <c r="P178" s="147"/>
      <c r="Q178" s="151"/>
    </row>
    <row r="179" spans="1:17" ht="30" customHeight="1">
      <c r="A179" s="171" t="s">
        <v>352</v>
      </c>
      <c r="B179" s="89" t="s">
        <v>353</v>
      </c>
      <c r="C179" s="89" t="s">
        <v>117</v>
      </c>
      <c r="D179" s="171" t="s">
        <v>118</v>
      </c>
      <c r="E179" s="108">
        <f>Rekenblad!E180</f>
        <v>0</v>
      </c>
      <c r="F179" s="118">
        <f>Rekenblad!F180</f>
        <v>0</v>
      </c>
      <c r="G179" s="118"/>
      <c r="H179" s="197">
        <f t="shared" si="14"/>
        <v>0</v>
      </c>
      <c r="I179" s="569"/>
      <c r="J179" s="570"/>
      <c r="K179" s="183"/>
      <c r="L179" s="184"/>
      <c r="M179" s="184"/>
      <c r="N179" s="184"/>
      <c r="O179" s="184"/>
      <c r="P179" s="185"/>
      <c r="Q179" s="151"/>
    </row>
    <row r="180" spans="1:17" ht="30" customHeight="1">
      <c r="A180" s="171" t="s">
        <v>354</v>
      </c>
      <c r="B180" s="89" t="s">
        <v>355</v>
      </c>
      <c r="C180" s="89" t="s">
        <v>117</v>
      </c>
      <c r="D180" s="171" t="s">
        <v>356</v>
      </c>
      <c r="E180" s="108">
        <f>Rekenblad!E181</f>
        <v>0</v>
      </c>
      <c r="F180" s="118">
        <f>Rekenblad!F181</f>
        <v>53</v>
      </c>
      <c r="G180" s="109"/>
      <c r="H180" s="167">
        <f t="shared" si="14"/>
        <v>0</v>
      </c>
      <c r="I180" s="569"/>
      <c r="J180" s="570"/>
      <c r="K180" s="118"/>
      <c r="L180" s="146"/>
      <c r="M180" s="146"/>
      <c r="N180" s="146"/>
      <c r="O180" s="146"/>
      <c r="P180" s="147"/>
      <c r="Q180" s="151"/>
    </row>
    <row r="181" spans="1:17" ht="30" customHeight="1">
      <c r="A181" s="171" t="s">
        <v>357</v>
      </c>
      <c r="B181" s="89" t="s">
        <v>358</v>
      </c>
      <c r="C181" s="89" t="s">
        <v>117</v>
      </c>
      <c r="D181" s="171" t="s">
        <v>359</v>
      </c>
      <c r="E181" s="108">
        <f>Rekenblad!E182</f>
        <v>0</v>
      </c>
      <c r="F181" s="118">
        <f>Rekenblad!F182</f>
        <v>1.7489999999999999</v>
      </c>
      <c r="G181" s="109"/>
      <c r="H181" s="167">
        <f t="shared" si="14"/>
        <v>0</v>
      </c>
      <c r="I181" s="569"/>
      <c r="J181" s="570"/>
      <c r="K181" s="118"/>
      <c r="L181" s="146"/>
      <c r="M181" s="146"/>
      <c r="N181" s="146"/>
      <c r="O181" s="146"/>
      <c r="P181" s="147"/>
      <c r="Q181" s="151"/>
    </row>
    <row r="182" spans="1:17" ht="30" customHeight="1">
      <c r="A182" s="171" t="s">
        <v>360</v>
      </c>
      <c r="B182" s="89" t="s">
        <v>361</v>
      </c>
      <c r="C182" s="89" t="s">
        <v>117</v>
      </c>
      <c r="D182" s="171" t="s">
        <v>362</v>
      </c>
      <c r="E182" s="108">
        <f>Rekenblad!E183</f>
        <v>0</v>
      </c>
      <c r="F182" s="118">
        <f>Rekenblad!F183</f>
        <v>58.300000000000004</v>
      </c>
      <c r="G182" s="109"/>
      <c r="H182" s="167">
        <f t="shared" si="14"/>
        <v>0</v>
      </c>
      <c r="I182" s="569"/>
      <c r="J182" s="570"/>
      <c r="K182" s="118"/>
      <c r="L182" s="146"/>
      <c r="M182" s="146"/>
      <c r="N182" s="146"/>
      <c r="O182" s="146"/>
      <c r="P182" s="147"/>
      <c r="Q182" s="151"/>
    </row>
    <row r="183" spans="1:17" ht="30" customHeight="1">
      <c r="A183" s="171" t="s">
        <v>363</v>
      </c>
      <c r="B183" s="89" t="s">
        <v>364</v>
      </c>
      <c r="C183" s="89" t="s">
        <v>117</v>
      </c>
      <c r="D183" s="171" t="s">
        <v>304</v>
      </c>
      <c r="E183" s="196">
        <f>$G$3*$A$4</f>
        <v>200</v>
      </c>
      <c r="F183" s="118">
        <f>Rekenblad!F184</f>
        <v>331.78000000000003</v>
      </c>
      <c r="G183" s="109"/>
      <c r="H183" s="167">
        <f t="shared" si="14"/>
        <v>66356</v>
      </c>
      <c r="I183" s="569" t="s">
        <v>365</v>
      </c>
      <c r="J183" s="570"/>
      <c r="K183" s="118"/>
      <c r="L183" s="146"/>
      <c r="M183" s="146"/>
      <c r="N183" s="146"/>
      <c r="O183" s="146"/>
      <c r="P183" s="147"/>
      <c r="Q183" s="151"/>
    </row>
    <row r="184" spans="1:17" ht="30" customHeight="1">
      <c r="A184" s="171" t="s">
        <v>366</v>
      </c>
      <c r="B184" s="89" t="s">
        <v>367</v>
      </c>
      <c r="C184" s="89" t="s">
        <v>117</v>
      </c>
      <c r="D184" s="171" t="s">
        <v>362</v>
      </c>
      <c r="E184" s="108">
        <f>Rekenblad!E185</f>
        <v>0</v>
      </c>
      <c r="F184" s="118">
        <f>Rekenblad!F185</f>
        <v>0</v>
      </c>
      <c r="G184" s="109"/>
      <c r="H184" s="167">
        <f t="shared" si="14"/>
        <v>0</v>
      </c>
      <c r="I184" s="567"/>
      <c r="J184" s="568"/>
      <c r="K184" s="118"/>
      <c r="L184" s="146"/>
      <c r="M184" s="146"/>
      <c r="N184" s="146"/>
      <c r="O184" s="146"/>
      <c r="P184" s="147"/>
      <c r="Q184" s="151"/>
    </row>
    <row r="185" spans="1:17" ht="30" customHeight="1">
      <c r="A185" s="171" t="s">
        <v>368</v>
      </c>
      <c r="B185" s="89" t="s">
        <v>369</v>
      </c>
      <c r="C185" s="89" t="s">
        <v>117</v>
      </c>
      <c r="D185" s="171" t="s">
        <v>370</v>
      </c>
      <c r="E185" s="108">
        <f>Rekenblad!E186</f>
        <v>0</v>
      </c>
      <c r="F185" s="118">
        <f>Rekenblad!F186</f>
        <v>0</v>
      </c>
      <c r="G185" s="109"/>
      <c r="H185" s="167">
        <f t="shared" si="14"/>
        <v>0</v>
      </c>
      <c r="I185" s="567"/>
      <c r="J185" s="568"/>
      <c r="K185" s="161"/>
      <c r="L185" s="162"/>
      <c r="M185" s="162"/>
      <c r="N185" s="162"/>
      <c r="O185" s="162"/>
      <c r="P185" s="163"/>
      <c r="Q185" s="151"/>
    </row>
    <row r="186" spans="1:17" ht="30" customHeight="1">
      <c r="A186" s="171" t="s">
        <v>371</v>
      </c>
      <c r="B186" s="89" t="s">
        <v>372</v>
      </c>
      <c r="C186" s="89" t="s">
        <v>117</v>
      </c>
      <c r="D186" s="171" t="s">
        <v>304</v>
      </c>
      <c r="E186" s="196">
        <f>$G$3*$A$4</f>
        <v>200</v>
      </c>
      <c r="F186" s="118">
        <f>Rekenblad!F187</f>
        <v>312.7</v>
      </c>
      <c r="G186" s="109"/>
      <c r="H186" s="167">
        <f t="shared" si="14"/>
        <v>62540</v>
      </c>
      <c r="I186" s="567" t="s">
        <v>365</v>
      </c>
      <c r="J186" s="568"/>
      <c r="K186" s="161"/>
      <c r="L186" s="162"/>
      <c r="M186" s="162"/>
      <c r="N186" s="162"/>
      <c r="O186" s="162"/>
      <c r="P186" s="163"/>
      <c r="Q186" s="151"/>
    </row>
    <row r="187" spans="1:17" ht="30" customHeight="1">
      <c r="A187" s="171" t="s">
        <v>373</v>
      </c>
      <c r="B187" s="116" t="s">
        <v>374</v>
      </c>
      <c r="C187" s="75" t="s">
        <v>101</v>
      </c>
      <c r="D187" s="107" t="s">
        <v>359</v>
      </c>
      <c r="E187" s="108">
        <f>Rekenblad!E188</f>
        <v>0</v>
      </c>
      <c r="F187" s="118">
        <f>Rekenblad!F188</f>
        <v>1.06</v>
      </c>
      <c r="G187" s="109"/>
      <c r="H187" s="167">
        <f t="shared" si="14"/>
        <v>0</v>
      </c>
      <c r="I187" s="567"/>
      <c r="J187" s="568"/>
      <c r="K187" s="118"/>
      <c r="L187" s="146"/>
      <c r="M187" s="146"/>
      <c r="N187" s="146"/>
      <c r="O187" s="146"/>
      <c r="P187" s="147"/>
      <c r="Q187" s="151"/>
    </row>
    <row r="188" spans="1:17" ht="30" customHeight="1">
      <c r="A188" s="171" t="s">
        <v>375</v>
      </c>
      <c r="B188" s="116" t="s">
        <v>374</v>
      </c>
      <c r="C188" s="75" t="s">
        <v>57</v>
      </c>
      <c r="D188" s="107" t="s">
        <v>376</v>
      </c>
      <c r="E188" s="196">
        <f>$G$3*$A$4*3</f>
        <v>600</v>
      </c>
      <c r="F188" s="118">
        <f>Rekenblad!F189</f>
        <v>118.72</v>
      </c>
      <c r="G188" s="109"/>
      <c r="H188" s="167">
        <f>E188*F188</f>
        <v>71232</v>
      </c>
      <c r="I188" s="567" t="s">
        <v>377</v>
      </c>
      <c r="J188" s="568"/>
      <c r="K188" s="118"/>
      <c r="L188" s="146"/>
      <c r="M188" s="146"/>
      <c r="N188" s="146"/>
      <c r="O188" s="146"/>
      <c r="P188" s="147"/>
      <c r="Q188" s="151"/>
    </row>
    <row r="189" spans="1:17" ht="30" customHeight="1">
      <c r="A189" s="171" t="s">
        <v>378</v>
      </c>
      <c r="B189" s="116" t="s">
        <v>379</v>
      </c>
      <c r="C189" s="75" t="s">
        <v>33</v>
      </c>
      <c r="D189" s="107" t="s">
        <v>359</v>
      </c>
      <c r="E189" s="108">
        <f>Rekenblad!E190</f>
        <v>0</v>
      </c>
      <c r="F189" s="118">
        <f>Rekenblad!F190</f>
        <v>0.84800000000000009</v>
      </c>
      <c r="G189" s="109"/>
      <c r="H189" s="167">
        <f t="shared" si="14"/>
        <v>0</v>
      </c>
      <c r="I189" s="567"/>
      <c r="J189" s="568"/>
      <c r="K189" s="118"/>
      <c r="L189" s="146"/>
      <c r="M189" s="146"/>
      <c r="N189" s="146"/>
      <c r="O189" s="146"/>
      <c r="P189" s="147"/>
      <c r="Q189" s="151"/>
    </row>
    <row r="190" spans="1:17" ht="30" customHeight="1">
      <c r="A190" s="171" t="s">
        <v>380</v>
      </c>
      <c r="B190" s="116" t="s">
        <v>381</v>
      </c>
      <c r="C190" s="75" t="s">
        <v>33</v>
      </c>
      <c r="D190" s="107" t="s">
        <v>359</v>
      </c>
      <c r="E190" s="108">
        <f>Rekenblad!E191</f>
        <v>0</v>
      </c>
      <c r="F190" s="118">
        <f>Rekenblad!F191</f>
        <v>1.3250000000000002</v>
      </c>
      <c r="G190" s="109"/>
      <c r="H190" s="167">
        <f t="shared" si="14"/>
        <v>0</v>
      </c>
      <c r="I190" s="567"/>
      <c r="J190" s="568"/>
      <c r="K190" s="118"/>
      <c r="L190" s="146"/>
      <c r="M190" s="146"/>
      <c r="N190" s="146"/>
      <c r="O190" s="146"/>
      <c r="P190" s="147"/>
      <c r="Q190" s="151"/>
    </row>
    <row r="191" spans="1:17" ht="30" customHeight="1">
      <c r="A191" s="171" t="s">
        <v>382</v>
      </c>
      <c r="B191" s="116" t="s">
        <v>383</v>
      </c>
      <c r="C191" s="75" t="s">
        <v>33</v>
      </c>
      <c r="D191" s="107" t="s">
        <v>384</v>
      </c>
      <c r="E191" s="108">
        <f>Rekenblad!E192</f>
        <v>0</v>
      </c>
      <c r="F191" s="118">
        <f>Rekenblad!F192</f>
        <v>172.78</v>
      </c>
      <c r="G191" s="109"/>
      <c r="H191" s="167">
        <f t="shared" si="14"/>
        <v>0</v>
      </c>
      <c r="I191" s="567"/>
      <c r="J191" s="568"/>
      <c r="K191" s="118"/>
      <c r="L191" s="146"/>
      <c r="M191" s="146"/>
      <c r="N191" s="146"/>
      <c r="O191" s="146"/>
      <c r="P191" s="147"/>
      <c r="Q191" s="151"/>
    </row>
    <row r="192" spans="1:17" ht="30" customHeight="1">
      <c r="A192" s="171" t="s">
        <v>385</v>
      </c>
      <c r="B192" s="116" t="s">
        <v>386</v>
      </c>
      <c r="C192" s="75" t="s">
        <v>57</v>
      </c>
      <c r="D192" s="107" t="s">
        <v>387</v>
      </c>
      <c r="E192" s="108">
        <f>Rekenblad!E193</f>
        <v>0</v>
      </c>
      <c r="F192" s="118">
        <f>Rekenblad!F193</f>
        <v>689</v>
      </c>
      <c r="G192" s="109"/>
      <c r="H192" s="167">
        <f t="shared" si="14"/>
        <v>0</v>
      </c>
      <c r="I192" s="567"/>
      <c r="J192" s="568"/>
      <c r="K192" s="118"/>
      <c r="L192" s="146"/>
      <c r="M192" s="146"/>
      <c r="N192" s="146"/>
      <c r="O192" s="146"/>
      <c r="P192" s="147"/>
      <c r="Q192" s="151"/>
    </row>
    <row r="193" spans="1:17" ht="30" customHeight="1">
      <c r="A193" s="171" t="s">
        <v>388</v>
      </c>
      <c r="B193" s="116" t="s">
        <v>389</v>
      </c>
      <c r="C193" s="75" t="s">
        <v>57</v>
      </c>
      <c r="D193" s="107" t="s">
        <v>387</v>
      </c>
      <c r="E193" s="108">
        <f>Rekenblad!E194</f>
        <v>0</v>
      </c>
      <c r="F193" s="118">
        <f>Rekenblad!F194</f>
        <v>371</v>
      </c>
      <c r="G193" s="109"/>
      <c r="H193" s="167">
        <f t="shared" si="14"/>
        <v>0</v>
      </c>
      <c r="I193" s="567"/>
      <c r="J193" s="568"/>
      <c r="K193" s="118"/>
      <c r="L193" s="146"/>
      <c r="M193" s="146"/>
      <c r="N193" s="146"/>
      <c r="O193" s="146"/>
      <c r="P193" s="147"/>
      <c r="Q193" s="151"/>
    </row>
    <row r="194" spans="1:17" ht="30" customHeight="1">
      <c r="A194" s="226"/>
      <c r="B194" s="227"/>
      <c r="C194" s="228"/>
      <c r="D194" s="229"/>
      <c r="E194" s="179"/>
      <c r="F194" s="118"/>
      <c r="G194" s="230"/>
      <c r="H194" s="230"/>
      <c r="I194" s="231"/>
      <c r="J194" s="232"/>
      <c r="K194" s="233"/>
      <c r="L194" s="234"/>
      <c r="M194" s="234"/>
      <c r="N194" s="234"/>
      <c r="O194" s="234"/>
      <c r="P194" s="163"/>
      <c r="Q194" s="151"/>
    </row>
    <row r="195" spans="1:17" s="5" customFormat="1" ht="65.25" customHeight="1">
      <c r="A195" s="235">
        <v>10</v>
      </c>
      <c r="B195" s="236" t="s">
        <v>390</v>
      </c>
      <c r="C195" s="115"/>
      <c r="D195" s="38" t="s">
        <v>12</v>
      </c>
      <c r="E195" s="47" t="s">
        <v>13</v>
      </c>
      <c r="F195" s="60" t="str">
        <f>Rekenblad!F196</f>
        <v>bedrag per eenheid (excl. btw)</v>
      </c>
      <c r="G195" s="37" t="s">
        <v>15</v>
      </c>
      <c r="H195" s="37" t="s">
        <v>16</v>
      </c>
      <c r="I195" s="563" t="s">
        <v>17</v>
      </c>
      <c r="J195" s="564"/>
      <c r="K195" s="564"/>
      <c r="L195" s="564"/>
      <c r="M195" s="564"/>
      <c r="N195" s="564"/>
      <c r="O195" s="564"/>
      <c r="P195" s="38" t="s">
        <v>18</v>
      </c>
      <c r="Q195" s="301"/>
    </row>
    <row r="196" spans="1:17" ht="30" customHeight="1">
      <c r="A196" s="171" t="s">
        <v>391</v>
      </c>
      <c r="B196" s="89" t="s">
        <v>392</v>
      </c>
      <c r="C196" s="89" t="s">
        <v>117</v>
      </c>
      <c r="D196" s="171" t="s">
        <v>393</v>
      </c>
      <c r="E196" s="108">
        <f>Rekenblad!E197</f>
        <v>0</v>
      </c>
      <c r="F196" s="118">
        <f>Rekenblad!F197</f>
        <v>7.7485999999999997</v>
      </c>
      <c r="G196" s="198"/>
      <c r="H196" s="198">
        <f>1*G196</f>
        <v>0</v>
      </c>
      <c r="I196" s="565"/>
      <c r="J196" s="562"/>
      <c r="K196" s="161"/>
      <c r="L196" s="162"/>
      <c r="M196" s="162"/>
      <c r="N196" s="162"/>
      <c r="O196" s="162"/>
      <c r="P196" s="163"/>
      <c r="Q196" s="151"/>
    </row>
    <row r="197" spans="1:17" ht="30" customHeight="1">
      <c r="A197" s="171" t="s">
        <v>394</v>
      </c>
      <c r="B197" s="89" t="s">
        <v>395</v>
      </c>
      <c r="C197" s="89" t="s">
        <v>117</v>
      </c>
      <c r="D197" s="171" t="s">
        <v>393</v>
      </c>
      <c r="E197" s="108">
        <f>Rekenblad!E198</f>
        <v>0</v>
      </c>
      <c r="F197" s="118">
        <f>Rekenblad!F198</f>
        <v>7.7380000000000004</v>
      </c>
      <c r="G197" s="198"/>
      <c r="H197" s="198">
        <f t="shared" ref="H197:H221" si="16">1*G197</f>
        <v>0</v>
      </c>
      <c r="I197" s="565"/>
      <c r="J197" s="562"/>
      <c r="K197" s="161"/>
      <c r="L197" s="162"/>
      <c r="M197" s="162"/>
      <c r="N197" s="162"/>
      <c r="O197" s="162"/>
      <c r="P197" s="163"/>
      <c r="Q197" s="151"/>
    </row>
    <row r="198" spans="1:17" ht="30" customHeight="1">
      <c r="A198" s="171" t="s">
        <v>396</v>
      </c>
      <c r="B198" s="89" t="s">
        <v>397</v>
      </c>
      <c r="C198" s="89" t="s">
        <v>117</v>
      </c>
      <c r="D198" s="171" t="s">
        <v>398</v>
      </c>
      <c r="E198" s="108">
        <f>Rekenblad!E199</f>
        <v>0</v>
      </c>
      <c r="F198" s="118">
        <f>Rekenblad!F199</f>
        <v>58.300000000000004</v>
      </c>
      <c r="G198" s="198"/>
      <c r="H198" s="198">
        <f t="shared" si="16"/>
        <v>0</v>
      </c>
      <c r="I198" s="565"/>
      <c r="J198" s="562"/>
      <c r="K198" s="161"/>
      <c r="L198" s="162"/>
      <c r="M198" s="162"/>
      <c r="N198" s="162"/>
      <c r="O198" s="162"/>
      <c r="P198" s="163"/>
      <c r="Q198" s="151"/>
    </row>
    <row r="199" spans="1:17" ht="30" customHeight="1">
      <c r="A199" s="171" t="s">
        <v>399</v>
      </c>
      <c r="B199" s="89" t="s">
        <v>400</v>
      </c>
      <c r="C199" s="89" t="s">
        <v>117</v>
      </c>
      <c r="D199" s="171" t="s">
        <v>401</v>
      </c>
      <c r="E199" s="108">
        <f>Rekenblad!E200</f>
        <v>0</v>
      </c>
      <c r="F199" s="118">
        <f>Rekenblad!F200</f>
        <v>14.31</v>
      </c>
      <c r="G199" s="198"/>
      <c r="H199" s="198">
        <f t="shared" si="16"/>
        <v>0</v>
      </c>
      <c r="I199" s="565"/>
      <c r="J199" s="562"/>
      <c r="K199" s="161"/>
      <c r="L199" s="162"/>
      <c r="M199" s="162"/>
      <c r="N199" s="162"/>
      <c r="O199" s="162"/>
      <c r="P199" s="163"/>
      <c r="Q199" s="151"/>
    </row>
    <row r="200" spans="1:17" ht="30" customHeight="1">
      <c r="A200" s="171" t="s">
        <v>402</v>
      </c>
      <c r="B200" s="89" t="s">
        <v>403</v>
      </c>
      <c r="C200" s="89" t="s">
        <v>117</v>
      </c>
      <c r="D200" s="171" t="s">
        <v>401</v>
      </c>
      <c r="E200" s="108">
        <f>Rekenblad!E201</f>
        <v>0</v>
      </c>
      <c r="F200" s="118">
        <f>Rekenblad!F201</f>
        <v>14.31</v>
      </c>
      <c r="G200" s="198"/>
      <c r="H200" s="198">
        <f t="shared" si="16"/>
        <v>0</v>
      </c>
      <c r="I200" s="565"/>
      <c r="J200" s="562"/>
      <c r="K200" s="161"/>
      <c r="L200" s="162"/>
      <c r="M200" s="162"/>
      <c r="N200" s="162"/>
      <c r="O200" s="162"/>
      <c r="P200" s="163"/>
      <c r="Q200" s="151"/>
    </row>
    <row r="201" spans="1:17" ht="30" customHeight="1">
      <c r="A201" s="171" t="s">
        <v>404</v>
      </c>
      <c r="B201" s="89" t="s">
        <v>405</v>
      </c>
      <c r="C201" s="89" t="s">
        <v>117</v>
      </c>
      <c r="D201" s="171" t="s">
        <v>401</v>
      </c>
      <c r="E201" s="108">
        <f>Rekenblad!E202</f>
        <v>0</v>
      </c>
      <c r="F201" s="118">
        <f>Rekenblad!F202</f>
        <v>14.31</v>
      </c>
      <c r="G201" s="198"/>
      <c r="H201" s="198">
        <f t="shared" si="16"/>
        <v>0</v>
      </c>
      <c r="I201" s="565"/>
      <c r="J201" s="562"/>
      <c r="K201" s="161"/>
      <c r="L201" s="162"/>
      <c r="M201" s="162"/>
      <c r="N201" s="162"/>
      <c r="O201" s="162"/>
      <c r="P201" s="163"/>
      <c r="Q201" s="151"/>
    </row>
    <row r="202" spans="1:17" ht="30" customHeight="1">
      <c r="A202" s="171" t="s">
        <v>406</v>
      </c>
      <c r="B202" s="89" t="s">
        <v>407</v>
      </c>
      <c r="C202" s="89" t="s">
        <v>117</v>
      </c>
      <c r="D202" s="171" t="s">
        <v>401</v>
      </c>
      <c r="E202" s="108">
        <f>Rekenblad!E203</f>
        <v>0</v>
      </c>
      <c r="F202" s="118">
        <f>Rekenblad!F203</f>
        <v>14.31</v>
      </c>
      <c r="G202" s="198"/>
      <c r="H202" s="198">
        <f t="shared" si="16"/>
        <v>0</v>
      </c>
      <c r="I202" s="565"/>
      <c r="J202" s="562"/>
      <c r="K202" s="161"/>
      <c r="L202" s="162"/>
      <c r="M202" s="162"/>
      <c r="N202" s="162"/>
      <c r="O202" s="162"/>
      <c r="P202" s="163"/>
      <c r="Q202" s="151"/>
    </row>
    <row r="203" spans="1:17" ht="30" customHeight="1">
      <c r="A203" s="171" t="s">
        <v>408</v>
      </c>
      <c r="B203" s="89" t="s">
        <v>409</v>
      </c>
      <c r="C203" s="89" t="s">
        <v>117</v>
      </c>
      <c r="D203" s="171" t="s">
        <v>401</v>
      </c>
      <c r="E203" s="108">
        <f>Rekenblad!E204</f>
        <v>0</v>
      </c>
      <c r="F203" s="118">
        <f>Rekenblad!F204</f>
        <v>14.31</v>
      </c>
      <c r="G203" s="198"/>
      <c r="H203" s="198">
        <f t="shared" si="16"/>
        <v>0</v>
      </c>
      <c r="I203" s="565"/>
      <c r="J203" s="562"/>
      <c r="K203" s="161"/>
      <c r="L203" s="162"/>
      <c r="M203" s="162"/>
      <c r="N203" s="162"/>
      <c r="O203" s="162"/>
      <c r="P203" s="163"/>
      <c r="Q203" s="151"/>
    </row>
    <row r="204" spans="1:17" ht="30" customHeight="1">
      <c r="A204" s="171" t="s">
        <v>410</v>
      </c>
      <c r="B204" s="89" t="s">
        <v>411</v>
      </c>
      <c r="C204" s="89" t="s">
        <v>117</v>
      </c>
      <c r="D204" s="171" t="s">
        <v>401</v>
      </c>
      <c r="E204" s="108">
        <f>Rekenblad!E205</f>
        <v>0</v>
      </c>
      <c r="F204" s="118">
        <f>Rekenblad!F205</f>
        <v>14.31</v>
      </c>
      <c r="G204" s="198"/>
      <c r="H204" s="198">
        <f t="shared" si="16"/>
        <v>0</v>
      </c>
      <c r="I204" s="565"/>
      <c r="J204" s="562"/>
      <c r="K204" s="161"/>
      <c r="L204" s="162"/>
      <c r="M204" s="162"/>
      <c r="N204" s="162"/>
      <c r="O204" s="162"/>
      <c r="P204" s="163"/>
      <c r="Q204" s="151"/>
    </row>
    <row r="205" spans="1:17" ht="30" customHeight="1">
      <c r="A205" s="171" t="s">
        <v>412</v>
      </c>
      <c r="B205" s="89" t="s">
        <v>413</v>
      </c>
      <c r="C205" s="89" t="s">
        <v>117</v>
      </c>
      <c r="D205" s="171" t="s">
        <v>414</v>
      </c>
      <c r="E205" s="108">
        <f>Rekenblad!E206</f>
        <v>0</v>
      </c>
      <c r="F205" s="118">
        <f>Rekenblad!F206</f>
        <v>90.100000000000009</v>
      </c>
      <c r="G205" s="198"/>
      <c r="H205" s="198">
        <f t="shared" si="16"/>
        <v>0</v>
      </c>
      <c r="I205" s="565"/>
      <c r="J205" s="562"/>
      <c r="K205" s="161"/>
      <c r="L205" s="162"/>
      <c r="M205" s="162"/>
      <c r="N205" s="162"/>
      <c r="O205" s="162"/>
      <c r="P205" s="163"/>
      <c r="Q205" s="151"/>
    </row>
    <row r="206" spans="1:17" ht="30" customHeight="1">
      <c r="A206" s="171" t="s">
        <v>415</v>
      </c>
      <c r="B206" s="89" t="s">
        <v>416</v>
      </c>
      <c r="C206" s="89" t="s">
        <v>117</v>
      </c>
      <c r="D206" s="171" t="s">
        <v>401</v>
      </c>
      <c r="E206" s="108">
        <f>Rekenblad!E207</f>
        <v>0</v>
      </c>
      <c r="F206" s="118">
        <f>Rekenblad!F207</f>
        <v>14.31</v>
      </c>
      <c r="G206" s="198"/>
      <c r="H206" s="198">
        <f t="shared" si="16"/>
        <v>0</v>
      </c>
      <c r="I206" s="565"/>
      <c r="J206" s="562"/>
      <c r="K206" s="161"/>
      <c r="L206" s="162"/>
      <c r="M206" s="162"/>
      <c r="N206" s="162"/>
      <c r="O206" s="162"/>
      <c r="P206" s="163"/>
      <c r="Q206" s="151"/>
    </row>
    <row r="207" spans="1:17" ht="30" customHeight="1">
      <c r="A207" s="171" t="s">
        <v>417</v>
      </c>
      <c r="B207" s="89" t="s">
        <v>418</v>
      </c>
      <c r="C207" s="89" t="s">
        <v>117</v>
      </c>
      <c r="D207" s="171" t="s">
        <v>401</v>
      </c>
      <c r="E207" s="108">
        <f>Rekenblad!E208</f>
        <v>0</v>
      </c>
      <c r="F207" s="118">
        <f>Rekenblad!F208</f>
        <v>2.6500000000000004</v>
      </c>
      <c r="G207" s="198"/>
      <c r="H207" s="198">
        <f t="shared" si="16"/>
        <v>0</v>
      </c>
      <c r="I207" s="565"/>
      <c r="J207" s="562"/>
      <c r="K207" s="161"/>
      <c r="L207" s="162"/>
      <c r="M207" s="162"/>
      <c r="N207" s="162"/>
      <c r="O207" s="162"/>
      <c r="P207" s="163"/>
      <c r="Q207" s="151"/>
    </row>
    <row r="208" spans="1:17" ht="30" customHeight="1">
      <c r="A208" s="171" t="s">
        <v>419</v>
      </c>
      <c r="B208" s="89" t="s">
        <v>420</v>
      </c>
      <c r="C208" s="89" t="s">
        <v>117</v>
      </c>
      <c r="D208" s="171" t="s">
        <v>304</v>
      </c>
      <c r="E208" s="108">
        <f>Rekenblad!E209</f>
        <v>0</v>
      </c>
      <c r="F208" s="118">
        <f>Rekenblad!F209</f>
        <v>14.84</v>
      </c>
      <c r="G208" s="198"/>
      <c r="H208" s="198">
        <f t="shared" si="16"/>
        <v>0</v>
      </c>
      <c r="I208" s="565"/>
      <c r="J208" s="562"/>
      <c r="K208" s="161"/>
      <c r="L208" s="162"/>
      <c r="M208" s="162"/>
      <c r="N208" s="162"/>
      <c r="O208" s="162"/>
      <c r="P208" s="163"/>
      <c r="Q208" s="151"/>
    </row>
    <row r="209" spans="1:17" ht="30" customHeight="1">
      <c r="A209" s="171" t="s">
        <v>421</v>
      </c>
      <c r="B209" s="89" t="s">
        <v>422</v>
      </c>
      <c r="C209" s="89" t="s">
        <v>117</v>
      </c>
      <c r="D209" s="171" t="s">
        <v>401</v>
      </c>
      <c r="E209" s="108">
        <f>Rekenblad!E210</f>
        <v>0</v>
      </c>
      <c r="F209" s="118">
        <f>Rekenblad!F210</f>
        <v>15.158000000000001</v>
      </c>
      <c r="G209" s="198"/>
      <c r="H209" s="198">
        <f t="shared" si="16"/>
        <v>0</v>
      </c>
      <c r="I209" s="565"/>
      <c r="J209" s="562"/>
      <c r="K209" s="161"/>
      <c r="L209" s="162"/>
      <c r="M209" s="162"/>
      <c r="N209" s="162"/>
      <c r="O209" s="162"/>
      <c r="P209" s="163"/>
      <c r="Q209" s="151"/>
    </row>
    <row r="210" spans="1:17" ht="30" customHeight="1">
      <c r="A210" s="171" t="s">
        <v>423</v>
      </c>
      <c r="B210" s="89" t="s">
        <v>424</v>
      </c>
      <c r="C210" s="89" t="s">
        <v>117</v>
      </c>
      <c r="D210" s="171" t="s">
        <v>304</v>
      </c>
      <c r="E210" s="108">
        <f>Rekenblad!E211</f>
        <v>0</v>
      </c>
      <c r="F210" s="118">
        <f>Rekenblad!F211</f>
        <v>90.100000000000009</v>
      </c>
      <c r="G210" s="198"/>
      <c r="H210" s="198">
        <f t="shared" si="16"/>
        <v>0</v>
      </c>
      <c r="I210" s="565"/>
      <c r="J210" s="562"/>
      <c r="K210" s="161"/>
      <c r="L210" s="162"/>
      <c r="M210" s="162"/>
      <c r="N210" s="162"/>
      <c r="O210" s="162"/>
      <c r="P210" s="163"/>
      <c r="Q210" s="151"/>
    </row>
    <row r="211" spans="1:17" ht="30" customHeight="1">
      <c r="A211" s="171" t="s">
        <v>425</v>
      </c>
      <c r="B211" s="89" t="s">
        <v>426</v>
      </c>
      <c r="C211" s="89" t="s">
        <v>117</v>
      </c>
      <c r="D211" s="171" t="s">
        <v>427</v>
      </c>
      <c r="E211" s="108">
        <f>Rekenblad!E212</f>
        <v>0</v>
      </c>
      <c r="F211" s="118">
        <f>Rekenblad!F212</f>
        <v>106</v>
      </c>
      <c r="G211" s="198"/>
      <c r="H211" s="198">
        <f t="shared" si="16"/>
        <v>0</v>
      </c>
      <c r="I211" s="565"/>
      <c r="J211" s="562"/>
      <c r="K211" s="161"/>
      <c r="L211" s="162"/>
      <c r="M211" s="162"/>
      <c r="N211" s="162"/>
      <c r="O211" s="162"/>
      <c r="P211" s="163"/>
      <c r="Q211" s="151"/>
    </row>
    <row r="212" spans="1:17" ht="30" customHeight="1">
      <c r="A212" s="171" t="s">
        <v>428</v>
      </c>
      <c r="B212" s="89" t="s">
        <v>429</v>
      </c>
      <c r="C212" s="89" t="s">
        <v>117</v>
      </c>
      <c r="D212" s="171" t="s">
        <v>304</v>
      </c>
      <c r="E212" s="108">
        <f>Rekenblad!E213</f>
        <v>0</v>
      </c>
      <c r="F212" s="118">
        <f>Rekenblad!F213</f>
        <v>0</v>
      </c>
      <c r="G212" s="198"/>
      <c r="H212" s="198">
        <f t="shared" si="16"/>
        <v>0</v>
      </c>
      <c r="I212" s="565"/>
      <c r="J212" s="562"/>
      <c r="K212" s="161"/>
      <c r="L212" s="162"/>
      <c r="M212" s="162"/>
      <c r="N212" s="162"/>
      <c r="O212" s="162"/>
      <c r="P212" s="163"/>
      <c r="Q212" s="151"/>
    </row>
    <row r="213" spans="1:17" ht="30" customHeight="1">
      <c r="A213" s="171" t="s">
        <v>430</v>
      </c>
      <c r="B213" s="89" t="s">
        <v>431</v>
      </c>
      <c r="C213" s="89" t="s">
        <v>117</v>
      </c>
      <c r="D213" s="171" t="s">
        <v>432</v>
      </c>
      <c r="E213" s="108">
        <f>Rekenblad!E214</f>
        <v>0</v>
      </c>
      <c r="F213" s="118">
        <f>Rekenblad!F214</f>
        <v>24.380000000000003</v>
      </c>
      <c r="G213" s="198"/>
      <c r="H213" s="198">
        <f t="shared" si="16"/>
        <v>0</v>
      </c>
      <c r="I213" s="565"/>
      <c r="J213" s="562"/>
      <c r="K213" s="161"/>
      <c r="L213" s="162"/>
      <c r="M213" s="162"/>
      <c r="N213" s="162"/>
      <c r="O213" s="162"/>
      <c r="P213" s="163"/>
      <c r="Q213" s="151"/>
    </row>
    <row r="214" spans="1:17" ht="30" customHeight="1">
      <c r="A214" s="171" t="s">
        <v>433</v>
      </c>
      <c r="B214" s="89" t="s">
        <v>434</v>
      </c>
      <c r="C214" s="89" t="s">
        <v>117</v>
      </c>
      <c r="D214" s="171" t="s">
        <v>435</v>
      </c>
      <c r="E214" s="108">
        <f>Rekenblad!E215</f>
        <v>0</v>
      </c>
      <c r="F214" s="118">
        <f>Rekenblad!F215</f>
        <v>121.9</v>
      </c>
      <c r="G214" s="198"/>
      <c r="H214" s="198">
        <f t="shared" si="16"/>
        <v>0</v>
      </c>
      <c r="I214" s="565"/>
      <c r="J214" s="562"/>
      <c r="K214" s="161"/>
      <c r="L214" s="162"/>
      <c r="M214" s="162"/>
      <c r="N214" s="162"/>
      <c r="O214" s="162"/>
      <c r="P214" s="163"/>
      <c r="Q214" s="151"/>
    </row>
    <row r="215" spans="1:17" ht="30" customHeight="1">
      <c r="A215" s="171" t="s">
        <v>436</v>
      </c>
      <c r="B215" s="76" t="s">
        <v>437</v>
      </c>
      <c r="C215" s="89" t="s">
        <v>117</v>
      </c>
      <c r="D215" s="171" t="s">
        <v>438</v>
      </c>
      <c r="E215" s="108">
        <f>Rekenblad!E216</f>
        <v>0</v>
      </c>
      <c r="F215" s="118">
        <f>Rekenblad!F216</f>
        <v>0</v>
      </c>
      <c r="G215" s="198"/>
      <c r="H215" s="198">
        <f t="shared" si="16"/>
        <v>0</v>
      </c>
      <c r="I215" s="565"/>
      <c r="J215" s="562"/>
      <c r="K215" s="161"/>
      <c r="L215" s="162"/>
      <c r="M215" s="162"/>
      <c r="N215" s="162"/>
      <c r="O215" s="162"/>
      <c r="P215" s="163"/>
      <c r="Q215" s="151"/>
    </row>
    <row r="216" spans="1:17" ht="30" customHeight="1">
      <c r="A216" s="171" t="s">
        <v>439</v>
      </c>
      <c r="B216" s="89" t="s">
        <v>440</v>
      </c>
      <c r="C216" s="89" t="s">
        <v>117</v>
      </c>
      <c r="D216" s="171" t="s">
        <v>304</v>
      </c>
      <c r="E216" s="108">
        <f>Rekenblad!E217</f>
        <v>0</v>
      </c>
      <c r="F216" s="118">
        <f>Rekenblad!F217</f>
        <v>0</v>
      </c>
      <c r="G216" s="198"/>
      <c r="H216" s="198">
        <f t="shared" si="16"/>
        <v>0</v>
      </c>
      <c r="I216" s="565"/>
      <c r="J216" s="562"/>
      <c r="K216" s="161"/>
      <c r="L216" s="162"/>
      <c r="M216" s="162"/>
      <c r="N216" s="162"/>
      <c r="O216" s="162"/>
      <c r="P216" s="163"/>
      <c r="Q216" s="151"/>
    </row>
    <row r="217" spans="1:17" ht="30" customHeight="1">
      <c r="A217" s="171" t="s">
        <v>441</v>
      </c>
      <c r="B217" s="89" t="s">
        <v>442</v>
      </c>
      <c r="C217" s="89" t="s">
        <v>117</v>
      </c>
      <c r="D217" s="171" t="s">
        <v>304</v>
      </c>
      <c r="E217" s="108">
        <f>Rekenblad!E218</f>
        <v>0</v>
      </c>
      <c r="F217" s="118">
        <f>Rekenblad!F218</f>
        <v>3.71</v>
      </c>
      <c r="G217" s="198"/>
      <c r="H217" s="198">
        <f t="shared" si="16"/>
        <v>0</v>
      </c>
      <c r="I217" s="565"/>
      <c r="J217" s="562"/>
      <c r="K217" s="161"/>
      <c r="L217" s="162"/>
      <c r="M217" s="162"/>
      <c r="N217" s="162"/>
      <c r="O217" s="162"/>
      <c r="P217" s="163"/>
      <c r="Q217" s="151"/>
    </row>
    <row r="218" spans="1:17" ht="30" customHeight="1">
      <c r="A218" s="171" t="s">
        <v>443</v>
      </c>
      <c r="B218" s="89" t="s">
        <v>444</v>
      </c>
      <c r="C218" s="89" t="s">
        <v>117</v>
      </c>
      <c r="D218" s="171" t="s">
        <v>304</v>
      </c>
      <c r="E218" s="108">
        <f>Rekenblad!E219</f>
        <v>0</v>
      </c>
      <c r="F218" s="118">
        <f>Rekenblad!F219</f>
        <v>21.200000000000003</v>
      </c>
      <c r="G218" s="198"/>
      <c r="H218" s="198">
        <f t="shared" si="16"/>
        <v>0</v>
      </c>
      <c r="I218" s="565"/>
      <c r="J218" s="562"/>
      <c r="K218" s="161"/>
      <c r="L218" s="162"/>
      <c r="M218" s="162"/>
      <c r="N218" s="162"/>
      <c r="O218" s="162"/>
      <c r="P218" s="163"/>
      <c r="Q218" s="151"/>
    </row>
    <row r="219" spans="1:17" ht="30" customHeight="1">
      <c r="A219" s="171" t="s">
        <v>445</v>
      </c>
      <c r="B219" s="89" t="s">
        <v>446</v>
      </c>
      <c r="C219" s="89" t="s">
        <v>117</v>
      </c>
      <c r="D219" s="171" t="s">
        <v>139</v>
      </c>
      <c r="E219" s="108">
        <f>Rekenblad!E220</f>
        <v>0</v>
      </c>
      <c r="F219" s="118">
        <f>Rekenblad!F220</f>
        <v>47.7</v>
      </c>
      <c r="G219" s="109"/>
      <c r="H219" s="198">
        <f t="shared" si="16"/>
        <v>0</v>
      </c>
      <c r="I219" s="565"/>
      <c r="J219" s="562"/>
      <c r="K219" s="118"/>
      <c r="L219" s="146"/>
      <c r="M219" s="146"/>
      <c r="N219" s="146"/>
      <c r="O219" s="146"/>
      <c r="P219" s="147"/>
      <c r="Q219" s="151"/>
    </row>
    <row r="220" spans="1:17" ht="30" customHeight="1">
      <c r="A220" s="171" t="s">
        <v>447</v>
      </c>
      <c r="B220" s="89" t="s">
        <v>448</v>
      </c>
      <c r="C220" s="89" t="s">
        <v>117</v>
      </c>
      <c r="D220" s="171" t="s">
        <v>304</v>
      </c>
      <c r="E220" s="108">
        <f>Rekenblad!E221</f>
        <v>0</v>
      </c>
      <c r="F220" s="118">
        <f>Rekenblad!F221</f>
        <v>47.7</v>
      </c>
      <c r="G220" s="109"/>
      <c r="H220" s="198">
        <f t="shared" si="16"/>
        <v>0</v>
      </c>
      <c r="I220" s="565"/>
      <c r="J220" s="562"/>
      <c r="K220" s="118"/>
      <c r="L220" s="146"/>
      <c r="M220" s="146"/>
      <c r="N220" s="146"/>
      <c r="O220" s="146"/>
      <c r="P220" s="147"/>
      <c r="Q220" s="151"/>
    </row>
    <row r="221" spans="1:17" ht="30" customHeight="1">
      <c r="A221" s="171" t="s">
        <v>449</v>
      </c>
      <c r="B221" s="89" t="s">
        <v>450</v>
      </c>
      <c r="C221" s="89" t="s">
        <v>117</v>
      </c>
      <c r="D221" s="171" t="s">
        <v>304</v>
      </c>
      <c r="E221" s="108">
        <f>Rekenblad!E222</f>
        <v>0</v>
      </c>
      <c r="F221" s="118">
        <f>Rekenblad!F222</f>
        <v>26.5</v>
      </c>
      <c r="G221" s="109"/>
      <c r="H221" s="198">
        <f t="shared" si="16"/>
        <v>0</v>
      </c>
      <c r="I221" s="565"/>
      <c r="J221" s="562"/>
      <c r="K221" s="118"/>
      <c r="L221" s="146"/>
      <c r="M221" s="146"/>
      <c r="N221" s="146"/>
      <c r="O221" s="146"/>
      <c r="P221" s="147"/>
      <c r="Q221" s="151"/>
    </row>
    <row r="222" spans="1:17" ht="30" customHeight="1">
      <c r="A222" s="218"/>
      <c r="B222" s="151"/>
      <c r="C222" s="151"/>
      <c r="D222" s="213"/>
      <c r="E222" s="179"/>
      <c r="F222" s="118"/>
      <c r="G222" s="109"/>
      <c r="H222" s="237"/>
      <c r="I222" s="565"/>
      <c r="J222" s="562"/>
      <c r="K222" s="161"/>
      <c r="L222" s="162"/>
      <c r="M222" s="162"/>
      <c r="N222" s="162"/>
      <c r="O222" s="162"/>
      <c r="P222" s="163"/>
      <c r="Q222" s="151"/>
    </row>
    <row r="223" spans="1:17" ht="30" customHeight="1">
      <c r="A223" s="141">
        <v>11</v>
      </c>
      <c r="B223" s="65" t="s">
        <v>451</v>
      </c>
      <c r="C223" s="65"/>
      <c r="D223" s="38" t="s">
        <v>12</v>
      </c>
      <c r="E223" s="47" t="s">
        <v>13</v>
      </c>
      <c r="F223" s="60" t="str">
        <f>Rekenblad!F224</f>
        <v>bedrag per eenheid (excl. btw)</v>
      </c>
      <c r="G223" s="53" t="s">
        <v>15</v>
      </c>
      <c r="H223" s="48" t="s">
        <v>16</v>
      </c>
      <c r="I223" s="563" t="s">
        <v>17</v>
      </c>
      <c r="J223" s="566"/>
      <c r="K223" s="37"/>
      <c r="L223" s="50"/>
      <c r="M223" s="50"/>
      <c r="N223" s="50"/>
      <c r="O223" s="50"/>
      <c r="P223" s="49" t="s">
        <v>18</v>
      </c>
      <c r="Q223" s="151"/>
    </row>
    <row r="224" spans="1:17" ht="30" customHeight="1">
      <c r="A224" s="171" t="s">
        <v>452</v>
      </c>
      <c r="B224" s="116" t="s">
        <v>453</v>
      </c>
      <c r="C224" s="75" t="s">
        <v>33</v>
      </c>
      <c r="D224" s="238" t="s">
        <v>8</v>
      </c>
      <c r="E224" s="108">
        <f>Rekenblad!E225</f>
        <v>4</v>
      </c>
      <c r="F224" s="118">
        <f>Rekenblad!F225</f>
        <v>76.850000000000009</v>
      </c>
      <c r="G224" s="198">
        <f>E224*F224</f>
        <v>307.40000000000003</v>
      </c>
      <c r="H224" s="198">
        <f>1*G224</f>
        <v>307.40000000000003</v>
      </c>
      <c r="I224" s="561" t="s">
        <v>454</v>
      </c>
      <c r="J224" s="562"/>
      <c r="K224" s="183"/>
      <c r="L224" s="184"/>
      <c r="M224" s="184"/>
      <c r="N224" s="184"/>
      <c r="O224" s="184"/>
      <c r="P224" s="185"/>
      <c r="Q224" s="151"/>
    </row>
    <row r="225" spans="1:17" ht="30" customHeight="1">
      <c r="A225" s="171" t="s">
        <v>455</v>
      </c>
      <c r="B225" s="116" t="s">
        <v>453</v>
      </c>
      <c r="C225" s="75" t="s">
        <v>33</v>
      </c>
      <c r="D225" s="238" t="s">
        <v>8</v>
      </c>
      <c r="E225" s="108">
        <f>Rekenblad!E226</f>
        <v>4</v>
      </c>
      <c r="F225" s="118">
        <f>Rekenblad!F226</f>
        <v>63.6</v>
      </c>
      <c r="G225" s="198">
        <f t="shared" ref="G225:G232" si="17">E225*F225</f>
        <v>254.4</v>
      </c>
      <c r="H225" s="198">
        <f t="shared" ref="H225:H232" si="18">1*G225</f>
        <v>254.4</v>
      </c>
      <c r="I225" s="561"/>
      <c r="J225" s="562"/>
      <c r="K225" s="183"/>
      <c r="L225" s="184"/>
      <c r="M225" s="184"/>
      <c r="N225" s="184"/>
      <c r="O225" s="184"/>
      <c r="P225" s="185"/>
      <c r="Q225" s="151"/>
    </row>
    <row r="226" spans="1:17" ht="30" customHeight="1">
      <c r="A226" s="171" t="s">
        <v>456</v>
      </c>
      <c r="B226" s="116" t="s">
        <v>453</v>
      </c>
      <c r="C226" s="75" t="s">
        <v>33</v>
      </c>
      <c r="D226" s="238" t="s">
        <v>8</v>
      </c>
      <c r="E226" s="108">
        <f>Rekenblad!E227</f>
        <v>4</v>
      </c>
      <c r="F226" s="118">
        <f>Rekenblad!F227</f>
        <v>63.6</v>
      </c>
      <c r="G226" s="198">
        <f t="shared" si="17"/>
        <v>254.4</v>
      </c>
      <c r="H226" s="198">
        <f t="shared" si="18"/>
        <v>254.4</v>
      </c>
      <c r="I226" s="561"/>
      <c r="J226" s="562"/>
      <c r="K226" s="183"/>
      <c r="L226" s="184"/>
      <c r="M226" s="184"/>
      <c r="N226" s="184"/>
      <c r="O226" s="184"/>
      <c r="P226" s="185"/>
      <c r="Q226" s="151"/>
    </row>
    <row r="227" spans="1:17" ht="30" customHeight="1">
      <c r="A227" s="171" t="s">
        <v>457</v>
      </c>
      <c r="B227" s="116" t="s">
        <v>458</v>
      </c>
      <c r="C227" s="75" t="s">
        <v>33</v>
      </c>
      <c r="D227" s="238" t="s">
        <v>8</v>
      </c>
      <c r="E227" s="108">
        <f>Rekenblad!E228</f>
        <v>8</v>
      </c>
      <c r="F227" s="118">
        <f>Rekenblad!F228</f>
        <v>115.01</v>
      </c>
      <c r="G227" s="198">
        <f t="shared" si="17"/>
        <v>920.08</v>
      </c>
      <c r="H227" s="198">
        <f t="shared" si="18"/>
        <v>920.08</v>
      </c>
      <c r="I227" s="561"/>
      <c r="J227" s="562"/>
      <c r="K227" s="183"/>
      <c r="L227" s="184"/>
      <c r="M227" s="184"/>
      <c r="N227" s="184"/>
      <c r="O227" s="184"/>
      <c r="P227" s="185"/>
      <c r="Q227" s="151"/>
    </row>
    <row r="228" spans="1:17" ht="30" customHeight="1">
      <c r="A228" s="171" t="s">
        <v>459</v>
      </c>
      <c r="B228" s="174" t="s">
        <v>460</v>
      </c>
      <c r="C228" s="107" t="s">
        <v>33</v>
      </c>
      <c r="D228" s="107" t="s">
        <v>8</v>
      </c>
      <c r="E228" s="108">
        <f>Rekenblad!E229</f>
        <v>8</v>
      </c>
      <c r="F228" s="118">
        <f>Rekenblad!F229</f>
        <v>79.5</v>
      </c>
      <c r="G228" s="198">
        <f t="shared" si="17"/>
        <v>636</v>
      </c>
      <c r="H228" s="198">
        <f t="shared" si="18"/>
        <v>636</v>
      </c>
      <c r="I228" s="561"/>
      <c r="J228" s="562"/>
      <c r="K228" s="161"/>
      <c r="L228" s="162"/>
      <c r="M228" s="162"/>
      <c r="N228" s="162"/>
      <c r="O228" s="162"/>
      <c r="P228" s="163"/>
      <c r="Q228" s="151"/>
    </row>
    <row r="229" spans="1:17" ht="30" customHeight="1">
      <c r="A229" s="171" t="s">
        <v>461</v>
      </c>
      <c r="B229" s="174" t="s">
        <v>462</v>
      </c>
      <c r="C229" s="107" t="s">
        <v>53</v>
      </c>
      <c r="D229" s="107" t="s">
        <v>463</v>
      </c>
      <c r="E229" s="108">
        <f>Rekenblad!E230</f>
        <v>1</v>
      </c>
      <c r="F229" s="118">
        <f>Rekenblad!F230</f>
        <v>530</v>
      </c>
      <c r="G229" s="198">
        <f t="shared" si="17"/>
        <v>530</v>
      </c>
      <c r="H229" s="198">
        <f t="shared" si="18"/>
        <v>530</v>
      </c>
      <c r="I229" s="561"/>
      <c r="J229" s="562"/>
      <c r="K229" s="118"/>
      <c r="L229" s="146"/>
      <c r="M229" s="146"/>
      <c r="N229" s="146"/>
      <c r="O229" s="146"/>
      <c r="P229" s="147"/>
      <c r="Q229" s="151"/>
    </row>
    <row r="230" spans="1:17" ht="30" customHeight="1">
      <c r="A230" s="171" t="s">
        <v>464</v>
      </c>
      <c r="B230" s="89" t="s">
        <v>465</v>
      </c>
      <c r="C230" s="89" t="s">
        <v>101</v>
      </c>
      <c r="D230" s="171"/>
      <c r="E230" s="108">
        <f>Rekenblad!E231</f>
        <v>0</v>
      </c>
      <c r="F230" s="118">
        <f>Rekenblad!F231</f>
        <v>81.62</v>
      </c>
      <c r="G230" s="118">
        <f t="shared" si="17"/>
        <v>0</v>
      </c>
      <c r="H230" s="197">
        <f t="shared" si="18"/>
        <v>0</v>
      </c>
      <c r="I230" s="561"/>
      <c r="J230" s="562"/>
      <c r="K230" s="183"/>
      <c r="L230" s="184"/>
      <c r="M230" s="184"/>
      <c r="N230" s="184"/>
      <c r="O230" s="184"/>
      <c r="P230" s="185"/>
      <c r="Q230" s="151"/>
    </row>
    <row r="231" spans="1:17" ht="30" customHeight="1">
      <c r="A231" s="171" t="s">
        <v>466</v>
      </c>
      <c r="B231" s="89" t="s">
        <v>467</v>
      </c>
      <c r="C231" s="89" t="s">
        <v>101</v>
      </c>
      <c r="D231" s="171"/>
      <c r="E231" s="108">
        <f>Rekenblad!E232</f>
        <v>0</v>
      </c>
      <c r="F231" s="118">
        <f>Rekenblad!F232</f>
        <v>51.982399999999998</v>
      </c>
      <c r="G231" s="118">
        <f t="shared" si="17"/>
        <v>0</v>
      </c>
      <c r="H231" s="197">
        <f t="shared" si="18"/>
        <v>0</v>
      </c>
      <c r="I231" s="561"/>
      <c r="J231" s="562"/>
      <c r="K231" s="183"/>
      <c r="L231" s="184"/>
      <c r="M231" s="184"/>
      <c r="N231" s="184"/>
      <c r="O231" s="184"/>
      <c r="P231" s="185"/>
      <c r="Q231" s="151"/>
    </row>
    <row r="232" spans="1:17" ht="30" customHeight="1">
      <c r="A232" s="171" t="s">
        <v>468</v>
      </c>
      <c r="B232" s="174" t="s">
        <v>469</v>
      </c>
      <c r="C232" s="107" t="s">
        <v>33</v>
      </c>
      <c r="D232" s="107" t="s">
        <v>470</v>
      </c>
      <c r="E232" s="108">
        <f>Rekenblad!E233</f>
        <v>12</v>
      </c>
      <c r="F232" s="118">
        <f>Rekenblad!F233</f>
        <v>63.6</v>
      </c>
      <c r="G232" s="198">
        <f t="shared" si="17"/>
        <v>763.2</v>
      </c>
      <c r="H232" s="198">
        <f t="shared" si="18"/>
        <v>763.2</v>
      </c>
      <c r="I232" s="561" t="s">
        <v>471</v>
      </c>
      <c r="J232" s="562"/>
      <c r="K232" s="161"/>
      <c r="L232" s="162"/>
      <c r="M232" s="162"/>
      <c r="N232" s="162"/>
      <c r="O232" s="162"/>
      <c r="P232" s="163"/>
      <c r="Q232" s="151"/>
    </row>
    <row r="233" spans="1:17" ht="30" customHeight="1">
      <c r="A233" s="171"/>
      <c r="B233" s="89"/>
      <c r="C233" s="89"/>
      <c r="D233" s="171"/>
      <c r="E233" s="108"/>
      <c r="F233" s="118"/>
      <c r="G233" s="109"/>
      <c r="H233" s="167"/>
      <c r="I233" s="231"/>
      <c r="J233" s="232"/>
      <c r="K233" s="240"/>
      <c r="L233" s="241"/>
      <c r="M233" s="241"/>
      <c r="N233" s="241"/>
      <c r="O233" s="241"/>
      <c r="P233" s="147"/>
      <c r="Q233" s="151"/>
    </row>
    <row r="234" spans="1:17" s="5" customFormat="1" ht="65.25" customHeight="1">
      <c r="A234" s="61" t="s">
        <v>10</v>
      </c>
      <c r="B234" s="62" t="s">
        <v>11</v>
      </c>
      <c r="C234" s="63"/>
      <c r="D234" s="35" t="s">
        <v>12</v>
      </c>
      <c r="E234" s="36" t="s">
        <v>13</v>
      </c>
      <c r="F234" s="60" t="str">
        <f>Rekenblad!F235</f>
        <v>bedrag per eenheid (excl. btw)</v>
      </c>
      <c r="G234" s="37" t="s">
        <v>15</v>
      </c>
      <c r="H234" s="37" t="s">
        <v>16</v>
      </c>
      <c r="I234" s="563" t="s">
        <v>17</v>
      </c>
      <c r="J234" s="564"/>
      <c r="K234" s="564"/>
      <c r="L234" s="564"/>
      <c r="M234" s="564"/>
      <c r="N234" s="564"/>
      <c r="O234" s="564"/>
      <c r="P234" s="38" t="s">
        <v>18</v>
      </c>
      <c r="Q234" s="301"/>
    </row>
    <row r="235" spans="1:17">
      <c r="A235" s="218"/>
      <c r="B235" s="219"/>
      <c r="C235" s="219"/>
      <c r="D235" s="218"/>
      <c r="E235" s="220"/>
      <c r="F235" s="118">
        <f>Rekenblad!F236</f>
        <v>0</v>
      </c>
      <c r="G235" s="221"/>
      <c r="H235" s="221"/>
      <c r="I235" s="222"/>
      <c r="J235" s="151"/>
      <c r="K235" s="223"/>
      <c r="L235" s="224"/>
      <c r="M235" s="224"/>
      <c r="N235" s="224"/>
      <c r="O235" s="224"/>
      <c r="P235" s="225"/>
      <c r="Q235" s="151"/>
    </row>
    <row r="236" spans="1:17" ht="30" customHeight="1">
      <c r="A236" s="171" t="s">
        <v>472</v>
      </c>
      <c r="B236" s="116" t="s">
        <v>473</v>
      </c>
      <c r="C236" s="75"/>
      <c r="D236" s="107" t="s">
        <v>474</v>
      </c>
      <c r="E236" s="108">
        <f>Rekenblad!E237</f>
        <v>5</v>
      </c>
      <c r="F236" s="118">
        <f>Rekenblad!F237</f>
        <v>1060</v>
      </c>
      <c r="G236" s="109"/>
      <c r="H236" s="167">
        <f t="shared" ref="H236:H237" si="19">SUM(E236*F236)</f>
        <v>5300</v>
      </c>
      <c r="I236" s="76"/>
      <c r="J236" s="89"/>
      <c r="K236" s="118"/>
      <c r="L236" s="146"/>
      <c r="M236" s="146"/>
      <c r="N236" s="146"/>
      <c r="O236" s="146"/>
      <c r="P236" s="147"/>
      <c r="Q236" s="151"/>
    </row>
    <row r="237" spans="1:17" ht="30" customHeight="1">
      <c r="A237" s="171" t="s">
        <v>475</v>
      </c>
      <c r="B237" s="116" t="s">
        <v>476</v>
      </c>
      <c r="C237" s="75"/>
      <c r="D237" s="171" t="s">
        <v>477</v>
      </c>
      <c r="E237" s="108">
        <f>Rekenblad!E238</f>
        <v>5</v>
      </c>
      <c r="F237" s="118">
        <f>Rekenblad!F238</f>
        <v>21200</v>
      </c>
      <c r="G237" s="109"/>
      <c r="H237" s="167">
        <f t="shared" si="19"/>
        <v>106000</v>
      </c>
      <c r="I237" s="76"/>
      <c r="J237" s="89"/>
      <c r="K237" s="118"/>
      <c r="L237" s="146"/>
      <c r="M237" s="146"/>
      <c r="N237" s="146"/>
      <c r="O237" s="146"/>
      <c r="P237" s="147"/>
      <c r="Q237" s="151"/>
    </row>
    <row r="238" spans="1:17" ht="30" customHeight="1">
      <c r="A238" s="171" t="s">
        <v>478</v>
      </c>
      <c r="B238" s="116" t="s">
        <v>479</v>
      </c>
      <c r="C238" s="75"/>
      <c r="D238" s="107" t="s">
        <v>477</v>
      </c>
      <c r="E238" s="108">
        <f>Rekenblad!E239</f>
        <v>5</v>
      </c>
      <c r="F238" s="118">
        <f>Rekenblad!F239</f>
        <v>21200</v>
      </c>
      <c r="G238" s="109"/>
      <c r="H238" s="167">
        <f>E238*F238</f>
        <v>106000</v>
      </c>
      <c r="I238" s="76"/>
      <c r="J238" s="89"/>
      <c r="K238" s="118"/>
      <c r="L238" s="146"/>
      <c r="M238" s="146"/>
      <c r="N238" s="146"/>
      <c r="O238" s="146"/>
      <c r="P238" s="147"/>
      <c r="Q238" s="151"/>
    </row>
    <row r="239" spans="1:17">
      <c r="A239" s="218"/>
      <c r="B239" s="219"/>
      <c r="C239" s="219"/>
      <c r="D239" s="218"/>
      <c r="E239" s="220"/>
      <c r="F239" s="221"/>
      <c r="G239" s="221"/>
      <c r="H239" s="221">
        <v>0</v>
      </c>
      <c r="I239" s="222"/>
      <c r="J239" s="151"/>
      <c r="K239" s="223"/>
      <c r="L239" s="224"/>
      <c r="M239" s="224"/>
      <c r="N239" s="224"/>
      <c r="O239" s="224"/>
      <c r="P239" s="225"/>
      <c r="Q239" s="151"/>
    </row>
    <row r="240" spans="1:17">
      <c r="A240" s="242"/>
      <c r="B240" s="219"/>
      <c r="C240" s="219"/>
      <c r="D240" s="218"/>
      <c r="E240" s="220"/>
      <c r="F240" s="221"/>
      <c r="G240" s="221"/>
      <c r="H240" s="243"/>
      <c r="I240" s="222"/>
      <c r="J240" s="151"/>
      <c r="K240" s="223"/>
      <c r="L240" s="224"/>
      <c r="M240" s="224"/>
      <c r="N240" s="224"/>
      <c r="O240" s="224"/>
      <c r="P240" s="225"/>
      <c r="Q240" s="151"/>
    </row>
    <row r="241" spans="1:17" ht="15" customHeight="1" thickBot="1">
      <c r="A241" s="218"/>
      <c r="B241" s="219"/>
      <c r="C241" s="219"/>
      <c r="D241" s="244"/>
      <c r="E241" s="220"/>
      <c r="F241" s="221"/>
      <c r="G241" s="329" t="s">
        <v>480</v>
      </c>
      <c r="H241" s="330" t="s">
        <v>481</v>
      </c>
      <c r="I241" s="222"/>
      <c r="J241" s="151"/>
      <c r="K241" s="223"/>
      <c r="L241" s="224"/>
      <c r="M241" s="224"/>
      <c r="N241" s="224"/>
      <c r="O241" s="224"/>
      <c r="P241" s="225"/>
      <c r="Q241" s="151"/>
    </row>
    <row r="242" spans="1:17" ht="15" customHeight="1">
      <c r="A242" s="245"/>
      <c r="B242" s="246" t="s">
        <v>482</v>
      </c>
      <c r="C242" s="246"/>
      <c r="D242" s="247"/>
      <c r="E242" s="248"/>
      <c r="F242" s="249"/>
      <c r="G242" s="249">
        <f>H242/5</f>
        <v>751766.68423999974</v>
      </c>
      <c r="H242" s="250">
        <f>SUM(H11:H241)</f>
        <v>3758833.4211999988</v>
      </c>
      <c r="I242" s="222"/>
      <c r="J242" s="151"/>
      <c r="K242" s="223"/>
      <c r="L242" s="224"/>
      <c r="M242" s="224"/>
      <c r="N242" s="224"/>
      <c r="O242" s="224"/>
      <c r="P242" s="225"/>
      <c r="Q242" s="151"/>
    </row>
    <row r="243" spans="1:17" ht="15" customHeight="1">
      <c r="A243" s="251"/>
      <c r="B243" s="219" t="s">
        <v>483</v>
      </c>
      <c r="C243" s="219"/>
      <c r="D243" s="328">
        <v>0.16</v>
      </c>
      <c r="E243" s="220"/>
      <c r="F243" s="221"/>
      <c r="G243" s="221">
        <f>H243/5</f>
        <v>120282.66947839996</v>
      </c>
      <c r="H243" s="252">
        <f>D243*H242</f>
        <v>601413.34739199979</v>
      </c>
      <c r="I243" s="222"/>
      <c r="J243" s="151"/>
      <c r="K243" s="223"/>
      <c r="L243" s="224"/>
      <c r="M243" s="224"/>
      <c r="N243" s="224"/>
      <c r="O243" s="224"/>
      <c r="P243" s="225"/>
      <c r="Q243" s="151"/>
    </row>
    <row r="244" spans="1:17">
      <c r="A244" s="251"/>
      <c r="B244" s="219"/>
      <c r="C244" s="219"/>
      <c r="D244" s="218"/>
      <c r="E244" s="220"/>
      <c r="F244" s="221"/>
      <c r="G244" s="221"/>
      <c r="H244" s="252"/>
      <c r="I244" s="222"/>
      <c r="J244" s="151"/>
      <c r="K244" s="223"/>
      <c r="L244" s="224"/>
      <c r="M244" s="224"/>
      <c r="N244" s="224"/>
      <c r="O244" s="224"/>
      <c r="P244" s="225"/>
      <c r="Q244" s="151"/>
    </row>
    <row r="245" spans="1:17">
      <c r="A245" s="251"/>
      <c r="B245" s="253" t="s">
        <v>484</v>
      </c>
      <c r="C245" s="253"/>
      <c r="D245" s="218"/>
      <c r="E245" s="220"/>
      <c r="F245" s="221"/>
      <c r="G245" s="221">
        <f>H245/5</f>
        <v>872049.35371839965</v>
      </c>
      <c r="H245" s="254">
        <f>SUM(H242:H243)</f>
        <v>4360246.7685919981</v>
      </c>
      <c r="I245" s="222"/>
      <c r="J245" s="151"/>
      <c r="K245" s="223"/>
      <c r="L245" s="224"/>
      <c r="M245" s="224"/>
      <c r="N245" s="224"/>
      <c r="O245" s="224"/>
      <c r="P245" s="225"/>
      <c r="Q245" s="151"/>
    </row>
    <row r="246" spans="1:17">
      <c r="A246" s="251"/>
      <c r="B246" s="255" t="s">
        <v>485</v>
      </c>
      <c r="C246" s="255"/>
      <c r="D246" s="327">
        <v>0.21</v>
      </c>
      <c r="E246" s="256"/>
      <c r="F246" s="257"/>
      <c r="G246" s="257">
        <f>H246/5</f>
        <v>183130.36428086393</v>
      </c>
      <c r="H246" s="258">
        <f>D246*H245</f>
        <v>915651.82140431961</v>
      </c>
      <c r="I246" s="222"/>
      <c r="J246" s="151"/>
      <c r="K246" s="223"/>
      <c r="L246" s="224"/>
      <c r="M246" s="224"/>
      <c r="N246" s="224"/>
      <c r="O246" s="224"/>
      <c r="P246" s="225"/>
      <c r="Q246" s="151"/>
    </row>
    <row r="247" spans="1:17">
      <c r="A247" s="251"/>
      <c r="B247" s="219"/>
      <c r="C247" s="219"/>
      <c r="D247" s="218"/>
      <c r="E247" s="220"/>
      <c r="F247" s="221"/>
      <c r="G247" s="221"/>
      <c r="H247" s="259"/>
      <c r="I247" s="222"/>
      <c r="J247" s="151"/>
      <c r="K247" s="223"/>
      <c r="L247" s="224"/>
      <c r="M247" s="224"/>
      <c r="N247" s="224"/>
      <c r="O247" s="224"/>
      <c r="P247" s="225"/>
      <c r="Q247" s="151"/>
    </row>
    <row r="248" spans="1:17">
      <c r="A248" s="251"/>
      <c r="B248" s="260" t="s">
        <v>486</v>
      </c>
      <c r="C248" s="260"/>
      <c r="D248" s="218"/>
      <c r="E248" s="220"/>
      <c r="F248" s="221"/>
      <c r="G248" s="261">
        <f>H248/5</f>
        <v>1055179.7179992634</v>
      </c>
      <c r="H248" s="262">
        <f>SUM(H245:H246)</f>
        <v>5275898.5899963174</v>
      </c>
      <c r="I248" s="222"/>
      <c r="J248" s="151"/>
      <c r="K248" s="223"/>
      <c r="L248" s="224"/>
      <c r="M248" s="224"/>
      <c r="N248" s="224"/>
      <c r="O248" s="224"/>
      <c r="P248" s="225"/>
      <c r="Q248" s="151"/>
    </row>
    <row r="249" spans="1:17" ht="15.75" thickBot="1">
      <c r="A249" s="263"/>
      <c r="B249" s="264"/>
      <c r="C249" s="264"/>
      <c r="D249" s="265"/>
      <c r="E249" s="266"/>
      <c r="F249" s="267"/>
      <c r="G249" s="268"/>
      <c r="H249" s="269"/>
      <c r="I249" s="222"/>
      <c r="J249" s="225"/>
      <c r="K249" s="270"/>
      <c r="L249" s="271"/>
      <c r="M249" s="271"/>
      <c r="N249" s="271"/>
      <c r="O249" s="271"/>
      <c r="P249" s="225"/>
      <c r="Q249" s="151"/>
    </row>
    <row r="250" spans="1:17">
      <c r="A250" s="218"/>
      <c r="B250" s="219"/>
      <c r="C250" s="219"/>
      <c r="D250" s="218"/>
      <c r="E250" s="220"/>
      <c r="F250" s="221"/>
      <c r="G250" s="221"/>
      <c r="H250" s="221"/>
      <c r="I250" s="222"/>
      <c r="J250" s="151"/>
      <c r="K250" s="223"/>
      <c r="L250" s="224"/>
      <c r="M250" s="224"/>
      <c r="N250" s="224"/>
      <c r="O250" s="224"/>
      <c r="P250" s="225"/>
      <c r="Q250" s="151"/>
    </row>
    <row r="251" spans="1:17">
      <c r="A251" s="218"/>
      <c r="B251" s="219" t="s">
        <v>487</v>
      </c>
      <c r="C251" s="219"/>
      <c r="D251" s="218"/>
      <c r="E251" s="220"/>
      <c r="F251" s="221"/>
      <c r="G251" s="221">
        <f>H251/5</f>
        <v>241875.2577119999</v>
      </c>
      <c r="H251" s="221">
        <f>SUM(H11:H14)*(1+$D$243)*(1+$D$246)</f>
        <v>1209376.2885599995</v>
      </c>
      <c r="I251" s="222"/>
      <c r="J251" s="151"/>
      <c r="K251" s="223"/>
      <c r="L251" s="224"/>
      <c r="M251" s="224"/>
      <c r="N251" s="224"/>
      <c r="O251" s="224"/>
      <c r="P251" s="225"/>
      <c r="Q251" s="151"/>
    </row>
    <row r="252" spans="1:17">
      <c r="A252" s="218"/>
      <c r="B252" s="219" t="s">
        <v>488</v>
      </c>
      <c r="C252" s="219"/>
      <c r="D252" s="218"/>
      <c r="E252" s="220"/>
      <c r="F252" s="221"/>
      <c r="G252" s="221">
        <f>H252/5</f>
        <v>813304.4602872635</v>
      </c>
      <c r="H252" s="221">
        <f>SUM(H16:H238)*(1+$D$243)*(1+$D$246)</f>
        <v>4066522.3014363176</v>
      </c>
      <c r="I252" s="222"/>
      <c r="J252" s="151"/>
      <c r="K252" s="223"/>
      <c r="L252" s="224"/>
      <c r="M252" s="224"/>
      <c r="N252" s="224"/>
      <c r="O252" s="224"/>
      <c r="P252" s="225"/>
      <c r="Q252" s="151"/>
    </row>
  </sheetData>
  <mergeCells count="172">
    <mergeCell ref="I36:J36"/>
    <mergeCell ref="I37:J37"/>
    <mergeCell ref="I38:J38"/>
    <mergeCell ref="I23:J23"/>
    <mergeCell ref="I24:J24"/>
    <mergeCell ref="A1:P1"/>
    <mergeCell ref="E3:F3"/>
    <mergeCell ref="E4:F4"/>
    <mergeCell ref="I5:O5"/>
    <mergeCell ref="I33:J33"/>
    <mergeCell ref="I34:J34"/>
    <mergeCell ref="I35:J35"/>
    <mergeCell ref="I45:J45"/>
    <mergeCell ref="I46:J46"/>
    <mergeCell ref="I47:J47"/>
    <mergeCell ref="I48:J48"/>
    <mergeCell ref="I49:J49"/>
    <mergeCell ref="I50:J50"/>
    <mergeCell ref="I39:J39"/>
    <mergeCell ref="I40:J40"/>
    <mergeCell ref="I41:J41"/>
    <mergeCell ref="I42:J42"/>
    <mergeCell ref="I43:J43"/>
    <mergeCell ref="I44:J44"/>
    <mergeCell ref="I61:J61"/>
    <mergeCell ref="I62:J62"/>
    <mergeCell ref="I63:J63"/>
    <mergeCell ref="I64:J64"/>
    <mergeCell ref="I65:J65"/>
    <mergeCell ref="I66:J66"/>
    <mergeCell ref="I51:J51"/>
    <mergeCell ref="I52:J52"/>
    <mergeCell ref="I57:J57"/>
    <mergeCell ref="I58:J58"/>
    <mergeCell ref="I59:J59"/>
    <mergeCell ref="I60:J60"/>
    <mergeCell ref="I93:J93"/>
    <mergeCell ref="I94:J94"/>
    <mergeCell ref="I109:J109"/>
    <mergeCell ref="I76:J76"/>
    <mergeCell ref="I77:J77"/>
    <mergeCell ref="I82:J82"/>
    <mergeCell ref="I92:J92"/>
    <mergeCell ref="I69:J69"/>
    <mergeCell ref="I70:J70"/>
    <mergeCell ref="I71:J71"/>
    <mergeCell ref="I75:J75"/>
    <mergeCell ref="I116:J116"/>
    <mergeCell ref="I117:J117"/>
    <mergeCell ref="I118:J118"/>
    <mergeCell ref="I119:J119"/>
    <mergeCell ref="I120:J120"/>
    <mergeCell ref="I121:J121"/>
    <mergeCell ref="I110:J110"/>
    <mergeCell ref="I111:J111"/>
    <mergeCell ref="I112:J112"/>
    <mergeCell ref="I113:J113"/>
    <mergeCell ref="I114:J114"/>
    <mergeCell ref="I115:J115"/>
    <mergeCell ref="I130:J130"/>
    <mergeCell ref="I131:J131"/>
    <mergeCell ref="I132:J132"/>
    <mergeCell ref="I133:J133"/>
    <mergeCell ref="I134:J134"/>
    <mergeCell ref="I135:J135"/>
    <mergeCell ref="I122:J122"/>
    <mergeCell ref="I126:J126"/>
    <mergeCell ref="I127:J127"/>
    <mergeCell ref="I128:J128"/>
    <mergeCell ref="I129:J129"/>
    <mergeCell ref="I125:J125"/>
    <mergeCell ref="I142:J142"/>
    <mergeCell ref="I143:J143"/>
    <mergeCell ref="I144:J144"/>
    <mergeCell ref="I145:J145"/>
    <mergeCell ref="I146:J146"/>
    <mergeCell ref="I147:J147"/>
    <mergeCell ref="I136:J136"/>
    <mergeCell ref="I137:J137"/>
    <mergeCell ref="I138:J138"/>
    <mergeCell ref="I139:J139"/>
    <mergeCell ref="I140:J140"/>
    <mergeCell ref="I141:J141"/>
    <mergeCell ref="I155:J155"/>
    <mergeCell ref="I156:J156"/>
    <mergeCell ref="I159:J159"/>
    <mergeCell ref="I160:J160"/>
    <mergeCell ref="I161:J161"/>
    <mergeCell ref="I148:J148"/>
    <mergeCell ref="I149:J149"/>
    <mergeCell ref="I152:J152"/>
    <mergeCell ref="I153:J153"/>
    <mergeCell ref="I151:J151"/>
    <mergeCell ref="I168:J168"/>
    <mergeCell ref="I169:J169"/>
    <mergeCell ref="I170:J170"/>
    <mergeCell ref="I171:J171"/>
    <mergeCell ref="I172:J172"/>
    <mergeCell ref="I162:J162"/>
    <mergeCell ref="I163:J163"/>
    <mergeCell ref="I164:J164"/>
    <mergeCell ref="I165:J165"/>
    <mergeCell ref="I166:J166"/>
    <mergeCell ref="I167:J167"/>
    <mergeCell ref="I182:J182"/>
    <mergeCell ref="I183:J183"/>
    <mergeCell ref="I184:J184"/>
    <mergeCell ref="I185:J185"/>
    <mergeCell ref="I186:J186"/>
    <mergeCell ref="I187:J187"/>
    <mergeCell ref="I175:J175"/>
    <mergeCell ref="I177:J177"/>
    <mergeCell ref="I178:J178"/>
    <mergeCell ref="I179:J179"/>
    <mergeCell ref="I180:J180"/>
    <mergeCell ref="I181:J181"/>
    <mergeCell ref="I197:J197"/>
    <mergeCell ref="I198:J198"/>
    <mergeCell ref="I199:J199"/>
    <mergeCell ref="I200:J200"/>
    <mergeCell ref="I188:J188"/>
    <mergeCell ref="I189:J189"/>
    <mergeCell ref="I190:J190"/>
    <mergeCell ref="I191:J191"/>
    <mergeCell ref="I192:J192"/>
    <mergeCell ref="I193:J193"/>
    <mergeCell ref="I207:J207"/>
    <mergeCell ref="I208:J208"/>
    <mergeCell ref="I209:J209"/>
    <mergeCell ref="I210:J210"/>
    <mergeCell ref="I211:J211"/>
    <mergeCell ref="I212:J212"/>
    <mergeCell ref="I201:J201"/>
    <mergeCell ref="I202:J202"/>
    <mergeCell ref="I203:J203"/>
    <mergeCell ref="I204:J204"/>
    <mergeCell ref="I205:J205"/>
    <mergeCell ref="I206:J206"/>
    <mergeCell ref="I221:J221"/>
    <mergeCell ref="I222:J222"/>
    <mergeCell ref="I223:J223"/>
    <mergeCell ref="I224:J224"/>
    <mergeCell ref="I213:J213"/>
    <mergeCell ref="I214:J214"/>
    <mergeCell ref="I215:J215"/>
    <mergeCell ref="I216:J216"/>
    <mergeCell ref="I217:J217"/>
    <mergeCell ref="I218:J218"/>
    <mergeCell ref="I232:J232"/>
    <mergeCell ref="I234:O234"/>
    <mergeCell ref="I176:J176"/>
    <mergeCell ref="I158:J158"/>
    <mergeCell ref="I174:J174"/>
    <mergeCell ref="I195:O195"/>
    <mergeCell ref="I196:J196"/>
    <mergeCell ref="I231:J231"/>
    <mergeCell ref="I56:J56"/>
    <mergeCell ref="I68:J68"/>
    <mergeCell ref="I74:J74"/>
    <mergeCell ref="I81:J81"/>
    <mergeCell ref="I91:J91"/>
    <mergeCell ref="I99:J99"/>
    <mergeCell ref="I104:J104"/>
    <mergeCell ref="I108:J108"/>
    <mergeCell ref="I225:J225"/>
    <mergeCell ref="I226:J226"/>
    <mergeCell ref="I227:J227"/>
    <mergeCell ref="I228:J228"/>
    <mergeCell ref="I229:J229"/>
    <mergeCell ref="I230:J230"/>
    <mergeCell ref="I219:J219"/>
    <mergeCell ref="I220:J2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zoomScale="85" zoomScaleNormal="85" workbookViewId="0">
      <pane ySplit="5" topLeftCell="A6" activePane="bottomLeft" state="frozen"/>
      <selection activeCell="D259" sqref="D259"/>
      <selection pane="bottomLeft" activeCell="D259" sqref="D259"/>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3.42578125" style="6" customWidth="1"/>
    <col min="12" max="12" width="20.5703125" style="7" bestFit="1" customWidth="1"/>
    <col min="13" max="13" width="12.5703125" style="7" customWidth="1"/>
    <col min="14" max="14" width="10" style="7" bestFit="1" customWidth="1"/>
    <col min="15" max="15" width="16.5703125" style="7" customWidth="1"/>
    <col min="16" max="16" width="48.85546875" style="8" customWidth="1"/>
    <col min="17" max="16384" width="9.140625" style="3"/>
  </cols>
  <sheetData>
    <row r="1" spans="1:17" ht="32.25" customHeight="1" thickBot="1">
      <c r="A1" s="583" t="s">
        <v>508</v>
      </c>
      <c r="B1" s="584"/>
      <c r="C1" s="584"/>
      <c r="D1" s="584"/>
      <c r="E1" s="584"/>
      <c r="F1" s="584"/>
      <c r="G1" s="584"/>
      <c r="H1" s="584"/>
      <c r="I1" s="584"/>
      <c r="J1" s="584"/>
      <c r="K1" s="584"/>
      <c r="L1" s="584"/>
      <c r="M1" s="584"/>
      <c r="N1" s="584"/>
      <c r="O1" s="584"/>
      <c r="P1" s="585"/>
    </row>
    <row r="2" spans="1:17" s="12" customFormat="1" ht="24.75" customHeight="1" thickBo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thickBot="1">
      <c r="A3" s="308" t="s">
        <v>4</v>
      </c>
      <c r="B3" s="309" t="s">
        <v>5</v>
      </c>
      <c r="C3" s="289">
        <v>205</v>
      </c>
      <c r="D3" s="290">
        <f>C4*C3</f>
        <v>615</v>
      </c>
      <c r="E3" s="578" t="s">
        <v>6</v>
      </c>
      <c r="F3" s="579"/>
      <c r="G3" s="291">
        <v>35</v>
      </c>
      <c r="H3" s="292">
        <f>G3*G4</f>
        <v>315</v>
      </c>
      <c r="I3" s="293"/>
      <c r="J3" s="293"/>
      <c r="K3" s="294"/>
      <c r="L3" s="294"/>
      <c r="M3" s="294"/>
      <c r="N3" s="294"/>
      <c r="O3" s="294"/>
      <c r="P3" s="294"/>
      <c r="Q3" s="295"/>
    </row>
    <row r="4" spans="1:17"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17" s="5" customFormat="1" ht="46.5" customHeight="1">
      <c r="A5" s="61" t="s">
        <v>10</v>
      </c>
      <c r="B5" s="62" t="s">
        <v>11</v>
      </c>
      <c r="C5" s="63"/>
      <c r="D5" s="35" t="s">
        <v>12</v>
      </c>
      <c r="E5" s="36" t="s">
        <v>13</v>
      </c>
      <c r="F5" s="37" t="s">
        <v>14</v>
      </c>
      <c r="G5" s="37" t="s">
        <v>15</v>
      </c>
      <c r="H5" s="37" t="s">
        <v>16</v>
      </c>
      <c r="I5" s="563" t="s">
        <v>17</v>
      </c>
      <c r="J5" s="564"/>
      <c r="K5" s="564"/>
      <c r="L5" s="564"/>
      <c r="M5" s="564"/>
      <c r="N5" s="564"/>
      <c r="O5" s="564"/>
      <c r="P5" s="38" t="s">
        <v>18</v>
      </c>
      <c r="Q5" s="301"/>
    </row>
    <row r="6" spans="1:17" ht="34.9"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s="22" customFormat="1" ht="11.25">
      <c r="A7" s="501"/>
      <c r="B7" s="501"/>
      <c r="C7" s="501"/>
      <c r="D7" s="501"/>
      <c r="E7" s="501"/>
      <c r="F7" s="501"/>
      <c r="G7" s="501"/>
      <c r="H7" s="501"/>
      <c r="I7" s="501"/>
      <c r="J7" s="501"/>
      <c r="K7" s="322">
        <v>2</v>
      </c>
      <c r="L7" s="501" t="s">
        <v>22</v>
      </c>
      <c r="M7" s="501"/>
      <c r="N7" s="501"/>
      <c r="O7" s="501"/>
      <c r="P7" s="501"/>
      <c r="Q7" s="502"/>
    </row>
    <row r="8" spans="1:17" s="22" customFormat="1" ht="11.25">
      <c r="A8" s="503"/>
      <c r="B8" s="503"/>
      <c r="C8" s="503"/>
      <c r="D8" s="503"/>
      <c r="E8" s="503"/>
      <c r="F8" s="503"/>
      <c r="G8" s="503"/>
      <c r="H8" s="503"/>
      <c r="I8" s="503"/>
      <c r="J8" s="503"/>
      <c r="K8" s="322">
        <v>1</v>
      </c>
      <c r="L8" s="503" t="s">
        <v>23</v>
      </c>
      <c r="M8" s="503"/>
      <c r="N8" s="503"/>
      <c r="O8" s="503"/>
      <c r="P8" s="501"/>
      <c r="Q8" s="502"/>
    </row>
    <row r="9" spans="1:17" customFormat="1" ht="17.25" customHeight="1">
      <c r="A9" s="272"/>
      <c r="B9" s="272"/>
      <c r="C9" s="272"/>
      <c r="D9" s="272"/>
      <c r="E9" s="272"/>
      <c r="F9" s="272"/>
      <c r="G9" s="272"/>
      <c r="H9" s="272"/>
      <c r="I9" s="272"/>
      <c r="J9" s="272"/>
      <c r="K9" s="318">
        <f>($K$7*2)+($K$8*2)+1+1</f>
        <v>8</v>
      </c>
      <c r="L9" s="272" t="str">
        <f>Rekenblad!L9</f>
        <v>man in de binding</v>
      </c>
      <c r="M9" s="273">
        <f>Rekenblad!M9</f>
        <v>116.03999999999999</v>
      </c>
      <c r="N9" s="272" t="str">
        <f>Rekenblad!N9</f>
        <v>/man/week</v>
      </c>
      <c r="O9" s="273"/>
      <c r="P9" s="112"/>
      <c r="Q9" s="310"/>
    </row>
    <row r="10" spans="1:17" customFormat="1" ht="17.25" customHeight="1">
      <c r="A10" s="112"/>
      <c r="B10" s="112"/>
      <c r="C10" s="112"/>
      <c r="D10" s="112"/>
      <c r="E10" s="112"/>
      <c r="F10" s="112"/>
      <c r="G10" s="112"/>
      <c r="H10" s="112"/>
      <c r="I10" s="112"/>
      <c r="J10" s="112"/>
      <c r="K10" s="319">
        <f>K9</f>
        <v>8</v>
      </c>
      <c r="L10" s="112" t="str">
        <f>Rekenblad!L10</f>
        <v>Telefoon abonnement</v>
      </c>
      <c r="M10" s="113">
        <f>Rekenblad!M10</f>
        <v>60</v>
      </c>
      <c r="N10" s="112" t="str">
        <f>Rekenblad!N10</f>
        <v>/maand</v>
      </c>
      <c r="O10" s="113"/>
      <c r="P10" s="112"/>
      <c r="Q10" s="310"/>
    </row>
    <row r="11" spans="1:17" ht="35.450000000000003" customHeight="1">
      <c r="A11" s="78" t="s">
        <v>24</v>
      </c>
      <c r="B11" s="79" t="s">
        <v>25</v>
      </c>
      <c r="C11" s="80" t="s">
        <v>26</v>
      </c>
      <c r="D11" s="68" t="s">
        <v>27</v>
      </c>
      <c r="E11" s="69">
        <v>60</v>
      </c>
      <c r="F11" s="70">
        <f>O11</f>
        <v>4502.7199999999993</v>
      </c>
      <c r="G11" s="81">
        <f>H11/5</f>
        <v>54032.639999999992</v>
      </c>
      <c r="H11" s="82">
        <f>F11*E11</f>
        <v>270163.19999999995</v>
      </c>
      <c r="I11" s="274" t="s">
        <v>28</v>
      </c>
      <c r="J11" s="275" t="s">
        <v>29</v>
      </c>
      <c r="K11" s="319"/>
      <c r="L11" s="112"/>
      <c r="M11" s="86"/>
      <c r="N11" s="112"/>
      <c r="O11" s="113">
        <f>K9*(M9*(52/12))+K10*M10</f>
        <v>4502.7199999999993</v>
      </c>
      <c r="P11" s="276" t="s">
        <v>509</v>
      </c>
      <c r="Q11" s="151"/>
    </row>
    <row r="12" spans="1:17" s="20" customFormat="1">
      <c r="A12" s="90" t="s">
        <v>31</v>
      </c>
      <c r="B12" s="91" t="s">
        <v>32</v>
      </c>
      <c r="C12" s="92" t="s">
        <v>33</v>
      </c>
      <c r="D12" s="93" t="s">
        <v>27</v>
      </c>
      <c r="E12" s="94">
        <v>60</v>
      </c>
      <c r="F12" s="95">
        <v>10000</v>
      </c>
      <c r="G12" s="96">
        <f>F12*12</f>
        <v>120000</v>
      </c>
      <c r="H12" s="97"/>
      <c r="I12" s="98"/>
      <c r="J12" s="99"/>
      <c r="K12" s="319"/>
      <c r="L12" s="112"/>
      <c r="M12" s="113"/>
      <c r="N12" s="112"/>
      <c r="O12" s="113"/>
      <c r="P12" s="99"/>
      <c r="Q12" s="302"/>
    </row>
    <row r="13" spans="1:17" ht="67.5">
      <c r="A13" s="78" t="s">
        <v>34</v>
      </c>
      <c r="B13" s="79" t="s">
        <v>35</v>
      </c>
      <c r="C13" s="80" t="s">
        <v>26</v>
      </c>
      <c r="D13" s="68" t="s">
        <v>27</v>
      </c>
      <c r="E13" s="69">
        <v>60</v>
      </c>
      <c r="F13" s="70">
        <f>O13</f>
        <v>6517.0687499999995</v>
      </c>
      <c r="G13" s="81">
        <f>H13/5</f>
        <v>78204.824999999983</v>
      </c>
      <c r="H13" s="82">
        <f>F13*E13</f>
        <v>391024.12499999994</v>
      </c>
      <c r="I13" s="76" t="s">
        <v>36</v>
      </c>
      <c r="J13" s="84" t="s">
        <v>37</v>
      </c>
      <c r="K13" s="325">
        <f>Rekenblad!K13</f>
        <v>3.75</v>
      </c>
      <c r="L13" s="324" t="s">
        <v>38</v>
      </c>
      <c r="M13" s="500">
        <f>K7*(F16+F17)+K8*F18</f>
        <v>1737.8849999999998</v>
      </c>
      <c r="N13" s="324" t="s">
        <v>39</v>
      </c>
      <c r="O13" s="113">
        <f>(M13*K13)</f>
        <v>6517.0687499999995</v>
      </c>
      <c r="P13" s="103" t="s">
        <v>40</v>
      </c>
      <c r="Q13" s="151"/>
    </row>
    <row r="14" spans="1:17" ht="69.599999999999994" customHeight="1">
      <c r="A14" s="104" t="s">
        <v>41</v>
      </c>
      <c r="B14" s="105" t="s">
        <v>42</v>
      </c>
      <c r="C14" s="106" t="s">
        <v>26</v>
      </c>
      <c r="D14" s="107" t="s">
        <v>27</v>
      </c>
      <c r="E14" s="108">
        <v>60</v>
      </c>
      <c r="F14" s="109">
        <f>O14</f>
        <v>1700</v>
      </c>
      <c r="G14" s="81">
        <f>H14/5</f>
        <v>20400</v>
      </c>
      <c r="H14" s="82">
        <f>F14*E14</f>
        <v>102000</v>
      </c>
      <c r="I14" s="83" t="s">
        <v>43</v>
      </c>
      <c r="J14" s="111" t="s">
        <v>44</v>
      </c>
      <c r="K14" s="320">
        <v>20</v>
      </c>
      <c r="L14" s="112" t="s">
        <v>8</v>
      </c>
      <c r="M14" s="113">
        <v>85</v>
      </c>
      <c r="N14" s="112" t="s">
        <v>8</v>
      </c>
      <c r="O14" s="113">
        <f>M14*K14</f>
        <v>1700</v>
      </c>
      <c r="P14" s="282" t="s">
        <v>510</v>
      </c>
      <c r="Q14" s="151"/>
    </row>
    <row r="15" spans="1:17" ht="33.75">
      <c r="A15" s="64">
        <v>2</v>
      </c>
      <c r="B15" s="115" t="s">
        <v>46</v>
      </c>
      <c r="C15" s="115"/>
      <c r="D15" s="38" t="s">
        <v>12</v>
      </c>
      <c r="E15" s="47" t="s">
        <v>13</v>
      </c>
      <c r="F15" s="48" t="s">
        <v>14</v>
      </c>
      <c r="G15" s="48" t="s">
        <v>15</v>
      </c>
      <c r="H15" s="48" t="s">
        <v>16</v>
      </c>
      <c r="I15" s="38" t="s">
        <v>17</v>
      </c>
      <c r="J15" s="49" t="s">
        <v>47</v>
      </c>
      <c r="K15" s="37" t="s">
        <v>48</v>
      </c>
      <c r="L15" s="50" t="s">
        <v>49</v>
      </c>
      <c r="M15" s="58" t="s">
        <v>50</v>
      </c>
      <c r="N15" s="58"/>
      <c r="O15" s="59"/>
      <c r="P15" s="49" t="s">
        <v>18</v>
      </c>
      <c r="Q15" s="151"/>
    </row>
    <row r="16" spans="1:17" ht="96" customHeight="1">
      <c r="A16" s="78" t="s">
        <v>51</v>
      </c>
      <c r="B16" s="116" t="s">
        <v>52</v>
      </c>
      <c r="C16" s="75" t="s">
        <v>53</v>
      </c>
      <c r="D16" s="107" t="s">
        <v>8</v>
      </c>
      <c r="E16" s="117">
        <f>D3</f>
        <v>615</v>
      </c>
      <c r="F16" s="118">
        <f>Rekenblad!F16</f>
        <v>530.56499999999994</v>
      </c>
      <c r="G16" s="118">
        <f>E16*F16</f>
        <v>326297.47499999998</v>
      </c>
      <c r="H16" s="109">
        <f>A4*G16</f>
        <v>1631487.375</v>
      </c>
      <c r="I16" s="76" t="s">
        <v>54</v>
      </c>
      <c r="J16" s="76" t="s">
        <v>55</v>
      </c>
      <c r="K16" s="119">
        <v>100</v>
      </c>
      <c r="L16" s="120">
        <v>500</v>
      </c>
      <c r="M16" s="278">
        <v>3</v>
      </c>
      <c r="N16" s="278"/>
      <c r="O16" s="76"/>
      <c r="P16" s="77"/>
      <c r="Q16" s="151"/>
    </row>
    <row r="17" spans="1:17" ht="96" customHeight="1">
      <c r="A17" s="78" t="s">
        <v>51</v>
      </c>
      <c r="B17" s="116" t="s">
        <v>56</v>
      </c>
      <c r="C17" s="75" t="s">
        <v>57</v>
      </c>
      <c r="D17" s="107" t="s">
        <v>8</v>
      </c>
      <c r="E17" s="108"/>
      <c r="F17" s="118">
        <f>Rekenblad!F17</f>
        <v>225.58499999999998</v>
      </c>
      <c r="G17" s="118"/>
      <c r="H17" s="109"/>
      <c r="I17" s="76" t="s">
        <v>58</v>
      </c>
      <c r="J17" s="76"/>
      <c r="K17" s="119"/>
      <c r="L17" s="120"/>
      <c r="M17" s="121"/>
      <c r="N17" s="121"/>
      <c r="O17" s="75"/>
      <c r="P17" s="77"/>
      <c r="Q17" s="151"/>
    </row>
    <row r="18" spans="1:17" ht="71.25" customHeight="1">
      <c r="A18" s="104" t="s">
        <v>59</v>
      </c>
      <c r="B18" s="116" t="s">
        <v>60</v>
      </c>
      <c r="C18" s="75" t="s">
        <v>53</v>
      </c>
      <c r="D18" s="107" t="s">
        <v>8</v>
      </c>
      <c r="E18" s="30">
        <f>H3</f>
        <v>315</v>
      </c>
      <c r="F18" s="118">
        <f>Rekenblad!F18</f>
        <v>225.58499999999998</v>
      </c>
      <c r="G18" s="118">
        <f>F18*E18</f>
        <v>71059.274999999994</v>
      </c>
      <c r="H18" s="109">
        <f>A4*G18</f>
        <v>355296.375</v>
      </c>
      <c r="I18" s="76" t="s">
        <v>61</v>
      </c>
      <c r="J18" s="76" t="s">
        <v>62</v>
      </c>
      <c r="K18" s="122">
        <v>10</v>
      </c>
      <c r="L18" s="122">
        <v>50</v>
      </c>
      <c r="M18" s="279">
        <v>4</v>
      </c>
      <c r="N18" s="279"/>
      <c r="O18" s="124"/>
      <c r="P18" s="77"/>
      <c r="Q18" s="151"/>
    </row>
    <row r="19" spans="1:17" s="19" customFormat="1" ht="47.25" customHeight="1">
      <c r="A19" s="125" t="s">
        <v>63</v>
      </c>
      <c r="B19" s="126" t="s">
        <v>64</v>
      </c>
      <c r="C19" s="127" t="s">
        <v>33</v>
      </c>
      <c r="D19" s="127" t="s">
        <v>8</v>
      </c>
      <c r="E19" s="128">
        <f>E16</f>
        <v>615</v>
      </c>
      <c r="F19" s="130">
        <f>Rekenblad!F19</f>
        <v>424</v>
      </c>
      <c r="G19" s="130">
        <f t="shared" ref="G19:G22" si="0">F19*E19</f>
        <v>260760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30">
        <f>Rekenblad!F20</f>
        <v>689</v>
      </c>
      <c r="G20" s="130">
        <f t="shared" si="0"/>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30">
        <f>Rekenblad!F21</f>
        <v>2031.6666666666702</v>
      </c>
      <c r="G21" s="130">
        <f t="shared" si="0"/>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30">
        <f>Rekenblad!F22</f>
        <v>3445</v>
      </c>
      <c r="G22" s="130">
        <f t="shared" si="0"/>
        <v>0</v>
      </c>
      <c r="H22" s="139"/>
      <c r="I22" s="132"/>
      <c r="J22" s="133"/>
      <c r="K22" s="134"/>
      <c r="L22" s="135"/>
      <c r="M22" s="136"/>
      <c r="N22" s="136"/>
      <c r="O22" s="137"/>
      <c r="P22" s="138"/>
      <c r="Q22" s="303"/>
    </row>
    <row r="23" spans="1:17" ht="59.25" customHeight="1">
      <c r="A23" s="64">
        <v>3</v>
      </c>
      <c r="B23" s="65" t="s">
        <v>71</v>
      </c>
      <c r="C23" s="140"/>
      <c r="D23" s="51" t="s">
        <v>12</v>
      </c>
      <c r="E23" s="52" t="s">
        <v>13</v>
      </c>
      <c r="F23" s="60" t="str">
        <f>Rekenblad!F23</f>
        <v>bedrag per eenheid (excl. btw)</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18">
        <f>Rekenblad!F24</f>
        <v>0</v>
      </c>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1033.3333333333333</v>
      </c>
      <c r="F25" s="118">
        <f>Rekenblad!F25</f>
        <v>55.650000000000006</v>
      </c>
      <c r="G25" s="145" t="s">
        <v>77</v>
      </c>
      <c r="H25" s="145">
        <f>E25*F25</f>
        <v>57505</v>
      </c>
      <c r="I25" s="280">
        <f>Rekenblad!I25</f>
        <v>0.66666666666666663</v>
      </c>
      <c r="J25" s="151"/>
      <c r="K25" s="118"/>
      <c r="L25" s="146"/>
      <c r="M25" s="146"/>
      <c r="N25" s="146"/>
      <c r="O25" s="146"/>
      <c r="P25" s="147"/>
      <c r="Q25" s="151"/>
    </row>
    <row r="26" spans="1:17" ht="30" customHeight="1">
      <c r="A26" s="143"/>
      <c r="B26" s="148" t="s">
        <v>78</v>
      </c>
      <c r="C26" s="149" t="s">
        <v>76</v>
      </c>
      <c r="D26" s="143" t="s">
        <v>8</v>
      </c>
      <c r="E26" s="108">
        <f>((1/3)*($D$3+$H$3)*$A$4)*I26</f>
        <v>258.33333333333331</v>
      </c>
      <c r="F26" s="118">
        <f>Rekenblad!F26</f>
        <v>68.900000000000006</v>
      </c>
      <c r="G26" s="145" t="s">
        <v>77</v>
      </c>
      <c r="H26" s="145">
        <f t="shared" ref="H26:H30" si="1">E26*F26</f>
        <v>17799.166666666668</v>
      </c>
      <c r="I26" s="280">
        <f>Rekenblad!I26</f>
        <v>0.16666666666666666</v>
      </c>
      <c r="J26" s="152"/>
      <c r="K26" s="118"/>
      <c r="L26" s="146"/>
      <c r="M26" s="146"/>
      <c r="N26" s="146"/>
      <c r="O26" s="146"/>
      <c r="P26" s="147"/>
      <c r="Q26" s="151"/>
    </row>
    <row r="27" spans="1:17" ht="30" customHeight="1">
      <c r="A27" s="143"/>
      <c r="B27" s="148" t="s">
        <v>79</v>
      </c>
      <c r="C27" s="149" t="s">
        <v>76</v>
      </c>
      <c r="D27" s="143" t="s">
        <v>8</v>
      </c>
      <c r="E27" s="108">
        <f>((1/3)*($D$3+$H$3)*$A$4)*I27</f>
        <v>129.16666666666666</v>
      </c>
      <c r="F27" s="118">
        <f>Rekenblad!F27</f>
        <v>79.5</v>
      </c>
      <c r="G27" s="145" t="s">
        <v>77</v>
      </c>
      <c r="H27" s="145">
        <f t="shared" si="1"/>
        <v>10268.75</v>
      </c>
      <c r="I27" s="280">
        <f>Rekenblad!I27</f>
        <v>8.3333333333333329E-2</v>
      </c>
      <c r="J27" s="152"/>
      <c r="K27" s="118"/>
      <c r="L27" s="146"/>
      <c r="M27" s="146"/>
      <c r="N27" s="146"/>
      <c r="O27" s="146"/>
      <c r="P27" s="147"/>
      <c r="Q27" s="151"/>
    </row>
    <row r="28" spans="1:17" ht="30" customHeight="1">
      <c r="A28" s="143"/>
      <c r="B28" s="148" t="s">
        <v>80</v>
      </c>
      <c r="C28" s="149" t="s">
        <v>76</v>
      </c>
      <c r="D28" s="143" t="s">
        <v>8</v>
      </c>
      <c r="E28" s="108">
        <f>((1/3)*($D$3+$H$3)*$A$4)*I28</f>
        <v>129.16666666666666</v>
      </c>
      <c r="F28" s="118">
        <f>Rekenblad!F28</f>
        <v>100.7</v>
      </c>
      <c r="G28" s="145" t="s">
        <v>77</v>
      </c>
      <c r="H28" s="145">
        <f t="shared" si="1"/>
        <v>13007.083333333332</v>
      </c>
      <c r="I28" s="280">
        <f>Rekenblad!I28</f>
        <v>8.3333333333333329E-2</v>
      </c>
      <c r="J28" s="152"/>
      <c r="K28" s="118"/>
      <c r="L28" s="146"/>
      <c r="M28" s="146"/>
      <c r="N28" s="146"/>
      <c r="O28" s="146"/>
      <c r="P28" s="147"/>
      <c r="Q28" s="151"/>
    </row>
    <row r="29" spans="1:17" ht="30" customHeight="1">
      <c r="A29" s="143"/>
      <c r="B29" s="148" t="s">
        <v>81</v>
      </c>
      <c r="C29" s="149" t="s">
        <v>33</v>
      </c>
      <c r="D29" s="143" t="s">
        <v>8</v>
      </c>
      <c r="E29" s="108">
        <f>Rekenblad!E29</f>
        <v>0</v>
      </c>
      <c r="F29" s="118">
        <f>Rekenblad!F29</f>
        <v>76.850000000000009</v>
      </c>
      <c r="G29" s="145" t="s">
        <v>77</v>
      </c>
      <c r="H29" s="145">
        <f t="shared" si="1"/>
        <v>0</v>
      </c>
      <c r="I29" s="153"/>
      <c r="J29" s="152"/>
      <c r="K29" s="118"/>
      <c r="L29" s="146"/>
      <c r="M29" s="146"/>
      <c r="N29" s="146"/>
      <c r="O29" s="146"/>
      <c r="P29" s="147"/>
      <c r="Q29" s="151"/>
    </row>
    <row r="30" spans="1:17" ht="30" customHeight="1">
      <c r="A30" s="143"/>
      <c r="B30" s="148" t="s">
        <v>82</v>
      </c>
      <c r="C30" s="149" t="s">
        <v>57</v>
      </c>
      <c r="D30" s="143" t="s">
        <v>8</v>
      </c>
      <c r="E30" s="108">
        <f>Rekenblad!E30</f>
        <v>0</v>
      </c>
      <c r="F30" s="118">
        <f>Rekenblad!F30</f>
        <v>113.102</v>
      </c>
      <c r="G30" s="145" t="s">
        <v>77</v>
      </c>
      <c r="H30" s="145">
        <f t="shared" si="1"/>
        <v>0</v>
      </c>
      <c r="I30" s="153"/>
      <c r="J30" s="152"/>
      <c r="K30" s="118"/>
      <c r="L30" s="146"/>
      <c r="M30" s="146"/>
      <c r="N30" s="146"/>
      <c r="O30" s="146"/>
      <c r="P30" s="147"/>
      <c r="Q30" s="151"/>
    </row>
    <row r="31" spans="1:17" ht="30" customHeight="1">
      <c r="A31" s="143"/>
      <c r="B31" s="148"/>
      <c r="C31" s="149"/>
      <c r="D31" s="143"/>
      <c r="E31" s="108"/>
      <c r="F31" s="118"/>
      <c r="G31" s="145"/>
      <c r="H31" s="145"/>
      <c r="I31" s="153"/>
      <c r="J31" s="152"/>
      <c r="K31" s="118"/>
      <c r="L31" s="146"/>
      <c r="M31" s="146"/>
      <c r="N31" s="146"/>
      <c r="O31" s="146"/>
      <c r="P31" s="147"/>
      <c r="Q31" s="151"/>
    </row>
    <row r="32" spans="1:17" ht="30" customHeight="1">
      <c r="A32" s="141" t="s">
        <v>83</v>
      </c>
      <c r="B32" s="142" t="s">
        <v>84</v>
      </c>
      <c r="C32" s="65"/>
      <c r="D32" s="64"/>
      <c r="E32" s="108"/>
      <c r="F32" s="118"/>
      <c r="G32" s="145"/>
      <c r="H32" s="145"/>
      <c r="I32" s="153"/>
      <c r="J32" s="155"/>
      <c r="K32" s="118"/>
      <c r="L32" s="146"/>
      <c r="M32" s="146"/>
      <c r="N32" s="146"/>
      <c r="O32" s="146"/>
      <c r="P32" s="147"/>
      <c r="Q32" s="151"/>
    </row>
    <row r="33" spans="1:17" ht="30" customHeight="1">
      <c r="A33" s="143"/>
      <c r="B33" s="148" t="s">
        <v>75</v>
      </c>
      <c r="C33" s="149" t="s">
        <v>76</v>
      </c>
      <c r="D33" s="143" t="s">
        <v>8</v>
      </c>
      <c r="E33" s="108">
        <f>Rekenblad!E33</f>
        <v>0</v>
      </c>
      <c r="F33" s="118">
        <f>Rekenblad!F33</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f>Rekenblad!E34</f>
        <v>0</v>
      </c>
      <c r="F34" s="118">
        <f>Rekenblad!F34</f>
        <v>63.6</v>
      </c>
      <c r="G34" s="145"/>
      <c r="H34" s="145">
        <f t="shared" ref="H34:H41" si="2">F34*E34</f>
        <v>0</v>
      </c>
      <c r="I34" s="569"/>
      <c r="J34" s="573"/>
      <c r="K34" s="118"/>
      <c r="L34" s="146"/>
      <c r="M34" s="146"/>
      <c r="N34" s="146"/>
      <c r="O34" s="146"/>
      <c r="P34" s="147"/>
      <c r="Q34" s="151"/>
    </row>
    <row r="35" spans="1:17" ht="30" customHeight="1">
      <c r="A35" s="143"/>
      <c r="B35" s="148" t="s">
        <v>79</v>
      </c>
      <c r="C35" s="149" t="s">
        <v>76</v>
      </c>
      <c r="D35" s="143" t="s">
        <v>8</v>
      </c>
      <c r="E35" s="108">
        <f>Rekenblad!E35</f>
        <v>0</v>
      </c>
      <c r="F35" s="118">
        <f>Rekenblad!F35</f>
        <v>74.2</v>
      </c>
      <c r="G35" s="145"/>
      <c r="H35" s="145">
        <f t="shared" si="2"/>
        <v>0</v>
      </c>
      <c r="I35" s="569"/>
      <c r="J35" s="573"/>
      <c r="K35" s="118"/>
      <c r="L35" s="146"/>
      <c r="M35" s="146"/>
      <c r="N35" s="146"/>
      <c r="O35" s="146"/>
      <c r="P35" s="147"/>
      <c r="Q35" s="151"/>
    </row>
    <row r="36" spans="1:17" ht="30" customHeight="1">
      <c r="A36" s="143"/>
      <c r="B36" s="148" t="s">
        <v>80</v>
      </c>
      <c r="C36" s="149" t="s">
        <v>76</v>
      </c>
      <c r="D36" s="143" t="s">
        <v>8</v>
      </c>
      <c r="E36" s="108">
        <f>Rekenblad!E36</f>
        <v>0</v>
      </c>
      <c r="F36" s="118">
        <f>Rekenblad!F36</f>
        <v>84.800000000000011</v>
      </c>
      <c r="G36" s="145"/>
      <c r="H36" s="145">
        <f t="shared" si="2"/>
        <v>0</v>
      </c>
      <c r="I36" s="569"/>
      <c r="J36" s="573"/>
      <c r="K36" s="118"/>
      <c r="L36" s="146"/>
      <c r="M36" s="146"/>
      <c r="N36" s="146"/>
      <c r="O36" s="146"/>
      <c r="P36" s="147"/>
      <c r="Q36" s="151"/>
    </row>
    <row r="37" spans="1:17" ht="30" customHeight="1">
      <c r="A37" s="141" t="s">
        <v>85</v>
      </c>
      <c r="B37" s="156" t="s">
        <v>86</v>
      </c>
      <c r="C37" s="141"/>
      <c r="D37" s="64"/>
      <c r="E37" s="108"/>
      <c r="F37" s="118"/>
      <c r="G37" s="145"/>
      <c r="H37" s="145">
        <f t="shared" si="2"/>
        <v>0</v>
      </c>
      <c r="I37" s="569"/>
      <c r="J37" s="573"/>
      <c r="K37" s="118"/>
      <c r="L37" s="146"/>
      <c r="M37" s="146"/>
      <c r="N37" s="146"/>
      <c r="O37" s="146"/>
      <c r="P37" s="147"/>
      <c r="Q37" s="151"/>
    </row>
    <row r="38" spans="1:17" ht="30" customHeight="1">
      <c r="A38" s="143"/>
      <c r="B38" s="157" t="s">
        <v>75</v>
      </c>
      <c r="C38" s="143" t="s">
        <v>76</v>
      </c>
      <c r="D38" s="143" t="s">
        <v>8</v>
      </c>
      <c r="E38" s="108">
        <f>Rekenblad!E38</f>
        <v>0</v>
      </c>
      <c r="F38" s="118">
        <f>Rekenblad!F38</f>
        <v>50.88</v>
      </c>
      <c r="G38" s="145"/>
      <c r="H38" s="145">
        <f t="shared" si="2"/>
        <v>0</v>
      </c>
      <c r="I38" s="569"/>
      <c r="J38" s="573"/>
      <c r="K38" s="118"/>
      <c r="L38" s="146"/>
      <c r="M38" s="146"/>
      <c r="N38" s="146"/>
      <c r="O38" s="146"/>
      <c r="P38" s="147"/>
      <c r="Q38" s="151"/>
    </row>
    <row r="39" spans="1:17" ht="30" customHeight="1">
      <c r="A39" s="143"/>
      <c r="B39" s="157" t="s">
        <v>78</v>
      </c>
      <c r="C39" s="143" t="s">
        <v>76</v>
      </c>
      <c r="D39" s="143" t="s">
        <v>8</v>
      </c>
      <c r="E39" s="108">
        <f>Rekenblad!E39</f>
        <v>0</v>
      </c>
      <c r="F39" s="118">
        <f>Rekenblad!F39</f>
        <v>58.300000000000004</v>
      </c>
      <c r="G39" s="145"/>
      <c r="H39" s="145">
        <f t="shared" si="2"/>
        <v>0</v>
      </c>
      <c r="I39" s="569"/>
      <c r="J39" s="573"/>
      <c r="K39" s="118"/>
      <c r="L39" s="146"/>
      <c r="M39" s="146"/>
      <c r="N39" s="146"/>
      <c r="O39" s="146"/>
      <c r="P39" s="147"/>
      <c r="Q39" s="151"/>
    </row>
    <row r="40" spans="1:17" ht="30" customHeight="1">
      <c r="A40" s="143"/>
      <c r="B40" s="157" t="s">
        <v>79</v>
      </c>
      <c r="C40" s="143" t="s">
        <v>76</v>
      </c>
      <c r="D40" s="143" t="s">
        <v>8</v>
      </c>
      <c r="E40" s="108">
        <f>Rekenblad!E40</f>
        <v>0</v>
      </c>
      <c r="F40" s="118">
        <f>Rekenblad!F40</f>
        <v>68.900000000000006</v>
      </c>
      <c r="G40" s="145"/>
      <c r="H40" s="145">
        <f t="shared" si="2"/>
        <v>0</v>
      </c>
      <c r="I40" s="569"/>
      <c r="J40" s="573"/>
      <c r="K40" s="118"/>
      <c r="L40" s="146"/>
      <c r="M40" s="146"/>
      <c r="N40" s="146"/>
      <c r="O40" s="146"/>
      <c r="P40" s="147"/>
      <c r="Q40" s="151"/>
    </row>
    <row r="41" spans="1:17" ht="30" customHeight="1">
      <c r="A41" s="143"/>
      <c r="B41" s="157" t="s">
        <v>80</v>
      </c>
      <c r="C41" s="143" t="s">
        <v>76</v>
      </c>
      <c r="D41" s="143" t="s">
        <v>8</v>
      </c>
      <c r="E41" s="108">
        <f>Rekenblad!E41</f>
        <v>0</v>
      </c>
      <c r="F41" s="118">
        <f>Rekenblad!F41</f>
        <v>79.5</v>
      </c>
      <c r="G41" s="145"/>
      <c r="H41" s="145">
        <f t="shared" si="2"/>
        <v>0</v>
      </c>
      <c r="I41" s="569"/>
      <c r="J41" s="573"/>
      <c r="K41" s="118"/>
      <c r="L41" s="146"/>
      <c r="M41" s="146"/>
      <c r="N41" s="146"/>
      <c r="O41" s="146"/>
      <c r="P41" s="147"/>
      <c r="Q41" s="151"/>
    </row>
    <row r="42" spans="1:17" ht="30" customHeight="1">
      <c r="A42" s="141" t="s">
        <v>87</v>
      </c>
      <c r="B42" s="142" t="s">
        <v>88</v>
      </c>
      <c r="C42" s="65"/>
      <c r="D42" s="64"/>
      <c r="E42" s="108"/>
      <c r="F42" s="118"/>
      <c r="G42" s="145"/>
      <c r="H42" s="145"/>
      <c r="I42" s="569"/>
      <c r="J42" s="573"/>
      <c r="K42" s="118"/>
      <c r="L42" s="146"/>
      <c r="M42" s="146"/>
      <c r="N42" s="146"/>
      <c r="O42" s="146"/>
      <c r="P42" s="147"/>
      <c r="Q42" s="151"/>
    </row>
    <row r="43" spans="1:17" ht="30" customHeight="1">
      <c r="A43" s="143"/>
      <c r="B43" s="148" t="s">
        <v>75</v>
      </c>
      <c r="C43" s="149" t="s">
        <v>76</v>
      </c>
      <c r="D43" s="143" t="s">
        <v>8</v>
      </c>
      <c r="E43" s="108">
        <f>Rekenblad!E43</f>
        <v>0</v>
      </c>
      <c r="F43" s="118">
        <f>Rekenblad!F43</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f>Rekenblad!E44</f>
        <v>0</v>
      </c>
      <c r="F44" s="118">
        <f>Rekenblad!F44</f>
        <v>53</v>
      </c>
      <c r="G44" s="145"/>
      <c r="H44" s="145">
        <f t="shared" ref="H44:H46" si="3">E44*F44</f>
        <v>0</v>
      </c>
      <c r="I44" s="569"/>
      <c r="J44" s="573"/>
      <c r="K44" s="118"/>
      <c r="L44" s="146"/>
      <c r="M44" s="146"/>
      <c r="N44" s="146"/>
      <c r="O44" s="146"/>
      <c r="P44" s="147"/>
      <c r="Q44" s="151"/>
    </row>
    <row r="45" spans="1:17" ht="30" customHeight="1">
      <c r="A45" s="143"/>
      <c r="B45" s="148" t="s">
        <v>79</v>
      </c>
      <c r="C45" s="149" t="s">
        <v>76</v>
      </c>
      <c r="D45" s="143" t="s">
        <v>8</v>
      </c>
      <c r="E45" s="108">
        <f>Rekenblad!E45</f>
        <v>0</v>
      </c>
      <c r="F45" s="118">
        <f>Rekenblad!F45</f>
        <v>63.6</v>
      </c>
      <c r="G45" s="145"/>
      <c r="H45" s="145">
        <f t="shared" si="3"/>
        <v>0</v>
      </c>
      <c r="I45" s="569"/>
      <c r="J45" s="573"/>
      <c r="K45" s="118"/>
      <c r="L45" s="146"/>
      <c r="M45" s="146"/>
      <c r="N45" s="146"/>
      <c r="O45" s="146"/>
      <c r="P45" s="147"/>
      <c r="Q45" s="151"/>
    </row>
    <row r="46" spans="1:17" ht="30" customHeight="1">
      <c r="A46" s="143"/>
      <c r="B46" s="148" t="s">
        <v>80</v>
      </c>
      <c r="C46" s="149" t="s">
        <v>76</v>
      </c>
      <c r="D46" s="143" t="s">
        <v>8</v>
      </c>
      <c r="E46" s="108">
        <f>Rekenblad!E46</f>
        <v>0</v>
      </c>
      <c r="F46" s="118">
        <f>Rekenblad!F46</f>
        <v>79.5</v>
      </c>
      <c r="G46" s="145"/>
      <c r="H46" s="145">
        <f t="shared" si="3"/>
        <v>0</v>
      </c>
      <c r="I46" s="569"/>
      <c r="J46" s="573"/>
      <c r="K46" s="118"/>
      <c r="L46" s="146"/>
      <c r="M46" s="146"/>
      <c r="N46" s="146"/>
      <c r="O46" s="146"/>
      <c r="P46" s="147"/>
      <c r="Q46" s="151"/>
    </row>
    <row r="47" spans="1:17" ht="30" customHeight="1">
      <c r="A47" s="143"/>
      <c r="B47" s="148" t="s">
        <v>89</v>
      </c>
      <c r="C47" s="149" t="s">
        <v>33</v>
      </c>
      <c r="D47" s="143" t="s">
        <v>8</v>
      </c>
      <c r="E47" s="108">
        <f>Rekenblad!E47</f>
        <v>16</v>
      </c>
      <c r="F47" s="118">
        <f>Rekenblad!F47</f>
        <v>111.83000000000001</v>
      </c>
      <c r="G47" s="118"/>
      <c r="H47" s="118">
        <f>E47*F47</f>
        <v>1789.2800000000002</v>
      </c>
      <c r="I47" s="569" t="s">
        <v>90</v>
      </c>
      <c r="J47" s="573"/>
      <c r="K47" s="118"/>
      <c r="L47" s="146"/>
      <c r="M47" s="146"/>
      <c r="N47" s="146"/>
      <c r="O47" s="146"/>
      <c r="P47" s="147"/>
      <c r="Q47" s="151"/>
    </row>
    <row r="48" spans="1:17" ht="30" customHeight="1">
      <c r="A48" s="143"/>
      <c r="B48" s="148" t="s">
        <v>91</v>
      </c>
      <c r="C48" s="149" t="s">
        <v>33</v>
      </c>
      <c r="D48" s="143" t="s">
        <v>8</v>
      </c>
      <c r="E48" s="108">
        <f>Rekenblad!E48</f>
        <v>2</v>
      </c>
      <c r="F48" s="118">
        <f>Rekenblad!F48</f>
        <v>97.52000000000001</v>
      </c>
      <c r="G48" s="118"/>
      <c r="H48" s="118">
        <f t="shared" ref="H48:H60" si="4">E48*F48</f>
        <v>195.04000000000002</v>
      </c>
      <c r="I48" s="569" t="s">
        <v>92</v>
      </c>
      <c r="J48" s="573"/>
      <c r="K48" s="118"/>
      <c r="L48" s="146"/>
      <c r="M48" s="146"/>
      <c r="N48" s="146"/>
      <c r="O48" s="146"/>
      <c r="P48" s="147"/>
      <c r="Q48" s="151"/>
    </row>
    <row r="49" spans="1:17" ht="30" customHeight="1">
      <c r="A49" s="143"/>
      <c r="B49" s="148" t="s">
        <v>93</v>
      </c>
      <c r="C49" s="149" t="s">
        <v>33</v>
      </c>
      <c r="D49" s="143" t="s">
        <v>8</v>
      </c>
      <c r="E49" s="108">
        <f>Rekenblad!E49</f>
        <v>40</v>
      </c>
      <c r="F49" s="118">
        <f>Rekenblad!F49</f>
        <v>68.37</v>
      </c>
      <c r="G49" s="118"/>
      <c r="H49" s="118">
        <f t="shared" si="4"/>
        <v>2734.8</v>
      </c>
      <c r="I49" s="569" t="s">
        <v>94</v>
      </c>
      <c r="J49" s="573"/>
      <c r="K49" s="118"/>
      <c r="L49" s="146"/>
      <c r="M49" s="146"/>
      <c r="N49" s="146"/>
      <c r="O49" s="146"/>
      <c r="P49" s="147"/>
      <c r="Q49" s="151"/>
    </row>
    <row r="50" spans="1:17" ht="30" customHeight="1">
      <c r="A50" s="143"/>
      <c r="B50" s="148" t="s">
        <v>95</v>
      </c>
      <c r="C50" s="149" t="s">
        <v>33</v>
      </c>
      <c r="D50" s="143" t="s">
        <v>8</v>
      </c>
      <c r="E50" s="108">
        <f>Rekenblad!E50</f>
        <v>2</v>
      </c>
      <c r="F50" s="118">
        <f>Rekenblad!F50</f>
        <v>68.37</v>
      </c>
      <c r="G50" s="118"/>
      <c r="H50" s="118">
        <f t="shared" si="4"/>
        <v>136.74</v>
      </c>
      <c r="I50" s="569" t="s">
        <v>92</v>
      </c>
      <c r="J50" s="573"/>
      <c r="K50" s="118"/>
      <c r="L50" s="146"/>
      <c r="M50" s="146"/>
      <c r="N50" s="146"/>
      <c r="O50" s="146"/>
      <c r="P50" s="147"/>
      <c r="Q50" s="151"/>
    </row>
    <row r="51" spans="1:17" ht="30" customHeight="1">
      <c r="A51" s="143"/>
      <c r="B51" s="148" t="s">
        <v>96</v>
      </c>
      <c r="C51" s="149" t="s">
        <v>33</v>
      </c>
      <c r="D51" s="143" t="s">
        <v>8</v>
      </c>
      <c r="E51" s="108">
        <f>Rekenblad!E51</f>
        <v>2</v>
      </c>
      <c r="F51" s="118">
        <f>Rekenblad!F51</f>
        <v>82.68</v>
      </c>
      <c r="G51" s="118"/>
      <c r="H51" s="118">
        <f t="shared" si="4"/>
        <v>165.36</v>
      </c>
      <c r="I51" s="569" t="s">
        <v>92</v>
      </c>
      <c r="J51" s="573"/>
      <c r="K51" s="118"/>
      <c r="L51" s="146"/>
      <c r="M51" s="146"/>
      <c r="N51" s="146"/>
      <c r="O51" s="146"/>
      <c r="P51" s="147"/>
      <c r="Q51" s="151"/>
    </row>
    <row r="52" spans="1:17" ht="30" customHeight="1">
      <c r="A52" s="143"/>
      <c r="B52" s="157" t="s">
        <v>97</v>
      </c>
      <c r="C52" s="160" t="s">
        <v>33</v>
      </c>
      <c r="D52" s="143" t="s">
        <v>8</v>
      </c>
      <c r="E52" s="108">
        <f>Rekenblad!E52</f>
        <v>40</v>
      </c>
      <c r="F52" s="118">
        <f>Rekenblad!F52</f>
        <v>100.17</v>
      </c>
      <c r="G52" s="118"/>
      <c r="H52" s="118">
        <f t="shared" si="4"/>
        <v>4006.8</v>
      </c>
      <c r="I52" s="569" t="s">
        <v>94</v>
      </c>
      <c r="J52" s="573"/>
      <c r="K52" s="161"/>
      <c r="L52" s="162"/>
      <c r="M52" s="162"/>
      <c r="N52" s="162"/>
      <c r="O52" s="162"/>
      <c r="P52" s="163"/>
      <c r="Q52" s="151"/>
    </row>
    <row r="53" spans="1:17" ht="30" customHeight="1">
      <c r="A53" s="143"/>
      <c r="B53" s="157" t="s">
        <v>98</v>
      </c>
      <c r="C53" s="160" t="s">
        <v>57</v>
      </c>
      <c r="D53" s="143" t="s">
        <v>8</v>
      </c>
      <c r="E53" s="108">
        <f>Rekenblad!E53</f>
        <v>5</v>
      </c>
      <c r="F53" s="118">
        <f>Rekenblad!F53</f>
        <v>113.102</v>
      </c>
      <c r="G53" s="118"/>
      <c r="H53" s="118">
        <f t="shared" si="4"/>
        <v>565.51</v>
      </c>
      <c r="I53" s="153" t="s">
        <v>99</v>
      </c>
      <c r="J53" s="155"/>
      <c r="K53" s="161"/>
      <c r="L53" s="162"/>
      <c r="M53" s="162"/>
      <c r="N53" s="162"/>
      <c r="O53" s="162"/>
      <c r="P53" s="163"/>
      <c r="Q53" s="151"/>
    </row>
    <row r="54" spans="1:17" ht="30" customHeight="1">
      <c r="A54" s="143"/>
      <c r="B54" s="157" t="s">
        <v>100</v>
      </c>
      <c r="C54" s="160" t="s">
        <v>101</v>
      </c>
      <c r="D54" s="143" t="s">
        <v>8</v>
      </c>
      <c r="E54" s="108">
        <f>Rekenblad!E54</f>
        <v>0</v>
      </c>
      <c r="F54" s="118">
        <f>Rekenblad!F54</f>
        <v>42.400000000000006</v>
      </c>
      <c r="G54" s="145"/>
      <c r="H54" s="118">
        <f t="shared" si="4"/>
        <v>0</v>
      </c>
      <c r="I54" s="153"/>
      <c r="J54" s="155"/>
      <c r="K54" s="161"/>
      <c r="L54" s="162"/>
      <c r="M54" s="162"/>
      <c r="N54" s="162"/>
      <c r="O54" s="162"/>
      <c r="P54" s="163"/>
      <c r="Q54" s="151"/>
    </row>
    <row r="55" spans="1:17" ht="30" customHeight="1">
      <c r="A55" s="143"/>
      <c r="B55" s="157"/>
      <c r="C55" s="160"/>
      <c r="D55" s="143"/>
      <c r="E55" s="108"/>
      <c r="F55" s="118"/>
      <c r="G55" s="145"/>
      <c r="H55" s="145"/>
      <c r="I55" s="153"/>
      <c r="J55" s="155"/>
      <c r="K55" s="161"/>
      <c r="L55" s="162"/>
      <c r="M55" s="162"/>
      <c r="N55" s="162"/>
      <c r="O55" s="162"/>
      <c r="P55" s="163"/>
      <c r="Q55" s="151"/>
    </row>
    <row r="56" spans="1:17" ht="30" customHeight="1">
      <c r="A56" s="64" t="s">
        <v>102</v>
      </c>
      <c r="B56" s="156" t="s">
        <v>103</v>
      </c>
      <c r="C56" s="141"/>
      <c r="D56" s="64"/>
      <c r="E56" s="108"/>
      <c r="F56" s="118"/>
      <c r="G56" s="145"/>
      <c r="H56" s="145"/>
      <c r="I56" s="569"/>
      <c r="J56" s="573"/>
      <c r="K56" s="118"/>
      <c r="L56" s="146"/>
      <c r="M56" s="146"/>
      <c r="N56" s="146"/>
      <c r="O56" s="146"/>
      <c r="P56" s="147"/>
      <c r="Q56" s="151"/>
    </row>
    <row r="57" spans="1:17" ht="30" customHeight="1">
      <c r="A57" s="143"/>
      <c r="B57" s="157" t="s">
        <v>75</v>
      </c>
      <c r="C57" s="143" t="s">
        <v>76</v>
      </c>
      <c r="D57" s="143" t="s">
        <v>8</v>
      </c>
      <c r="E57" s="108">
        <f>Rekenblad!E57</f>
        <v>0</v>
      </c>
      <c r="F57" s="118">
        <f>Rekenblad!F57</f>
        <v>47.7</v>
      </c>
      <c r="G57" s="145"/>
      <c r="H57" s="145">
        <f t="shared" si="4"/>
        <v>0</v>
      </c>
      <c r="I57" s="569"/>
      <c r="J57" s="573"/>
      <c r="K57" s="118"/>
      <c r="L57" s="146"/>
      <c r="M57" s="146"/>
      <c r="N57" s="146"/>
      <c r="O57" s="146"/>
      <c r="P57" s="147"/>
      <c r="Q57" s="151"/>
    </row>
    <row r="58" spans="1:17" ht="30" customHeight="1">
      <c r="A58" s="143"/>
      <c r="B58" s="157" t="s">
        <v>78</v>
      </c>
      <c r="C58" s="143" t="s">
        <v>76</v>
      </c>
      <c r="D58" s="143" t="s">
        <v>8</v>
      </c>
      <c r="E58" s="108">
        <f>Rekenblad!E58</f>
        <v>0</v>
      </c>
      <c r="F58" s="118">
        <f>Rekenblad!F58</f>
        <v>58.300000000000004</v>
      </c>
      <c r="G58" s="145"/>
      <c r="H58" s="145">
        <f t="shared" si="4"/>
        <v>0</v>
      </c>
      <c r="I58" s="569"/>
      <c r="J58" s="573"/>
      <c r="K58" s="118"/>
      <c r="L58" s="146"/>
      <c r="M58" s="146"/>
      <c r="N58" s="146"/>
      <c r="O58" s="146"/>
      <c r="P58" s="147"/>
      <c r="Q58" s="151"/>
    </row>
    <row r="59" spans="1:17" ht="30" customHeight="1">
      <c r="A59" s="143"/>
      <c r="B59" s="157" t="s">
        <v>79</v>
      </c>
      <c r="C59" s="143" t="s">
        <v>76</v>
      </c>
      <c r="D59" s="143" t="s">
        <v>8</v>
      </c>
      <c r="E59" s="108">
        <f>Rekenblad!E59</f>
        <v>0</v>
      </c>
      <c r="F59" s="118">
        <f>Rekenblad!F59</f>
        <v>68.900000000000006</v>
      </c>
      <c r="G59" s="145"/>
      <c r="H59" s="145">
        <f t="shared" si="4"/>
        <v>0</v>
      </c>
      <c r="I59" s="569"/>
      <c r="J59" s="573"/>
      <c r="K59" s="118"/>
      <c r="L59" s="146"/>
      <c r="M59" s="146"/>
      <c r="N59" s="146"/>
      <c r="O59" s="146"/>
      <c r="P59" s="147"/>
      <c r="Q59" s="151"/>
    </row>
    <row r="60" spans="1:17" ht="30" customHeight="1">
      <c r="A60" s="143"/>
      <c r="B60" s="157" t="s">
        <v>80</v>
      </c>
      <c r="C60" s="143" t="s">
        <v>76</v>
      </c>
      <c r="D60" s="143" t="s">
        <v>8</v>
      </c>
      <c r="E60" s="108">
        <f>Rekenblad!E60</f>
        <v>0</v>
      </c>
      <c r="F60" s="118">
        <f>Rekenblad!F60</f>
        <v>95.4</v>
      </c>
      <c r="G60" s="145"/>
      <c r="H60" s="145">
        <f t="shared" si="4"/>
        <v>0</v>
      </c>
      <c r="I60" s="569"/>
      <c r="J60" s="573"/>
      <c r="K60" s="118"/>
      <c r="L60" s="146"/>
      <c r="M60" s="146"/>
      <c r="N60" s="146"/>
      <c r="O60" s="146"/>
      <c r="P60" s="147"/>
      <c r="Q60" s="151"/>
    </row>
    <row r="61" spans="1:17" ht="30" customHeight="1">
      <c r="A61" s="143"/>
      <c r="B61" s="157"/>
      <c r="C61" s="143"/>
      <c r="D61" s="143"/>
      <c r="E61" s="108"/>
      <c r="F61" s="118"/>
      <c r="G61" s="145"/>
      <c r="H61" s="145"/>
      <c r="I61" s="569"/>
      <c r="J61" s="573"/>
      <c r="K61" s="161"/>
      <c r="L61" s="162"/>
      <c r="M61" s="162"/>
      <c r="N61" s="162"/>
      <c r="O61" s="162"/>
      <c r="P61" s="163"/>
      <c r="Q61" s="151"/>
    </row>
    <row r="62" spans="1:17" ht="30" customHeight="1">
      <c r="A62" s="64" t="s">
        <v>104</v>
      </c>
      <c r="B62" s="65" t="s">
        <v>105</v>
      </c>
      <c r="C62" s="164"/>
      <c r="D62" s="35" t="s">
        <v>12</v>
      </c>
      <c r="E62" s="57" t="s">
        <v>13</v>
      </c>
      <c r="F62" s="60" t="str">
        <f>Rekenblad!F62</f>
        <v>bedrag per eenheid (excl. btw)</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f>Rekenblad!E63</f>
        <v>20</v>
      </c>
      <c r="F63" s="118">
        <f>Rekenblad!F63</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f>Rekenblad!E64</f>
        <v>0</v>
      </c>
      <c r="F64" s="118">
        <f>Rekenblad!F64</f>
        <v>238.5</v>
      </c>
      <c r="G64" s="145"/>
      <c r="H64" s="145">
        <f t="shared" ref="H64:H67" si="5">E64*F64</f>
        <v>0</v>
      </c>
      <c r="I64" s="569"/>
      <c r="J64" s="573"/>
      <c r="K64" s="118"/>
      <c r="L64" s="146"/>
      <c r="M64" s="146"/>
      <c r="N64" s="146"/>
      <c r="O64" s="146"/>
      <c r="P64" s="147"/>
      <c r="Q64" s="151"/>
    </row>
    <row r="65" spans="1:17" ht="30" customHeight="1">
      <c r="A65" s="143"/>
      <c r="B65" s="148" t="s">
        <v>79</v>
      </c>
      <c r="C65" s="149" t="s">
        <v>26</v>
      </c>
      <c r="D65" s="143" t="s">
        <v>8</v>
      </c>
      <c r="E65" s="108">
        <f>Rekenblad!E65</f>
        <v>0</v>
      </c>
      <c r="F65" s="118">
        <f>Rekenblad!F65</f>
        <v>1166</v>
      </c>
      <c r="G65" s="145"/>
      <c r="H65" s="145">
        <f t="shared" si="5"/>
        <v>0</v>
      </c>
      <c r="I65" s="569"/>
      <c r="J65" s="573"/>
      <c r="K65" s="118"/>
      <c r="L65" s="146"/>
      <c r="M65" s="146"/>
      <c r="N65" s="146"/>
      <c r="O65" s="146"/>
      <c r="P65" s="147"/>
      <c r="Q65" s="151"/>
    </row>
    <row r="66" spans="1:17" ht="30" customHeight="1">
      <c r="A66" s="143"/>
      <c r="B66" s="148" t="s">
        <v>80</v>
      </c>
      <c r="C66" s="149" t="s">
        <v>26</v>
      </c>
      <c r="D66" s="143" t="s">
        <v>8</v>
      </c>
      <c r="E66" s="108">
        <f>Rekenblad!E66</f>
        <v>0</v>
      </c>
      <c r="F66" s="118">
        <f>Rekenblad!F66</f>
        <v>344.5</v>
      </c>
      <c r="G66" s="145"/>
      <c r="H66" s="145">
        <f t="shared" si="5"/>
        <v>0</v>
      </c>
      <c r="I66" s="569"/>
      <c r="J66" s="573"/>
      <c r="K66" s="118"/>
      <c r="L66" s="146"/>
      <c r="M66" s="146"/>
      <c r="N66" s="146"/>
      <c r="O66" s="146"/>
      <c r="P66" s="147"/>
      <c r="Q66" s="151"/>
    </row>
    <row r="67" spans="1:17" ht="30" customHeight="1">
      <c r="A67" s="143"/>
      <c r="B67" s="148" t="s">
        <v>107</v>
      </c>
      <c r="C67" s="149" t="s">
        <v>57</v>
      </c>
      <c r="D67" s="143" t="s">
        <v>8</v>
      </c>
      <c r="E67" s="108">
        <f>Rekenblad!E67</f>
        <v>0</v>
      </c>
      <c r="F67" s="118">
        <f>Rekenblad!F67</f>
        <v>339.20000000000005</v>
      </c>
      <c r="G67" s="145"/>
      <c r="H67" s="145">
        <f t="shared" si="5"/>
        <v>0</v>
      </c>
      <c r="I67" s="153"/>
      <c r="J67" s="155"/>
      <c r="K67" s="118"/>
      <c r="L67" s="146"/>
      <c r="M67" s="146"/>
      <c r="N67" s="146"/>
      <c r="O67" s="146"/>
      <c r="P67" s="147"/>
      <c r="Q67" s="151"/>
    </row>
    <row r="68" spans="1:17" ht="30" customHeight="1">
      <c r="A68" s="143"/>
      <c r="B68" s="148"/>
      <c r="C68" s="149"/>
      <c r="D68" s="143"/>
      <c r="E68" s="108"/>
      <c r="F68" s="118"/>
      <c r="G68" s="145"/>
      <c r="H68" s="145"/>
      <c r="I68" s="569"/>
      <c r="J68" s="573"/>
      <c r="K68" s="118"/>
      <c r="L68" s="146"/>
      <c r="M68" s="146"/>
      <c r="N68" s="146"/>
      <c r="O68" s="146"/>
      <c r="P68" s="147"/>
      <c r="Q68" s="151"/>
    </row>
    <row r="69" spans="1:17" ht="30" customHeight="1">
      <c r="A69" s="165">
        <v>4</v>
      </c>
      <c r="B69" s="166" t="s">
        <v>108</v>
      </c>
      <c r="C69" s="166"/>
      <c r="D69" s="51" t="s">
        <v>12</v>
      </c>
      <c r="E69" s="52" t="s">
        <v>13</v>
      </c>
      <c r="F69" s="60" t="str">
        <f>Rekenblad!F69</f>
        <v>bedrag per eenheid (excl. btw)</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Rekenblad!E70</f>
        <v>40</v>
      </c>
      <c r="F70" s="118">
        <f>Rekenblad!F70</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Rekenblad!E71</f>
        <v>40</v>
      </c>
      <c r="F71" s="118">
        <f>Rekenblad!F71</f>
        <v>220.64400000000001</v>
      </c>
      <c r="G71" s="109"/>
      <c r="H71" s="167">
        <f t="shared" ref="H71:H76" si="6">E71*F71</f>
        <v>8825.76</v>
      </c>
      <c r="I71" s="569" t="s">
        <v>114</v>
      </c>
      <c r="J71" s="573"/>
      <c r="K71" s="118"/>
      <c r="L71" s="146"/>
      <c r="M71" s="146"/>
      <c r="N71" s="146"/>
      <c r="O71" s="146"/>
      <c r="P71" s="77"/>
      <c r="Q71" s="151"/>
    </row>
    <row r="72" spans="1:17" ht="30" customHeight="1">
      <c r="A72" s="78" t="s">
        <v>115</v>
      </c>
      <c r="B72" s="170" t="s">
        <v>116</v>
      </c>
      <c r="C72" s="89" t="s">
        <v>117</v>
      </c>
      <c r="D72" s="171" t="s">
        <v>118</v>
      </c>
      <c r="E72" s="108">
        <f>Rekenblad!E72</f>
        <v>0</v>
      </c>
      <c r="F72" s="118">
        <f>Rekenblad!F72</f>
        <v>39.75</v>
      </c>
      <c r="G72" s="109"/>
      <c r="H72" s="167">
        <f t="shared" si="6"/>
        <v>0</v>
      </c>
      <c r="I72" s="153"/>
      <c r="J72" s="152"/>
      <c r="K72" s="161"/>
      <c r="L72" s="162"/>
      <c r="M72" s="162"/>
      <c r="N72" s="162"/>
      <c r="O72" s="162"/>
      <c r="P72" s="163"/>
      <c r="Q72" s="151"/>
    </row>
    <row r="73" spans="1:17" ht="30" customHeight="1">
      <c r="A73" s="78" t="s">
        <v>119</v>
      </c>
      <c r="B73" s="170" t="s">
        <v>120</v>
      </c>
      <c r="C73" s="89" t="s">
        <v>117</v>
      </c>
      <c r="D73" s="171" t="s">
        <v>118</v>
      </c>
      <c r="E73" s="108">
        <f>Rekenblad!E73</f>
        <v>0</v>
      </c>
      <c r="F73" s="118">
        <f>Rekenblad!F73</f>
        <v>39.75</v>
      </c>
      <c r="G73" s="109"/>
      <c r="H73" s="167">
        <f t="shared" si="6"/>
        <v>0</v>
      </c>
      <c r="I73" s="153"/>
      <c r="J73" s="152"/>
      <c r="K73" s="161"/>
      <c r="L73" s="162"/>
      <c r="M73" s="162"/>
      <c r="N73" s="162"/>
      <c r="O73" s="162"/>
      <c r="P73" s="163"/>
      <c r="Q73" s="151"/>
    </row>
    <row r="74" spans="1:17" ht="30" customHeight="1">
      <c r="A74" s="78" t="s">
        <v>121</v>
      </c>
      <c r="B74" s="116" t="s">
        <v>122</v>
      </c>
      <c r="C74" s="75" t="s">
        <v>26</v>
      </c>
      <c r="D74" s="107" t="s">
        <v>8</v>
      </c>
      <c r="E74" s="108">
        <f>Rekenblad!E74</f>
        <v>40</v>
      </c>
      <c r="F74" s="118">
        <f>Rekenblad!F74</f>
        <v>82.987400000000008</v>
      </c>
      <c r="G74" s="109"/>
      <c r="H74" s="167">
        <f t="shared" si="6"/>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Rekenblad!E75</f>
        <v>40</v>
      </c>
      <c r="F75" s="118">
        <f>Rekenblad!F75</f>
        <v>147.55199999999999</v>
      </c>
      <c r="G75" s="109"/>
      <c r="H75" s="167">
        <f t="shared" si="6"/>
        <v>5902.08</v>
      </c>
      <c r="I75" s="569" t="s">
        <v>127</v>
      </c>
      <c r="J75" s="573"/>
      <c r="K75" s="168"/>
      <c r="L75" s="169"/>
      <c r="M75" s="169"/>
      <c r="N75" s="169"/>
      <c r="O75" s="169"/>
      <c r="P75" s="77"/>
      <c r="Q75" s="151"/>
    </row>
    <row r="76" spans="1:17" ht="30" customHeight="1">
      <c r="A76" s="171" t="s">
        <v>128</v>
      </c>
      <c r="B76" s="116" t="s">
        <v>129</v>
      </c>
      <c r="C76" s="75"/>
      <c r="D76" s="171" t="s">
        <v>126</v>
      </c>
      <c r="E76" s="108">
        <f>Rekenblad!E76</f>
        <v>0</v>
      </c>
      <c r="F76" s="118">
        <f>Rekenblad!F76</f>
        <v>190.8</v>
      </c>
      <c r="G76" s="109"/>
      <c r="H76" s="167">
        <f t="shared" si="6"/>
        <v>0</v>
      </c>
      <c r="I76" s="567"/>
      <c r="J76" s="567"/>
      <c r="K76" s="168"/>
      <c r="L76" s="169"/>
      <c r="M76" s="169"/>
      <c r="N76" s="169"/>
      <c r="O76" s="169"/>
      <c r="P76" s="77"/>
      <c r="Q76" s="151"/>
    </row>
    <row r="77" spans="1:17" ht="30" customHeight="1">
      <c r="A77" s="171" t="s">
        <v>130</v>
      </c>
      <c r="B77" s="116" t="s">
        <v>131</v>
      </c>
      <c r="C77" s="75"/>
      <c r="D77" s="171" t="s">
        <v>126</v>
      </c>
      <c r="E77" s="108">
        <f>Rekenblad!E77</f>
        <v>5</v>
      </c>
      <c r="F77" s="118">
        <f>Rekenblad!F77</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f>Rekenblad!E78</f>
        <v>0</v>
      </c>
      <c r="F78" s="118">
        <f>Rekenblad!F78</f>
        <v>68.900000000000006</v>
      </c>
      <c r="G78" s="109"/>
      <c r="H78" s="167">
        <f t="shared" ref="H78:H80" si="7">F78*E78</f>
        <v>0</v>
      </c>
      <c r="I78" s="76"/>
      <c r="J78" s="89"/>
      <c r="K78" s="161"/>
      <c r="L78" s="162"/>
      <c r="M78" s="162"/>
      <c r="N78" s="162"/>
      <c r="O78" s="162"/>
      <c r="P78" s="163"/>
      <c r="Q78" s="151"/>
    </row>
    <row r="79" spans="1:17" ht="30" customHeight="1">
      <c r="A79" s="171" t="s">
        <v>135</v>
      </c>
      <c r="B79" s="89" t="s">
        <v>136</v>
      </c>
      <c r="C79" s="89" t="s">
        <v>117</v>
      </c>
      <c r="D79" s="171" t="s">
        <v>118</v>
      </c>
      <c r="E79" s="108">
        <f>Rekenblad!E79</f>
        <v>0</v>
      </c>
      <c r="F79" s="118">
        <f>Rekenblad!F79</f>
        <v>196.10000000000002</v>
      </c>
      <c r="G79" s="109"/>
      <c r="H79" s="167">
        <f t="shared" si="7"/>
        <v>0</v>
      </c>
      <c r="I79" s="76"/>
      <c r="J79" s="89"/>
      <c r="K79" s="161"/>
      <c r="L79" s="162"/>
      <c r="M79" s="162"/>
      <c r="N79" s="162"/>
      <c r="O79" s="162"/>
      <c r="P79" s="163"/>
      <c r="Q79" s="151"/>
    </row>
    <row r="80" spans="1:17" ht="30" customHeight="1">
      <c r="A80" s="171" t="s">
        <v>137</v>
      </c>
      <c r="B80" s="89" t="s">
        <v>138</v>
      </c>
      <c r="C80" s="89" t="s">
        <v>117</v>
      </c>
      <c r="D80" s="171" t="s">
        <v>139</v>
      </c>
      <c r="E80" s="108">
        <f>Rekenblad!E80</f>
        <v>0</v>
      </c>
      <c r="F80" s="118">
        <f>Rekenblad!F80</f>
        <v>174.9</v>
      </c>
      <c r="G80" s="118"/>
      <c r="H80" s="167">
        <f t="shared" si="7"/>
        <v>0</v>
      </c>
      <c r="I80" s="173"/>
      <c r="J80" s="75"/>
      <c r="K80" s="37"/>
      <c r="L80" s="50"/>
      <c r="M80" s="50"/>
      <c r="N80" s="50"/>
      <c r="O80" s="50"/>
      <c r="P80" s="49"/>
      <c r="Q80" s="151"/>
    </row>
    <row r="81" spans="1:17" ht="30" customHeight="1">
      <c r="A81" s="171" t="s">
        <v>140</v>
      </c>
      <c r="B81" s="174" t="s">
        <v>141</v>
      </c>
      <c r="C81" s="107" t="s">
        <v>26</v>
      </c>
      <c r="D81" s="107" t="s">
        <v>8</v>
      </c>
      <c r="E81" s="108">
        <f>Rekenblad!E81</f>
        <v>40</v>
      </c>
      <c r="F81" s="118">
        <f>Rekenblad!F81</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Rekenblad!E82</f>
        <v>40</v>
      </c>
      <c r="F82" s="118">
        <f>Rekenblad!F82</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f>Rekenblad!E83</f>
        <v>0</v>
      </c>
      <c r="F83" s="118">
        <f>Rekenblad!F83</f>
        <v>0</v>
      </c>
      <c r="G83" s="109"/>
      <c r="H83" s="167">
        <f t="shared" ref="H83:H89" si="8">SUM(E83*F83)</f>
        <v>0</v>
      </c>
      <c r="I83" s="76"/>
      <c r="J83" s="89"/>
      <c r="K83" s="161"/>
      <c r="L83" s="162"/>
      <c r="M83" s="162"/>
      <c r="N83" s="162"/>
      <c r="O83" s="162"/>
      <c r="P83" s="163"/>
      <c r="Q83" s="151"/>
    </row>
    <row r="84" spans="1:17" ht="30" customHeight="1">
      <c r="A84" s="171" t="s">
        <v>148</v>
      </c>
      <c r="B84" s="89" t="s">
        <v>149</v>
      </c>
      <c r="C84" s="89" t="s">
        <v>117</v>
      </c>
      <c r="D84" s="171" t="s">
        <v>118</v>
      </c>
      <c r="E84" s="108">
        <f>Rekenblad!E84</f>
        <v>0</v>
      </c>
      <c r="F84" s="118">
        <f>Rekenblad!F84</f>
        <v>0</v>
      </c>
      <c r="G84" s="109"/>
      <c r="H84" s="167">
        <f t="shared" si="8"/>
        <v>0</v>
      </c>
      <c r="I84" s="175"/>
      <c r="J84" s="176"/>
      <c r="K84" s="161"/>
      <c r="L84" s="162"/>
      <c r="M84" s="162"/>
      <c r="N84" s="162"/>
      <c r="O84" s="162"/>
      <c r="P84" s="163"/>
      <c r="Q84" s="151"/>
    </row>
    <row r="85" spans="1:17" ht="30" customHeight="1">
      <c r="A85" s="171" t="s">
        <v>150</v>
      </c>
      <c r="B85" s="89" t="s">
        <v>151</v>
      </c>
      <c r="C85" s="89" t="s">
        <v>117</v>
      </c>
      <c r="D85" s="171" t="s">
        <v>118</v>
      </c>
      <c r="E85" s="108">
        <f>Rekenblad!E85</f>
        <v>0</v>
      </c>
      <c r="F85" s="118">
        <f>Rekenblad!F85</f>
        <v>174.9</v>
      </c>
      <c r="G85" s="109"/>
      <c r="H85" s="167">
        <f t="shared" si="8"/>
        <v>0</v>
      </c>
      <c r="I85" s="153"/>
      <c r="J85" s="152"/>
      <c r="K85" s="161"/>
      <c r="L85" s="162"/>
      <c r="M85" s="162"/>
      <c r="N85" s="162"/>
      <c r="O85" s="162"/>
      <c r="P85" s="163"/>
      <c r="Q85" s="151"/>
    </row>
    <row r="86" spans="1:17" ht="30" customHeight="1">
      <c r="A86" s="171" t="s">
        <v>152</v>
      </c>
      <c r="B86" s="170" t="s">
        <v>153</v>
      </c>
      <c r="C86" s="89" t="s">
        <v>117</v>
      </c>
      <c r="D86" s="171" t="s">
        <v>118</v>
      </c>
      <c r="E86" s="108">
        <f>Rekenblad!E86</f>
        <v>0</v>
      </c>
      <c r="F86" s="118">
        <f>Rekenblad!F86</f>
        <v>156.35</v>
      </c>
      <c r="G86" s="109"/>
      <c r="H86" s="167">
        <f t="shared" si="8"/>
        <v>0</v>
      </c>
      <c r="I86" s="153"/>
      <c r="J86" s="152"/>
      <c r="K86" s="161"/>
      <c r="L86" s="162"/>
      <c r="M86" s="162"/>
      <c r="N86" s="162"/>
      <c r="O86" s="162"/>
      <c r="P86" s="163"/>
      <c r="Q86" s="151"/>
    </row>
    <row r="87" spans="1:17" ht="30" customHeight="1">
      <c r="A87" s="171" t="s">
        <v>154</v>
      </c>
      <c r="B87" s="170" t="s">
        <v>153</v>
      </c>
      <c r="C87" s="89" t="s">
        <v>117</v>
      </c>
      <c r="D87" s="171" t="s">
        <v>118</v>
      </c>
      <c r="E87" s="108">
        <f>Rekenblad!E87</f>
        <v>0</v>
      </c>
      <c r="F87" s="118">
        <f>Rekenblad!F87</f>
        <v>234.52500000000001</v>
      </c>
      <c r="G87" s="109"/>
      <c r="H87" s="167">
        <f t="shared" si="8"/>
        <v>0</v>
      </c>
      <c r="I87" s="153"/>
      <c r="J87" s="152"/>
      <c r="K87" s="161"/>
      <c r="L87" s="162"/>
      <c r="M87" s="162"/>
      <c r="N87" s="162"/>
      <c r="O87" s="162"/>
      <c r="P87" s="163"/>
      <c r="Q87" s="151"/>
    </row>
    <row r="88" spans="1:17" ht="30" customHeight="1">
      <c r="A88" s="171" t="s">
        <v>155</v>
      </c>
      <c r="B88" s="170" t="s">
        <v>153</v>
      </c>
      <c r="C88" s="89" t="s">
        <v>117</v>
      </c>
      <c r="D88" s="171" t="s">
        <v>118</v>
      </c>
      <c r="E88" s="108">
        <f>Rekenblad!E88</f>
        <v>0</v>
      </c>
      <c r="F88" s="118">
        <f>Rekenblad!F88</f>
        <v>340.71600000000001</v>
      </c>
      <c r="G88" s="109"/>
      <c r="H88" s="167">
        <f t="shared" si="8"/>
        <v>0</v>
      </c>
      <c r="I88" s="153"/>
      <c r="J88" s="152"/>
      <c r="K88" s="161"/>
      <c r="L88" s="162"/>
      <c r="M88" s="162"/>
      <c r="N88" s="162"/>
      <c r="O88" s="162"/>
      <c r="P88" s="163"/>
      <c r="Q88" s="151"/>
    </row>
    <row r="89" spans="1:17" ht="30" customHeight="1">
      <c r="A89" s="171" t="s">
        <v>156</v>
      </c>
      <c r="B89" s="170" t="s">
        <v>153</v>
      </c>
      <c r="C89" s="89" t="s">
        <v>117</v>
      </c>
      <c r="D89" s="171" t="s">
        <v>118</v>
      </c>
      <c r="E89" s="108">
        <f>Rekenblad!E89</f>
        <v>0</v>
      </c>
      <c r="F89" s="118">
        <f>Rekenblad!F89</f>
        <v>312.7</v>
      </c>
      <c r="G89" s="109"/>
      <c r="H89" s="167">
        <f t="shared" si="8"/>
        <v>0</v>
      </c>
      <c r="I89" s="153"/>
      <c r="J89" s="152"/>
      <c r="K89" s="161"/>
      <c r="L89" s="162"/>
      <c r="M89" s="162"/>
      <c r="N89" s="162"/>
      <c r="O89" s="162"/>
      <c r="P89" s="163"/>
      <c r="Q89" s="151"/>
    </row>
    <row r="90" spans="1:17" ht="30" customHeight="1">
      <c r="A90" s="177"/>
      <c r="B90" s="174"/>
      <c r="C90" s="178"/>
      <c r="D90" s="178"/>
      <c r="E90" s="108"/>
      <c r="F90" s="118"/>
      <c r="G90" s="181"/>
      <c r="H90" s="182"/>
      <c r="I90" s="153"/>
      <c r="J90" s="152"/>
      <c r="K90" s="161"/>
      <c r="L90" s="162"/>
      <c r="M90" s="162"/>
      <c r="N90" s="162"/>
      <c r="O90" s="162"/>
      <c r="P90" s="163"/>
      <c r="Q90" s="151"/>
    </row>
    <row r="91" spans="1:17" ht="30" customHeight="1">
      <c r="A91" s="165">
        <v>5</v>
      </c>
      <c r="B91" s="115" t="s">
        <v>157</v>
      </c>
      <c r="C91" s="166"/>
      <c r="D91" s="51" t="s">
        <v>12</v>
      </c>
      <c r="E91" s="52" t="s">
        <v>13</v>
      </c>
      <c r="F91" s="60" t="str">
        <f>Rekenblad!F91</f>
        <v>bedrag per eenheid (excl. btw)</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08">
        <f>Rekenblad!E92</f>
        <v>0</v>
      </c>
      <c r="F92" s="118">
        <f>Rekenblad!F92</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Rekenblad!E93</f>
        <v>40</v>
      </c>
      <c r="F93" s="118">
        <f>Rekenblad!F93</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Rekenblad!E94</f>
        <v>40</v>
      </c>
      <c r="F94" s="118">
        <f>Rekenblad!F94</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f>Rekenblad!E95</f>
        <v>0</v>
      </c>
      <c r="F95" s="118">
        <f>Rekenblad!F95</f>
        <v>0</v>
      </c>
      <c r="G95" s="109"/>
      <c r="H95" s="167">
        <f t="shared" ref="H95:H98" si="9">E95*5</f>
        <v>0</v>
      </c>
      <c r="I95" s="76"/>
      <c r="J95" s="89"/>
      <c r="K95" s="161"/>
      <c r="L95" s="162"/>
      <c r="M95" s="162"/>
      <c r="N95" s="162"/>
      <c r="O95" s="162"/>
      <c r="P95" s="163"/>
      <c r="Q95" s="151"/>
    </row>
    <row r="96" spans="1:17" ht="30" customHeight="1">
      <c r="A96" s="171" t="s">
        <v>168</v>
      </c>
      <c r="B96" s="170" t="s">
        <v>169</v>
      </c>
      <c r="C96" s="89" t="s">
        <v>117</v>
      </c>
      <c r="D96" s="171" t="s">
        <v>118</v>
      </c>
      <c r="E96" s="108">
        <f>Rekenblad!E96</f>
        <v>0</v>
      </c>
      <c r="F96" s="118">
        <f>Rekenblad!F96</f>
        <v>0</v>
      </c>
      <c r="G96" s="109"/>
      <c r="H96" s="167">
        <f t="shared" si="9"/>
        <v>0</v>
      </c>
      <c r="I96" s="76"/>
      <c r="J96" s="89"/>
      <c r="K96" s="161"/>
      <c r="L96" s="162"/>
      <c r="M96" s="162"/>
      <c r="N96" s="162"/>
      <c r="O96" s="162"/>
      <c r="P96" s="163"/>
      <c r="Q96" s="151"/>
    </row>
    <row r="97" spans="1:17" ht="30" customHeight="1">
      <c r="A97" s="171" t="s">
        <v>170</v>
      </c>
      <c r="B97" s="170" t="s">
        <v>171</v>
      </c>
      <c r="C97" s="89" t="s">
        <v>117</v>
      </c>
      <c r="D97" s="171" t="s">
        <v>118</v>
      </c>
      <c r="E97" s="108">
        <f>Rekenblad!E97</f>
        <v>0</v>
      </c>
      <c r="F97" s="118">
        <f>Rekenblad!F97</f>
        <v>0</v>
      </c>
      <c r="G97" s="109"/>
      <c r="H97" s="167">
        <f t="shared" si="9"/>
        <v>0</v>
      </c>
      <c r="I97" s="76"/>
      <c r="J97" s="89"/>
      <c r="K97" s="161"/>
      <c r="L97" s="162"/>
      <c r="M97" s="162"/>
      <c r="N97" s="162"/>
      <c r="O97" s="162"/>
      <c r="P97" s="163"/>
      <c r="Q97" s="151"/>
    </row>
    <row r="98" spans="1:17" ht="30" customHeight="1">
      <c r="A98" s="171" t="s">
        <v>172</v>
      </c>
      <c r="B98" s="170" t="s">
        <v>173</v>
      </c>
      <c r="C98" s="89" t="s">
        <v>117</v>
      </c>
      <c r="D98" s="171" t="s">
        <v>118</v>
      </c>
      <c r="E98" s="108">
        <f>Rekenblad!E98</f>
        <v>0</v>
      </c>
      <c r="F98" s="118">
        <f>Rekenblad!F98</f>
        <v>0</v>
      </c>
      <c r="G98" s="109"/>
      <c r="H98" s="167">
        <f t="shared" si="9"/>
        <v>0</v>
      </c>
      <c r="I98" s="76"/>
      <c r="J98" s="89"/>
      <c r="K98" s="161"/>
      <c r="L98" s="162"/>
      <c r="M98" s="162"/>
      <c r="N98" s="162"/>
      <c r="O98" s="162"/>
      <c r="P98" s="163"/>
      <c r="Q98" s="151"/>
    </row>
    <row r="99" spans="1:17" ht="30" customHeight="1">
      <c r="A99" s="171" t="s">
        <v>174</v>
      </c>
      <c r="B99" s="116" t="s">
        <v>175</v>
      </c>
      <c r="C99" s="75" t="s">
        <v>57</v>
      </c>
      <c r="D99" s="107" t="s">
        <v>8</v>
      </c>
      <c r="E99" s="108">
        <f>Rekenblad!E99</f>
        <v>24</v>
      </c>
      <c r="F99" s="118">
        <f>Rekenblad!F99</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f>Rekenblad!E100</f>
        <v>0</v>
      </c>
      <c r="F100" s="118">
        <f>Rekenblad!F100</f>
        <v>36.887999999999998</v>
      </c>
      <c r="G100" s="109"/>
      <c r="H100" s="167">
        <f t="shared" ref="H100:H102" si="10">E100*5</f>
        <v>0</v>
      </c>
      <c r="I100" s="76"/>
      <c r="J100" s="89"/>
      <c r="K100" s="161"/>
      <c r="L100" s="162"/>
      <c r="M100" s="162"/>
      <c r="N100" s="162"/>
      <c r="O100" s="162"/>
      <c r="P100" s="163"/>
      <c r="Q100" s="151"/>
    </row>
    <row r="101" spans="1:17" ht="30" customHeight="1">
      <c r="A101" s="171" t="s">
        <v>179</v>
      </c>
      <c r="B101" s="89" t="s">
        <v>180</v>
      </c>
      <c r="C101" s="89" t="s">
        <v>117</v>
      </c>
      <c r="D101" s="171" t="s">
        <v>118</v>
      </c>
      <c r="E101" s="108">
        <f>Rekenblad!E101</f>
        <v>0</v>
      </c>
      <c r="F101" s="118">
        <f>Rekenblad!F101</f>
        <v>185.5</v>
      </c>
      <c r="G101" s="118"/>
      <c r="H101" s="167">
        <f t="shared" si="10"/>
        <v>0</v>
      </c>
      <c r="I101" s="173"/>
      <c r="J101" s="75"/>
      <c r="K101" s="183"/>
      <c r="L101" s="184"/>
      <c r="M101" s="184"/>
      <c r="N101" s="184"/>
      <c r="O101" s="184"/>
      <c r="P101" s="185"/>
      <c r="Q101" s="151"/>
    </row>
    <row r="102" spans="1:17" ht="30" customHeight="1">
      <c r="A102" s="186" t="s">
        <v>181</v>
      </c>
      <c r="B102" s="187" t="s">
        <v>182</v>
      </c>
      <c r="C102" s="188" t="s">
        <v>117</v>
      </c>
      <c r="D102" s="186" t="s">
        <v>118</v>
      </c>
      <c r="E102" s="108">
        <f>Rekenblad!E102</f>
        <v>0</v>
      </c>
      <c r="F102" s="118">
        <f>Rekenblad!F102</f>
        <v>0</v>
      </c>
      <c r="G102" s="189"/>
      <c r="H102" s="167">
        <f t="shared" si="10"/>
        <v>0</v>
      </c>
      <c r="I102" s="190"/>
      <c r="J102" s="191"/>
      <c r="K102" s="183"/>
      <c r="L102" s="184"/>
      <c r="M102" s="184"/>
      <c r="N102" s="184"/>
      <c r="O102" s="184"/>
      <c r="P102" s="185"/>
      <c r="Q102" s="151"/>
    </row>
    <row r="103" spans="1:17" ht="30" customHeight="1">
      <c r="A103" s="171"/>
      <c r="B103" s="116"/>
      <c r="C103" s="75"/>
      <c r="D103" s="107"/>
      <c r="E103" s="108"/>
      <c r="F103" s="118"/>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60" t="str">
        <f>Rekenblad!F104</f>
        <v>bedrag per eenheid (excl. btw)</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f>Rekenblad!E105</f>
        <v>0</v>
      </c>
      <c r="F105" s="118">
        <f>Rekenblad!F105</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f>Rekenblad!E106</f>
        <v>16</v>
      </c>
      <c r="F106" s="118">
        <f>Rekenblad!F106</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f>Rekenblad!E107</f>
        <v>8</v>
      </c>
      <c r="F107" s="118">
        <f>Rekenblad!F107</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Rekenblad!E108</f>
        <v>40</v>
      </c>
      <c r="F108" s="118">
        <f>Rekenblad!F108</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35</v>
      </c>
      <c r="F109" s="118">
        <f>Rekenblad!F109</f>
        <v>74.2</v>
      </c>
      <c r="G109" s="118"/>
      <c r="H109" s="195">
        <f t="shared" ref="H109:H120" si="11">SUM(E109*F109)</f>
        <v>2597</v>
      </c>
      <c r="I109" s="569" t="s">
        <v>197</v>
      </c>
      <c r="J109" s="570"/>
      <c r="K109" s="161"/>
      <c r="L109" s="162"/>
      <c r="M109" s="162"/>
      <c r="N109" s="162"/>
      <c r="O109" s="162"/>
      <c r="P109" s="163"/>
      <c r="Q109" s="151"/>
    </row>
    <row r="110" spans="1:17" ht="30" customHeight="1">
      <c r="A110" s="104" t="s">
        <v>198</v>
      </c>
      <c r="B110" s="170" t="s">
        <v>199</v>
      </c>
      <c r="C110" s="171" t="s">
        <v>76</v>
      </c>
      <c r="D110" s="171" t="s">
        <v>8</v>
      </c>
      <c r="E110" s="108">
        <f>Rekenblad!E110</f>
        <v>0</v>
      </c>
      <c r="F110" s="118">
        <f>Rekenblad!F110</f>
        <v>286.2</v>
      </c>
      <c r="G110" s="118"/>
      <c r="H110" s="167">
        <f t="shared" si="11"/>
        <v>0</v>
      </c>
      <c r="I110" s="567"/>
      <c r="J110" s="568"/>
      <c r="K110" s="161"/>
      <c r="L110" s="162"/>
      <c r="M110" s="162"/>
      <c r="N110" s="162"/>
      <c r="O110" s="162"/>
      <c r="P110" s="163"/>
      <c r="Q110" s="151"/>
    </row>
    <row r="111" spans="1:17" ht="30" customHeight="1">
      <c r="A111" s="104" t="s">
        <v>200</v>
      </c>
      <c r="B111" s="170" t="s">
        <v>201</v>
      </c>
      <c r="C111" s="171" t="s">
        <v>76</v>
      </c>
      <c r="D111" s="171" t="s">
        <v>8</v>
      </c>
      <c r="E111" s="108">
        <f>Rekenblad!E111</f>
        <v>0</v>
      </c>
      <c r="F111" s="118">
        <f>Rekenblad!F111</f>
        <v>296.8</v>
      </c>
      <c r="G111" s="118"/>
      <c r="H111" s="167">
        <f t="shared" si="11"/>
        <v>0</v>
      </c>
      <c r="I111" s="567"/>
      <c r="J111" s="568"/>
      <c r="K111" s="161"/>
      <c r="L111" s="162"/>
      <c r="M111" s="162"/>
      <c r="N111" s="162"/>
      <c r="O111" s="162"/>
      <c r="P111" s="163"/>
      <c r="Q111" s="151"/>
    </row>
    <row r="112" spans="1:17" ht="30" customHeight="1">
      <c r="A112" s="104" t="s">
        <v>202</v>
      </c>
      <c r="B112" s="170" t="s">
        <v>203</v>
      </c>
      <c r="C112" s="171" t="s">
        <v>57</v>
      </c>
      <c r="D112" s="171" t="s">
        <v>8</v>
      </c>
      <c r="E112" s="108">
        <f>Rekenblad!E112</f>
        <v>0</v>
      </c>
      <c r="F112" s="118">
        <f>Rekenblad!F112</f>
        <v>307.40000000000003</v>
      </c>
      <c r="G112" s="118"/>
      <c r="H112" s="167">
        <f t="shared" si="11"/>
        <v>0</v>
      </c>
      <c r="I112" s="567"/>
      <c r="J112" s="568"/>
      <c r="K112" s="161"/>
      <c r="L112" s="162"/>
      <c r="M112" s="162"/>
      <c r="N112" s="162"/>
      <c r="O112" s="162"/>
      <c r="P112" s="163"/>
      <c r="Q112" s="151"/>
    </row>
    <row r="113" spans="1:17" ht="30" customHeight="1">
      <c r="A113" s="104" t="s">
        <v>204</v>
      </c>
      <c r="B113" s="89" t="s">
        <v>205</v>
      </c>
      <c r="C113" s="89" t="s">
        <v>117</v>
      </c>
      <c r="D113" s="171" t="s">
        <v>118</v>
      </c>
      <c r="E113" s="108">
        <f>Rekenblad!E113</f>
        <v>0</v>
      </c>
      <c r="F113" s="118">
        <f>Rekenblad!F113</f>
        <v>47.7</v>
      </c>
      <c r="G113" s="118"/>
      <c r="H113" s="197">
        <f t="shared" si="11"/>
        <v>0</v>
      </c>
      <c r="I113" s="567"/>
      <c r="J113" s="568"/>
      <c r="K113" s="183"/>
      <c r="L113" s="184"/>
      <c r="M113" s="184"/>
      <c r="N113" s="184"/>
      <c r="O113" s="184"/>
      <c r="P113" s="185"/>
      <c r="Q113" s="151"/>
    </row>
    <row r="114" spans="1:17" ht="30" customHeight="1">
      <c r="A114" s="104" t="s">
        <v>206</v>
      </c>
      <c r="B114" s="170" t="s">
        <v>207</v>
      </c>
      <c r="C114" s="171" t="s">
        <v>57</v>
      </c>
      <c r="D114" s="171" t="s">
        <v>8</v>
      </c>
      <c r="E114" s="108">
        <f>Rekenblad!E114</f>
        <v>0</v>
      </c>
      <c r="F114" s="118">
        <f>Rekenblad!F114</f>
        <v>19.080000000000002</v>
      </c>
      <c r="G114" s="118"/>
      <c r="H114" s="167">
        <f t="shared" si="11"/>
        <v>0</v>
      </c>
      <c r="I114" s="567"/>
      <c r="J114" s="568"/>
      <c r="K114" s="161"/>
      <c r="L114" s="162"/>
      <c r="M114" s="162"/>
      <c r="N114" s="162"/>
      <c r="O114" s="162"/>
      <c r="P114" s="163"/>
      <c r="Q114" s="151"/>
    </row>
    <row r="115" spans="1:17" ht="30" customHeight="1">
      <c r="A115" s="104" t="s">
        <v>208</v>
      </c>
      <c r="B115" s="89" t="s">
        <v>209</v>
      </c>
      <c r="C115" s="89" t="s">
        <v>117</v>
      </c>
      <c r="D115" s="171" t="s">
        <v>118</v>
      </c>
      <c r="E115" s="196">
        <f>G3</f>
        <v>35</v>
      </c>
      <c r="F115" s="118">
        <f>Rekenblad!F115</f>
        <v>101.23</v>
      </c>
      <c r="G115" s="118"/>
      <c r="H115" s="198">
        <f t="shared" si="11"/>
        <v>3543.05</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f>Rekenblad!E116</f>
        <v>0</v>
      </c>
      <c r="F116" s="118">
        <f>Rekenblad!F116</f>
        <v>66.25</v>
      </c>
      <c r="G116" s="118"/>
      <c r="H116" s="197">
        <f t="shared" si="11"/>
        <v>0</v>
      </c>
      <c r="I116" s="567"/>
      <c r="J116" s="568"/>
      <c r="K116" s="183"/>
      <c r="L116" s="184"/>
      <c r="M116" s="184"/>
      <c r="N116" s="184"/>
      <c r="O116" s="184"/>
      <c r="P116" s="185"/>
      <c r="Q116" s="151"/>
    </row>
    <row r="117" spans="1:17" ht="30" customHeight="1">
      <c r="A117" s="104" t="s">
        <v>212</v>
      </c>
      <c r="B117" s="89" t="s">
        <v>213</v>
      </c>
      <c r="C117" s="89" t="s">
        <v>117</v>
      </c>
      <c r="D117" s="171" t="s">
        <v>118</v>
      </c>
      <c r="E117" s="108">
        <f>Rekenblad!E117</f>
        <v>0</v>
      </c>
      <c r="F117" s="118">
        <f>Rekenblad!F117</f>
        <v>0</v>
      </c>
      <c r="G117" s="118"/>
      <c r="H117" s="197">
        <f t="shared" si="11"/>
        <v>0</v>
      </c>
      <c r="I117" s="567"/>
      <c r="J117" s="568"/>
      <c r="K117" s="183"/>
      <c r="L117" s="184"/>
      <c r="M117" s="184"/>
      <c r="N117" s="184"/>
      <c r="O117" s="184"/>
      <c r="P117" s="185"/>
      <c r="Q117" s="151"/>
    </row>
    <row r="118" spans="1:17" ht="30" customHeight="1">
      <c r="A118" s="104" t="s">
        <v>214</v>
      </c>
      <c r="B118" s="170" t="s">
        <v>215</v>
      </c>
      <c r="C118" s="89" t="s">
        <v>117</v>
      </c>
      <c r="D118" s="171" t="s">
        <v>118</v>
      </c>
      <c r="E118" s="108">
        <f>Rekenblad!E118</f>
        <v>0</v>
      </c>
      <c r="F118" s="118">
        <f>Rekenblad!F118</f>
        <v>0</v>
      </c>
      <c r="G118" s="118"/>
      <c r="H118" s="197">
        <f t="shared" si="11"/>
        <v>0</v>
      </c>
      <c r="I118" s="567"/>
      <c r="J118" s="568"/>
      <c r="K118" s="183"/>
      <c r="L118" s="184"/>
      <c r="M118" s="184"/>
      <c r="N118" s="184"/>
      <c r="O118" s="184"/>
      <c r="P118" s="185"/>
      <c r="Q118" s="151"/>
    </row>
    <row r="119" spans="1:17" ht="30" customHeight="1">
      <c r="A119" s="104" t="s">
        <v>216</v>
      </c>
      <c r="B119" s="170" t="s">
        <v>217</v>
      </c>
      <c r="C119" s="89" t="s">
        <v>117</v>
      </c>
      <c r="D119" s="171" t="s">
        <v>218</v>
      </c>
      <c r="E119" s="108">
        <f>Rekenblad!E119</f>
        <v>0</v>
      </c>
      <c r="F119" s="118">
        <f>Rekenblad!F119</f>
        <v>13.25</v>
      </c>
      <c r="G119" s="118"/>
      <c r="H119" s="197">
        <f t="shared" si="11"/>
        <v>0</v>
      </c>
      <c r="I119" s="567"/>
      <c r="J119" s="568"/>
      <c r="K119" s="183"/>
      <c r="L119" s="184"/>
      <c r="M119" s="184"/>
      <c r="N119" s="184"/>
      <c r="O119" s="184"/>
      <c r="P119" s="185"/>
      <c r="Q119" s="151"/>
    </row>
    <row r="120" spans="1:17" ht="30" customHeight="1">
      <c r="A120" s="104" t="s">
        <v>219</v>
      </c>
      <c r="B120" s="89" t="s">
        <v>220</v>
      </c>
      <c r="C120" s="89" t="s">
        <v>117</v>
      </c>
      <c r="D120" s="171" t="s">
        <v>118</v>
      </c>
      <c r="E120" s="108">
        <f>Rekenblad!E120</f>
        <v>0</v>
      </c>
      <c r="F120" s="118">
        <f>Rekenblad!F120</f>
        <v>0</v>
      </c>
      <c r="G120" s="118"/>
      <c r="H120" s="197">
        <f t="shared" si="11"/>
        <v>0</v>
      </c>
      <c r="I120" s="567"/>
      <c r="J120" s="568"/>
      <c r="K120" s="183"/>
      <c r="L120" s="184"/>
      <c r="M120" s="184"/>
      <c r="N120" s="184"/>
      <c r="O120" s="184"/>
      <c r="P120" s="185"/>
      <c r="Q120" s="151"/>
    </row>
    <row r="121" spans="1:17" ht="30" customHeight="1">
      <c r="A121" s="143"/>
      <c r="B121" s="149"/>
      <c r="C121" s="149"/>
      <c r="D121" s="143"/>
      <c r="E121" s="108"/>
      <c r="F121" s="118"/>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60" t="str">
        <f>Rekenblad!F122</f>
        <v>bedrag per eenheid (excl. btw)</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f>Rekenblad!E123</f>
        <v>0</v>
      </c>
      <c r="F123" s="118">
        <f>Rekenblad!F123</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f>Rekenblad!E124</f>
        <v>0</v>
      </c>
      <c r="F124" s="118">
        <f>Rekenblad!F124</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Rekenblad!E125</f>
        <v>200</v>
      </c>
      <c r="F125" s="118">
        <f>Rekenblad!F125</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Rekenblad!E126</f>
        <v>200</v>
      </c>
      <c r="F126" s="118">
        <f>Rekenblad!F126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f>Rekenblad!E127</f>
        <v>0</v>
      </c>
      <c r="F127" s="118">
        <f>Rekenblad!F127</f>
        <v>609.5</v>
      </c>
      <c r="G127" s="109"/>
      <c r="H127" s="167">
        <f t="shared" ref="H127:H136" si="12">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f>Rekenblad!E128</f>
        <v>0</v>
      </c>
      <c r="F128" s="118">
        <f>Rekenblad!F128</f>
        <v>676.28000000000009</v>
      </c>
      <c r="G128" s="109"/>
      <c r="H128" s="167">
        <f t="shared" si="12"/>
        <v>0</v>
      </c>
      <c r="I128" s="569"/>
      <c r="J128" s="570"/>
      <c r="K128" s="118"/>
      <c r="L128" s="146"/>
      <c r="M128" s="146"/>
      <c r="N128" s="146"/>
      <c r="O128" s="146"/>
      <c r="P128" s="147"/>
      <c r="Q128" s="151"/>
    </row>
    <row r="129" spans="1:17" ht="30" customHeight="1">
      <c r="A129" s="171" t="s">
        <v>236</v>
      </c>
      <c r="B129" s="89" t="s">
        <v>237</v>
      </c>
      <c r="C129" s="89" t="s">
        <v>117</v>
      </c>
      <c r="D129" s="171" t="s">
        <v>118</v>
      </c>
      <c r="E129" s="108">
        <f>Rekenblad!E129</f>
        <v>0</v>
      </c>
      <c r="F129" s="118">
        <f>Rekenblad!F129</f>
        <v>318</v>
      </c>
      <c r="G129" s="118"/>
      <c r="H129" s="167">
        <f t="shared" si="12"/>
        <v>0</v>
      </c>
      <c r="I129" s="569"/>
      <c r="J129" s="570"/>
      <c r="K129" s="183"/>
      <c r="L129" s="184"/>
      <c r="M129" s="184"/>
      <c r="N129" s="184"/>
      <c r="O129" s="184"/>
      <c r="P129" s="185"/>
      <c r="Q129" s="151"/>
    </row>
    <row r="130" spans="1:17" ht="30" customHeight="1">
      <c r="A130" s="171" t="s">
        <v>238</v>
      </c>
      <c r="B130" s="89" t="s">
        <v>239</v>
      </c>
      <c r="C130" s="89" t="s">
        <v>117</v>
      </c>
      <c r="D130" s="171" t="s">
        <v>118</v>
      </c>
      <c r="E130" s="108">
        <f>Rekenblad!E130</f>
        <v>0</v>
      </c>
      <c r="F130" s="118">
        <f>Rekenblad!F130</f>
        <v>0</v>
      </c>
      <c r="G130" s="118"/>
      <c r="H130" s="167">
        <f t="shared" si="12"/>
        <v>0</v>
      </c>
      <c r="I130" s="569"/>
      <c r="J130" s="570"/>
      <c r="K130" s="183"/>
      <c r="L130" s="184"/>
      <c r="M130" s="184"/>
      <c r="N130" s="184"/>
      <c r="O130" s="184"/>
      <c r="P130" s="185"/>
      <c r="Q130" s="151"/>
    </row>
    <row r="131" spans="1:17" ht="30" customHeight="1">
      <c r="A131" s="171" t="s">
        <v>240</v>
      </c>
      <c r="B131" s="89" t="s">
        <v>241</v>
      </c>
      <c r="C131" s="89" t="s">
        <v>117</v>
      </c>
      <c r="D131" s="171" t="s">
        <v>118</v>
      </c>
      <c r="E131" s="108">
        <f>Rekenblad!E131</f>
        <v>0</v>
      </c>
      <c r="F131" s="118">
        <f>Rekenblad!F131</f>
        <v>206.70000000000002</v>
      </c>
      <c r="G131" s="118"/>
      <c r="H131" s="167">
        <f t="shared" si="12"/>
        <v>0</v>
      </c>
      <c r="I131" s="569"/>
      <c r="J131" s="570"/>
      <c r="K131" s="183"/>
      <c r="L131" s="184"/>
      <c r="M131" s="184"/>
      <c r="N131" s="184"/>
      <c r="O131" s="184"/>
      <c r="P131" s="185"/>
      <c r="Q131" s="151"/>
    </row>
    <row r="132" spans="1:17" ht="30" customHeight="1">
      <c r="A132" s="171" t="s">
        <v>242</v>
      </c>
      <c r="B132" s="89" t="s">
        <v>243</v>
      </c>
      <c r="C132" s="89" t="s">
        <v>117</v>
      </c>
      <c r="D132" s="171" t="s">
        <v>118</v>
      </c>
      <c r="E132" s="108">
        <f>Rekenblad!E132</f>
        <v>0</v>
      </c>
      <c r="F132" s="118">
        <f>Rekenblad!F132</f>
        <v>0</v>
      </c>
      <c r="G132" s="118"/>
      <c r="H132" s="167">
        <f t="shared" si="12"/>
        <v>0</v>
      </c>
      <c r="I132" s="569"/>
      <c r="J132" s="570"/>
      <c r="K132" s="183"/>
      <c r="L132" s="184"/>
      <c r="M132" s="184"/>
      <c r="N132" s="184"/>
      <c r="O132" s="184"/>
      <c r="P132" s="185"/>
      <c r="Q132" s="151"/>
    </row>
    <row r="133" spans="1:17" ht="30" customHeight="1">
      <c r="A133" s="171" t="s">
        <v>244</v>
      </c>
      <c r="B133" s="174" t="s">
        <v>245</v>
      </c>
      <c r="C133" s="107" t="s">
        <v>57</v>
      </c>
      <c r="D133" s="107" t="s">
        <v>8</v>
      </c>
      <c r="E133" s="108">
        <f>Rekenblad!E133</f>
        <v>0</v>
      </c>
      <c r="F133" s="118">
        <f>Rekenblad!F133</f>
        <v>212.952</v>
      </c>
      <c r="G133" s="109"/>
      <c r="H133" s="167">
        <f t="shared" si="12"/>
        <v>0</v>
      </c>
      <c r="I133" s="569"/>
      <c r="J133" s="570"/>
      <c r="K133" s="118"/>
      <c r="L133" s="146"/>
      <c r="M133" s="146"/>
      <c r="N133" s="146"/>
      <c r="O133" s="146"/>
      <c r="P133" s="147"/>
      <c r="Q133" s="151"/>
    </row>
    <row r="134" spans="1:17" ht="30" customHeight="1">
      <c r="A134" s="171" t="s">
        <v>246</v>
      </c>
      <c r="B134" s="202" t="s">
        <v>247</v>
      </c>
      <c r="C134" s="203" t="s">
        <v>57</v>
      </c>
      <c r="D134" s="178" t="s">
        <v>8</v>
      </c>
      <c r="E134" s="108">
        <f>Rekenblad!E134</f>
        <v>0</v>
      </c>
      <c r="F134" s="118">
        <f>Rekenblad!F134</f>
        <v>270.3</v>
      </c>
      <c r="G134" s="206"/>
      <c r="H134" s="167">
        <f t="shared" si="12"/>
        <v>0</v>
      </c>
      <c r="I134" s="569"/>
      <c r="J134" s="570"/>
      <c r="K134" s="118"/>
      <c r="L134" s="146"/>
      <c r="M134" s="146"/>
      <c r="N134" s="146"/>
      <c r="O134" s="146"/>
      <c r="P134" s="147"/>
      <c r="Q134" s="151"/>
    </row>
    <row r="135" spans="1:17" ht="30" customHeight="1">
      <c r="A135" s="171" t="s">
        <v>248</v>
      </c>
      <c r="B135" s="174" t="s">
        <v>249</v>
      </c>
      <c r="C135" s="107" t="s">
        <v>57</v>
      </c>
      <c r="D135" s="107" t="s">
        <v>8</v>
      </c>
      <c r="E135" s="108">
        <f>Rekenblad!E135</f>
        <v>0</v>
      </c>
      <c r="F135" s="118">
        <f>Rekenblad!F135</f>
        <v>872.38</v>
      </c>
      <c r="G135" s="109"/>
      <c r="H135" s="167">
        <f t="shared" si="12"/>
        <v>0</v>
      </c>
      <c r="I135" s="569"/>
      <c r="J135" s="570"/>
      <c r="K135" s="207"/>
      <c r="L135" s="146"/>
      <c r="M135" s="146"/>
      <c r="N135" s="146"/>
      <c r="O135" s="146"/>
      <c r="P135" s="147"/>
      <c r="Q135" s="151"/>
    </row>
    <row r="136" spans="1:17" ht="30" customHeight="1">
      <c r="A136" s="171" t="s">
        <v>250</v>
      </c>
      <c r="B136" s="89" t="s">
        <v>251</v>
      </c>
      <c r="C136" s="89" t="s">
        <v>117</v>
      </c>
      <c r="D136" s="171" t="s">
        <v>118</v>
      </c>
      <c r="E136" s="108">
        <f>Rekenblad!E136</f>
        <v>0</v>
      </c>
      <c r="F136" s="118">
        <f>Rekenblad!F136</f>
        <v>0</v>
      </c>
      <c r="G136" s="118"/>
      <c r="H136" s="167">
        <f t="shared" si="12"/>
        <v>0</v>
      </c>
      <c r="I136" s="569"/>
      <c r="J136" s="570"/>
      <c r="K136" s="208"/>
      <c r="L136" s="184"/>
      <c r="M136" s="184"/>
      <c r="N136" s="184"/>
      <c r="O136" s="184"/>
      <c r="P136" s="185"/>
      <c r="Q136" s="151"/>
    </row>
    <row r="137" spans="1:17" ht="30" customHeight="1">
      <c r="A137" s="171" t="s">
        <v>252</v>
      </c>
      <c r="B137" s="116" t="s">
        <v>253</v>
      </c>
      <c r="C137" s="75" t="s">
        <v>76</v>
      </c>
      <c r="D137" s="107" t="s">
        <v>8</v>
      </c>
      <c r="E137" s="108">
        <f>Rekenblad!E137</f>
        <v>64</v>
      </c>
      <c r="F137" s="118">
        <f>Rekenblad!F137</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f>Rekenblad!E138</f>
        <v>0</v>
      </c>
      <c r="F138" s="118">
        <f>Rekenblad!F138</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f>Rekenblad!E139</f>
        <v>0</v>
      </c>
      <c r="F139" s="118">
        <f>Rekenblad!F139</f>
        <v>795</v>
      </c>
      <c r="G139" s="118"/>
      <c r="H139" s="109">
        <f t="shared" ref="H139:H149" si="13">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f>Rekenblad!E140</f>
        <v>0</v>
      </c>
      <c r="F140" s="118">
        <f>Rekenblad!F140</f>
        <v>206.70000000000002</v>
      </c>
      <c r="G140" s="118"/>
      <c r="H140" s="109">
        <f t="shared" si="13"/>
        <v>0</v>
      </c>
      <c r="I140" s="567"/>
      <c r="J140" s="567"/>
      <c r="K140" s="210"/>
      <c r="L140" s="211"/>
      <c r="M140" s="211"/>
      <c r="N140" s="211"/>
      <c r="O140" s="211"/>
      <c r="P140" s="74"/>
      <c r="Q140" s="151"/>
    </row>
    <row r="141" spans="1:17" ht="30" customHeight="1">
      <c r="A141" s="171" t="s">
        <v>262</v>
      </c>
      <c r="B141" s="116" t="s">
        <v>263</v>
      </c>
      <c r="C141" s="75" t="s">
        <v>57</v>
      </c>
      <c r="D141" s="107" t="s">
        <v>8</v>
      </c>
      <c r="E141" s="108">
        <f>Rekenblad!E141</f>
        <v>0</v>
      </c>
      <c r="F141" s="118">
        <f>Rekenblad!F141</f>
        <v>291.5</v>
      </c>
      <c r="G141" s="118"/>
      <c r="H141" s="109">
        <f t="shared" si="13"/>
        <v>0</v>
      </c>
      <c r="I141" s="567"/>
      <c r="J141" s="567"/>
      <c r="K141" s="210"/>
      <c r="L141" s="211"/>
      <c r="M141" s="211"/>
      <c r="N141" s="211"/>
      <c r="O141" s="211"/>
      <c r="P141" s="74"/>
      <c r="Q141" s="151"/>
    </row>
    <row r="142" spans="1:17" ht="30" customHeight="1">
      <c r="A142" s="171" t="s">
        <v>264</v>
      </c>
      <c r="B142" s="116" t="s">
        <v>265</v>
      </c>
      <c r="C142" s="75" t="s">
        <v>57</v>
      </c>
      <c r="D142" s="107" t="s">
        <v>8</v>
      </c>
      <c r="E142" s="108">
        <f>Rekenblad!E142</f>
        <v>0</v>
      </c>
      <c r="F142" s="118">
        <f>Rekenblad!F142</f>
        <v>312.7</v>
      </c>
      <c r="G142" s="118"/>
      <c r="H142" s="109">
        <f t="shared" si="13"/>
        <v>0</v>
      </c>
      <c r="I142" s="567"/>
      <c r="J142" s="567"/>
      <c r="K142" s="210"/>
      <c r="L142" s="211"/>
      <c r="M142" s="211"/>
      <c r="N142" s="211"/>
      <c r="O142" s="211"/>
      <c r="P142" s="74"/>
      <c r="Q142" s="151"/>
    </row>
    <row r="143" spans="1:17" ht="30" customHeight="1">
      <c r="A143" s="171" t="s">
        <v>266</v>
      </c>
      <c r="B143" s="89" t="s">
        <v>267</v>
      </c>
      <c r="C143" s="89" t="s">
        <v>117</v>
      </c>
      <c r="D143" s="171" t="s">
        <v>118</v>
      </c>
      <c r="E143" s="108">
        <f>Rekenblad!E143</f>
        <v>0</v>
      </c>
      <c r="F143" s="118">
        <f>Rekenblad!F143</f>
        <v>243.8</v>
      </c>
      <c r="G143" s="118"/>
      <c r="H143" s="109">
        <f t="shared" si="13"/>
        <v>0</v>
      </c>
      <c r="I143" s="567"/>
      <c r="J143" s="567"/>
      <c r="K143" s="208"/>
      <c r="L143" s="184"/>
      <c r="M143" s="184"/>
      <c r="N143" s="184"/>
      <c r="O143" s="184"/>
      <c r="P143" s="185"/>
      <c r="Q143" s="151"/>
    </row>
    <row r="144" spans="1:17" ht="30" customHeight="1">
      <c r="A144" s="171" t="s">
        <v>268</v>
      </c>
      <c r="B144" s="89" t="s">
        <v>269</v>
      </c>
      <c r="C144" s="89" t="s">
        <v>117</v>
      </c>
      <c r="D144" s="171" t="s">
        <v>118</v>
      </c>
      <c r="E144" s="108">
        <f>Rekenblad!E144</f>
        <v>0</v>
      </c>
      <c r="F144" s="118">
        <f>Rekenblad!F144</f>
        <v>0</v>
      </c>
      <c r="G144" s="118"/>
      <c r="H144" s="109">
        <f t="shared" si="13"/>
        <v>0</v>
      </c>
      <c r="I144" s="567"/>
      <c r="J144" s="567"/>
      <c r="K144" s="208"/>
      <c r="L144" s="184"/>
      <c r="M144" s="184"/>
      <c r="N144" s="184"/>
      <c r="O144" s="184"/>
      <c r="P144" s="185"/>
      <c r="Q144" s="151"/>
    </row>
    <row r="145" spans="1:17" ht="30" customHeight="1">
      <c r="A145" s="171" t="s">
        <v>270</v>
      </c>
      <c r="B145" s="89" t="s">
        <v>271</v>
      </c>
      <c r="C145" s="89" t="s">
        <v>117</v>
      </c>
      <c r="D145" s="171" t="s">
        <v>118</v>
      </c>
      <c r="E145" s="108">
        <f>Rekenblad!E145</f>
        <v>0</v>
      </c>
      <c r="F145" s="118">
        <f>Rekenblad!F145</f>
        <v>0</v>
      </c>
      <c r="G145" s="118"/>
      <c r="H145" s="109">
        <f t="shared" si="13"/>
        <v>0</v>
      </c>
      <c r="I145" s="567"/>
      <c r="J145" s="567"/>
      <c r="K145" s="208"/>
      <c r="L145" s="184"/>
      <c r="M145" s="184"/>
      <c r="N145" s="184"/>
      <c r="O145" s="184"/>
      <c r="P145" s="185"/>
      <c r="Q145" s="151"/>
    </row>
    <row r="146" spans="1:17" ht="30" customHeight="1">
      <c r="A146" s="171" t="s">
        <v>272</v>
      </c>
      <c r="B146" s="89" t="s">
        <v>273</v>
      </c>
      <c r="C146" s="89" t="s">
        <v>117</v>
      </c>
      <c r="D146" s="171" t="s">
        <v>118</v>
      </c>
      <c r="E146" s="108">
        <f>Rekenblad!E146</f>
        <v>0</v>
      </c>
      <c r="F146" s="118">
        <f>Rekenblad!F146</f>
        <v>0</v>
      </c>
      <c r="G146" s="118"/>
      <c r="H146" s="109">
        <f t="shared" si="13"/>
        <v>0</v>
      </c>
      <c r="I146" s="567"/>
      <c r="J146" s="567"/>
      <c r="K146" s="208"/>
      <c r="L146" s="184"/>
      <c r="M146" s="184"/>
      <c r="N146" s="184"/>
      <c r="O146" s="184"/>
      <c r="P146" s="185"/>
      <c r="Q146" s="151"/>
    </row>
    <row r="147" spans="1:17" ht="30" customHeight="1">
      <c r="A147" s="171" t="s">
        <v>274</v>
      </c>
      <c r="B147" s="89" t="s">
        <v>275</v>
      </c>
      <c r="C147" s="89" t="s">
        <v>117</v>
      </c>
      <c r="D147" s="171" t="s">
        <v>118</v>
      </c>
      <c r="E147" s="108">
        <f>Rekenblad!E147</f>
        <v>0</v>
      </c>
      <c r="F147" s="118">
        <f>Rekenblad!F147</f>
        <v>58.300000000000004</v>
      </c>
      <c r="G147" s="118"/>
      <c r="H147" s="109">
        <f t="shared" si="13"/>
        <v>0</v>
      </c>
      <c r="I147" s="567"/>
      <c r="J147" s="567"/>
      <c r="K147" s="208"/>
      <c r="L147" s="184"/>
      <c r="M147" s="184"/>
      <c r="N147" s="184"/>
      <c r="O147" s="184"/>
      <c r="P147" s="185"/>
      <c r="Q147" s="151"/>
    </row>
    <row r="148" spans="1:17" ht="30" customHeight="1">
      <c r="A148" s="171" t="s">
        <v>276</v>
      </c>
      <c r="B148" s="89" t="s">
        <v>277</v>
      </c>
      <c r="C148" s="89" t="s">
        <v>117</v>
      </c>
      <c r="D148" s="171" t="s">
        <v>118</v>
      </c>
      <c r="E148" s="108">
        <f>Rekenblad!E148</f>
        <v>0</v>
      </c>
      <c r="F148" s="118">
        <f>Rekenblad!F148</f>
        <v>0</v>
      </c>
      <c r="G148" s="118"/>
      <c r="H148" s="109">
        <f t="shared" si="13"/>
        <v>0</v>
      </c>
      <c r="I148" s="567"/>
      <c r="J148" s="567"/>
      <c r="K148" s="208"/>
      <c r="L148" s="184"/>
      <c r="M148" s="184"/>
      <c r="N148" s="184"/>
      <c r="O148" s="184"/>
      <c r="P148" s="185"/>
      <c r="Q148" s="151"/>
    </row>
    <row r="149" spans="1:17" ht="30" customHeight="1">
      <c r="A149" s="171" t="s">
        <v>278</v>
      </c>
      <c r="B149" s="89" t="s">
        <v>279</v>
      </c>
      <c r="C149" s="89" t="s">
        <v>117</v>
      </c>
      <c r="D149" s="171" t="s">
        <v>118</v>
      </c>
      <c r="E149" s="108">
        <f>Rekenblad!E149</f>
        <v>0</v>
      </c>
      <c r="F149" s="118">
        <f>Rekenblad!F149</f>
        <v>0</v>
      </c>
      <c r="G149" s="118"/>
      <c r="H149" s="109">
        <f t="shared" si="13"/>
        <v>0</v>
      </c>
      <c r="I149" s="567"/>
      <c r="J149" s="567"/>
      <c r="K149" s="208"/>
      <c r="L149" s="184"/>
      <c r="M149" s="184"/>
      <c r="N149" s="184"/>
      <c r="O149" s="184"/>
      <c r="P149" s="185"/>
      <c r="Q149" s="151"/>
    </row>
    <row r="150" spans="1:17" ht="30" customHeight="1">
      <c r="A150" s="212"/>
      <c r="B150" s="151"/>
      <c r="C150" s="151"/>
      <c r="D150" s="213"/>
      <c r="E150" s="108"/>
      <c r="F150" s="118"/>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60" t="str">
        <f>Rekenblad!F151</f>
        <v>bedrag per eenheid (excl. btw)</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f>Rekenblad!E152</f>
        <v>0</v>
      </c>
      <c r="F152" s="118">
        <f>Rekenblad!F152</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Rekenblad!E153</f>
        <v>5</v>
      </c>
      <c r="F153" s="118">
        <f>Rekenblad!F153</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f>Rekenblad!E154</f>
        <v>0</v>
      </c>
      <c r="F154" s="118">
        <f>Rekenblad!F154</f>
        <v>397.5</v>
      </c>
      <c r="G154" s="109"/>
      <c r="H154" s="167"/>
      <c r="I154" s="153"/>
      <c r="J154" s="152"/>
      <c r="K154" s="118"/>
      <c r="L154" s="146"/>
      <c r="M154" s="146"/>
      <c r="N154" s="146"/>
      <c r="O154" s="146"/>
      <c r="P154" s="147"/>
      <c r="Q154" s="151"/>
    </row>
    <row r="155" spans="1:17" ht="30" customHeight="1">
      <c r="A155" s="171"/>
      <c r="B155" s="116"/>
      <c r="C155" s="75"/>
      <c r="D155" s="171"/>
      <c r="E155" s="108">
        <f>Rekenblad!E155</f>
        <v>0</v>
      </c>
      <c r="F155" s="118">
        <f>Rekenblad!F155</f>
        <v>0</v>
      </c>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60" t="str">
        <f>Rekenblad!F156</f>
        <v>bedrag per eenheid (excl. btw)</v>
      </c>
      <c r="G156" s="48" t="s">
        <v>15</v>
      </c>
      <c r="H156" s="48" t="s">
        <v>16</v>
      </c>
      <c r="I156" s="571" t="s">
        <v>17</v>
      </c>
      <c r="J156" s="571"/>
      <c r="K156" s="37"/>
      <c r="L156" s="50"/>
      <c r="M156" s="50"/>
      <c r="N156" s="50"/>
      <c r="O156" s="50"/>
      <c r="P156" s="49" t="s">
        <v>18</v>
      </c>
      <c r="Q156" s="151"/>
    </row>
    <row r="157" spans="1:17">
      <c r="A157" s="218"/>
      <c r="B157" s="219"/>
      <c r="C157" s="219"/>
      <c r="D157" s="218"/>
      <c r="E157" s="220"/>
      <c r="F157" s="118">
        <f>Rekenblad!F157</f>
        <v>0</v>
      </c>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175</v>
      </c>
      <c r="F158" s="118">
        <f>Rekenblad!F158</f>
        <v>23.32</v>
      </c>
      <c r="G158" s="109"/>
      <c r="H158" s="167">
        <f>E158*F158</f>
        <v>4081</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f>Rekenblad!E159</f>
        <v>0</v>
      </c>
      <c r="F159" s="118">
        <f>Rekenblad!F159</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Rekenblad!E160</f>
        <v>10</v>
      </c>
      <c r="F160" s="118">
        <f>Rekenblad!F160</f>
        <v>276.44800000000004</v>
      </c>
      <c r="G160" s="109"/>
      <c r="H160" s="167">
        <f t="shared" ref="H160:H193" si="14">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175</v>
      </c>
      <c r="F161" s="118">
        <f>Rekenblad!F161</f>
        <v>201.4</v>
      </c>
      <c r="G161" s="109"/>
      <c r="H161" s="167">
        <f t="shared" si="14"/>
        <v>35245</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f>Rekenblad!E162</f>
        <v>0</v>
      </c>
      <c r="F162" s="118">
        <f>Rekenblad!F162</f>
        <v>154.44200000000001</v>
      </c>
      <c r="G162" s="109"/>
      <c r="H162" s="167">
        <f t="shared" si="14"/>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175</v>
      </c>
      <c r="F163" s="118">
        <f>Rekenblad!F163</f>
        <v>66.25</v>
      </c>
      <c r="G163" s="118"/>
      <c r="H163" s="168">
        <f t="shared" si="14"/>
        <v>11593.75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f>Rekenblad!E164</f>
        <v>0</v>
      </c>
      <c r="F164" s="118">
        <f>Rekenblad!F164</f>
        <v>180.20000000000002</v>
      </c>
      <c r="G164" s="118"/>
      <c r="H164" s="197">
        <f t="shared" si="14"/>
        <v>0</v>
      </c>
      <c r="I164" s="569"/>
      <c r="J164" s="570"/>
      <c r="K164" s="183"/>
      <c r="L164" s="184"/>
      <c r="M164" s="184"/>
      <c r="N164" s="184"/>
      <c r="O164" s="184"/>
      <c r="P164" s="185"/>
      <c r="Q164" s="151"/>
    </row>
    <row r="165" spans="1:17" ht="30" customHeight="1">
      <c r="A165" s="171" t="s">
        <v>311</v>
      </c>
      <c r="B165" s="174" t="s">
        <v>312</v>
      </c>
      <c r="C165" s="107" t="s">
        <v>33</v>
      </c>
      <c r="D165" s="107" t="s">
        <v>313</v>
      </c>
      <c r="E165" s="108">
        <f>Rekenblad!E165</f>
        <v>0</v>
      </c>
      <c r="F165" s="118">
        <f>Rekenblad!F165</f>
        <v>180.20000000000002</v>
      </c>
      <c r="G165" s="109"/>
      <c r="H165" s="167">
        <f t="shared" si="14"/>
        <v>0</v>
      </c>
      <c r="I165" s="569"/>
      <c r="J165" s="570"/>
      <c r="K165" s="118"/>
      <c r="L165" s="146"/>
      <c r="M165" s="146"/>
      <c r="N165" s="146"/>
      <c r="O165" s="146"/>
      <c r="P165" s="147"/>
      <c r="Q165" s="151"/>
    </row>
    <row r="166" spans="1:17" ht="30" customHeight="1">
      <c r="A166" s="171" t="s">
        <v>314</v>
      </c>
      <c r="B166" s="174" t="s">
        <v>315</v>
      </c>
      <c r="C166" s="107" t="s">
        <v>57</v>
      </c>
      <c r="D166" s="107" t="s">
        <v>316</v>
      </c>
      <c r="E166" s="108">
        <f>Rekenblad!E166</f>
        <v>0</v>
      </c>
      <c r="F166" s="118">
        <f>Rekenblad!F166</f>
        <v>1679.0400000000002</v>
      </c>
      <c r="G166" s="109"/>
      <c r="H166" s="167">
        <f t="shared" si="14"/>
        <v>0</v>
      </c>
      <c r="I166" s="569"/>
      <c r="J166" s="570"/>
      <c r="K166" s="118"/>
      <c r="L166" s="146"/>
      <c r="M166" s="146"/>
      <c r="N166" s="146"/>
      <c r="O166" s="146"/>
      <c r="P166" s="147"/>
      <c r="Q166" s="151"/>
    </row>
    <row r="167" spans="1:17" ht="30" customHeight="1">
      <c r="A167" s="171" t="s">
        <v>317</v>
      </c>
      <c r="B167" s="89" t="s">
        <v>318</v>
      </c>
      <c r="C167" s="89" t="s">
        <v>117</v>
      </c>
      <c r="D167" s="171" t="s">
        <v>118</v>
      </c>
      <c r="E167" s="108">
        <f>Rekenblad!E167</f>
        <v>0</v>
      </c>
      <c r="F167" s="118">
        <f>Rekenblad!F167</f>
        <v>10.865</v>
      </c>
      <c r="G167" s="118"/>
      <c r="H167" s="197">
        <f t="shared" si="14"/>
        <v>0</v>
      </c>
      <c r="I167" s="569"/>
      <c r="J167" s="570"/>
      <c r="K167" s="183"/>
      <c r="L167" s="184"/>
      <c r="M167" s="184"/>
      <c r="N167" s="184"/>
      <c r="O167" s="184"/>
      <c r="P167" s="185"/>
      <c r="Q167" s="151"/>
    </row>
    <row r="168" spans="1:17" ht="30" customHeight="1">
      <c r="A168" s="171" t="s">
        <v>319</v>
      </c>
      <c r="B168" s="174" t="s">
        <v>320</v>
      </c>
      <c r="C168" s="107" t="s">
        <v>57</v>
      </c>
      <c r="D168" s="107" t="s">
        <v>316</v>
      </c>
      <c r="E168" s="108">
        <f>Rekenblad!E168</f>
        <v>0</v>
      </c>
      <c r="F168" s="118">
        <f>Rekenblad!F168</f>
        <v>1007.424</v>
      </c>
      <c r="G168" s="109"/>
      <c r="H168" s="167">
        <f t="shared" si="14"/>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f>Rekenblad!E169</f>
        <v>0</v>
      </c>
      <c r="F169" s="118">
        <f>Rekenblad!F169</f>
        <v>13.515000000000001</v>
      </c>
      <c r="G169" s="118"/>
      <c r="H169" s="197">
        <f t="shared" si="14"/>
        <v>0</v>
      </c>
      <c r="I169" s="569"/>
      <c r="J169" s="570"/>
      <c r="K169" s="183"/>
      <c r="L169" s="184"/>
      <c r="M169" s="184"/>
      <c r="N169" s="184"/>
      <c r="O169" s="184"/>
      <c r="P169" s="185"/>
      <c r="Q169" s="151"/>
    </row>
    <row r="170" spans="1:17" ht="30" customHeight="1">
      <c r="A170" s="171" t="s">
        <v>324</v>
      </c>
      <c r="B170" s="174" t="s">
        <v>325</v>
      </c>
      <c r="C170" s="107"/>
      <c r="D170" s="107" t="s">
        <v>326</v>
      </c>
      <c r="E170" s="196">
        <f>$G$3*$A$4</f>
        <v>175</v>
      </c>
      <c r="F170" s="118">
        <f>Rekenblad!F170</f>
        <v>74.2</v>
      </c>
      <c r="G170" s="109"/>
      <c r="H170" s="167">
        <f t="shared" si="14"/>
        <v>12985</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f>Rekenblad!E171</f>
        <v>0</v>
      </c>
      <c r="F171" s="118">
        <f>Rekenblad!F171</f>
        <v>283.23200000000003</v>
      </c>
      <c r="G171" s="109"/>
      <c r="H171" s="167">
        <f t="shared" si="14"/>
        <v>0</v>
      </c>
      <c r="I171" s="569"/>
      <c r="J171" s="570"/>
      <c r="K171" s="118"/>
      <c r="L171" s="146"/>
      <c r="M171" s="146"/>
      <c r="N171" s="146"/>
      <c r="O171" s="146"/>
      <c r="P171" s="147"/>
      <c r="Q171" s="151"/>
    </row>
    <row r="172" spans="1:17" ht="30" customHeight="1">
      <c r="A172" s="171" t="s">
        <v>330</v>
      </c>
      <c r="B172" s="89" t="s">
        <v>331</v>
      </c>
      <c r="C172" s="89" t="s">
        <v>117</v>
      </c>
      <c r="D172" s="171" t="s">
        <v>118</v>
      </c>
      <c r="E172" s="108">
        <f>Rekenblad!E172</f>
        <v>0</v>
      </c>
      <c r="F172" s="118">
        <f>Rekenblad!F172</f>
        <v>95.4</v>
      </c>
      <c r="G172" s="118"/>
      <c r="H172" s="197">
        <f t="shared" si="14"/>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175</v>
      </c>
      <c r="F173" s="118">
        <f>Rekenblad!F173</f>
        <v>33.814</v>
      </c>
      <c r="G173" s="109"/>
      <c r="H173" s="167">
        <f t="shared" si="14"/>
        <v>5917.45</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175</v>
      </c>
      <c r="F174" s="118">
        <f>Rekenblad!F174</f>
        <v>46.11</v>
      </c>
      <c r="G174" s="109"/>
      <c r="H174" s="167">
        <f t="shared" si="14"/>
        <v>8069.25</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175</v>
      </c>
      <c r="F175" s="118">
        <f>Rekenblad!F175</f>
        <v>461.1</v>
      </c>
      <c r="G175" s="109"/>
      <c r="H175" s="167">
        <f t="shared" si="14"/>
        <v>80692.5</v>
      </c>
      <c r="I175" s="569" t="s">
        <v>343</v>
      </c>
      <c r="J175" s="570"/>
      <c r="K175" s="118"/>
      <c r="L175" s="146"/>
      <c r="M175" s="146"/>
      <c r="N175" s="146"/>
      <c r="O175" s="146"/>
      <c r="P175" s="147"/>
      <c r="Q175" s="151"/>
    </row>
    <row r="176" spans="1:17" ht="30" customHeight="1">
      <c r="A176" s="171" t="s">
        <v>344</v>
      </c>
      <c r="B176" s="116" t="s">
        <v>345</v>
      </c>
      <c r="C176" s="75" t="s">
        <v>26</v>
      </c>
      <c r="D176" s="171" t="s">
        <v>291</v>
      </c>
      <c r="E176" s="108">
        <f>Rekenblad!E176</f>
        <v>0</v>
      </c>
      <c r="F176" s="118">
        <f>Rekenblad!F176</f>
        <v>954</v>
      </c>
      <c r="G176" s="109"/>
      <c r="H176" s="167">
        <f t="shared" ref="H176" si="15">SUM(E176*F176)</f>
        <v>0</v>
      </c>
      <c r="I176" s="569" t="s">
        <v>346</v>
      </c>
      <c r="J176" s="570"/>
      <c r="K176" s="118"/>
      <c r="L176" s="146"/>
      <c r="M176" s="146"/>
      <c r="N176" s="146"/>
      <c r="O176" s="146"/>
      <c r="P176" s="147"/>
      <c r="Q176" s="151"/>
    </row>
    <row r="177" spans="1:17" ht="30" customHeight="1">
      <c r="A177" s="171" t="s">
        <v>347</v>
      </c>
      <c r="B177" s="116" t="s">
        <v>348</v>
      </c>
      <c r="C177" s="75" t="s">
        <v>57</v>
      </c>
      <c r="D177" s="107" t="s">
        <v>291</v>
      </c>
      <c r="E177" s="108">
        <f>Rekenblad!E178</f>
        <v>50</v>
      </c>
      <c r="F177" s="118">
        <f>Rekenblad!F178</f>
        <v>20.352</v>
      </c>
      <c r="G177" s="109"/>
      <c r="H177" s="167">
        <f t="shared" si="14"/>
        <v>1017.6</v>
      </c>
      <c r="I177" s="569" t="s">
        <v>349</v>
      </c>
      <c r="J177" s="570"/>
      <c r="K177" s="118"/>
      <c r="L177" s="146"/>
      <c r="M177" s="146"/>
      <c r="N177" s="146"/>
      <c r="O177" s="146"/>
      <c r="P177" s="147"/>
      <c r="Q177" s="151"/>
    </row>
    <row r="178" spans="1:17" ht="30" customHeight="1">
      <c r="A178" s="171" t="s">
        <v>350</v>
      </c>
      <c r="B178" s="116" t="s">
        <v>351</v>
      </c>
      <c r="C178" s="75" t="s">
        <v>57</v>
      </c>
      <c r="D178" s="107" t="s">
        <v>257</v>
      </c>
      <c r="E178" s="108">
        <f>Rekenblad!E179</f>
        <v>0</v>
      </c>
      <c r="F178" s="118">
        <f>Rekenblad!F179</f>
        <v>59.466000000000001</v>
      </c>
      <c r="G178" s="109"/>
      <c r="H178" s="167">
        <f t="shared" si="14"/>
        <v>0</v>
      </c>
      <c r="I178" s="569"/>
      <c r="J178" s="570"/>
      <c r="K178" s="118"/>
      <c r="L178" s="146"/>
      <c r="M178" s="146"/>
      <c r="N178" s="146"/>
      <c r="O178" s="146"/>
      <c r="P178" s="147"/>
      <c r="Q178" s="151"/>
    </row>
    <row r="179" spans="1:17" ht="30" customHeight="1">
      <c r="A179" s="171" t="s">
        <v>352</v>
      </c>
      <c r="B179" s="89" t="s">
        <v>353</v>
      </c>
      <c r="C179" s="89" t="s">
        <v>117</v>
      </c>
      <c r="D179" s="171" t="s">
        <v>118</v>
      </c>
      <c r="E179" s="108">
        <f>Rekenblad!E180</f>
        <v>0</v>
      </c>
      <c r="F179" s="118">
        <f>Rekenblad!F180</f>
        <v>0</v>
      </c>
      <c r="G179" s="118"/>
      <c r="H179" s="197">
        <f t="shared" si="14"/>
        <v>0</v>
      </c>
      <c r="I179" s="569"/>
      <c r="J179" s="570"/>
      <c r="K179" s="183"/>
      <c r="L179" s="184"/>
      <c r="M179" s="184"/>
      <c r="N179" s="184"/>
      <c r="O179" s="184"/>
      <c r="P179" s="185"/>
      <c r="Q179" s="151"/>
    </row>
    <row r="180" spans="1:17" ht="30" customHeight="1">
      <c r="A180" s="171" t="s">
        <v>354</v>
      </c>
      <c r="B180" s="89" t="s">
        <v>355</v>
      </c>
      <c r="C180" s="89" t="s">
        <v>117</v>
      </c>
      <c r="D180" s="171" t="s">
        <v>356</v>
      </c>
      <c r="E180" s="108">
        <f>Rekenblad!E181</f>
        <v>0</v>
      </c>
      <c r="F180" s="118">
        <f>Rekenblad!F181</f>
        <v>53</v>
      </c>
      <c r="G180" s="109"/>
      <c r="H180" s="167">
        <f t="shared" si="14"/>
        <v>0</v>
      </c>
      <c r="I180" s="569"/>
      <c r="J180" s="570"/>
      <c r="K180" s="118"/>
      <c r="L180" s="146"/>
      <c r="M180" s="146"/>
      <c r="N180" s="146"/>
      <c r="O180" s="146"/>
      <c r="P180" s="147"/>
      <c r="Q180" s="151"/>
    </row>
    <row r="181" spans="1:17" ht="30" customHeight="1">
      <c r="A181" s="171" t="s">
        <v>357</v>
      </c>
      <c r="B181" s="89" t="s">
        <v>358</v>
      </c>
      <c r="C181" s="89" t="s">
        <v>117</v>
      </c>
      <c r="D181" s="171" t="s">
        <v>359</v>
      </c>
      <c r="E181" s="108">
        <f>Rekenblad!E182</f>
        <v>0</v>
      </c>
      <c r="F181" s="118">
        <f>Rekenblad!F182</f>
        <v>1.7489999999999999</v>
      </c>
      <c r="G181" s="109"/>
      <c r="H181" s="167">
        <f t="shared" si="14"/>
        <v>0</v>
      </c>
      <c r="I181" s="569"/>
      <c r="J181" s="570"/>
      <c r="K181" s="118"/>
      <c r="L181" s="146"/>
      <c r="M181" s="146"/>
      <c r="N181" s="146"/>
      <c r="O181" s="146"/>
      <c r="P181" s="147"/>
      <c r="Q181" s="151"/>
    </row>
    <row r="182" spans="1:17" ht="30" customHeight="1">
      <c r="A182" s="171" t="s">
        <v>360</v>
      </c>
      <c r="B182" s="89" t="s">
        <v>361</v>
      </c>
      <c r="C182" s="89" t="s">
        <v>117</v>
      </c>
      <c r="D182" s="171" t="s">
        <v>362</v>
      </c>
      <c r="E182" s="108">
        <f>Rekenblad!E183</f>
        <v>0</v>
      </c>
      <c r="F182" s="118">
        <f>Rekenblad!F183</f>
        <v>58.300000000000004</v>
      </c>
      <c r="G182" s="109"/>
      <c r="H182" s="167">
        <f t="shared" si="14"/>
        <v>0</v>
      </c>
      <c r="I182" s="569"/>
      <c r="J182" s="570"/>
      <c r="K182" s="118"/>
      <c r="L182" s="146"/>
      <c r="M182" s="146"/>
      <c r="N182" s="146"/>
      <c r="O182" s="146"/>
      <c r="P182" s="147"/>
      <c r="Q182" s="151"/>
    </row>
    <row r="183" spans="1:17" ht="30" customHeight="1">
      <c r="A183" s="171" t="s">
        <v>363</v>
      </c>
      <c r="B183" s="89" t="s">
        <v>364</v>
      </c>
      <c r="C183" s="89" t="s">
        <v>117</v>
      </c>
      <c r="D183" s="171" t="s">
        <v>304</v>
      </c>
      <c r="E183" s="196">
        <f>$G$3*$A$4</f>
        <v>175</v>
      </c>
      <c r="F183" s="118">
        <f>Rekenblad!F184</f>
        <v>331.78000000000003</v>
      </c>
      <c r="G183" s="109"/>
      <c r="H183" s="167">
        <f t="shared" si="14"/>
        <v>58061.500000000007</v>
      </c>
      <c r="I183" s="569" t="s">
        <v>365</v>
      </c>
      <c r="J183" s="570"/>
      <c r="K183" s="118"/>
      <c r="L183" s="146"/>
      <c r="M183" s="146"/>
      <c r="N183" s="146"/>
      <c r="O183" s="146"/>
      <c r="P183" s="147"/>
      <c r="Q183" s="151"/>
    </row>
    <row r="184" spans="1:17" ht="30" customHeight="1">
      <c r="A184" s="171" t="s">
        <v>366</v>
      </c>
      <c r="B184" s="89" t="s">
        <v>367</v>
      </c>
      <c r="C184" s="89" t="s">
        <v>117</v>
      </c>
      <c r="D184" s="171" t="s">
        <v>362</v>
      </c>
      <c r="E184" s="108">
        <f>Rekenblad!E185</f>
        <v>0</v>
      </c>
      <c r="F184" s="118">
        <f>Rekenblad!F185</f>
        <v>0</v>
      </c>
      <c r="G184" s="109"/>
      <c r="H184" s="167">
        <f t="shared" si="14"/>
        <v>0</v>
      </c>
      <c r="I184" s="567"/>
      <c r="J184" s="568"/>
      <c r="K184" s="118"/>
      <c r="L184" s="146"/>
      <c r="M184" s="146"/>
      <c r="N184" s="146"/>
      <c r="O184" s="146"/>
      <c r="P184" s="147"/>
      <c r="Q184" s="151"/>
    </row>
    <row r="185" spans="1:17" ht="30" customHeight="1">
      <c r="A185" s="171" t="s">
        <v>368</v>
      </c>
      <c r="B185" s="89" t="s">
        <v>369</v>
      </c>
      <c r="C185" s="89" t="s">
        <v>117</v>
      </c>
      <c r="D185" s="171" t="s">
        <v>370</v>
      </c>
      <c r="E185" s="108">
        <f>Rekenblad!E186</f>
        <v>0</v>
      </c>
      <c r="F185" s="118">
        <f>Rekenblad!F186</f>
        <v>0</v>
      </c>
      <c r="G185" s="109"/>
      <c r="H185" s="167">
        <f t="shared" si="14"/>
        <v>0</v>
      </c>
      <c r="I185" s="567"/>
      <c r="J185" s="568"/>
      <c r="K185" s="161"/>
      <c r="L185" s="162"/>
      <c r="M185" s="162"/>
      <c r="N185" s="162"/>
      <c r="O185" s="162"/>
      <c r="P185" s="163"/>
      <c r="Q185" s="151"/>
    </row>
    <row r="186" spans="1:17" ht="30" customHeight="1">
      <c r="A186" s="171" t="s">
        <v>371</v>
      </c>
      <c r="B186" s="89" t="s">
        <v>372</v>
      </c>
      <c r="C186" s="89" t="s">
        <v>117</v>
      </c>
      <c r="D186" s="171" t="s">
        <v>304</v>
      </c>
      <c r="E186" s="196">
        <f>$G$3*$A$4</f>
        <v>175</v>
      </c>
      <c r="F186" s="118">
        <f>Rekenblad!F187</f>
        <v>312.7</v>
      </c>
      <c r="G186" s="109"/>
      <c r="H186" s="167">
        <f t="shared" si="14"/>
        <v>54722.5</v>
      </c>
      <c r="I186" s="567" t="s">
        <v>365</v>
      </c>
      <c r="J186" s="568"/>
      <c r="K186" s="161"/>
      <c r="L186" s="162"/>
      <c r="M186" s="162"/>
      <c r="N186" s="162"/>
      <c r="O186" s="162"/>
      <c r="P186" s="163"/>
      <c r="Q186" s="151"/>
    </row>
    <row r="187" spans="1:17" ht="30" customHeight="1">
      <c r="A187" s="171" t="s">
        <v>373</v>
      </c>
      <c r="B187" s="116" t="s">
        <v>374</v>
      </c>
      <c r="C187" s="75" t="s">
        <v>101</v>
      </c>
      <c r="D187" s="107" t="s">
        <v>359</v>
      </c>
      <c r="E187" s="108">
        <f>Rekenblad!E188</f>
        <v>0</v>
      </c>
      <c r="F187" s="118">
        <f>Rekenblad!F188</f>
        <v>1.06</v>
      </c>
      <c r="G187" s="109"/>
      <c r="H187" s="167">
        <f t="shared" si="14"/>
        <v>0</v>
      </c>
      <c r="I187" s="567"/>
      <c r="J187" s="568"/>
      <c r="K187" s="118"/>
      <c r="L187" s="146"/>
      <c r="M187" s="146"/>
      <c r="N187" s="146"/>
      <c r="O187" s="146"/>
      <c r="P187" s="147"/>
      <c r="Q187" s="151"/>
    </row>
    <row r="188" spans="1:17" ht="30" customHeight="1">
      <c r="A188" s="171" t="s">
        <v>375</v>
      </c>
      <c r="B188" s="116" t="s">
        <v>374</v>
      </c>
      <c r="C188" s="75" t="s">
        <v>57</v>
      </c>
      <c r="D188" s="107" t="s">
        <v>376</v>
      </c>
      <c r="E188" s="196">
        <f>$G$3*$A$4*3</f>
        <v>525</v>
      </c>
      <c r="F188" s="118">
        <f>Rekenblad!F189</f>
        <v>118.72</v>
      </c>
      <c r="G188" s="109"/>
      <c r="H188" s="167">
        <f>E188*F188</f>
        <v>62328</v>
      </c>
      <c r="I188" s="567" t="s">
        <v>377</v>
      </c>
      <c r="J188" s="568"/>
      <c r="K188" s="118"/>
      <c r="L188" s="146"/>
      <c r="M188" s="146"/>
      <c r="N188" s="146"/>
      <c r="O188" s="146"/>
      <c r="P188" s="147"/>
      <c r="Q188" s="151"/>
    </row>
    <row r="189" spans="1:17" ht="30" customHeight="1">
      <c r="A189" s="171" t="s">
        <v>378</v>
      </c>
      <c r="B189" s="116" t="s">
        <v>379</v>
      </c>
      <c r="C189" s="75" t="s">
        <v>33</v>
      </c>
      <c r="D189" s="107" t="s">
        <v>359</v>
      </c>
      <c r="E189" s="108">
        <f>Rekenblad!E190</f>
        <v>0</v>
      </c>
      <c r="F189" s="118">
        <f>Rekenblad!F190</f>
        <v>0.84800000000000009</v>
      </c>
      <c r="G189" s="109"/>
      <c r="H189" s="167">
        <f t="shared" si="14"/>
        <v>0</v>
      </c>
      <c r="I189" s="567"/>
      <c r="J189" s="568"/>
      <c r="K189" s="118"/>
      <c r="L189" s="146"/>
      <c r="M189" s="146"/>
      <c r="N189" s="146"/>
      <c r="O189" s="146"/>
      <c r="P189" s="147"/>
      <c r="Q189" s="151"/>
    </row>
    <row r="190" spans="1:17" ht="30" customHeight="1">
      <c r="A190" s="171" t="s">
        <v>380</v>
      </c>
      <c r="B190" s="116" t="s">
        <v>381</v>
      </c>
      <c r="C190" s="75" t="s">
        <v>33</v>
      </c>
      <c r="D190" s="107" t="s">
        <v>359</v>
      </c>
      <c r="E190" s="108">
        <f>Rekenblad!E191</f>
        <v>0</v>
      </c>
      <c r="F190" s="118">
        <f>Rekenblad!F191</f>
        <v>1.3250000000000002</v>
      </c>
      <c r="G190" s="109"/>
      <c r="H190" s="167">
        <f t="shared" si="14"/>
        <v>0</v>
      </c>
      <c r="I190" s="567"/>
      <c r="J190" s="568"/>
      <c r="K190" s="118"/>
      <c r="L190" s="146"/>
      <c r="M190" s="146"/>
      <c r="N190" s="146"/>
      <c r="O190" s="146"/>
      <c r="P190" s="147"/>
      <c r="Q190" s="151"/>
    </row>
    <row r="191" spans="1:17" ht="30" customHeight="1">
      <c r="A191" s="171" t="s">
        <v>382</v>
      </c>
      <c r="B191" s="116" t="s">
        <v>383</v>
      </c>
      <c r="C191" s="75" t="s">
        <v>33</v>
      </c>
      <c r="D191" s="107" t="s">
        <v>384</v>
      </c>
      <c r="E191" s="108">
        <f>Rekenblad!E192</f>
        <v>0</v>
      </c>
      <c r="F191" s="118">
        <f>Rekenblad!F192</f>
        <v>172.78</v>
      </c>
      <c r="G191" s="109"/>
      <c r="H191" s="167">
        <f t="shared" si="14"/>
        <v>0</v>
      </c>
      <c r="I191" s="567"/>
      <c r="J191" s="568"/>
      <c r="K191" s="118"/>
      <c r="L191" s="146"/>
      <c r="M191" s="146"/>
      <c r="N191" s="146"/>
      <c r="O191" s="146"/>
      <c r="P191" s="147"/>
      <c r="Q191" s="151"/>
    </row>
    <row r="192" spans="1:17" ht="30" customHeight="1">
      <c r="A192" s="171" t="s">
        <v>385</v>
      </c>
      <c r="B192" s="116" t="s">
        <v>386</v>
      </c>
      <c r="C192" s="75" t="s">
        <v>57</v>
      </c>
      <c r="D192" s="107" t="s">
        <v>387</v>
      </c>
      <c r="E192" s="108">
        <f>Rekenblad!E193</f>
        <v>0</v>
      </c>
      <c r="F192" s="118">
        <f>Rekenblad!F193</f>
        <v>689</v>
      </c>
      <c r="G192" s="109"/>
      <c r="H192" s="167">
        <f t="shared" si="14"/>
        <v>0</v>
      </c>
      <c r="I192" s="567"/>
      <c r="J192" s="568"/>
      <c r="K192" s="118"/>
      <c r="L192" s="146"/>
      <c r="M192" s="146"/>
      <c r="N192" s="146"/>
      <c r="O192" s="146"/>
      <c r="P192" s="147"/>
      <c r="Q192" s="151"/>
    </row>
    <row r="193" spans="1:17" ht="30" customHeight="1">
      <c r="A193" s="171" t="s">
        <v>388</v>
      </c>
      <c r="B193" s="116" t="s">
        <v>389</v>
      </c>
      <c r="C193" s="75" t="s">
        <v>57</v>
      </c>
      <c r="D193" s="107" t="s">
        <v>387</v>
      </c>
      <c r="E193" s="108">
        <f>Rekenblad!E194</f>
        <v>0</v>
      </c>
      <c r="F193" s="118">
        <f>Rekenblad!F194</f>
        <v>371</v>
      </c>
      <c r="G193" s="109"/>
      <c r="H193" s="167">
        <f t="shared" si="14"/>
        <v>0</v>
      </c>
      <c r="I193" s="567"/>
      <c r="J193" s="568"/>
      <c r="K193" s="118"/>
      <c r="L193" s="146"/>
      <c r="M193" s="146"/>
      <c r="N193" s="146"/>
      <c r="O193" s="146"/>
      <c r="P193" s="147"/>
      <c r="Q193" s="151"/>
    </row>
    <row r="194" spans="1:17" ht="30" customHeight="1">
      <c r="A194" s="226"/>
      <c r="B194" s="227"/>
      <c r="C194" s="228"/>
      <c r="D194" s="229"/>
      <c r="E194" s="179"/>
      <c r="F194" s="118"/>
      <c r="G194" s="230"/>
      <c r="H194" s="230"/>
      <c r="I194" s="231"/>
      <c r="J194" s="232"/>
      <c r="K194" s="233"/>
      <c r="L194" s="234"/>
      <c r="M194" s="234"/>
      <c r="N194" s="234"/>
      <c r="O194" s="234"/>
      <c r="P194" s="163"/>
      <c r="Q194" s="151"/>
    </row>
    <row r="195" spans="1:17" s="5" customFormat="1" ht="65.25" customHeight="1">
      <c r="A195" s="235">
        <v>10</v>
      </c>
      <c r="B195" s="236" t="s">
        <v>390</v>
      </c>
      <c r="C195" s="115"/>
      <c r="D195" s="38" t="s">
        <v>12</v>
      </c>
      <c r="E195" s="47" t="s">
        <v>13</v>
      </c>
      <c r="F195" s="60" t="str">
        <f>Rekenblad!F196</f>
        <v>bedrag per eenheid (excl. btw)</v>
      </c>
      <c r="G195" s="37" t="s">
        <v>15</v>
      </c>
      <c r="H195" s="37" t="s">
        <v>16</v>
      </c>
      <c r="I195" s="563" t="s">
        <v>17</v>
      </c>
      <c r="J195" s="564"/>
      <c r="K195" s="564"/>
      <c r="L195" s="564"/>
      <c r="M195" s="564"/>
      <c r="N195" s="564"/>
      <c r="O195" s="564"/>
      <c r="P195" s="38" t="s">
        <v>18</v>
      </c>
      <c r="Q195" s="301"/>
    </row>
    <row r="196" spans="1:17" ht="30" customHeight="1">
      <c r="A196" s="171" t="s">
        <v>391</v>
      </c>
      <c r="B196" s="89" t="s">
        <v>392</v>
      </c>
      <c r="C196" s="89" t="s">
        <v>117</v>
      </c>
      <c r="D196" s="171" t="s">
        <v>393</v>
      </c>
      <c r="E196" s="108">
        <f>Rekenblad!E197</f>
        <v>0</v>
      </c>
      <c r="F196" s="118">
        <f>Rekenblad!F197</f>
        <v>7.7485999999999997</v>
      </c>
      <c r="G196" s="198"/>
      <c r="H196" s="198">
        <f>1*G196</f>
        <v>0</v>
      </c>
      <c r="I196" s="565"/>
      <c r="J196" s="562"/>
      <c r="K196" s="161"/>
      <c r="L196" s="162"/>
      <c r="M196" s="162"/>
      <c r="N196" s="162"/>
      <c r="O196" s="162"/>
      <c r="P196" s="163"/>
      <c r="Q196" s="151"/>
    </row>
    <row r="197" spans="1:17" ht="30" customHeight="1">
      <c r="A197" s="171" t="s">
        <v>394</v>
      </c>
      <c r="B197" s="89" t="s">
        <v>395</v>
      </c>
      <c r="C197" s="89" t="s">
        <v>117</v>
      </c>
      <c r="D197" s="171" t="s">
        <v>393</v>
      </c>
      <c r="E197" s="108">
        <f>Rekenblad!E198</f>
        <v>0</v>
      </c>
      <c r="F197" s="118">
        <f>Rekenblad!F198</f>
        <v>7.7380000000000004</v>
      </c>
      <c r="G197" s="198"/>
      <c r="H197" s="198">
        <f t="shared" ref="H197:H221" si="16">1*G197</f>
        <v>0</v>
      </c>
      <c r="I197" s="565"/>
      <c r="J197" s="562"/>
      <c r="K197" s="161"/>
      <c r="L197" s="162"/>
      <c r="M197" s="162"/>
      <c r="N197" s="162"/>
      <c r="O197" s="162"/>
      <c r="P197" s="163"/>
      <c r="Q197" s="151"/>
    </row>
    <row r="198" spans="1:17" ht="30" customHeight="1">
      <c r="A198" s="171" t="s">
        <v>396</v>
      </c>
      <c r="B198" s="89" t="s">
        <v>397</v>
      </c>
      <c r="C198" s="89" t="s">
        <v>117</v>
      </c>
      <c r="D198" s="171" t="s">
        <v>398</v>
      </c>
      <c r="E198" s="108">
        <f>Rekenblad!E199</f>
        <v>0</v>
      </c>
      <c r="F198" s="118">
        <f>Rekenblad!F199</f>
        <v>58.300000000000004</v>
      </c>
      <c r="G198" s="198"/>
      <c r="H198" s="198">
        <f t="shared" si="16"/>
        <v>0</v>
      </c>
      <c r="I198" s="565"/>
      <c r="J198" s="562"/>
      <c r="K198" s="161"/>
      <c r="L198" s="162"/>
      <c r="M198" s="162"/>
      <c r="N198" s="162"/>
      <c r="O198" s="162"/>
      <c r="P198" s="163"/>
      <c r="Q198" s="151"/>
    </row>
    <row r="199" spans="1:17" ht="30" customHeight="1">
      <c r="A199" s="171" t="s">
        <v>399</v>
      </c>
      <c r="B199" s="89" t="s">
        <v>400</v>
      </c>
      <c r="C199" s="89" t="s">
        <v>117</v>
      </c>
      <c r="D199" s="171" t="s">
        <v>401</v>
      </c>
      <c r="E199" s="108">
        <f>Rekenblad!E200</f>
        <v>0</v>
      </c>
      <c r="F199" s="118">
        <f>Rekenblad!F200</f>
        <v>14.31</v>
      </c>
      <c r="G199" s="198"/>
      <c r="H199" s="198">
        <f t="shared" si="16"/>
        <v>0</v>
      </c>
      <c r="I199" s="565"/>
      <c r="J199" s="562"/>
      <c r="K199" s="161"/>
      <c r="L199" s="162"/>
      <c r="M199" s="162"/>
      <c r="N199" s="162"/>
      <c r="O199" s="162"/>
      <c r="P199" s="163"/>
      <c r="Q199" s="151"/>
    </row>
    <row r="200" spans="1:17" ht="30" customHeight="1">
      <c r="A200" s="171" t="s">
        <v>402</v>
      </c>
      <c r="B200" s="89" t="s">
        <v>403</v>
      </c>
      <c r="C200" s="89" t="s">
        <v>117</v>
      </c>
      <c r="D200" s="171" t="s">
        <v>401</v>
      </c>
      <c r="E200" s="108">
        <f>Rekenblad!E201</f>
        <v>0</v>
      </c>
      <c r="F200" s="118">
        <f>Rekenblad!F201</f>
        <v>14.31</v>
      </c>
      <c r="G200" s="198"/>
      <c r="H200" s="198">
        <f t="shared" si="16"/>
        <v>0</v>
      </c>
      <c r="I200" s="565"/>
      <c r="J200" s="562"/>
      <c r="K200" s="161"/>
      <c r="L200" s="162"/>
      <c r="M200" s="162"/>
      <c r="N200" s="162"/>
      <c r="O200" s="162"/>
      <c r="P200" s="163"/>
      <c r="Q200" s="151"/>
    </row>
    <row r="201" spans="1:17" ht="30" customHeight="1">
      <c r="A201" s="171" t="s">
        <v>404</v>
      </c>
      <c r="B201" s="89" t="s">
        <v>405</v>
      </c>
      <c r="C201" s="89" t="s">
        <v>117</v>
      </c>
      <c r="D201" s="171" t="s">
        <v>401</v>
      </c>
      <c r="E201" s="108">
        <f>Rekenblad!E202</f>
        <v>0</v>
      </c>
      <c r="F201" s="118">
        <f>Rekenblad!F202</f>
        <v>14.31</v>
      </c>
      <c r="G201" s="198"/>
      <c r="H201" s="198">
        <f t="shared" si="16"/>
        <v>0</v>
      </c>
      <c r="I201" s="565"/>
      <c r="J201" s="562"/>
      <c r="K201" s="161"/>
      <c r="L201" s="162"/>
      <c r="M201" s="162"/>
      <c r="N201" s="162"/>
      <c r="O201" s="162"/>
      <c r="P201" s="163"/>
      <c r="Q201" s="151"/>
    </row>
    <row r="202" spans="1:17" ht="30" customHeight="1">
      <c r="A202" s="171" t="s">
        <v>406</v>
      </c>
      <c r="B202" s="89" t="s">
        <v>407</v>
      </c>
      <c r="C202" s="89" t="s">
        <v>117</v>
      </c>
      <c r="D202" s="171" t="s">
        <v>401</v>
      </c>
      <c r="E202" s="108">
        <f>Rekenblad!E203</f>
        <v>0</v>
      </c>
      <c r="F202" s="118">
        <f>Rekenblad!F203</f>
        <v>14.31</v>
      </c>
      <c r="G202" s="198"/>
      <c r="H202" s="198">
        <f t="shared" si="16"/>
        <v>0</v>
      </c>
      <c r="I202" s="565"/>
      <c r="J202" s="562"/>
      <c r="K202" s="161"/>
      <c r="L202" s="162"/>
      <c r="M202" s="162"/>
      <c r="N202" s="162"/>
      <c r="O202" s="162"/>
      <c r="P202" s="163"/>
      <c r="Q202" s="151"/>
    </row>
    <row r="203" spans="1:17" ht="30" customHeight="1">
      <c r="A203" s="171" t="s">
        <v>408</v>
      </c>
      <c r="B203" s="89" t="s">
        <v>409</v>
      </c>
      <c r="C203" s="89" t="s">
        <v>117</v>
      </c>
      <c r="D203" s="171" t="s">
        <v>401</v>
      </c>
      <c r="E203" s="108">
        <f>Rekenblad!E204</f>
        <v>0</v>
      </c>
      <c r="F203" s="118">
        <f>Rekenblad!F204</f>
        <v>14.31</v>
      </c>
      <c r="G203" s="198"/>
      <c r="H203" s="198">
        <f t="shared" si="16"/>
        <v>0</v>
      </c>
      <c r="I203" s="565"/>
      <c r="J203" s="562"/>
      <c r="K203" s="161"/>
      <c r="L203" s="162"/>
      <c r="M203" s="162"/>
      <c r="N203" s="162"/>
      <c r="O203" s="162"/>
      <c r="P203" s="163"/>
      <c r="Q203" s="151"/>
    </row>
    <row r="204" spans="1:17" ht="30" customHeight="1">
      <c r="A204" s="171" t="s">
        <v>410</v>
      </c>
      <c r="B204" s="89" t="s">
        <v>411</v>
      </c>
      <c r="C204" s="89" t="s">
        <v>117</v>
      </c>
      <c r="D204" s="171" t="s">
        <v>401</v>
      </c>
      <c r="E204" s="108">
        <f>Rekenblad!E205</f>
        <v>0</v>
      </c>
      <c r="F204" s="118">
        <f>Rekenblad!F205</f>
        <v>14.31</v>
      </c>
      <c r="G204" s="198"/>
      <c r="H204" s="198">
        <f t="shared" si="16"/>
        <v>0</v>
      </c>
      <c r="I204" s="565"/>
      <c r="J204" s="562"/>
      <c r="K204" s="161"/>
      <c r="L204" s="162"/>
      <c r="M204" s="162"/>
      <c r="N204" s="162"/>
      <c r="O204" s="162"/>
      <c r="P204" s="163"/>
      <c r="Q204" s="151"/>
    </row>
    <row r="205" spans="1:17" ht="30" customHeight="1">
      <c r="A205" s="171" t="s">
        <v>412</v>
      </c>
      <c r="B205" s="89" t="s">
        <v>413</v>
      </c>
      <c r="C205" s="89" t="s">
        <v>117</v>
      </c>
      <c r="D205" s="171" t="s">
        <v>414</v>
      </c>
      <c r="E205" s="108">
        <f>Rekenblad!E206</f>
        <v>0</v>
      </c>
      <c r="F205" s="118">
        <f>Rekenblad!F206</f>
        <v>90.100000000000009</v>
      </c>
      <c r="G205" s="198"/>
      <c r="H205" s="198">
        <f t="shared" si="16"/>
        <v>0</v>
      </c>
      <c r="I205" s="565"/>
      <c r="J205" s="562"/>
      <c r="K205" s="161"/>
      <c r="L205" s="162"/>
      <c r="M205" s="162"/>
      <c r="N205" s="162"/>
      <c r="O205" s="162"/>
      <c r="P205" s="163"/>
      <c r="Q205" s="151"/>
    </row>
    <row r="206" spans="1:17" ht="30" customHeight="1">
      <c r="A206" s="171" t="s">
        <v>415</v>
      </c>
      <c r="B206" s="89" t="s">
        <v>416</v>
      </c>
      <c r="C206" s="89" t="s">
        <v>117</v>
      </c>
      <c r="D206" s="171" t="s">
        <v>401</v>
      </c>
      <c r="E206" s="108">
        <f>Rekenblad!E207</f>
        <v>0</v>
      </c>
      <c r="F206" s="118">
        <f>Rekenblad!F207</f>
        <v>14.31</v>
      </c>
      <c r="G206" s="198"/>
      <c r="H206" s="198">
        <f t="shared" si="16"/>
        <v>0</v>
      </c>
      <c r="I206" s="565"/>
      <c r="J206" s="562"/>
      <c r="K206" s="161"/>
      <c r="L206" s="162"/>
      <c r="M206" s="162"/>
      <c r="N206" s="162"/>
      <c r="O206" s="162"/>
      <c r="P206" s="163"/>
      <c r="Q206" s="151"/>
    </row>
    <row r="207" spans="1:17" ht="30" customHeight="1">
      <c r="A207" s="171" t="s">
        <v>417</v>
      </c>
      <c r="B207" s="89" t="s">
        <v>418</v>
      </c>
      <c r="C207" s="89" t="s">
        <v>117</v>
      </c>
      <c r="D207" s="171" t="s">
        <v>401</v>
      </c>
      <c r="E207" s="108">
        <f>Rekenblad!E208</f>
        <v>0</v>
      </c>
      <c r="F207" s="118">
        <f>Rekenblad!F208</f>
        <v>2.6500000000000004</v>
      </c>
      <c r="G207" s="198"/>
      <c r="H207" s="198">
        <f t="shared" si="16"/>
        <v>0</v>
      </c>
      <c r="I207" s="565"/>
      <c r="J207" s="562"/>
      <c r="K207" s="161"/>
      <c r="L207" s="162"/>
      <c r="M207" s="162"/>
      <c r="N207" s="162"/>
      <c r="O207" s="162"/>
      <c r="P207" s="163"/>
      <c r="Q207" s="151"/>
    </row>
    <row r="208" spans="1:17" ht="30" customHeight="1">
      <c r="A208" s="171" t="s">
        <v>419</v>
      </c>
      <c r="B208" s="89" t="s">
        <v>420</v>
      </c>
      <c r="C208" s="89" t="s">
        <v>117</v>
      </c>
      <c r="D208" s="171" t="s">
        <v>304</v>
      </c>
      <c r="E208" s="108">
        <f>Rekenblad!E209</f>
        <v>0</v>
      </c>
      <c r="F208" s="118">
        <f>Rekenblad!F209</f>
        <v>14.84</v>
      </c>
      <c r="G208" s="198"/>
      <c r="H208" s="198">
        <f t="shared" si="16"/>
        <v>0</v>
      </c>
      <c r="I208" s="565"/>
      <c r="J208" s="562"/>
      <c r="K208" s="161"/>
      <c r="L208" s="162"/>
      <c r="M208" s="162"/>
      <c r="N208" s="162"/>
      <c r="O208" s="162"/>
      <c r="P208" s="163"/>
      <c r="Q208" s="151"/>
    </row>
    <row r="209" spans="1:17" ht="30" customHeight="1">
      <c r="A209" s="171" t="s">
        <v>421</v>
      </c>
      <c r="B209" s="89" t="s">
        <v>422</v>
      </c>
      <c r="C209" s="89" t="s">
        <v>117</v>
      </c>
      <c r="D209" s="171" t="s">
        <v>401</v>
      </c>
      <c r="E209" s="108">
        <f>Rekenblad!E210</f>
        <v>0</v>
      </c>
      <c r="F209" s="118">
        <f>Rekenblad!F210</f>
        <v>15.158000000000001</v>
      </c>
      <c r="G209" s="198"/>
      <c r="H209" s="198">
        <f t="shared" si="16"/>
        <v>0</v>
      </c>
      <c r="I209" s="565"/>
      <c r="J209" s="562"/>
      <c r="K209" s="161"/>
      <c r="L209" s="162"/>
      <c r="M209" s="162"/>
      <c r="N209" s="162"/>
      <c r="O209" s="162"/>
      <c r="P209" s="163"/>
      <c r="Q209" s="151"/>
    </row>
    <row r="210" spans="1:17" ht="30" customHeight="1">
      <c r="A210" s="171" t="s">
        <v>423</v>
      </c>
      <c r="B210" s="89" t="s">
        <v>424</v>
      </c>
      <c r="C210" s="89" t="s">
        <v>117</v>
      </c>
      <c r="D210" s="171" t="s">
        <v>304</v>
      </c>
      <c r="E210" s="108">
        <f>Rekenblad!E211</f>
        <v>0</v>
      </c>
      <c r="F210" s="118">
        <f>Rekenblad!F211</f>
        <v>90.100000000000009</v>
      </c>
      <c r="G210" s="198"/>
      <c r="H210" s="198">
        <f t="shared" si="16"/>
        <v>0</v>
      </c>
      <c r="I210" s="565"/>
      <c r="J210" s="562"/>
      <c r="K210" s="161"/>
      <c r="L210" s="162"/>
      <c r="M210" s="162"/>
      <c r="N210" s="162"/>
      <c r="O210" s="162"/>
      <c r="P210" s="163"/>
      <c r="Q210" s="151"/>
    </row>
    <row r="211" spans="1:17" ht="30" customHeight="1">
      <c r="A211" s="171" t="s">
        <v>425</v>
      </c>
      <c r="B211" s="89" t="s">
        <v>426</v>
      </c>
      <c r="C211" s="89" t="s">
        <v>117</v>
      </c>
      <c r="D211" s="171" t="s">
        <v>427</v>
      </c>
      <c r="E211" s="108">
        <f>Rekenblad!E212</f>
        <v>0</v>
      </c>
      <c r="F211" s="118">
        <f>Rekenblad!F212</f>
        <v>106</v>
      </c>
      <c r="G211" s="198"/>
      <c r="H211" s="198">
        <f t="shared" si="16"/>
        <v>0</v>
      </c>
      <c r="I211" s="565"/>
      <c r="J211" s="562"/>
      <c r="K211" s="161"/>
      <c r="L211" s="162"/>
      <c r="M211" s="162"/>
      <c r="N211" s="162"/>
      <c r="O211" s="162"/>
      <c r="P211" s="163"/>
      <c r="Q211" s="151"/>
    </row>
    <row r="212" spans="1:17" ht="30" customHeight="1">
      <c r="A212" s="171" t="s">
        <v>428</v>
      </c>
      <c r="B212" s="89" t="s">
        <v>429</v>
      </c>
      <c r="C212" s="89" t="s">
        <v>117</v>
      </c>
      <c r="D212" s="171" t="s">
        <v>304</v>
      </c>
      <c r="E212" s="108">
        <f>Rekenblad!E213</f>
        <v>0</v>
      </c>
      <c r="F212" s="118">
        <f>Rekenblad!F213</f>
        <v>0</v>
      </c>
      <c r="G212" s="198"/>
      <c r="H212" s="198">
        <f t="shared" si="16"/>
        <v>0</v>
      </c>
      <c r="I212" s="565"/>
      <c r="J212" s="562"/>
      <c r="K212" s="161"/>
      <c r="L212" s="162"/>
      <c r="M212" s="162"/>
      <c r="N212" s="162"/>
      <c r="O212" s="162"/>
      <c r="P212" s="163"/>
      <c r="Q212" s="151"/>
    </row>
    <row r="213" spans="1:17" ht="30" customHeight="1">
      <c r="A213" s="171" t="s">
        <v>430</v>
      </c>
      <c r="B213" s="89" t="s">
        <v>431</v>
      </c>
      <c r="C213" s="89" t="s">
        <v>117</v>
      </c>
      <c r="D213" s="171" t="s">
        <v>432</v>
      </c>
      <c r="E213" s="108">
        <f>Rekenblad!E214</f>
        <v>0</v>
      </c>
      <c r="F213" s="118">
        <f>Rekenblad!F214</f>
        <v>24.380000000000003</v>
      </c>
      <c r="G213" s="198"/>
      <c r="H213" s="198">
        <f t="shared" si="16"/>
        <v>0</v>
      </c>
      <c r="I213" s="565"/>
      <c r="J213" s="562"/>
      <c r="K213" s="161"/>
      <c r="L213" s="162"/>
      <c r="M213" s="162"/>
      <c r="N213" s="162"/>
      <c r="O213" s="162"/>
      <c r="P213" s="163"/>
      <c r="Q213" s="151"/>
    </row>
    <row r="214" spans="1:17" ht="30" customHeight="1">
      <c r="A214" s="171" t="s">
        <v>433</v>
      </c>
      <c r="B214" s="89" t="s">
        <v>434</v>
      </c>
      <c r="C214" s="89" t="s">
        <v>117</v>
      </c>
      <c r="D214" s="171" t="s">
        <v>435</v>
      </c>
      <c r="E214" s="108">
        <f>Rekenblad!E215</f>
        <v>0</v>
      </c>
      <c r="F214" s="118">
        <f>Rekenblad!F215</f>
        <v>121.9</v>
      </c>
      <c r="G214" s="198"/>
      <c r="H214" s="198">
        <f t="shared" si="16"/>
        <v>0</v>
      </c>
      <c r="I214" s="565"/>
      <c r="J214" s="562"/>
      <c r="K214" s="161"/>
      <c r="L214" s="162"/>
      <c r="M214" s="162"/>
      <c r="N214" s="162"/>
      <c r="O214" s="162"/>
      <c r="P214" s="163"/>
      <c r="Q214" s="151"/>
    </row>
    <row r="215" spans="1:17" ht="30" customHeight="1">
      <c r="A215" s="171" t="s">
        <v>436</v>
      </c>
      <c r="B215" s="76" t="s">
        <v>437</v>
      </c>
      <c r="C215" s="89" t="s">
        <v>117</v>
      </c>
      <c r="D215" s="171" t="s">
        <v>438</v>
      </c>
      <c r="E215" s="108">
        <f>Rekenblad!E216</f>
        <v>0</v>
      </c>
      <c r="F215" s="118">
        <f>Rekenblad!F216</f>
        <v>0</v>
      </c>
      <c r="G215" s="198"/>
      <c r="H215" s="198">
        <f t="shared" si="16"/>
        <v>0</v>
      </c>
      <c r="I215" s="565"/>
      <c r="J215" s="562"/>
      <c r="K215" s="161"/>
      <c r="L215" s="162"/>
      <c r="M215" s="162"/>
      <c r="N215" s="162"/>
      <c r="O215" s="162"/>
      <c r="P215" s="163"/>
      <c r="Q215" s="151"/>
    </row>
    <row r="216" spans="1:17" ht="30" customHeight="1">
      <c r="A216" s="171" t="s">
        <v>439</v>
      </c>
      <c r="B216" s="89" t="s">
        <v>440</v>
      </c>
      <c r="C216" s="89" t="s">
        <v>117</v>
      </c>
      <c r="D216" s="171" t="s">
        <v>304</v>
      </c>
      <c r="E216" s="108">
        <f>Rekenblad!E217</f>
        <v>0</v>
      </c>
      <c r="F216" s="118">
        <f>Rekenblad!F217</f>
        <v>0</v>
      </c>
      <c r="G216" s="198"/>
      <c r="H216" s="198">
        <f t="shared" si="16"/>
        <v>0</v>
      </c>
      <c r="I216" s="565"/>
      <c r="J216" s="562"/>
      <c r="K216" s="161"/>
      <c r="L216" s="162"/>
      <c r="M216" s="162"/>
      <c r="N216" s="162"/>
      <c r="O216" s="162"/>
      <c r="P216" s="163"/>
      <c r="Q216" s="151"/>
    </row>
    <row r="217" spans="1:17" ht="30" customHeight="1">
      <c r="A217" s="171" t="s">
        <v>441</v>
      </c>
      <c r="B217" s="89" t="s">
        <v>442</v>
      </c>
      <c r="C217" s="89" t="s">
        <v>117</v>
      </c>
      <c r="D217" s="171" t="s">
        <v>304</v>
      </c>
      <c r="E217" s="108">
        <f>Rekenblad!E218</f>
        <v>0</v>
      </c>
      <c r="F217" s="118">
        <f>Rekenblad!F218</f>
        <v>3.71</v>
      </c>
      <c r="G217" s="198"/>
      <c r="H217" s="198">
        <f t="shared" si="16"/>
        <v>0</v>
      </c>
      <c r="I217" s="565"/>
      <c r="J217" s="562"/>
      <c r="K217" s="161"/>
      <c r="L217" s="162"/>
      <c r="M217" s="162"/>
      <c r="N217" s="162"/>
      <c r="O217" s="162"/>
      <c r="P217" s="163"/>
      <c r="Q217" s="151"/>
    </row>
    <row r="218" spans="1:17" ht="30" customHeight="1">
      <c r="A218" s="171" t="s">
        <v>443</v>
      </c>
      <c r="B218" s="89" t="s">
        <v>444</v>
      </c>
      <c r="C218" s="89" t="s">
        <v>117</v>
      </c>
      <c r="D218" s="171" t="s">
        <v>304</v>
      </c>
      <c r="E218" s="108">
        <f>Rekenblad!E219</f>
        <v>0</v>
      </c>
      <c r="F218" s="118">
        <f>Rekenblad!F219</f>
        <v>21.200000000000003</v>
      </c>
      <c r="G218" s="198"/>
      <c r="H218" s="198">
        <f t="shared" si="16"/>
        <v>0</v>
      </c>
      <c r="I218" s="565"/>
      <c r="J218" s="562"/>
      <c r="K218" s="161"/>
      <c r="L218" s="162"/>
      <c r="M218" s="162"/>
      <c r="N218" s="162"/>
      <c r="O218" s="162"/>
      <c r="P218" s="163"/>
      <c r="Q218" s="151"/>
    </row>
    <row r="219" spans="1:17" ht="30" customHeight="1">
      <c r="A219" s="171" t="s">
        <v>445</v>
      </c>
      <c r="B219" s="89" t="s">
        <v>446</v>
      </c>
      <c r="C219" s="89" t="s">
        <v>117</v>
      </c>
      <c r="D219" s="171" t="s">
        <v>139</v>
      </c>
      <c r="E219" s="108">
        <f>Rekenblad!E220</f>
        <v>0</v>
      </c>
      <c r="F219" s="118">
        <f>Rekenblad!F220</f>
        <v>47.7</v>
      </c>
      <c r="G219" s="109"/>
      <c r="H219" s="198">
        <f t="shared" si="16"/>
        <v>0</v>
      </c>
      <c r="I219" s="565"/>
      <c r="J219" s="562"/>
      <c r="K219" s="118"/>
      <c r="L219" s="146"/>
      <c r="M219" s="146"/>
      <c r="N219" s="146"/>
      <c r="O219" s="146"/>
      <c r="P219" s="147"/>
      <c r="Q219" s="151"/>
    </row>
    <row r="220" spans="1:17" ht="30" customHeight="1">
      <c r="A220" s="171" t="s">
        <v>447</v>
      </c>
      <c r="B220" s="89" t="s">
        <v>448</v>
      </c>
      <c r="C220" s="89" t="s">
        <v>117</v>
      </c>
      <c r="D220" s="171" t="s">
        <v>304</v>
      </c>
      <c r="E220" s="108">
        <f>Rekenblad!E221</f>
        <v>0</v>
      </c>
      <c r="F220" s="118">
        <f>Rekenblad!F221</f>
        <v>47.7</v>
      </c>
      <c r="G220" s="109"/>
      <c r="H220" s="198">
        <f t="shared" si="16"/>
        <v>0</v>
      </c>
      <c r="I220" s="565"/>
      <c r="J220" s="562"/>
      <c r="K220" s="118"/>
      <c r="L220" s="146"/>
      <c r="M220" s="146"/>
      <c r="N220" s="146"/>
      <c r="O220" s="146"/>
      <c r="P220" s="147"/>
      <c r="Q220" s="151"/>
    </row>
    <row r="221" spans="1:17" ht="30" customHeight="1">
      <c r="A221" s="171" t="s">
        <v>449</v>
      </c>
      <c r="B221" s="89" t="s">
        <v>450</v>
      </c>
      <c r="C221" s="89" t="s">
        <v>117</v>
      </c>
      <c r="D221" s="171" t="s">
        <v>304</v>
      </c>
      <c r="E221" s="108">
        <f>Rekenblad!E222</f>
        <v>0</v>
      </c>
      <c r="F221" s="118">
        <f>Rekenblad!F222</f>
        <v>26.5</v>
      </c>
      <c r="G221" s="109"/>
      <c r="H221" s="198">
        <f t="shared" si="16"/>
        <v>0</v>
      </c>
      <c r="I221" s="565"/>
      <c r="J221" s="562"/>
      <c r="K221" s="118"/>
      <c r="L221" s="146"/>
      <c r="M221" s="146"/>
      <c r="N221" s="146"/>
      <c r="O221" s="146"/>
      <c r="P221" s="147"/>
      <c r="Q221" s="151"/>
    </row>
    <row r="222" spans="1:17" ht="30" customHeight="1">
      <c r="A222" s="218"/>
      <c r="B222" s="151"/>
      <c r="C222" s="151"/>
      <c r="D222" s="213"/>
      <c r="E222" s="179"/>
      <c r="F222" s="118"/>
      <c r="G222" s="109"/>
      <c r="H222" s="237"/>
      <c r="I222" s="565"/>
      <c r="J222" s="562"/>
      <c r="K222" s="161"/>
      <c r="L222" s="162"/>
      <c r="M222" s="162"/>
      <c r="N222" s="162"/>
      <c r="O222" s="162"/>
      <c r="P222" s="163"/>
      <c r="Q222" s="151"/>
    </row>
    <row r="223" spans="1:17" ht="30" customHeight="1">
      <c r="A223" s="141">
        <v>11</v>
      </c>
      <c r="B223" s="65" t="s">
        <v>451</v>
      </c>
      <c r="C223" s="65"/>
      <c r="D223" s="38" t="s">
        <v>12</v>
      </c>
      <c r="E223" s="47" t="s">
        <v>13</v>
      </c>
      <c r="F223" s="60" t="str">
        <f>Rekenblad!F224</f>
        <v>bedrag per eenheid (excl. btw)</v>
      </c>
      <c r="G223" s="53" t="s">
        <v>15</v>
      </c>
      <c r="H223" s="48" t="s">
        <v>16</v>
      </c>
      <c r="I223" s="563" t="s">
        <v>17</v>
      </c>
      <c r="J223" s="566"/>
      <c r="K223" s="37"/>
      <c r="L223" s="50"/>
      <c r="M223" s="50"/>
      <c r="N223" s="50"/>
      <c r="O223" s="50"/>
      <c r="P223" s="49" t="s">
        <v>18</v>
      </c>
      <c r="Q223" s="151"/>
    </row>
    <row r="224" spans="1:17" ht="30" customHeight="1">
      <c r="A224" s="171" t="s">
        <v>452</v>
      </c>
      <c r="B224" s="116" t="s">
        <v>453</v>
      </c>
      <c r="C224" s="75" t="s">
        <v>33</v>
      </c>
      <c r="D224" s="238" t="s">
        <v>8</v>
      </c>
      <c r="E224" s="108">
        <f>Rekenblad!E225</f>
        <v>4</v>
      </c>
      <c r="F224" s="118">
        <f>Rekenblad!F225</f>
        <v>76.850000000000009</v>
      </c>
      <c r="G224" s="198">
        <f>E224*F224</f>
        <v>307.40000000000003</v>
      </c>
      <c r="H224" s="198">
        <f>1*G224</f>
        <v>307.40000000000003</v>
      </c>
      <c r="I224" s="561" t="s">
        <v>454</v>
      </c>
      <c r="J224" s="562"/>
      <c r="K224" s="183"/>
      <c r="L224" s="184"/>
      <c r="M224" s="184"/>
      <c r="N224" s="184"/>
      <c r="O224" s="184"/>
      <c r="P224" s="185"/>
      <c r="Q224" s="151"/>
    </row>
    <row r="225" spans="1:17" ht="30" customHeight="1">
      <c r="A225" s="171" t="s">
        <v>455</v>
      </c>
      <c r="B225" s="116" t="s">
        <v>453</v>
      </c>
      <c r="C225" s="75" t="s">
        <v>33</v>
      </c>
      <c r="D225" s="238" t="s">
        <v>8</v>
      </c>
      <c r="E225" s="108">
        <f>Rekenblad!E226</f>
        <v>4</v>
      </c>
      <c r="F225" s="118">
        <f>Rekenblad!F226</f>
        <v>63.6</v>
      </c>
      <c r="G225" s="198">
        <f t="shared" ref="G225:G232" si="17">E225*F225</f>
        <v>254.4</v>
      </c>
      <c r="H225" s="198">
        <f t="shared" ref="H225:H232" si="18">1*G225</f>
        <v>254.4</v>
      </c>
      <c r="I225" s="561"/>
      <c r="J225" s="562"/>
      <c r="K225" s="183"/>
      <c r="L225" s="184"/>
      <c r="M225" s="184"/>
      <c r="N225" s="184"/>
      <c r="O225" s="184"/>
      <c r="P225" s="185"/>
      <c r="Q225" s="151"/>
    </row>
    <row r="226" spans="1:17" ht="30" customHeight="1">
      <c r="A226" s="171" t="s">
        <v>456</v>
      </c>
      <c r="B226" s="116" t="s">
        <v>453</v>
      </c>
      <c r="C226" s="75" t="s">
        <v>33</v>
      </c>
      <c r="D226" s="238" t="s">
        <v>8</v>
      </c>
      <c r="E226" s="108">
        <f>Rekenblad!E227</f>
        <v>4</v>
      </c>
      <c r="F226" s="118">
        <f>Rekenblad!F227</f>
        <v>63.6</v>
      </c>
      <c r="G226" s="198">
        <f t="shared" si="17"/>
        <v>254.4</v>
      </c>
      <c r="H226" s="198">
        <f t="shared" si="18"/>
        <v>254.4</v>
      </c>
      <c r="I226" s="561"/>
      <c r="J226" s="562"/>
      <c r="K226" s="183"/>
      <c r="L226" s="184"/>
      <c r="M226" s="184"/>
      <c r="N226" s="184"/>
      <c r="O226" s="184"/>
      <c r="P226" s="185"/>
      <c r="Q226" s="151"/>
    </row>
    <row r="227" spans="1:17" ht="30" customHeight="1">
      <c r="A227" s="171" t="s">
        <v>457</v>
      </c>
      <c r="B227" s="116" t="s">
        <v>458</v>
      </c>
      <c r="C227" s="75" t="s">
        <v>33</v>
      </c>
      <c r="D227" s="238" t="s">
        <v>8</v>
      </c>
      <c r="E227" s="108">
        <f>Rekenblad!E228</f>
        <v>8</v>
      </c>
      <c r="F227" s="118">
        <f>Rekenblad!F228</f>
        <v>115.01</v>
      </c>
      <c r="G227" s="198">
        <f t="shared" si="17"/>
        <v>920.08</v>
      </c>
      <c r="H227" s="198">
        <f t="shared" si="18"/>
        <v>920.08</v>
      </c>
      <c r="I227" s="561"/>
      <c r="J227" s="562"/>
      <c r="K227" s="183"/>
      <c r="L227" s="184"/>
      <c r="M227" s="184"/>
      <c r="N227" s="184"/>
      <c r="O227" s="184"/>
      <c r="P227" s="185"/>
      <c r="Q227" s="151"/>
    </row>
    <row r="228" spans="1:17" ht="30" customHeight="1">
      <c r="A228" s="171" t="s">
        <v>459</v>
      </c>
      <c r="B228" s="174" t="s">
        <v>460</v>
      </c>
      <c r="C228" s="107" t="s">
        <v>33</v>
      </c>
      <c r="D228" s="107" t="s">
        <v>8</v>
      </c>
      <c r="E228" s="108">
        <f>Rekenblad!E229</f>
        <v>8</v>
      </c>
      <c r="F228" s="118">
        <f>Rekenblad!F229</f>
        <v>79.5</v>
      </c>
      <c r="G228" s="198">
        <f t="shared" si="17"/>
        <v>636</v>
      </c>
      <c r="H228" s="198">
        <f t="shared" si="18"/>
        <v>636</v>
      </c>
      <c r="I228" s="561"/>
      <c r="J228" s="562"/>
      <c r="K228" s="161"/>
      <c r="L228" s="162"/>
      <c r="M228" s="162"/>
      <c r="N228" s="162"/>
      <c r="O228" s="162"/>
      <c r="P228" s="163"/>
      <c r="Q228" s="151"/>
    </row>
    <row r="229" spans="1:17" ht="30" customHeight="1">
      <c r="A229" s="171" t="s">
        <v>461</v>
      </c>
      <c r="B229" s="174" t="s">
        <v>462</v>
      </c>
      <c r="C229" s="107" t="s">
        <v>53</v>
      </c>
      <c r="D229" s="107" t="s">
        <v>463</v>
      </c>
      <c r="E229" s="108">
        <f>Rekenblad!E230</f>
        <v>1</v>
      </c>
      <c r="F229" s="118">
        <f>Rekenblad!F230</f>
        <v>530</v>
      </c>
      <c r="G229" s="198">
        <f t="shared" si="17"/>
        <v>530</v>
      </c>
      <c r="H229" s="198">
        <f t="shared" si="18"/>
        <v>530</v>
      </c>
      <c r="I229" s="561"/>
      <c r="J229" s="562"/>
      <c r="K229" s="118"/>
      <c r="L229" s="146"/>
      <c r="M229" s="146"/>
      <c r="N229" s="146"/>
      <c r="O229" s="146"/>
      <c r="P229" s="147"/>
      <c r="Q229" s="151"/>
    </row>
    <row r="230" spans="1:17" ht="30" customHeight="1">
      <c r="A230" s="171" t="s">
        <v>464</v>
      </c>
      <c r="B230" s="89" t="s">
        <v>465</v>
      </c>
      <c r="C230" s="89" t="s">
        <v>101</v>
      </c>
      <c r="D230" s="171"/>
      <c r="E230" s="108">
        <f>Rekenblad!E231</f>
        <v>0</v>
      </c>
      <c r="F230" s="118">
        <f>Rekenblad!F231</f>
        <v>81.62</v>
      </c>
      <c r="G230" s="118">
        <f t="shared" si="17"/>
        <v>0</v>
      </c>
      <c r="H230" s="197">
        <f t="shared" si="18"/>
        <v>0</v>
      </c>
      <c r="I230" s="561"/>
      <c r="J230" s="562"/>
      <c r="K230" s="183"/>
      <c r="L230" s="184"/>
      <c r="M230" s="184"/>
      <c r="N230" s="184"/>
      <c r="O230" s="184"/>
      <c r="P230" s="185"/>
      <c r="Q230" s="151"/>
    </row>
    <row r="231" spans="1:17" ht="30" customHeight="1">
      <c r="A231" s="171" t="s">
        <v>466</v>
      </c>
      <c r="B231" s="89" t="s">
        <v>467</v>
      </c>
      <c r="C231" s="89" t="s">
        <v>101</v>
      </c>
      <c r="D231" s="171"/>
      <c r="E231" s="108">
        <f>Rekenblad!E232</f>
        <v>0</v>
      </c>
      <c r="F231" s="118">
        <f>Rekenblad!F232</f>
        <v>51.982399999999998</v>
      </c>
      <c r="G231" s="118">
        <f t="shared" si="17"/>
        <v>0</v>
      </c>
      <c r="H231" s="197">
        <f t="shared" si="18"/>
        <v>0</v>
      </c>
      <c r="I231" s="561"/>
      <c r="J231" s="562"/>
      <c r="K231" s="183"/>
      <c r="L231" s="184"/>
      <c r="M231" s="184"/>
      <c r="N231" s="184"/>
      <c r="O231" s="184"/>
      <c r="P231" s="185"/>
      <c r="Q231" s="151"/>
    </row>
    <row r="232" spans="1:17" ht="30" customHeight="1">
      <c r="A232" s="171" t="s">
        <v>468</v>
      </c>
      <c r="B232" s="174" t="s">
        <v>469</v>
      </c>
      <c r="C232" s="107" t="s">
        <v>33</v>
      </c>
      <c r="D232" s="107" t="s">
        <v>470</v>
      </c>
      <c r="E232" s="108">
        <f>Rekenblad!E233</f>
        <v>12</v>
      </c>
      <c r="F232" s="118">
        <f>Rekenblad!F233</f>
        <v>63.6</v>
      </c>
      <c r="G232" s="198">
        <f t="shared" si="17"/>
        <v>763.2</v>
      </c>
      <c r="H232" s="198">
        <f t="shared" si="18"/>
        <v>763.2</v>
      </c>
      <c r="I232" s="561" t="s">
        <v>471</v>
      </c>
      <c r="J232" s="562"/>
      <c r="K232" s="161"/>
      <c r="L232" s="162"/>
      <c r="M232" s="162"/>
      <c r="N232" s="162"/>
      <c r="O232" s="162"/>
      <c r="P232" s="163"/>
      <c r="Q232" s="151"/>
    </row>
    <row r="233" spans="1:17" ht="30" customHeight="1">
      <c r="A233" s="171"/>
      <c r="B233" s="89"/>
      <c r="C233" s="89"/>
      <c r="D233" s="171"/>
      <c r="E233" s="108"/>
      <c r="F233" s="118"/>
      <c r="G233" s="109"/>
      <c r="H233" s="167"/>
      <c r="I233" s="231"/>
      <c r="J233" s="232"/>
      <c r="K233" s="240"/>
      <c r="L233" s="241"/>
      <c r="M233" s="241"/>
      <c r="N233" s="241"/>
      <c r="O233" s="241"/>
      <c r="P233" s="147"/>
      <c r="Q233" s="151"/>
    </row>
    <row r="234" spans="1:17" s="5" customFormat="1" ht="65.25" customHeight="1">
      <c r="A234" s="61" t="s">
        <v>10</v>
      </c>
      <c r="B234" s="62" t="s">
        <v>11</v>
      </c>
      <c r="C234" s="63"/>
      <c r="D234" s="35" t="s">
        <v>12</v>
      </c>
      <c r="E234" s="36" t="s">
        <v>13</v>
      </c>
      <c r="F234" s="60" t="str">
        <f>Rekenblad!F235</f>
        <v>bedrag per eenheid (excl. btw)</v>
      </c>
      <c r="G234" s="37" t="s">
        <v>15</v>
      </c>
      <c r="H234" s="37" t="s">
        <v>16</v>
      </c>
      <c r="I234" s="563" t="s">
        <v>17</v>
      </c>
      <c r="J234" s="564"/>
      <c r="K234" s="564"/>
      <c r="L234" s="564"/>
      <c r="M234" s="564"/>
      <c r="N234" s="564"/>
      <c r="O234" s="564"/>
      <c r="P234" s="38" t="s">
        <v>18</v>
      </c>
      <c r="Q234" s="301"/>
    </row>
    <row r="235" spans="1:17">
      <c r="A235" s="218"/>
      <c r="B235" s="219"/>
      <c r="C235" s="219"/>
      <c r="D235" s="218"/>
      <c r="E235" s="220"/>
      <c r="F235" s="118">
        <f>Rekenblad!F236</f>
        <v>0</v>
      </c>
      <c r="G235" s="221"/>
      <c r="H235" s="221"/>
      <c r="I235" s="222"/>
      <c r="J235" s="151"/>
      <c r="K235" s="223"/>
      <c r="L235" s="224"/>
      <c r="M235" s="224"/>
      <c r="N235" s="224"/>
      <c r="O235" s="224"/>
      <c r="P235" s="225"/>
      <c r="Q235" s="151"/>
    </row>
    <row r="236" spans="1:17" ht="30" customHeight="1">
      <c r="A236" s="171" t="s">
        <v>472</v>
      </c>
      <c r="B236" s="116" t="s">
        <v>473</v>
      </c>
      <c r="C236" s="75"/>
      <c r="D236" s="107" t="s">
        <v>474</v>
      </c>
      <c r="E236" s="108">
        <f>Rekenblad!E237</f>
        <v>5</v>
      </c>
      <c r="F236" s="118">
        <f>Rekenblad!F237</f>
        <v>1060</v>
      </c>
      <c r="G236" s="109"/>
      <c r="H236" s="167">
        <f t="shared" ref="H236:H237" si="19">SUM(E236*F236)</f>
        <v>5300</v>
      </c>
      <c r="I236" s="76"/>
      <c r="J236" s="89"/>
      <c r="K236" s="118"/>
      <c r="L236" s="146"/>
      <c r="M236" s="146"/>
      <c r="N236" s="146"/>
      <c r="O236" s="146"/>
      <c r="P236" s="147"/>
      <c r="Q236" s="151"/>
    </row>
    <row r="237" spans="1:17" ht="30" customHeight="1">
      <c r="A237" s="171" t="s">
        <v>475</v>
      </c>
      <c r="B237" s="116" t="s">
        <v>476</v>
      </c>
      <c r="C237" s="75"/>
      <c r="D237" s="171" t="s">
        <v>477</v>
      </c>
      <c r="E237" s="108">
        <f>Rekenblad!E238</f>
        <v>5</v>
      </c>
      <c r="F237" s="118">
        <f>Rekenblad!F238</f>
        <v>21200</v>
      </c>
      <c r="G237" s="109"/>
      <c r="H237" s="167">
        <f t="shared" si="19"/>
        <v>106000</v>
      </c>
      <c r="I237" s="76"/>
      <c r="J237" s="89"/>
      <c r="K237" s="118"/>
      <c r="L237" s="146"/>
      <c r="M237" s="146"/>
      <c r="N237" s="146"/>
      <c r="O237" s="146"/>
      <c r="P237" s="147"/>
      <c r="Q237" s="151"/>
    </row>
    <row r="238" spans="1:17" ht="30" customHeight="1">
      <c r="A238" s="171" t="s">
        <v>478</v>
      </c>
      <c r="B238" s="116" t="s">
        <v>479</v>
      </c>
      <c r="C238" s="75"/>
      <c r="D238" s="107" t="s">
        <v>477</v>
      </c>
      <c r="E238" s="108">
        <f>Rekenblad!E239</f>
        <v>5</v>
      </c>
      <c r="F238" s="118">
        <f>Rekenblad!F239</f>
        <v>21200</v>
      </c>
      <c r="G238" s="109"/>
      <c r="H238" s="167">
        <f>E238*F238</f>
        <v>106000</v>
      </c>
      <c r="I238" s="76"/>
      <c r="J238" s="89"/>
      <c r="K238" s="118"/>
      <c r="L238" s="146"/>
      <c r="M238" s="146"/>
      <c r="N238" s="146"/>
      <c r="O238" s="146"/>
      <c r="P238" s="147"/>
      <c r="Q238" s="151"/>
    </row>
    <row r="239" spans="1:17">
      <c r="A239" s="218"/>
      <c r="B239" s="219"/>
      <c r="C239" s="219"/>
      <c r="D239" s="218"/>
      <c r="E239" s="220"/>
      <c r="F239" s="221"/>
      <c r="G239" s="221"/>
      <c r="H239" s="221">
        <v>0</v>
      </c>
      <c r="I239" s="222"/>
      <c r="J239" s="151"/>
      <c r="K239" s="223"/>
      <c r="L239" s="224"/>
      <c r="M239" s="224"/>
      <c r="N239" s="224"/>
      <c r="O239" s="224"/>
      <c r="P239" s="225"/>
      <c r="Q239" s="151"/>
    </row>
    <row r="240" spans="1:17">
      <c r="A240" s="242"/>
      <c r="B240" s="219"/>
      <c r="C240" s="219"/>
      <c r="D240" s="218"/>
      <c r="E240" s="220"/>
      <c r="F240" s="221"/>
      <c r="G240" s="221"/>
      <c r="H240" s="243"/>
      <c r="I240" s="222"/>
      <c r="J240" s="151"/>
      <c r="K240" s="223"/>
      <c r="L240" s="224"/>
      <c r="M240" s="224"/>
      <c r="N240" s="224"/>
      <c r="O240" s="224"/>
      <c r="P240" s="225"/>
      <c r="Q240" s="151"/>
    </row>
    <row r="241" spans="1:17" ht="15" customHeight="1" thickBot="1">
      <c r="A241" s="218"/>
      <c r="B241" s="219"/>
      <c r="C241" s="219"/>
      <c r="D241" s="244"/>
      <c r="E241" s="220"/>
      <c r="F241" s="221"/>
      <c r="G241" s="329" t="s">
        <v>480</v>
      </c>
      <c r="H241" s="330" t="s">
        <v>481</v>
      </c>
      <c r="I241" s="222"/>
      <c r="J241" s="151"/>
      <c r="K241" s="223"/>
      <c r="L241" s="224"/>
      <c r="M241" s="224"/>
      <c r="N241" s="224"/>
      <c r="O241" s="224"/>
      <c r="P241" s="225"/>
      <c r="Q241" s="151"/>
    </row>
    <row r="242" spans="1:17" ht="15" customHeight="1">
      <c r="A242" s="245"/>
      <c r="B242" s="246" t="s">
        <v>482</v>
      </c>
      <c r="C242" s="246"/>
      <c r="D242" s="247"/>
      <c r="E242" s="248"/>
      <c r="F242" s="249"/>
      <c r="G242" s="249">
        <f>H242/5</f>
        <v>719540.77923999983</v>
      </c>
      <c r="H242" s="250">
        <f>SUM(H11:H241)</f>
        <v>3597703.8961999994</v>
      </c>
      <c r="I242" s="222"/>
      <c r="J242" s="151"/>
      <c r="K242" s="223"/>
      <c r="L242" s="224"/>
      <c r="M242" s="224"/>
      <c r="N242" s="224"/>
      <c r="O242" s="224"/>
      <c r="P242" s="225"/>
      <c r="Q242" s="151"/>
    </row>
    <row r="243" spans="1:17" ht="15" customHeight="1">
      <c r="A243" s="251"/>
      <c r="B243" s="219" t="s">
        <v>483</v>
      </c>
      <c r="C243" s="219"/>
      <c r="D243" s="328">
        <v>0.16</v>
      </c>
      <c r="E243" s="220"/>
      <c r="F243" s="221"/>
      <c r="G243" s="221">
        <f>H243/5</f>
        <v>115126.52467839998</v>
      </c>
      <c r="H243" s="252">
        <f>D243*H242</f>
        <v>575632.62339199986</v>
      </c>
      <c r="I243" s="222"/>
      <c r="J243" s="151"/>
      <c r="K243" s="223"/>
      <c r="L243" s="224"/>
      <c r="M243" s="224"/>
      <c r="N243" s="224"/>
      <c r="O243" s="224"/>
      <c r="P243" s="225"/>
      <c r="Q243" s="151"/>
    </row>
    <row r="244" spans="1:17">
      <c r="A244" s="251"/>
      <c r="B244" s="219"/>
      <c r="C244" s="219"/>
      <c r="D244" s="218"/>
      <c r="E244" s="220"/>
      <c r="F244" s="221"/>
      <c r="G244" s="221"/>
      <c r="H244" s="252"/>
      <c r="I244" s="222"/>
      <c r="J244" s="151"/>
      <c r="K244" s="223"/>
      <c r="L244" s="224"/>
      <c r="M244" s="224"/>
      <c r="N244" s="224"/>
      <c r="O244" s="224"/>
      <c r="P244" s="225"/>
      <c r="Q244" s="151"/>
    </row>
    <row r="245" spans="1:17">
      <c r="A245" s="251"/>
      <c r="B245" s="253" t="s">
        <v>484</v>
      </c>
      <c r="C245" s="253"/>
      <c r="D245" s="218"/>
      <c r="E245" s="220"/>
      <c r="F245" s="221"/>
      <c r="G245" s="221">
        <f>H245/5</f>
        <v>834667.30391839985</v>
      </c>
      <c r="H245" s="254">
        <f>SUM(H242:H243)</f>
        <v>4173336.5195919992</v>
      </c>
      <c r="I245" s="222"/>
      <c r="J245" s="151"/>
      <c r="K245" s="223"/>
      <c r="L245" s="224"/>
      <c r="M245" s="224"/>
      <c r="N245" s="224"/>
      <c r="O245" s="224"/>
      <c r="P245" s="225"/>
      <c r="Q245" s="151"/>
    </row>
    <row r="246" spans="1:17">
      <c r="A246" s="251"/>
      <c r="B246" s="255" t="s">
        <v>485</v>
      </c>
      <c r="C246" s="255"/>
      <c r="D246" s="327">
        <v>0.21</v>
      </c>
      <c r="E246" s="256"/>
      <c r="F246" s="257"/>
      <c r="G246" s="257">
        <f>H246/5</f>
        <v>175280.13382286398</v>
      </c>
      <c r="H246" s="258">
        <f>D246*H245</f>
        <v>876400.66911431984</v>
      </c>
      <c r="I246" s="222"/>
      <c r="J246" s="151"/>
      <c r="K246" s="223"/>
      <c r="L246" s="224"/>
      <c r="M246" s="224"/>
      <c r="N246" s="224"/>
      <c r="O246" s="224"/>
      <c r="P246" s="225"/>
      <c r="Q246" s="151"/>
    </row>
    <row r="247" spans="1:17">
      <c r="A247" s="251"/>
      <c r="B247" s="219"/>
      <c r="C247" s="219"/>
      <c r="D247" s="218"/>
      <c r="E247" s="220"/>
      <c r="F247" s="221"/>
      <c r="G247" s="221"/>
      <c r="H247" s="259"/>
      <c r="I247" s="222"/>
      <c r="J247" s="151"/>
      <c r="K247" s="223"/>
      <c r="L247" s="224"/>
      <c r="M247" s="224"/>
      <c r="N247" s="224"/>
      <c r="O247" s="224"/>
      <c r="P247" s="225"/>
      <c r="Q247" s="151"/>
    </row>
    <row r="248" spans="1:17">
      <c r="A248" s="251"/>
      <c r="B248" s="260" t="s">
        <v>486</v>
      </c>
      <c r="C248" s="260"/>
      <c r="D248" s="218"/>
      <c r="E248" s="220"/>
      <c r="F248" s="221"/>
      <c r="G248" s="261">
        <f>H248/5</f>
        <v>1009947.4377412638</v>
      </c>
      <c r="H248" s="262">
        <f>SUM(H245:H246)</f>
        <v>5049737.1887063188</v>
      </c>
      <c r="I248" s="222"/>
      <c r="J248" s="151"/>
      <c r="K248" s="223"/>
      <c r="L248" s="224"/>
      <c r="M248" s="224"/>
      <c r="N248" s="224"/>
      <c r="O248" s="224"/>
      <c r="P248" s="225"/>
      <c r="Q248" s="151"/>
    </row>
    <row r="249" spans="1:17" ht="15.75" thickBot="1">
      <c r="A249" s="263"/>
      <c r="B249" s="264"/>
      <c r="C249" s="264"/>
      <c r="D249" s="265"/>
      <c r="E249" s="266"/>
      <c r="F249" s="267"/>
      <c r="G249" s="268"/>
      <c r="H249" s="269"/>
      <c r="I249" s="222"/>
      <c r="J249" s="225"/>
      <c r="K249" s="270"/>
      <c r="L249" s="271"/>
      <c r="M249" s="271"/>
      <c r="N249" s="271"/>
      <c r="O249" s="271"/>
      <c r="P249" s="225"/>
      <c r="Q249" s="151"/>
    </row>
    <row r="250" spans="1:17">
      <c r="A250" s="218"/>
      <c r="B250" s="219"/>
      <c r="C250" s="219"/>
      <c r="D250" s="218"/>
      <c r="E250" s="220"/>
      <c r="F250" s="221"/>
      <c r="G250" s="221"/>
      <c r="H250" s="221"/>
      <c r="I250" s="222"/>
      <c r="J250" s="151"/>
      <c r="K250" s="223"/>
      <c r="L250" s="224"/>
      <c r="M250" s="224"/>
      <c r="N250" s="224"/>
      <c r="O250" s="224"/>
      <c r="P250" s="225"/>
      <c r="Q250" s="151"/>
    </row>
    <row r="251" spans="1:17">
      <c r="A251" s="218"/>
      <c r="B251" s="219" t="s">
        <v>487</v>
      </c>
      <c r="C251" s="219"/>
      <c r="D251" s="218"/>
      <c r="E251" s="220"/>
      <c r="F251" s="221"/>
      <c r="G251" s="221">
        <f>H251/5</f>
        <v>214241.94587399997</v>
      </c>
      <c r="H251" s="221">
        <f>SUM(H11:H14)*(1+$D$243)*(1+$D$246)</f>
        <v>1071209.7293699998</v>
      </c>
      <c r="I251" s="222"/>
      <c r="J251" s="151"/>
      <c r="K251" s="223"/>
      <c r="L251" s="224"/>
      <c r="M251" s="224"/>
      <c r="N251" s="224"/>
      <c r="O251" s="224"/>
      <c r="P251" s="225"/>
      <c r="Q251" s="151"/>
    </row>
    <row r="252" spans="1:17">
      <c r="A252" s="218"/>
      <c r="B252" s="219" t="s">
        <v>488</v>
      </c>
      <c r="C252" s="219"/>
      <c r="D252" s="218"/>
      <c r="E252" s="220"/>
      <c r="F252" s="221"/>
      <c r="G252" s="221">
        <f>H252/5</f>
        <v>795705.49186726403</v>
      </c>
      <c r="H252" s="221">
        <f>SUM(H16:H238)*(1+$D$243)*(1+$D$246)</f>
        <v>3978527.4593363199</v>
      </c>
      <c r="I252" s="222"/>
      <c r="J252" s="151"/>
      <c r="K252" s="223"/>
      <c r="L252" s="224"/>
      <c r="M252" s="224"/>
      <c r="N252" s="224"/>
      <c r="O252" s="224"/>
      <c r="P252" s="225"/>
      <c r="Q252" s="151"/>
    </row>
  </sheetData>
  <mergeCells count="172">
    <mergeCell ref="I36:J36"/>
    <mergeCell ref="I37:J37"/>
    <mergeCell ref="I38:J38"/>
    <mergeCell ref="I23:J23"/>
    <mergeCell ref="I24:J24"/>
    <mergeCell ref="A1:P1"/>
    <mergeCell ref="E3:F3"/>
    <mergeCell ref="E4:F4"/>
    <mergeCell ref="I5:O5"/>
    <mergeCell ref="I33:J33"/>
    <mergeCell ref="I34:J34"/>
    <mergeCell ref="I35:J35"/>
    <mergeCell ref="I45:J45"/>
    <mergeCell ref="I46:J46"/>
    <mergeCell ref="I47:J47"/>
    <mergeCell ref="I48:J48"/>
    <mergeCell ref="I49:J49"/>
    <mergeCell ref="I50:J50"/>
    <mergeCell ref="I39:J39"/>
    <mergeCell ref="I40:J40"/>
    <mergeCell ref="I41:J41"/>
    <mergeCell ref="I42:J42"/>
    <mergeCell ref="I43:J43"/>
    <mergeCell ref="I44:J44"/>
    <mergeCell ref="I61:J61"/>
    <mergeCell ref="I62:J62"/>
    <mergeCell ref="I63:J63"/>
    <mergeCell ref="I64:J64"/>
    <mergeCell ref="I65:J65"/>
    <mergeCell ref="I66:J66"/>
    <mergeCell ref="I51:J51"/>
    <mergeCell ref="I52:J52"/>
    <mergeCell ref="I57:J57"/>
    <mergeCell ref="I58:J58"/>
    <mergeCell ref="I59:J59"/>
    <mergeCell ref="I60:J60"/>
    <mergeCell ref="I93:J93"/>
    <mergeCell ref="I94:J94"/>
    <mergeCell ref="I109:J109"/>
    <mergeCell ref="I76:J76"/>
    <mergeCell ref="I77:J77"/>
    <mergeCell ref="I82:J82"/>
    <mergeCell ref="I92:J92"/>
    <mergeCell ref="I69:J69"/>
    <mergeCell ref="I70:J70"/>
    <mergeCell ref="I71:J71"/>
    <mergeCell ref="I75:J75"/>
    <mergeCell ref="I116:J116"/>
    <mergeCell ref="I117:J117"/>
    <mergeCell ref="I118:J118"/>
    <mergeCell ref="I119:J119"/>
    <mergeCell ref="I120:J120"/>
    <mergeCell ref="I121:J121"/>
    <mergeCell ref="I110:J110"/>
    <mergeCell ref="I111:J111"/>
    <mergeCell ref="I112:J112"/>
    <mergeCell ref="I113:J113"/>
    <mergeCell ref="I114:J114"/>
    <mergeCell ref="I115:J115"/>
    <mergeCell ref="I130:J130"/>
    <mergeCell ref="I131:J131"/>
    <mergeCell ref="I132:J132"/>
    <mergeCell ref="I133:J133"/>
    <mergeCell ref="I134:J134"/>
    <mergeCell ref="I135:J135"/>
    <mergeCell ref="I122:J122"/>
    <mergeCell ref="I126:J126"/>
    <mergeCell ref="I127:J127"/>
    <mergeCell ref="I128:J128"/>
    <mergeCell ref="I129:J129"/>
    <mergeCell ref="I125:J125"/>
    <mergeCell ref="I142:J142"/>
    <mergeCell ref="I143:J143"/>
    <mergeCell ref="I144:J144"/>
    <mergeCell ref="I145:J145"/>
    <mergeCell ref="I146:J146"/>
    <mergeCell ref="I147:J147"/>
    <mergeCell ref="I136:J136"/>
    <mergeCell ref="I137:J137"/>
    <mergeCell ref="I138:J138"/>
    <mergeCell ref="I139:J139"/>
    <mergeCell ref="I140:J140"/>
    <mergeCell ref="I141:J141"/>
    <mergeCell ref="I155:J155"/>
    <mergeCell ref="I156:J156"/>
    <mergeCell ref="I159:J159"/>
    <mergeCell ref="I160:J160"/>
    <mergeCell ref="I161:J161"/>
    <mergeCell ref="I148:J148"/>
    <mergeCell ref="I149:J149"/>
    <mergeCell ref="I152:J152"/>
    <mergeCell ref="I153:J153"/>
    <mergeCell ref="I151:J151"/>
    <mergeCell ref="I168:J168"/>
    <mergeCell ref="I169:J169"/>
    <mergeCell ref="I170:J170"/>
    <mergeCell ref="I171:J171"/>
    <mergeCell ref="I172:J172"/>
    <mergeCell ref="I162:J162"/>
    <mergeCell ref="I163:J163"/>
    <mergeCell ref="I164:J164"/>
    <mergeCell ref="I165:J165"/>
    <mergeCell ref="I166:J166"/>
    <mergeCell ref="I167:J167"/>
    <mergeCell ref="I182:J182"/>
    <mergeCell ref="I183:J183"/>
    <mergeCell ref="I184:J184"/>
    <mergeCell ref="I185:J185"/>
    <mergeCell ref="I186:J186"/>
    <mergeCell ref="I187:J187"/>
    <mergeCell ref="I175:J175"/>
    <mergeCell ref="I177:J177"/>
    <mergeCell ref="I178:J178"/>
    <mergeCell ref="I179:J179"/>
    <mergeCell ref="I180:J180"/>
    <mergeCell ref="I181:J181"/>
    <mergeCell ref="I197:J197"/>
    <mergeCell ref="I198:J198"/>
    <mergeCell ref="I199:J199"/>
    <mergeCell ref="I200:J200"/>
    <mergeCell ref="I188:J188"/>
    <mergeCell ref="I189:J189"/>
    <mergeCell ref="I190:J190"/>
    <mergeCell ref="I191:J191"/>
    <mergeCell ref="I192:J192"/>
    <mergeCell ref="I193:J193"/>
    <mergeCell ref="I207:J207"/>
    <mergeCell ref="I208:J208"/>
    <mergeCell ref="I209:J209"/>
    <mergeCell ref="I210:J210"/>
    <mergeCell ref="I211:J211"/>
    <mergeCell ref="I212:J212"/>
    <mergeCell ref="I201:J201"/>
    <mergeCell ref="I202:J202"/>
    <mergeCell ref="I203:J203"/>
    <mergeCell ref="I204:J204"/>
    <mergeCell ref="I205:J205"/>
    <mergeCell ref="I206:J206"/>
    <mergeCell ref="I221:J221"/>
    <mergeCell ref="I222:J222"/>
    <mergeCell ref="I223:J223"/>
    <mergeCell ref="I224:J224"/>
    <mergeCell ref="I213:J213"/>
    <mergeCell ref="I214:J214"/>
    <mergeCell ref="I215:J215"/>
    <mergeCell ref="I216:J216"/>
    <mergeCell ref="I217:J217"/>
    <mergeCell ref="I218:J218"/>
    <mergeCell ref="I232:J232"/>
    <mergeCell ref="I234:O234"/>
    <mergeCell ref="I176:J176"/>
    <mergeCell ref="I158:J158"/>
    <mergeCell ref="I174:J174"/>
    <mergeCell ref="I195:O195"/>
    <mergeCell ref="I196:J196"/>
    <mergeCell ref="I231:J231"/>
    <mergeCell ref="I56:J56"/>
    <mergeCell ref="I68:J68"/>
    <mergeCell ref="I74:J74"/>
    <mergeCell ref="I81:J81"/>
    <mergeCell ref="I91:J91"/>
    <mergeCell ref="I99:J99"/>
    <mergeCell ref="I104:J104"/>
    <mergeCell ref="I108:J108"/>
    <mergeCell ref="I225:J225"/>
    <mergeCell ref="I226:J226"/>
    <mergeCell ref="I227:J227"/>
    <mergeCell ref="I228:J228"/>
    <mergeCell ref="I229:J229"/>
    <mergeCell ref="I230:J230"/>
    <mergeCell ref="I219:J219"/>
    <mergeCell ref="I220:J2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zoomScale="85" zoomScaleNormal="85" workbookViewId="0">
      <pane ySplit="6" topLeftCell="A7" activePane="bottomLeft" state="frozen"/>
      <selection activeCell="D259" sqref="D259"/>
      <selection pane="bottomLeft" activeCell="A259" sqref="A259"/>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2.85546875" style="6" customWidth="1"/>
    <col min="12" max="12" width="18.85546875" style="7" bestFit="1" customWidth="1"/>
    <col min="13" max="13" width="12.5703125" style="7" customWidth="1"/>
    <col min="14" max="14" width="9.42578125" style="7" bestFit="1" customWidth="1"/>
    <col min="15" max="15" width="16.5703125" style="7" customWidth="1"/>
    <col min="16" max="16" width="48.85546875" style="8" customWidth="1"/>
    <col min="17" max="16384" width="9.140625" style="3"/>
  </cols>
  <sheetData>
    <row r="1" spans="1:17" ht="32.25" customHeight="1" thickBot="1">
      <c r="A1" s="583" t="s">
        <v>511</v>
      </c>
      <c r="B1" s="584"/>
      <c r="C1" s="584"/>
      <c r="D1" s="584"/>
      <c r="E1" s="584"/>
      <c r="F1" s="584"/>
      <c r="G1" s="584"/>
      <c r="H1" s="584"/>
      <c r="I1" s="584"/>
      <c r="J1" s="584"/>
      <c r="K1" s="584"/>
      <c r="L1" s="584"/>
      <c r="M1" s="584"/>
      <c r="N1" s="584"/>
      <c r="O1" s="584"/>
      <c r="P1" s="585"/>
    </row>
    <row r="2" spans="1:17" s="12" customFormat="1" ht="24.75" customHeight="1" thickBo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thickBot="1">
      <c r="A3" s="308" t="s">
        <v>4</v>
      </c>
      <c r="B3" s="309" t="s">
        <v>5</v>
      </c>
      <c r="C3" s="289">
        <v>20</v>
      </c>
      <c r="D3" s="290">
        <f>C4*C3</f>
        <v>60</v>
      </c>
      <c r="E3" s="578" t="s">
        <v>6</v>
      </c>
      <c r="F3" s="579"/>
      <c r="G3" s="291">
        <v>10</v>
      </c>
      <c r="H3" s="292">
        <f>G3*G4</f>
        <v>90</v>
      </c>
      <c r="I3" s="293"/>
      <c r="J3" s="293"/>
      <c r="K3" s="294"/>
      <c r="L3" s="294"/>
      <c r="M3" s="294"/>
      <c r="N3" s="294"/>
      <c r="O3" s="294"/>
      <c r="P3" s="294"/>
      <c r="Q3" s="295"/>
    </row>
    <row r="4" spans="1:17"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17" s="5" customFormat="1" ht="46.5" customHeight="1">
      <c r="A5" s="61" t="s">
        <v>10</v>
      </c>
      <c r="B5" s="62" t="s">
        <v>11</v>
      </c>
      <c r="C5" s="63"/>
      <c r="D5" s="35" t="s">
        <v>12</v>
      </c>
      <c r="E5" s="36" t="s">
        <v>13</v>
      </c>
      <c r="F5" s="37" t="s">
        <v>14</v>
      </c>
      <c r="G5" s="37" t="s">
        <v>15</v>
      </c>
      <c r="H5" s="37" t="s">
        <v>16</v>
      </c>
      <c r="I5" s="563" t="s">
        <v>17</v>
      </c>
      <c r="J5" s="564"/>
      <c r="K5" s="564"/>
      <c r="L5" s="564"/>
      <c r="M5" s="564"/>
      <c r="N5" s="564"/>
      <c r="O5" s="564"/>
      <c r="P5" s="38" t="s">
        <v>18</v>
      </c>
      <c r="Q5" s="301"/>
    </row>
    <row r="6" spans="1:17" ht="34.9"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s="22" customFormat="1" ht="11.25">
      <c r="A7" s="501"/>
      <c r="B7" s="501"/>
      <c r="C7" s="501"/>
      <c r="D7" s="501"/>
      <c r="E7" s="501"/>
      <c r="F7" s="501"/>
      <c r="G7" s="501"/>
      <c r="H7" s="501"/>
      <c r="I7" s="501"/>
      <c r="J7" s="501"/>
      <c r="K7" s="322">
        <v>2</v>
      </c>
      <c r="L7" s="501" t="s">
        <v>22</v>
      </c>
      <c r="M7" s="501"/>
      <c r="N7" s="501"/>
      <c r="O7" s="501"/>
      <c r="P7" s="276" t="s">
        <v>512</v>
      </c>
      <c r="Q7" s="502"/>
    </row>
    <row r="8" spans="1:17" s="22" customFormat="1" ht="11.25">
      <c r="A8" s="503"/>
      <c r="B8" s="503"/>
      <c r="C8" s="503"/>
      <c r="D8" s="503"/>
      <c r="E8" s="503"/>
      <c r="F8" s="503"/>
      <c r="G8" s="503"/>
      <c r="H8" s="503"/>
      <c r="I8" s="503"/>
      <c r="J8" s="503"/>
      <c r="K8" s="322">
        <v>1</v>
      </c>
      <c r="L8" s="503" t="s">
        <v>23</v>
      </c>
      <c r="M8" s="503"/>
      <c r="N8" s="503"/>
      <c r="O8" s="503"/>
      <c r="P8" s="276"/>
      <c r="Q8" s="502"/>
    </row>
    <row r="9" spans="1:17" customFormat="1" ht="17.25" customHeight="1">
      <c r="A9" s="272"/>
      <c r="B9" s="272"/>
      <c r="C9" s="272"/>
      <c r="D9" s="272"/>
      <c r="E9" s="272"/>
      <c r="F9" s="272"/>
      <c r="G9" s="272"/>
      <c r="H9" s="272"/>
      <c r="I9" s="272"/>
      <c r="J9" s="272"/>
      <c r="K9" s="318">
        <f>($K$7*2)+($K$8*2)+1+1</f>
        <v>8</v>
      </c>
      <c r="L9" s="272" t="str">
        <f>Rekenblad!L9</f>
        <v>man in de binding</v>
      </c>
      <c r="M9" s="273">
        <f>Rekenblad!M9</f>
        <v>116.03999999999999</v>
      </c>
      <c r="N9" s="272" t="str">
        <f>Rekenblad!N9</f>
        <v>/man/week</v>
      </c>
      <c r="O9" s="273"/>
      <c r="P9" s="112"/>
      <c r="Q9" s="310"/>
    </row>
    <row r="10" spans="1:17" customFormat="1" ht="17.25" customHeight="1">
      <c r="A10" s="112"/>
      <c r="B10" s="112"/>
      <c r="C10" s="112"/>
      <c r="D10" s="112"/>
      <c r="E10" s="112"/>
      <c r="F10" s="112"/>
      <c r="G10" s="112"/>
      <c r="H10" s="112"/>
      <c r="I10" s="112"/>
      <c r="J10" s="112"/>
      <c r="K10" s="319">
        <f>K9</f>
        <v>8</v>
      </c>
      <c r="L10" s="112" t="str">
        <f>Rekenblad!L10</f>
        <v>Telefoon abonnement</v>
      </c>
      <c r="M10" s="113">
        <f>Rekenblad!M10</f>
        <v>60</v>
      </c>
      <c r="N10" s="112" t="str">
        <f>Rekenblad!N10</f>
        <v>/maand</v>
      </c>
      <c r="O10" s="113"/>
      <c r="P10" s="112"/>
      <c r="Q10" s="310"/>
    </row>
    <row r="11" spans="1:17" ht="35.450000000000003" customHeight="1">
      <c r="A11" s="78" t="s">
        <v>24</v>
      </c>
      <c r="B11" s="79" t="s">
        <v>25</v>
      </c>
      <c r="C11" s="80" t="s">
        <v>26</v>
      </c>
      <c r="D11" s="68" t="s">
        <v>27</v>
      </c>
      <c r="E11" s="69">
        <v>60</v>
      </c>
      <c r="F11" s="70">
        <f>O11</f>
        <v>4502.7199999999993</v>
      </c>
      <c r="G11" s="81">
        <f>H11/5</f>
        <v>54032.639999999992</v>
      </c>
      <c r="H11" s="82">
        <f>F11*E11</f>
        <v>270163.19999999995</v>
      </c>
      <c r="I11" s="274" t="s">
        <v>28</v>
      </c>
      <c r="J11" s="275" t="s">
        <v>29</v>
      </c>
      <c r="K11" s="319"/>
      <c r="L11" s="112"/>
      <c r="M11" s="86"/>
      <c r="N11" s="112"/>
      <c r="O11" s="113">
        <f>K9*(M9*(52/12))+K10*M10</f>
        <v>4502.7199999999993</v>
      </c>
      <c r="P11" s="89"/>
      <c r="Q11" s="151"/>
    </row>
    <row r="12" spans="1:17" s="20" customFormat="1">
      <c r="A12" s="90" t="s">
        <v>31</v>
      </c>
      <c r="B12" s="91" t="s">
        <v>32</v>
      </c>
      <c r="C12" s="92" t="s">
        <v>33</v>
      </c>
      <c r="D12" s="93" t="s">
        <v>27</v>
      </c>
      <c r="E12" s="94">
        <v>60</v>
      </c>
      <c r="F12" s="95">
        <v>10000</v>
      </c>
      <c r="G12" s="96">
        <f>F12*12</f>
        <v>120000</v>
      </c>
      <c r="H12" s="97"/>
      <c r="I12" s="98"/>
      <c r="J12" s="99"/>
      <c r="K12" s="319"/>
      <c r="L12" s="112"/>
      <c r="M12" s="113"/>
      <c r="N12" s="112"/>
      <c r="O12" s="113"/>
      <c r="P12" s="99"/>
      <c r="Q12" s="302"/>
    </row>
    <row r="13" spans="1:17" ht="67.5">
      <c r="A13" s="78" t="s">
        <v>34</v>
      </c>
      <c r="B13" s="79" t="s">
        <v>35</v>
      </c>
      <c r="C13" s="80" t="s">
        <v>26</v>
      </c>
      <c r="D13" s="68" t="s">
        <v>27</v>
      </c>
      <c r="E13" s="69">
        <v>60</v>
      </c>
      <c r="F13" s="70">
        <f>O13</f>
        <v>6517.0687499999995</v>
      </c>
      <c r="G13" s="81">
        <f>H13/5</f>
        <v>78204.824999999983</v>
      </c>
      <c r="H13" s="82">
        <f>F13*E13</f>
        <v>391024.12499999994</v>
      </c>
      <c r="I13" s="76" t="s">
        <v>36</v>
      </c>
      <c r="J13" s="84" t="s">
        <v>37</v>
      </c>
      <c r="K13" s="325">
        <f>Rekenblad!K13</f>
        <v>3.75</v>
      </c>
      <c r="L13" s="324" t="s">
        <v>38</v>
      </c>
      <c r="M13" s="500">
        <f>K7*(F16+F17)+K8*F18</f>
        <v>1737.8849999999998</v>
      </c>
      <c r="N13" s="324" t="s">
        <v>39</v>
      </c>
      <c r="O13" s="113">
        <f>(M13*K13)</f>
        <v>6517.0687499999995</v>
      </c>
      <c r="P13" s="103" t="s">
        <v>40</v>
      </c>
      <c r="Q13" s="151"/>
    </row>
    <row r="14" spans="1:17" ht="69.599999999999994" customHeight="1">
      <c r="A14" s="104" t="s">
        <v>41</v>
      </c>
      <c r="B14" s="105" t="s">
        <v>42</v>
      </c>
      <c r="C14" s="106" t="s">
        <v>26</v>
      </c>
      <c r="D14" s="107" t="s">
        <v>27</v>
      </c>
      <c r="E14" s="108">
        <v>60</v>
      </c>
      <c r="F14" s="109">
        <f>O14</f>
        <v>1700</v>
      </c>
      <c r="G14" s="81">
        <f>H14/5</f>
        <v>20400</v>
      </c>
      <c r="H14" s="82">
        <f>F14*E14</f>
        <v>102000</v>
      </c>
      <c r="I14" s="83" t="s">
        <v>43</v>
      </c>
      <c r="J14" s="111" t="s">
        <v>44</v>
      </c>
      <c r="K14" s="320">
        <v>20</v>
      </c>
      <c r="L14" s="112" t="s">
        <v>8</v>
      </c>
      <c r="M14" s="113">
        <v>85</v>
      </c>
      <c r="N14" s="112" t="s">
        <v>8</v>
      </c>
      <c r="O14" s="113">
        <f>M14*K14</f>
        <v>1700</v>
      </c>
      <c r="P14" s="282" t="s">
        <v>510</v>
      </c>
      <c r="Q14" s="151"/>
    </row>
    <row r="15" spans="1:17" ht="33.75">
      <c r="A15" s="64">
        <v>2</v>
      </c>
      <c r="B15" s="115" t="s">
        <v>46</v>
      </c>
      <c r="C15" s="115"/>
      <c r="D15" s="38" t="s">
        <v>12</v>
      </c>
      <c r="E15" s="47" t="s">
        <v>13</v>
      </c>
      <c r="F15" s="48" t="s">
        <v>14</v>
      </c>
      <c r="G15" s="48" t="s">
        <v>15</v>
      </c>
      <c r="H15" s="48" t="s">
        <v>16</v>
      </c>
      <c r="I15" s="38" t="s">
        <v>17</v>
      </c>
      <c r="J15" s="49" t="s">
        <v>47</v>
      </c>
      <c r="K15" s="37" t="s">
        <v>48</v>
      </c>
      <c r="L15" s="50" t="s">
        <v>49</v>
      </c>
      <c r="M15" s="58" t="s">
        <v>50</v>
      </c>
      <c r="N15" s="58"/>
      <c r="O15" s="59"/>
      <c r="P15" s="49" t="s">
        <v>18</v>
      </c>
      <c r="Q15" s="151"/>
    </row>
    <row r="16" spans="1:17" ht="96" customHeight="1">
      <c r="A16" s="78" t="s">
        <v>51</v>
      </c>
      <c r="B16" s="116" t="s">
        <v>52</v>
      </c>
      <c r="C16" s="75" t="s">
        <v>53</v>
      </c>
      <c r="D16" s="107" t="s">
        <v>8</v>
      </c>
      <c r="E16" s="117">
        <f>D3</f>
        <v>60</v>
      </c>
      <c r="F16" s="118">
        <f>Rekenblad!F16</f>
        <v>530.56499999999994</v>
      </c>
      <c r="G16" s="118">
        <f>E16*F16</f>
        <v>31833.899999999998</v>
      </c>
      <c r="H16" s="109">
        <f>A4*G16</f>
        <v>159169.5</v>
      </c>
      <c r="I16" s="76" t="s">
        <v>54</v>
      </c>
      <c r="J16" s="76" t="s">
        <v>55</v>
      </c>
      <c r="K16" s="119">
        <v>100</v>
      </c>
      <c r="L16" s="120">
        <v>500</v>
      </c>
      <c r="M16" s="278">
        <v>3</v>
      </c>
      <c r="N16" s="278"/>
      <c r="O16" s="76"/>
      <c r="P16" s="77"/>
      <c r="Q16" s="151"/>
    </row>
    <row r="17" spans="1:17" ht="96" customHeight="1">
      <c r="A17" s="78" t="s">
        <v>51</v>
      </c>
      <c r="B17" s="116" t="s">
        <v>56</v>
      </c>
      <c r="C17" s="75" t="s">
        <v>57</v>
      </c>
      <c r="D17" s="107" t="s">
        <v>8</v>
      </c>
      <c r="E17" s="108"/>
      <c r="F17" s="118">
        <f>Rekenblad!F17</f>
        <v>225.58499999999998</v>
      </c>
      <c r="G17" s="118"/>
      <c r="H17" s="109"/>
      <c r="I17" s="76" t="s">
        <v>58</v>
      </c>
      <c r="J17" s="76"/>
      <c r="K17" s="119"/>
      <c r="L17" s="120"/>
      <c r="M17" s="121"/>
      <c r="N17" s="121"/>
      <c r="O17" s="75"/>
      <c r="P17" s="77"/>
      <c r="Q17" s="151"/>
    </row>
    <row r="18" spans="1:17" ht="71.25" customHeight="1">
      <c r="A18" s="104" t="s">
        <v>59</v>
      </c>
      <c r="B18" s="116" t="s">
        <v>60</v>
      </c>
      <c r="C18" s="75" t="s">
        <v>53</v>
      </c>
      <c r="D18" s="107" t="s">
        <v>8</v>
      </c>
      <c r="E18" s="30">
        <f>H3</f>
        <v>90</v>
      </c>
      <c r="F18" s="118">
        <f>Rekenblad!F18</f>
        <v>225.58499999999998</v>
      </c>
      <c r="G18" s="118">
        <f>F18*E18</f>
        <v>20302.649999999998</v>
      </c>
      <c r="H18" s="109">
        <f>A4*G18</f>
        <v>101513.24999999999</v>
      </c>
      <c r="I18" s="76" t="s">
        <v>61</v>
      </c>
      <c r="J18" s="76" t="s">
        <v>62</v>
      </c>
      <c r="K18" s="122">
        <v>10</v>
      </c>
      <c r="L18" s="122">
        <v>50</v>
      </c>
      <c r="M18" s="279">
        <v>4</v>
      </c>
      <c r="N18" s="279"/>
      <c r="O18" s="124"/>
      <c r="P18" s="77"/>
      <c r="Q18" s="151"/>
    </row>
    <row r="19" spans="1:17" s="19" customFormat="1" ht="47.25" customHeight="1">
      <c r="A19" s="125" t="s">
        <v>63</v>
      </c>
      <c r="B19" s="126" t="s">
        <v>64</v>
      </c>
      <c r="C19" s="127" t="s">
        <v>33</v>
      </c>
      <c r="D19" s="127" t="s">
        <v>8</v>
      </c>
      <c r="E19" s="128">
        <f>E16</f>
        <v>60</v>
      </c>
      <c r="F19" s="130">
        <f>Rekenblad!F19</f>
        <v>424</v>
      </c>
      <c r="G19" s="130">
        <f t="shared" ref="G19:G22" si="0">F19*E19</f>
        <v>25440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30">
        <f>Rekenblad!F20</f>
        <v>689</v>
      </c>
      <c r="G20" s="130">
        <f t="shared" si="0"/>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30">
        <f>Rekenblad!F21</f>
        <v>2031.6666666666702</v>
      </c>
      <c r="G21" s="130">
        <f t="shared" si="0"/>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30">
        <f>Rekenblad!F22</f>
        <v>3445</v>
      </c>
      <c r="G22" s="130">
        <f t="shared" si="0"/>
        <v>0</v>
      </c>
      <c r="H22" s="139"/>
      <c r="I22" s="132"/>
      <c r="J22" s="133"/>
      <c r="K22" s="134"/>
      <c r="L22" s="135"/>
      <c r="M22" s="136"/>
      <c r="N22" s="136"/>
      <c r="O22" s="137"/>
      <c r="P22" s="138"/>
      <c r="Q22" s="303"/>
    </row>
    <row r="23" spans="1:17" ht="59.25" customHeight="1">
      <c r="A23" s="64">
        <v>3</v>
      </c>
      <c r="B23" s="65" t="s">
        <v>71</v>
      </c>
      <c r="C23" s="140"/>
      <c r="D23" s="51" t="s">
        <v>12</v>
      </c>
      <c r="E23" s="52" t="s">
        <v>13</v>
      </c>
      <c r="F23" s="60" t="str">
        <f>Rekenblad!F23</f>
        <v>bedrag per eenheid (excl. btw)</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18">
        <f>Rekenblad!F24</f>
        <v>0</v>
      </c>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166.66666666666666</v>
      </c>
      <c r="F25" s="118">
        <f>Rekenblad!F25</f>
        <v>55.650000000000006</v>
      </c>
      <c r="G25" s="145" t="s">
        <v>77</v>
      </c>
      <c r="H25" s="145">
        <f>E25*F25</f>
        <v>9275</v>
      </c>
      <c r="I25" s="280">
        <f>Rekenblad!I25</f>
        <v>0.66666666666666663</v>
      </c>
      <c r="J25" s="151"/>
      <c r="K25" s="118"/>
      <c r="L25" s="146"/>
      <c r="M25" s="146"/>
      <c r="N25" s="146"/>
      <c r="O25" s="146"/>
      <c r="P25" s="147"/>
      <c r="Q25" s="151"/>
    </row>
    <row r="26" spans="1:17" ht="30" customHeight="1">
      <c r="A26" s="143"/>
      <c r="B26" s="148" t="s">
        <v>78</v>
      </c>
      <c r="C26" s="149" t="s">
        <v>76</v>
      </c>
      <c r="D26" s="143" t="s">
        <v>8</v>
      </c>
      <c r="E26" s="108">
        <f>((1/3)*($D$3+$H$3)*$A$4)*I26</f>
        <v>41.666666666666664</v>
      </c>
      <c r="F26" s="118">
        <f>Rekenblad!F26</f>
        <v>68.900000000000006</v>
      </c>
      <c r="G26" s="145" t="s">
        <v>77</v>
      </c>
      <c r="H26" s="145">
        <f t="shared" ref="H26:H30" si="1">E26*F26</f>
        <v>2870.8333333333335</v>
      </c>
      <c r="I26" s="280">
        <f>Rekenblad!I26</f>
        <v>0.16666666666666666</v>
      </c>
      <c r="J26" s="152"/>
      <c r="K26" s="118"/>
      <c r="L26" s="146"/>
      <c r="M26" s="146"/>
      <c r="N26" s="146"/>
      <c r="O26" s="146"/>
      <c r="P26" s="147"/>
      <c r="Q26" s="151"/>
    </row>
    <row r="27" spans="1:17" ht="30" customHeight="1">
      <c r="A27" s="143"/>
      <c r="B27" s="148" t="s">
        <v>79</v>
      </c>
      <c r="C27" s="149" t="s">
        <v>76</v>
      </c>
      <c r="D27" s="143" t="s">
        <v>8</v>
      </c>
      <c r="E27" s="108">
        <f>((1/3)*($D$3+$H$3)*$A$4)*I27</f>
        <v>20.833333333333332</v>
      </c>
      <c r="F27" s="118">
        <f>Rekenblad!F27</f>
        <v>79.5</v>
      </c>
      <c r="G27" s="145" t="s">
        <v>77</v>
      </c>
      <c r="H27" s="145">
        <f t="shared" si="1"/>
        <v>1656.25</v>
      </c>
      <c r="I27" s="280">
        <f>Rekenblad!I27</f>
        <v>8.3333333333333329E-2</v>
      </c>
      <c r="J27" s="152"/>
      <c r="K27" s="118"/>
      <c r="L27" s="146"/>
      <c r="M27" s="146"/>
      <c r="N27" s="146"/>
      <c r="O27" s="146"/>
      <c r="P27" s="147"/>
      <c r="Q27" s="151"/>
    </row>
    <row r="28" spans="1:17" ht="30" customHeight="1">
      <c r="A28" s="143"/>
      <c r="B28" s="148" t="s">
        <v>80</v>
      </c>
      <c r="C28" s="149" t="s">
        <v>76</v>
      </c>
      <c r="D28" s="143" t="s">
        <v>8</v>
      </c>
      <c r="E28" s="108">
        <f>((1/3)*($D$3+$H$3)*$A$4)*I28</f>
        <v>20.833333333333332</v>
      </c>
      <c r="F28" s="118">
        <f>Rekenblad!F28</f>
        <v>100.7</v>
      </c>
      <c r="G28" s="145" t="s">
        <v>77</v>
      </c>
      <c r="H28" s="145">
        <f t="shared" si="1"/>
        <v>2097.9166666666665</v>
      </c>
      <c r="I28" s="280">
        <f>Rekenblad!I28</f>
        <v>8.3333333333333329E-2</v>
      </c>
      <c r="J28" s="152"/>
      <c r="K28" s="118"/>
      <c r="L28" s="146"/>
      <c r="M28" s="146"/>
      <c r="N28" s="146"/>
      <c r="O28" s="146"/>
      <c r="P28" s="147"/>
      <c r="Q28" s="151"/>
    </row>
    <row r="29" spans="1:17" ht="30" customHeight="1">
      <c r="A29" s="143"/>
      <c r="B29" s="148" t="s">
        <v>81</v>
      </c>
      <c r="C29" s="149" t="s">
        <v>33</v>
      </c>
      <c r="D29" s="143" t="s">
        <v>8</v>
      </c>
      <c r="E29" s="108">
        <f>Rekenblad!E29</f>
        <v>0</v>
      </c>
      <c r="F29" s="118">
        <f>Rekenblad!F29</f>
        <v>76.850000000000009</v>
      </c>
      <c r="G29" s="145" t="s">
        <v>77</v>
      </c>
      <c r="H29" s="145">
        <f t="shared" si="1"/>
        <v>0</v>
      </c>
      <c r="I29" s="153"/>
      <c r="J29" s="152"/>
      <c r="K29" s="118"/>
      <c r="L29" s="146"/>
      <c r="M29" s="146"/>
      <c r="N29" s="146"/>
      <c r="O29" s="146"/>
      <c r="P29" s="147"/>
      <c r="Q29" s="151"/>
    </row>
    <row r="30" spans="1:17" ht="30" customHeight="1">
      <c r="A30" s="143"/>
      <c r="B30" s="148" t="s">
        <v>82</v>
      </c>
      <c r="C30" s="149" t="s">
        <v>57</v>
      </c>
      <c r="D30" s="143" t="s">
        <v>8</v>
      </c>
      <c r="E30" s="108">
        <f>Rekenblad!E30</f>
        <v>0</v>
      </c>
      <c r="F30" s="118">
        <f>Rekenblad!F30</f>
        <v>113.102</v>
      </c>
      <c r="G30" s="145" t="s">
        <v>77</v>
      </c>
      <c r="H30" s="145">
        <f t="shared" si="1"/>
        <v>0</v>
      </c>
      <c r="I30" s="153"/>
      <c r="J30" s="152"/>
      <c r="K30" s="118"/>
      <c r="L30" s="146"/>
      <c r="M30" s="146"/>
      <c r="N30" s="146"/>
      <c r="O30" s="146"/>
      <c r="P30" s="147"/>
      <c r="Q30" s="151"/>
    </row>
    <row r="31" spans="1:17" ht="30" customHeight="1">
      <c r="A31" s="143"/>
      <c r="B31" s="148"/>
      <c r="C31" s="149"/>
      <c r="D31" s="143"/>
      <c r="E31" s="108"/>
      <c r="F31" s="118"/>
      <c r="G31" s="145"/>
      <c r="H31" s="145"/>
      <c r="I31" s="153"/>
      <c r="J31" s="152"/>
      <c r="K31" s="118"/>
      <c r="L31" s="146"/>
      <c r="M31" s="146"/>
      <c r="N31" s="146"/>
      <c r="O31" s="146"/>
      <c r="P31" s="147"/>
      <c r="Q31" s="151"/>
    </row>
    <row r="32" spans="1:17" ht="30" customHeight="1">
      <c r="A32" s="141" t="s">
        <v>83</v>
      </c>
      <c r="B32" s="142" t="s">
        <v>84</v>
      </c>
      <c r="C32" s="65"/>
      <c r="D32" s="64"/>
      <c r="E32" s="108"/>
      <c r="F32" s="118"/>
      <c r="G32" s="145"/>
      <c r="H32" s="145"/>
      <c r="I32" s="153"/>
      <c r="J32" s="155"/>
      <c r="K32" s="118"/>
      <c r="L32" s="146"/>
      <c r="M32" s="146"/>
      <c r="N32" s="146"/>
      <c r="O32" s="146"/>
      <c r="P32" s="147"/>
      <c r="Q32" s="151"/>
    </row>
    <row r="33" spans="1:17" ht="30" customHeight="1">
      <c r="A33" s="143"/>
      <c r="B33" s="148" t="s">
        <v>75</v>
      </c>
      <c r="C33" s="149" t="s">
        <v>76</v>
      </c>
      <c r="D33" s="143" t="s">
        <v>8</v>
      </c>
      <c r="E33" s="108">
        <f>Rekenblad!E33</f>
        <v>0</v>
      </c>
      <c r="F33" s="118">
        <f>Rekenblad!F33</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f>Rekenblad!E34</f>
        <v>0</v>
      </c>
      <c r="F34" s="118">
        <f>Rekenblad!F34</f>
        <v>63.6</v>
      </c>
      <c r="G34" s="145"/>
      <c r="H34" s="145">
        <f t="shared" ref="H34:H41" si="2">F34*E34</f>
        <v>0</v>
      </c>
      <c r="I34" s="569"/>
      <c r="J34" s="573"/>
      <c r="K34" s="118"/>
      <c r="L34" s="146"/>
      <c r="M34" s="146"/>
      <c r="N34" s="146"/>
      <c r="O34" s="146"/>
      <c r="P34" s="147"/>
      <c r="Q34" s="151"/>
    </row>
    <row r="35" spans="1:17" ht="30" customHeight="1">
      <c r="A35" s="143"/>
      <c r="B35" s="148" t="s">
        <v>79</v>
      </c>
      <c r="C35" s="149" t="s">
        <v>76</v>
      </c>
      <c r="D35" s="143" t="s">
        <v>8</v>
      </c>
      <c r="E35" s="108">
        <f>Rekenblad!E35</f>
        <v>0</v>
      </c>
      <c r="F35" s="118">
        <f>Rekenblad!F35</f>
        <v>74.2</v>
      </c>
      <c r="G35" s="145"/>
      <c r="H35" s="145">
        <f t="shared" si="2"/>
        <v>0</v>
      </c>
      <c r="I35" s="569"/>
      <c r="J35" s="573"/>
      <c r="K35" s="118"/>
      <c r="L35" s="146"/>
      <c r="M35" s="146"/>
      <c r="N35" s="146"/>
      <c r="O35" s="146"/>
      <c r="P35" s="147"/>
      <c r="Q35" s="151"/>
    </row>
    <row r="36" spans="1:17" ht="30" customHeight="1">
      <c r="A36" s="143"/>
      <c r="B36" s="148" t="s">
        <v>80</v>
      </c>
      <c r="C36" s="149" t="s">
        <v>76</v>
      </c>
      <c r="D36" s="143" t="s">
        <v>8</v>
      </c>
      <c r="E36" s="108">
        <f>Rekenblad!E36</f>
        <v>0</v>
      </c>
      <c r="F36" s="118">
        <f>Rekenblad!F36</f>
        <v>84.800000000000011</v>
      </c>
      <c r="G36" s="145"/>
      <c r="H36" s="145">
        <f t="shared" si="2"/>
        <v>0</v>
      </c>
      <c r="I36" s="569"/>
      <c r="J36" s="573"/>
      <c r="K36" s="118"/>
      <c r="L36" s="146"/>
      <c r="M36" s="146"/>
      <c r="N36" s="146"/>
      <c r="O36" s="146"/>
      <c r="P36" s="147"/>
      <c r="Q36" s="151"/>
    </row>
    <row r="37" spans="1:17" ht="30" customHeight="1">
      <c r="A37" s="141" t="s">
        <v>85</v>
      </c>
      <c r="B37" s="156" t="s">
        <v>86</v>
      </c>
      <c r="C37" s="141"/>
      <c r="D37" s="64"/>
      <c r="E37" s="108"/>
      <c r="F37" s="118"/>
      <c r="G37" s="145"/>
      <c r="H37" s="145">
        <f t="shared" si="2"/>
        <v>0</v>
      </c>
      <c r="I37" s="569"/>
      <c r="J37" s="573"/>
      <c r="K37" s="118"/>
      <c r="L37" s="146"/>
      <c r="M37" s="146"/>
      <c r="N37" s="146"/>
      <c r="O37" s="146"/>
      <c r="P37" s="147"/>
      <c r="Q37" s="151"/>
    </row>
    <row r="38" spans="1:17" ht="30" customHeight="1">
      <c r="A38" s="143"/>
      <c r="B38" s="157" t="s">
        <v>75</v>
      </c>
      <c r="C38" s="143" t="s">
        <v>76</v>
      </c>
      <c r="D38" s="143" t="s">
        <v>8</v>
      </c>
      <c r="E38" s="108">
        <f>Rekenblad!E38</f>
        <v>0</v>
      </c>
      <c r="F38" s="118">
        <f>Rekenblad!F38</f>
        <v>50.88</v>
      </c>
      <c r="G38" s="145"/>
      <c r="H38" s="145">
        <f t="shared" si="2"/>
        <v>0</v>
      </c>
      <c r="I38" s="569"/>
      <c r="J38" s="573"/>
      <c r="K38" s="118"/>
      <c r="L38" s="146"/>
      <c r="M38" s="146"/>
      <c r="N38" s="146"/>
      <c r="O38" s="146"/>
      <c r="P38" s="147"/>
      <c r="Q38" s="151"/>
    </row>
    <row r="39" spans="1:17" ht="30" customHeight="1">
      <c r="A39" s="143"/>
      <c r="B39" s="157" t="s">
        <v>78</v>
      </c>
      <c r="C39" s="143" t="s">
        <v>76</v>
      </c>
      <c r="D39" s="143" t="s">
        <v>8</v>
      </c>
      <c r="E39" s="108">
        <f>Rekenblad!E39</f>
        <v>0</v>
      </c>
      <c r="F39" s="118">
        <f>Rekenblad!F39</f>
        <v>58.300000000000004</v>
      </c>
      <c r="G39" s="145"/>
      <c r="H39" s="145">
        <f t="shared" si="2"/>
        <v>0</v>
      </c>
      <c r="I39" s="569"/>
      <c r="J39" s="573"/>
      <c r="K39" s="118"/>
      <c r="L39" s="146"/>
      <c r="M39" s="146"/>
      <c r="N39" s="146"/>
      <c r="O39" s="146"/>
      <c r="P39" s="147"/>
      <c r="Q39" s="151"/>
    </row>
    <row r="40" spans="1:17" ht="30" customHeight="1">
      <c r="A40" s="143"/>
      <c r="B40" s="157" t="s">
        <v>79</v>
      </c>
      <c r="C40" s="143" t="s">
        <v>76</v>
      </c>
      <c r="D40" s="143" t="s">
        <v>8</v>
      </c>
      <c r="E40" s="108">
        <f>Rekenblad!E40</f>
        <v>0</v>
      </c>
      <c r="F40" s="118">
        <f>Rekenblad!F40</f>
        <v>68.900000000000006</v>
      </c>
      <c r="G40" s="145"/>
      <c r="H40" s="145">
        <f t="shared" si="2"/>
        <v>0</v>
      </c>
      <c r="I40" s="569"/>
      <c r="J40" s="573"/>
      <c r="K40" s="118"/>
      <c r="L40" s="146"/>
      <c r="M40" s="146"/>
      <c r="N40" s="146"/>
      <c r="O40" s="146"/>
      <c r="P40" s="147"/>
      <c r="Q40" s="151"/>
    </row>
    <row r="41" spans="1:17" ht="30" customHeight="1">
      <c r="A41" s="143"/>
      <c r="B41" s="157" t="s">
        <v>80</v>
      </c>
      <c r="C41" s="143" t="s">
        <v>76</v>
      </c>
      <c r="D41" s="143" t="s">
        <v>8</v>
      </c>
      <c r="E41" s="108">
        <f>Rekenblad!E41</f>
        <v>0</v>
      </c>
      <c r="F41" s="118">
        <f>Rekenblad!F41</f>
        <v>79.5</v>
      </c>
      <c r="G41" s="145"/>
      <c r="H41" s="145">
        <f t="shared" si="2"/>
        <v>0</v>
      </c>
      <c r="I41" s="569"/>
      <c r="J41" s="573"/>
      <c r="K41" s="118"/>
      <c r="L41" s="146"/>
      <c r="M41" s="146"/>
      <c r="N41" s="146"/>
      <c r="O41" s="146"/>
      <c r="P41" s="147"/>
      <c r="Q41" s="151"/>
    </row>
    <row r="42" spans="1:17" ht="30" customHeight="1">
      <c r="A42" s="141" t="s">
        <v>87</v>
      </c>
      <c r="B42" s="142" t="s">
        <v>88</v>
      </c>
      <c r="C42" s="65"/>
      <c r="D42" s="64"/>
      <c r="E42" s="108"/>
      <c r="F42" s="118"/>
      <c r="G42" s="145"/>
      <c r="H42" s="145"/>
      <c r="I42" s="569"/>
      <c r="J42" s="573"/>
      <c r="K42" s="118"/>
      <c r="L42" s="146"/>
      <c r="M42" s="146"/>
      <c r="N42" s="146"/>
      <c r="O42" s="146"/>
      <c r="P42" s="147"/>
      <c r="Q42" s="151"/>
    </row>
    <row r="43" spans="1:17" ht="30" customHeight="1">
      <c r="A43" s="143"/>
      <c r="B43" s="148" t="s">
        <v>75</v>
      </c>
      <c r="C43" s="149" t="s">
        <v>76</v>
      </c>
      <c r="D43" s="143" t="s">
        <v>8</v>
      </c>
      <c r="E43" s="108">
        <f>Rekenblad!E43</f>
        <v>0</v>
      </c>
      <c r="F43" s="118">
        <f>Rekenblad!F43</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f>Rekenblad!E44</f>
        <v>0</v>
      </c>
      <c r="F44" s="118">
        <f>Rekenblad!F44</f>
        <v>53</v>
      </c>
      <c r="G44" s="145"/>
      <c r="H44" s="145">
        <f t="shared" ref="H44:H46" si="3">E44*F44</f>
        <v>0</v>
      </c>
      <c r="I44" s="569"/>
      <c r="J44" s="573"/>
      <c r="K44" s="118"/>
      <c r="L44" s="146"/>
      <c r="M44" s="146"/>
      <c r="N44" s="146"/>
      <c r="O44" s="146"/>
      <c r="P44" s="147"/>
      <c r="Q44" s="151"/>
    </row>
    <row r="45" spans="1:17" ht="30" customHeight="1">
      <c r="A45" s="143"/>
      <c r="B45" s="148" t="s">
        <v>79</v>
      </c>
      <c r="C45" s="149" t="s">
        <v>76</v>
      </c>
      <c r="D45" s="143" t="s">
        <v>8</v>
      </c>
      <c r="E45" s="108">
        <f>Rekenblad!E45</f>
        <v>0</v>
      </c>
      <c r="F45" s="118">
        <f>Rekenblad!F45</f>
        <v>63.6</v>
      </c>
      <c r="G45" s="145"/>
      <c r="H45" s="145">
        <f t="shared" si="3"/>
        <v>0</v>
      </c>
      <c r="I45" s="569"/>
      <c r="J45" s="573"/>
      <c r="K45" s="118"/>
      <c r="L45" s="146"/>
      <c r="M45" s="146"/>
      <c r="N45" s="146"/>
      <c r="O45" s="146"/>
      <c r="P45" s="147"/>
      <c r="Q45" s="151"/>
    </row>
    <row r="46" spans="1:17" ht="30" customHeight="1">
      <c r="A46" s="143"/>
      <c r="B46" s="148" t="s">
        <v>80</v>
      </c>
      <c r="C46" s="149" t="s">
        <v>76</v>
      </c>
      <c r="D46" s="143" t="s">
        <v>8</v>
      </c>
      <c r="E46" s="108">
        <f>Rekenblad!E46</f>
        <v>0</v>
      </c>
      <c r="F46" s="118">
        <f>Rekenblad!F46</f>
        <v>79.5</v>
      </c>
      <c r="G46" s="145"/>
      <c r="H46" s="145">
        <f t="shared" si="3"/>
        <v>0</v>
      </c>
      <c r="I46" s="569"/>
      <c r="J46" s="573"/>
      <c r="K46" s="118"/>
      <c r="L46" s="146"/>
      <c r="M46" s="146"/>
      <c r="N46" s="146"/>
      <c r="O46" s="146"/>
      <c r="P46" s="147"/>
      <c r="Q46" s="151"/>
    </row>
    <row r="47" spans="1:17" ht="30" customHeight="1">
      <c r="A47" s="143"/>
      <c r="B47" s="148" t="s">
        <v>89</v>
      </c>
      <c r="C47" s="149" t="s">
        <v>33</v>
      </c>
      <c r="D47" s="143" t="s">
        <v>8</v>
      </c>
      <c r="E47" s="108">
        <f>Rekenblad!E47</f>
        <v>16</v>
      </c>
      <c r="F47" s="118">
        <f>Rekenblad!F47</f>
        <v>111.83000000000001</v>
      </c>
      <c r="G47" s="118"/>
      <c r="H47" s="118">
        <f>E47*F47</f>
        <v>1789.2800000000002</v>
      </c>
      <c r="I47" s="569" t="s">
        <v>90</v>
      </c>
      <c r="J47" s="573"/>
      <c r="K47" s="118"/>
      <c r="L47" s="146"/>
      <c r="M47" s="146"/>
      <c r="N47" s="146"/>
      <c r="O47" s="146"/>
      <c r="P47" s="147"/>
      <c r="Q47" s="151"/>
    </row>
    <row r="48" spans="1:17" ht="30" customHeight="1">
      <c r="A48" s="143"/>
      <c r="B48" s="148" t="s">
        <v>91</v>
      </c>
      <c r="C48" s="149" t="s">
        <v>33</v>
      </c>
      <c r="D48" s="143" t="s">
        <v>8</v>
      </c>
      <c r="E48" s="108">
        <f>Rekenblad!E48</f>
        <v>2</v>
      </c>
      <c r="F48" s="118">
        <f>Rekenblad!F48</f>
        <v>97.52000000000001</v>
      </c>
      <c r="G48" s="118"/>
      <c r="H48" s="118">
        <f t="shared" ref="H48:H60" si="4">E48*F48</f>
        <v>195.04000000000002</v>
      </c>
      <c r="I48" s="569" t="s">
        <v>92</v>
      </c>
      <c r="J48" s="573"/>
      <c r="K48" s="118"/>
      <c r="L48" s="146"/>
      <c r="M48" s="146"/>
      <c r="N48" s="146"/>
      <c r="O48" s="146"/>
      <c r="P48" s="147"/>
      <c r="Q48" s="151"/>
    </row>
    <row r="49" spans="1:17" ht="30" customHeight="1">
      <c r="A49" s="143"/>
      <c r="B49" s="148" t="s">
        <v>93</v>
      </c>
      <c r="C49" s="149" t="s">
        <v>33</v>
      </c>
      <c r="D49" s="143" t="s">
        <v>8</v>
      </c>
      <c r="E49" s="108">
        <f>Rekenblad!E49</f>
        <v>40</v>
      </c>
      <c r="F49" s="118">
        <f>Rekenblad!F49</f>
        <v>68.37</v>
      </c>
      <c r="G49" s="118"/>
      <c r="H49" s="118">
        <f t="shared" si="4"/>
        <v>2734.8</v>
      </c>
      <c r="I49" s="569" t="s">
        <v>94</v>
      </c>
      <c r="J49" s="573"/>
      <c r="K49" s="118"/>
      <c r="L49" s="146"/>
      <c r="M49" s="146"/>
      <c r="N49" s="146"/>
      <c r="O49" s="146"/>
      <c r="P49" s="147"/>
      <c r="Q49" s="151"/>
    </row>
    <row r="50" spans="1:17" ht="30" customHeight="1">
      <c r="A50" s="143"/>
      <c r="B50" s="148" t="s">
        <v>95</v>
      </c>
      <c r="C50" s="149" t="s">
        <v>33</v>
      </c>
      <c r="D50" s="143" t="s">
        <v>8</v>
      </c>
      <c r="E50" s="108">
        <f>Rekenblad!E50</f>
        <v>2</v>
      </c>
      <c r="F50" s="118">
        <f>Rekenblad!F50</f>
        <v>68.37</v>
      </c>
      <c r="G50" s="118"/>
      <c r="H50" s="118">
        <f t="shared" si="4"/>
        <v>136.74</v>
      </c>
      <c r="I50" s="569" t="s">
        <v>92</v>
      </c>
      <c r="J50" s="573"/>
      <c r="K50" s="118"/>
      <c r="L50" s="146"/>
      <c r="M50" s="146"/>
      <c r="N50" s="146"/>
      <c r="O50" s="146"/>
      <c r="P50" s="147"/>
      <c r="Q50" s="151"/>
    </row>
    <row r="51" spans="1:17" ht="30" customHeight="1">
      <c r="A51" s="143"/>
      <c r="B51" s="148" t="s">
        <v>96</v>
      </c>
      <c r="C51" s="149" t="s">
        <v>33</v>
      </c>
      <c r="D51" s="143" t="s">
        <v>8</v>
      </c>
      <c r="E51" s="108">
        <f>Rekenblad!E51</f>
        <v>2</v>
      </c>
      <c r="F51" s="118">
        <f>Rekenblad!F51</f>
        <v>82.68</v>
      </c>
      <c r="G51" s="118"/>
      <c r="H51" s="118">
        <f t="shared" si="4"/>
        <v>165.36</v>
      </c>
      <c r="I51" s="569" t="s">
        <v>92</v>
      </c>
      <c r="J51" s="573"/>
      <c r="K51" s="118"/>
      <c r="L51" s="146"/>
      <c r="M51" s="146"/>
      <c r="N51" s="146"/>
      <c r="O51" s="146"/>
      <c r="P51" s="147"/>
      <c r="Q51" s="151"/>
    </row>
    <row r="52" spans="1:17" ht="30" customHeight="1">
      <c r="A52" s="143"/>
      <c r="B52" s="157" t="s">
        <v>97</v>
      </c>
      <c r="C52" s="160" t="s">
        <v>33</v>
      </c>
      <c r="D52" s="143" t="s">
        <v>8</v>
      </c>
      <c r="E52" s="108">
        <f>Rekenblad!E52</f>
        <v>40</v>
      </c>
      <c r="F52" s="118">
        <f>Rekenblad!F52</f>
        <v>100.17</v>
      </c>
      <c r="G52" s="118"/>
      <c r="H52" s="118">
        <f t="shared" si="4"/>
        <v>4006.8</v>
      </c>
      <c r="I52" s="569" t="s">
        <v>94</v>
      </c>
      <c r="J52" s="573"/>
      <c r="K52" s="161"/>
      <c r="L52" s="162"/>
      <c r="M52" s="162"/>
      <c r="N52" s="162"/>
      <c r="O52" s="162"/>
      <c r="P52" s="163"/>
      <c r="Q52" s="151"/>
    </row>
    <row r="53" spans="1:17" ht="30" customHeight="1">
      <c r="A53" s="143"/>
      <c r="B53" s="157" t="s">
        <v>98</v>
      </c>
      <c r="C53" s="160" t="s">
        <v>57</v>
      </c>
      <c r="D53" s="143" t="s">
        <v>8</v>
      </c>
      <c r="E53" s="108">
        <f>Rekenblad!E53</f>
        <v>5</v>
      </c>
      <c r="F53" s="118">
        <f>Rekenblad!F53</f>
        <v>113.102</v>
      </c>
      <c r="G53" s="118"/>
      <c r="H53" s="118">
        <f t="shared" si="4"/>
        <v>565.51</v>
      </c>
      <c r="I53" s="153" t="s">
        <v>99</v>
      </c>
      <c r="J53" s="155"/>
      <c r="K53" s="161"/>
      <c r="L53" s="162"/>
      <c r="M53" s="162"/>
      <c r="N53" s="162"/>
      <c r="O53" s="162"/>
      <c r="P53" s="163"/>
      <c r="Q53" s="151"/>
    </row>
    <row r="54" spans="1:17" ht="30" customHeight="1">
      <c r="A54" s="143"/>
      <c r="B54" s="157" t="s">
        <v>100</v>
      </c>
      <c r="C54" s="160" t="s">
        <v>101</v>
      </c>
      <c r="D54" s="143" t="s">
        <v>8</v>
      </c>
      <c r="E54" s="108">
        <f>Rekenblad!E54</f>
        <v>0</v>
      </c>
      <c r="F54" s="118">
        <f>Rekenblad!F54</f>
        <v>42.400000000000006</v>
      </c>
      <c r="G54" s="145"/>
      <c r="H54" s="118">
        <f t="shared" si="4"/>
        <v>0</v>
      </c>
      <c r="I54" s="153"/>
      <c r="J54" s="155"/>
      <c r="K54" s="161"/>
      <c r="L54" s="162"/>
      <c r="M54" s="162"/>
      <c r="N54" s="162"/>
      <c r="O54" s="162"/>
      <c r="P54" s="163"/>
      <c r="Q54" s="151"/>
    </row>
    <row r="55" spans="1:17" ht="30" customHeight="1">
      <c r="A55" s="143"/>
      <c r="B55" s="157"/>
      <c r="C55" s="160"/>
      <c r="D55" s="143"/>
      <c r="E55" s="108"/>
      <c r="F55" s="118"/>
      <c r="G55" s="145"/>
      <c r="H55" s="145"/>
      <c r="I55" s="153"/>
      <c r="J55" s="155"/>
      <c r="K55" s="161"/>
      <c r="L55" s="162"/>
      <c r="M55" s="162"/>
      <c r="N55" s="162"/>
      <c r="O55" s="162"/>
      <c r="P55" s="163"/>
      <c r="Q55" s="151"/>
    </row>
    <row r="56" spans="1:17" ht="30" customHeight="1">
      <c r="A56" s="64" t="s">
        <v>102</v>
      </c>
      <c r="B56" s="156" t="s">
        <v>103</v>
      </c>
      <c r="C56" s="141"/>
      <c r="D56" s="64"/>
      <c r="E56" s="108"/>
      <c r="F56" s="118"/>
      <c r="G56" s="145"/>
      <c r="H56" s="145"/>
      <c r="I56" s="569"/>
      <c r="J56" s="573"/>
      <c r="K56" s="118"/>
      <c r="L56" s="146"/>
      <c r="M56" s="146"/>
      <c r="N56" s="146"/>
      <c r="O56" s="146"/>
      <c r="P56" s="147"/>
      <c r="Q56" s="151"/>
    </row>
    <row r="57" spans="1:17" ht="30" customHeight="1">
      <c r="A57" s="143"/>
      <c r="B57" s="157" t="s">
        <v>75</v>
      </c>
      <c r="C57" s="143" t="s">
        <v>76</v>
      </c>
      <c r="D57" s="143" t="s">
        <v>8</v>
      </c>
      <c r="E57" s="108">
        <f>Rekenblad!E57</f>
        <v>0</v>
      </c>
      <c r="F57" s="118">
        <f>Rekenblad!F57</f>
        <v>47.7</v>
      </c>
      <c r="G57" s="145"/>
      <c r="H57" s="145">
        <f t="shared" si="4"/>
        <v>0</v>
      </c>
      <c r="I57" s="569"/>
      <c r="J57" s="573"/>
      <c r="K57" s="118"/>
      <c r="L57" s="146"/>
      <c r="M57" s="146"/>
      <c r="N57" s="146"/>
      <c r="O57" s="146"/>
      <c r="P57" s="147"/>
      <c r="Q57" s="151"/>
    </row>
    <row r="58" spans="1:17" ht="30" customHeight="1">
      <c r="A58" s="143"/>
      <c r="B58" s="157" t="s">
        <v>78</v>
      </c>
      <c r="C58" s="143" t="s">
        <v>76</v>
      </c>
      <c r="D58" s="143" t="s">
        <v>8</v>
      </c>
      <c r="E58" s="108">
        <f>Rekenblad!E58</f>
        <v>0</v>
      </c>
      <c r="F58" s="118">
        <f>Rekenblad!F58</f>
        <v>58.300000000000004</v>
      </c>
      <c r="G58" s="145"/>
      <c r="H58" s="145">
        <f t="shared" si="4"/>
        <v>0</v>
      </c>
      <c r="I58" s="569"/>
      <c r="J58" s="573"/>
      <c r="K58" s="118"/>
      <c r="L58" s="146"/>
      <c r="M58" s="146"/>
      <c r="N58" s="146"/>
      <c r="O58" s="146"/>
      <c r="P58" s="147"/>
      <c r="Q58" s="151"/>
    </row>
    <row r="59" spans="1:17" ht="30" customHeight="1">
      <c r="A59" s="143"/>
      <c r="B59" s="157" t="s">
        <v>79</v>
      </c>
      <c r="C59" s="143" t="s">
        <v>76</v>
      </c>
      <c r="D59" s="143" t="s">
        <v>8</v>
      </c>
      <c r="E59" s="108">
        <f>Rekenblad!E59</f>
        <v>0</v>
      </c>
      <c r="F59" s="118">
        <f>Rekenblad!F59</f>
        <v>68.900000000000006</v>
      </c>
      <c r="G59" s="145"/>
      <c r="H59" s="145">
        <f t="shared" si="4"/>
        <v>0</v>
      </c>
      <c r="I59" s="569"/>
      <c r="J59" s="573"/>
      <c r="K59" s="118"/>
      <c r="L59" s="146"/>
      <c r="M59" s="146"/>
      <c r="N59" s="146"/>
      <c r="O59" s="146"/>
      <c r="P59" s="147"/>
      <c r="Q59" s="151"/>
    </row>
    <row r="60" spans="1:17" ht="30" customHeight="1">
      <c r="A60" s="143"/>
      <c r="B60" s="157" t="s">
        <v>80</v>
      </c>
      <c r="C60" s="143" t="s">
        <v>76</v>
      </c>
      <c r="D60" s="143" t="s">
        <v>8</v>
      </c>
      <c r="E60" s="108">
        <f>Rekenblad!E60</f>
        <v>0</v>
      </c>
      <c r="F60" s="118">
        <f>Rekenblad!F60</f>
        <v>95.4</v>
      </c>
      <c r="G60" s="145"/>
      <c r="H60" s="145">
        <f t="shared" si="4"/>
        <v>0</v>
      </c>
      <c r="I60" s="569"/>
      <c r="J60" s="573"/>
      <c r="K60" s="118"/>
      <c r="L60" s="146"/>
      <c r="M60" s="146"/>
      <c r="N60" s="146"/>
      <c r="O60" s="146"/>
      <c r="P60" s="147"/>
      <c r="Q60" s="151"/>
    </row>
    <row r="61" spans="1:17" ht="30" customHeight="1">
      <c r="A61" s="143"/>
      <c r="B61" s="157"/>
      <c r="C61" s="143"/>
      <c r="D61" s="143"/>
      <c r="E61" s="108"/>
      <c r="F61" s="118"/>
      <c r="G61" s="145"/>
      <c r="H61" s="145"/>
      <c r="I61" s="569"/>
      <c r="J61" s="573"/>
      <c r="K61" s="161"/>
      <c r="L61" s="162"/>
      <c r="M61" s="162"/>
      <c r="N61" s="162"/>
      <c r="O61" s="162"/>
      <c r="P61" s="163"/>
      <c r="Q61" s="151"/>
    </row>
    <row r="62" spans="1:17" ht="30" customHeight="1">
      <c r="A62" s="64" t="s">
        <v>104</v>
      </c>
      <c r="B62" s="65" t="s">
        <v>105</v>
      </c>
      <c r="C62" s="164"/>
      <c r="D62" s="35" t="s">
        <v>12</v>
      </c>
      <c r="E62" s="57" t="s">
        <v>13</v>
      </c>
      <c r="F62" s="60" t="str">
        <f>Rekenblad!F62</f>
        <v>bedrag per eenheid (excl. btw)</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f>Rekenblad!E63</f>
        <v>20</v>
      </c>
      <c r="F63" s="118">
        <f>Rekenblad!F63</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f>Rekenblad!E64</f>
        <v>0</v>
      </c>
      <c r="F64" s="118">
        <f>Rekenblad!F64</f>
        <v>238.5</v>
      </c>
      <c r="G64" s="145"/>
      <c r="H64" s="145">
        <f t="shared" ref="H64:H67" si="5">E64*F64</f>
        <v>0</v>
      </c>
      <c r="I64" s="569"/>
      <c r="J64" s="573"/>
      <c r="K64" s="118"/>
      <c r="L64" s="146"/>
      <c r="M64" s="146"/>
      <c r="N64" s="146"/>
      <c r="O64" s="146"/>
      <c r="P64" s="147"/>
      <c r="Q64" s="151"/>
    </row>
    <row r="65" spans="1:17" ht="30" customHeight="1">
      <c r="A65" s="143"/>
      <c r="B65" s="148" t="s">
        <v>79</v>
      </c>
      <c r="C65" s="149" t="s">
        <v>26</v>
      </c>
      <c r="D65" s="143" t="s">
        <v>8</v>
      </c>
      <c r="E65" s="108">
        <f>Rekenblad!E65</f>
        <v>0</v>
      </c>
      <c r="F65" s="118">
        <f>Rekenblad!F65</f>
        <v>1166</v>
      </c>
      <c r="G65" s="145"/>
      <c r="H65" s="145">
        <f t="shared" si="5"/>
        <v>0</v>
      </c>
      <c r="I65" s="569"/>
      <c r="J65" s="573"/>
      <c r="K65" s="118"/>
      <c r="L65" s="146"/>
      <c r="M65" s="146"/>
      <c r="N65" s="146"/>
      <c r="O65" s="146"/>
      <c r="P65" s="147"/>
      <c r="Q65" s="151"/>
    </row>
    <row r="66" spans="1:17" ht="30" customHeight="1">
      <c r="A66" s="143"/>
      <c r="B66" s="148" t="s">
        <v>80</v>
      </c>
      <c r="C66" s="149" t="s">
        <v>26</v>
      </c>
      <c r="D66" s="143" t="s">
        <v>8</v>
      </c>
      <c r="E66" s="108">
        <f>Rekenblad!E66</f>
        <v>0</v>
      </c>
      <c r="F66" s="118">
        <f>Rekenblad!F66</f>
        <v>344.5</v>
      </c>
      <c r="G66" s="145"/>
      <c r="H66" s="145">
        <f t="shared" si="5"/>
        <v>0</v>
      </c>
      <c r="I66" s="569"/>
      <c r="J66" s="573"/>
      <c r="K66" s="118"/>
      <c r="L66" s="146"/>
      <c r="M66" s="146"/>
      <c r="N66" s="146"/>
      <c r="O66" s="146"/>
      <c r="P66" s="147"/>
      <c r="Q66" s="151"/>
    </row>
    <row r="67" spans="1:17" ht="30" customHeight="1">
      <c r="A67" s="143"/>
      <c r="B67" s="148" t="s">
        <v>107</v>
      </c>
      <c r="C67" s="149" t="s">
        <v>57</v>
      </c>
      <c r="D67" s="143" t="s">
        <v>8</v>
      </c>
      <c r="E67" s="108">
        <f>Rekenblad!E67</f>
        <v>0</v>
      </c>
      <c r="F67" s="118">
        <f>Rekenblad!F67</f>
        <v>339.20000000000005</v>
      </c>
      <c r="G67" s="145"/>
      <c r="H67" s="145">
        <f t="shared" si="5"/>
        <v>0</v>
      </c>
      <c r="I67" s="153"/>
      <c r="J67" s="155"/>
      <c r="K67" s="118"/>
      <c r="L67" s="146"/>
      <c r="M67" s="146"/>
      <c r="N67" s="146"/>
      <c r="O67" s="146"/>
      <c r="P67" s="147"/>
      <c r="Q67" s="151"/>
    </row>
    <row r="68" spans="1:17" ht="30" customHeight="1">
      <c r="A68" s="143"/>
      <c r="B68" s="148"/>
      <c r="C68" s="149"/>
      <c r="D68" s="143"/>
      <c r="E68" s="108"/>
      <c r="F68" s="118"/>
      <c r="G68" s="145"/>
      <c r="H68" s="145"/>
      <c r="I68" s="569"/>
      <c r="J68" s="573"/>
      <c r="K68" s="118"/>
      <c r="L68" s="146"/>
      <c r="M68" s="146"/>
      <c r="N68" s="146"/>
      <c r="O68" s="146"/>
      <c r="P68" s="147"/>
      <c r="Q68" s="151"/>
    </row>
    <row r="69" spans="1:17" ht="30" customHeight="1">
      <c r="A69" s="165">
        <v>4</v>
      </c>
      <c r="B69" s="166" t="s">
        <v>108</v>
      </c>
      <c r="C69" s="166"/>
      <c r="D69" s="51" t="s">
        <v>12</v>
      </c>
      <c r="E69" s="52" t="s">
        <v>13</v>
      </c>
      <c r="F69" s="60" t="str">
        <f>Rekenblad!F69</f>
        <v>bedrag per eenheid (excl. btw)</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Rekenblad!E70</f>
        <v>40</v>
      </c>
      <c r="F70" s="118">
        <f>Rekenblad!F70</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Rekenblad!E71</f>
        <v>40</v>
      </c>
      <c r="F71" s="118">
        <f>Rekenblad!F71</f>
        <v>220.64400000000001</v>
      </c>
      <c r="G71" s="109"/>
      <c r="H71" s="167">
        <f t="shared" ref="H71:H76" si="6">E71*F71</f>
        <v>8825.76</v>
      </c>
      <c r="I71" s="569" t="s">
        <v>114</v>
      </c>
      <c r="J71" s="573"/>
      <c r="K71" s="118"/>
      <c r="L71" s="146"/>
      <c r="M71" s="146"/>
      <c r="N71" s="146"/>
      <c r="O71" s="146"/>
      <c r="P71" s="77"/>
      <c r="Q71" s="151"/>
    </row>
    <row r="72" spans="1:17" ht="30" customHeight="1">
      <c r="A72" s="78" t="s">
        <v>115</v>
      </c>
      <c r="B72" s="170" t="s">
        <v>116</v>
      </c>
      <c r="C72" s="89" t="s">
        <v>117</v>
      </c>
      <c r="D72" s="171" t="s">
        <v>118</v>
      </c>
      <c r="E72" s="108">
        <f>Rekenblad!E72</f>
        <v>0</v>
      </c>
      <c r="F72" s="118">
        <f>Rekenblad!F72</f>
        <v>39.75</v>
      </c>
      <c r="G72" s="109"/>
      <c r="H72" s="167">
        <f t="shared" si="6"/>
        <v>0</v>
      </c>
      <c r="I72" s="153"/>
      <c r="J72" s="152"/>
      <c r="K72" s="161"/>
      <c r="L72" s="162"/>
      <c r="M72" s="162"/>
      <c r="N72" s="162"/>
      <c r="O72" s="162"/>
      <c r="P72" s="163"/>
      <c r="Q72" s="151"/>
    </row>
    <row r="73" spans="1:17" ht="30" customHeight="1">
      <c r="A73" s="78" t="s">
        <v>119</v>
      </c>
      <c r="B73" s="170" t="s">
        <v>120</v>
      </c>
      <c r="C73" s="89" t="s">
        <v>117</v>
      </c>
      <c r="D73" s="171" t="s">
        <v>118</v>
      </c>
      <c r="E73" s="108">
        <f>Rekenblad!E73</f>
        <v>0</v>
      </c>
      <c r="F73" s="118">
        <f>Rekenblad!F73</f>
        <v>39.75</v>
      </c>
      <c r="G73" s="109"/>
      <c r="H73" s="167">
        <f t="shared" si="6"/>
        <v>0</v>
      </c>
      <c r="I73" s="153"/>
      <c r="J73" s="152"/>
      <c r="K73" s="161"/>
      <c r="L73" s="162"/>
      <c r="M73" s="162"/>
      <c r="N73" s="162"/>
      <c r="O73" s="162"/>
      <c r="P73" s="163"/>
      <c r="Q73" s="151"/>
    </row>
    <row r="74" spans="1:17" ht="30" customHeight="1">
      <c r="A74" s="78" t="s">
        <v>121</v>
      </c>
      <c r="B74" s="116" t="s">
        <v>122</v>
      </c>
      <c r="C74" s="75" t="s">
        <v>26</v>
      </c>
      <c r="D74" s="107" t="s">
        <v>8</v>
      </c>
      <c r="E74" s="108">
        <f>Rekenblad!E74</f>
        <v>40</v>
      </c>
      <c r="F74" s="118">
        <f>Rekenblad!F74</f>
        <v>82.987400000000008</v>
      </c>
      <c r="G74" s="109"/>
      <c r="H74" s="167">
        <f t="shared" si="6"/>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Rekenblad!E75</f>
        <v>40</v>
      </c>
      <c r="F75" s="118">
        <f>Rekenblad!F75</f>
        <v>147.55199999999999</v>
      </c>
      <c r="G75" s="109"/>
      <c r="H75" s="167">
        <f t="shared" si="6"/>
        <v>5902.08</v>
      </c>
      <c r="I75" s="569" t="s">
        <v>127</v>
      </c>
      <c r="J75" s="573"/>
      <c r="K75" s="168"/>
      <c r="L75" s="169"/>
      <c r="M75" s="169"/>
      <c r="N75" s="169"/>
      <c r="O75" s="169"/>
      <c r="P75" s="77"/>
      <c r="Q75" s="151"/>
    </row>
    <row r="76" spans="1:17" ht="30" customHeight="1">
      <c r="A76" s="171" t="s">
        <v>128</v>
      </c>
      <c r="B76" s="116" t="s">
        <v>129</v>
      </c>
      <c r="C76" s="75"/>
      <c r="D76" s="171" t="s">
        <v>126</v>
      </c>
      <c r="E76" s="108">
        <f>Rekenblad!E76</f>
        <v>0</v>
      </c>
      <c r="F76" s="118">
        <f>Rekenblad!F76</f>
        <v>190.8</v>
      </c>
      <c r="G76" s="109"/>
      <c r="H76" s="167">
        <f t="shared" si="6"/>
        <v>0</v>
      </c>
      <c r="I76" s="567"/>
      <c r="J76" s="567"/>
      <c r="K76" s="168"/>
      <c r="L76" s="169"/>
      <c r="M76" s="169"/>
      <c r="N76" s="169"/>
      <c r="O76" s="169"/>
      <c r="P76" s="77"/>
      <c r="Q76" s="151"/>
    </row>
    <row r="77" spans="1:17" ht="30" customHeight="1">
      <c r="A77" s="171" t="s">
        <v>130</v>
      </c>
      <c r="B77" s="116" t="s">
        <v>131</v>
      </c>
      <c r="C77" s="75"/>
      <c r="D77" s="171" t="s">
        <v>126</v>
      </c>
      <c r="E77" s="108">
        <f>Rekenblad!E77</f>
        <v>5</v>
      </c>
      <c r="F77" s="118">
        <f>Rekenblad!F77</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f>Rekenblad!E78</f>
        <v>0</v>
      </c>
      <c r="F78" s="118">
        <f>Rekenblad!F78</f>
        <v>68.900000000000006</v>
      </c>
      <c r="G78" s="109"/>
      <c r="H78" s="167">
        <f t="shared" ref="H78:H80" si="7">F78*E78</f>
        <v>0</v>
      </c>
      <c r="I78" s="76"/>
      <c r="J78" s="89"/>
      <c r="K78" s="161"/>
      <c r="L78" s="162"/>
      <c r="M78" s="162"/>
      <c r="N78" s="162"/>
      <c r="O78" s="162"/>
      <c r="P78" s="163"/>
      <c r="Q78" s="151"/>
    </row>
    <row r="79" spans="1:17" ht="30" customHeight="1">
      <c r="A79" s="171" t="s">
        <v>135</v>
      </c>
      <c r="B79" s="89" t="s">
        <v>136</v>
      </c>
      <c r="C79" s="89" t="s">
        <v>117</v>
      </c>
      <c r="D79" s="171" t="s">
        <v>118</v>
      </c>
      <c r="E79" s="108">
        <f>Rekenblad!E79</f>
        <v>0</v>
      </c>
      <c r="F79" s="118">
        <f>Rekenblad!F79</f>
        <v>196.10000000000002</v>
      </c>
      <c r="G79" s="109"/>
      <c r="H79" s="167">
        <f t="shared" si="7"/>
        <v>0</v>
      </c>
      <c r="I79" s="76"/>
      <c r="J79" s="89"/>
      <c r="K79" s="161"/>
      <c r="L79" s="162"/>
      <c r="M79" s="162"/>
      <c r="N79" s="162"/>
      <c r="O79" s="162"/>
      <c r="P79" s="163"/>
      <c r="Q79" s="151"/>
    </row>
    <row r="80" spans="1:17" ht="30" customHeight="1">
      <c r="A80" s="171" t="s">
        <v>137</v>
      </c>
      <c r="B80" s="89" t="s">
        <v>138</v>
      </c>
      <c r="C80" s="89" t="s">
        <v>117</v>
      </c>
      <c r="D80" s="171" t="s">
        <v>139</v>
      </c>
      <c r="E80" s="108">
        <f>Rekenblad!E80</f>
        <v>0</v>
      </c>
      <c r="F80" s="118">
        <f>Rekenblad!F80</f>
        <v>174.9</v>
      </c>
      <c r="G80" s="118"/>
      <c r="H80" s="167">
        <f t="shared" si="7"/>
        <v>0</v>
      </c>
      <c r="I80" s="173"/>
      <c r="J80" s="75"/>
      <c r="K80" s="37"/>
      <c r="L80" s="50"/>
      <c r="M80" s="50"/>
      <c r="N80" s="50"/>
      <c r="O80" s="50"/>
      <c r="P80" s="49"/>
      <c r="Q80" s="151"/>
    </row>
    <row r="81" spans="1:17" ht="30" customHeight="1">
      <c r="A81" s="171" t="s">
        <v>140</v>
      </c>
      <c r="B81" s="174" t="s">
        <v>141</v>
      </c>
      <c r="C81" s="107" t="s">
        <v>26</v>
      </c>
      <c r="D81" s="107" t="s">
        <v>8</v>
      </c>
      <c r="E81" s="108">
        <f>Rekenblad!E81</f>
        <v>40</v>
      </c>
      <c r="F81" s="118">
        <f>Rekenblad!F81</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Rekenblad!E82</f>
        <v>40</v>
      </c>
      <c r="F82" s="118">
        <f>Rekenblad!F82</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f>Rekenblad!E83</f>
        <v>0</v>
      </c>
      <c r="F83" s="118">
        <f>Rekenblad!F83</f>
        <v>0</v>
      </c>
      <c r="G83" s="109"/>
      <c r="H83" s="167">
        <f t="shared" ref="H83:H89" si="8">SUM(E83*F83)</f>
        <v>0</v>
      </c>
      <c r="I83" s="76"/>
      <c r="J83" s="89"/>
      <c r="K83" s="161"/>
      <c r="L83" s="162"/>
      <c r="M83" s="162"/>
      <c r="N83" s="162"/>
      <c r="O83" s="162"/>
      <c r="P83" s="163"/>
      <c r="Q83" s="151"/>
    </row>
    <row r="84" spans="1:17" ht="30" customHeight="1">
      <c r="A84" s="171" t="s">
        <v>148</v>
      </c>
      <c r="B84" s="89" t="s">
        <v>149</v>
      </c>
      <c r="C84" s="89" t="s">
        <v>117</v>
      </c>
      <c r="D84" s="171" t="s">
        <v>118</v>
      </c>
      <c r="E84" s="108">
        <f>Rekenblad!E84</f>
        <v>0</v>
      </c>
      <c r="F84" s="118">
        <f>Rekenblad!F84</f>
        <v>0</v>
      </c>
      <c r="G84" s="109"/>
      <c r="H84" s="167">
        <f t="shared" si="8"/>
        <v>0</v>
      </c>
      <c r="I84" s="175"/>
      <c r="J84" s="176"/>
      <c r="K84" s="161"/>
      <c r="L84" s="162"/>
      <c r="M84" s="162"/>
      <c r="N84" s="162"/>
      <c r="O84" s="162"/>
      <c r="P84" s="163"/>
      <c r="Q84" s="151"/>
    </row>
    <row r="85" spans="1:17" ht="30" customHeight="1">
      <c r="A85" s="171" t="s">
        <v>150</v>
      </c>
      <c r="B85" s="89" t="s">
        <v>151</v>
      </c>
      <c r="C85" s="89" t="s">
        <v>117</v>
      </c>
      <c r="D85" s="171" t="s">
        <v>118</v>
      </c>
      <c r="E85" s="108">
        <f>Rekenblad!E85</f>
        <v>0</v>
      </c>
      <c r="F85" s="118">
        <f>Rekenblad!F85</f>
        <v>174.9</v>
      </c>
      <c r="G85" s="109"/>
      <c r="H85" s="167">
        <f t="shared" si="8"/>
        <v>0</v>
      </c>
      <c r="I85" s="153"/>
      <c r="J85" s="152"/>
      <c r="K85" s="161"/>
      <c r="L85" s="162"/>
      <c r="M85" s="162"/>
      <c r="N85" s="162"/>
      <c r="O85" s="162"/>
      <c r="P85" s="163"/>
      <c r="Q85" s="151"/>
    </row>
    <row r="86" spans="1:17" ht="30" customHeight="1">
      <c r="A86" s="171" t="s">
        <v>152</v>
      </c>
      <c r="B86" s="170" t="s">
        <v>153</v>
      </c>
      <c r="C86" s="89" t="s">
        <v>117</v>
      </c>
      <c r="D86" s="171" t="s">
        <v>118</v>
      </c>
      <c r="E86" s="108">
        <f>Rekenblad!E86</f>
        <v>0</v>
      </c>
      <c r="F86" s="118">
        <f>Rekenblad!F86</f>
        <v>156.35</v>
      </c>
      <c r="G86" s="109"/>
      <c r="H86" s="167">
        <f t="shared" si="8"/>
        <v>0</v>
      </c>
      <c r="I86" s="153"/>
      <c r="J86" s="152"/>
      <c r="K86" s="161"/>
      <c r="L86" s="162"/>
      <c r="M86" s="162"/>
      <c r="N86" s="162"/>
      <c r="O86" s="162"/>
      <c r="P86" s="163"/>
      <c r="Q86" s="151"/>
    </row>
    <row r="87" spans="1:17" ht="30" customHeight="1">
      <c r="A87" s="171" t="s">
        <v>154</v>
      </c>
      <c r="B87" s="170" t="s">
        <v>153</v>
      </c>
      <c r="C87" s="89" t="s">
        <v>117</v>
      </c>
      <c r="D87" s="171" t="s">
        <v>118</v>
      </c>
      <c r="E87" s="108">
        <f>Rekenblad!E87</f>
        <v>0</v>
      </c>
      <c r="F87" s="118">
        <f>Rekenblad!F87</f>
        <v>234.52500000000001</v>
      </c>
      <c r="G87" s="109"/>
      <c r="H87" s="167">
        <f t="shared" si="8"/>
        <v>0</v>
      </c>
      <c r="I87" s="153"/>
      <c r="J87" s="152"/>
      <c r="K87" s="161"/>
      <c r="L87" s="162"/>
      <c r="M87" s="162"/>
      <c r="N87" s="162"/>
      <c r="O87" s="162"/>
      <c r="P87" s="163"/>
      <c r="Q87" s="151"/>
    </row>
    <row r="88" spans="1:17" ht="30" customHeight="1">
      <c r="A88" s="171" t="s">
        <v>155</v>
      </c>
      <c r="B88" s="170" t="s">
        <v>153</v>
      </c>
      <c r="C88" s="89" t="s">
        <v>117</v>
      </c>
      <c r="D88" s="171" t="s">
        <v>118</v>
      </c>
      <c r="E88" s="108">
        <f>Rekenblad!E88</f>
        <v>0</v>
      </c>
      <c r="F88" s="118">
        <f>Rekenblad!F88</f>
        <v>340.71600000000001</v>
      </c>
      <c r="G88" s="109"/>
      <c r="H88" s="167">
        <f t="shared" si="8"/>
        <v>0</v>
      </c>
      <c r="I88" s="153"/>
      <c r="J88" s="152"/>
      <c r="K88" s="161"/>
      <c r="L88" s="162"/>
      <c r="M88" s="162"/>
      <c r="N88" s="162"/>
      <c r="O88" s="162"/>
      <c r="P88" s="163"/>
      <c r="Q88" s="151"/>
    </row>
    <row r="89" spans="1:17" ht="30" customHeight="1">
      <c r="A89" s="171" t="s">
        <v>156</v>
      </c>
      <c r="B89" s="170" t="s">
        <v>153</v>
      </c>
      <c r="C89" s="89" t="s">
        <v>117</v>
      </c>
      <c r="D89" s="171" t="s">
        <v>118</v>
      </c>
      <c r="E89" s="108">
        <f>Rekenblad!E89</f>
        <v>0</v>
      </c>
      <c r="F89" s="118">
        <f>Rekenblad!F89</f>
        <v>312.7</v>
      </c>
      <c r="G89" s="109"/>
      <c r="H89" s="167">
        <f t="shared" si="8"/>
        <v>0</v>
      </c>
      <c r="I89" s="153"/>
      <c r="J89" s="152"/>
      <c r="K89" s="161"/>
      <c r="L89" s="162"/>
      <c r="M89" s="162"/>
      <c r="N89" s="162"/>
      <c r="O89" s="162"/>
      <c r="P89" s="163"/>
      <c r="Q89" s="151"/>
    </row>
    <row r="90" spans="1:17" ht="30" customHeight="1">
      <c r="A90" s="177"/>
      <c r="B90" s="174"/>
      <c r="C90" s="178"/>
      <c r="D90" s="178"/>
      <c r="E90" s="108"/>
      <c r="F90" s="118"/>
      <c r="G90" s="181"/>
      <c r="H90" s="182"/>
      <c r="I90" s="153"/>
      <c r="J90" s="152"/>
      <c r="K90" s="161"/>
      <c r="L90" s="162"/>
      <c r="M90" s="162"/>
      <c r="N90" s="162"/>
      <c r="O90" s="162"/>
      <c r="P90" s="163"/>
      <c r="Q90" s="151"/>
    </row>
    <row r="91" spans="1:17" ht="30" customHeight="1">
      <c r="A91" s="165">
        <v>5</v>
      </c>
      <c r="B91" s="115" t="s">
        <v>157</v>
      </c>
      <c r="C91" s="166"/>
      <c r="D91" s="51" t="s">
        <v>12</v>
      </c>
      <c r="E91" s="52" t="s">
        <v>13</v>
      </c>
      <c r="F91" s="60" t="str">
        <f>Rekenblad!F91</f>
        <v>bedrag per eenheid (excl. btw)</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08">
        <f>Rekenblad!E92</f>
        <v>0</v>
      </c>
      <c r="F92" s="118">
        <f>Rekenblad!F92</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Rekenblad!E93</f>
        <v>40</v>
      </c>
      <c r="F93" s="118">
        <f>Rekenblad!F93</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Rekenblad!E94</f>
        <v>40</v>
      </c>
      <c r="F94" s="118">
        <f>Rekenblad!F94</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f>Rekenblad!E95</f>
        <v>0</v>
      </c>
      <c r="F95" s="118">
        <f>Rekenblad!F95</f>
        <v>0</v>
      </c>
      <c r="G95" s="109"/>
      <c r="H95" s="167">
        <f t="shared" ref="H95:H98" si="9">E95*5</f>
        <v>0</v>
      </c>
      <c r="I95" s="76"/>
      <c r="J95" s="89"/>
      <c r="K95" s="161"/>
      <c r="L95" s="162"/>
      <c r="M95" s="162"/>
      <c r="N95" s="162"/>
      <c r="O95" s="162"/>
      <c r="P95" s="163"/>
      <c r="Q95" s="151"/>
    </row>
    <row r="96" spans="1:17" ht="30" customHeight="1">
      <c r="A96" s="171" t="s">
        <v>168</v>
      </c>
      <c r="B96" s="170" t="s">
        <v>169</v>
      </c>
      <c r="C96" s="89" t="s">
        <v>117</v>
      </c>
      <c r="D96" s="171" t="s">
        <v>118</v>
      </c>
      <c r="E96" s="108">
        <f>Rekenblad!E96</f>
        <v>0</v>
      </c>
      <c r="F96" s="118">
        <f>Rekenblad!F96</f>
        <v>0</v>
      </c>
      <c r="G96" s="109"/>
      <c r="H96" s="167">
        <f t="shared" si="9"/>
        <v>0</v>
      </c>
      <c r="I96" s="76"/>
      <c r="J96" s="89"/>
      <c r="K96" s="161"/>
      <c r="L96" s="162"/>
      <c r="M96" s="162"/>
      <c r="N96" s="162"/>
      <c r="O96" s="162"/>
      <c r="P96" s="163"/>
      <c r="Q96" s="151"/>
    </row>
    <row r="97" spans="1:17" ht="30" customHeight="1">
      <c r="A97" s="171" t="s">
        <v>170</v>
      </c>
      <c r="B97" s="170" t="s">
        <v>171</v>
      </c>
      <c r="C97" s="89" t="s">
        <v>117</v>
      </c>
      <c r="D97" s="171" t="s">
        <v>118</v>
      </c>
      <c r="E97" s="108">
        <f>Rekenblad!E97</f>
        <v>0</v>
      </c>
      <c r="F97" s="118">
        <f>Rekenblad!F97</f>
        <v>0</v>
      </c>
      <c r="G97" s="109"/>
      <c r="H97" s="167">
        <f t="shared" si="9"/>
        <v>0</v>
      </c>
      <c r="I97" s="76"/>
      <c r="J97" s="89"/>
      <c r="K97" s="161"/>
      <c r="L97" s="162"/>
      <c r="M97" s="162"/>
      <c r="N97" s="162"/>
      <c r="O97" s="162"/>
      <c r="P97" s="163"/>
      <c r="Q97" s="151"/>
    </row>
    <row r="98" spans="1:17" ht="30" customHeight="1">
      <c r="A98" s="171" t="s">
        <v>172</v>
      </c>
      <c r="B98" s="170" t="s">
        <v>173</v>
      </c>
      <c r="C98" s="89" t="s">
        <v>117</v>
      </c>
      <c r="D98" s="171" t="s">
        <v>118</v>
      </c>
      <c r="E98" s="108">
        <f>Rekenblad!E98</f>
        <v>0</v>
      </c>
      <c r="F98" s="118">
        <f>Rekenblad!F98</f>
        <v>0</v>
      </c>
      <c r="G98" s="109"/>
      <c r="H98" s="167">
        <f t="shared" si="9"/>
        <v>0</v>
      </c>
      <c r="I98" s="76"/>
      <c r="J98" s="89"/>
      <c r="K98" s="161"/>
      <c r="L98" s="162"/>
      <c r="M98" s="162"/>
      <c r="N98" s="162"/>
      <c r="O98" s="162"/>
      <c r="P98" s="163"/>
      <c r="Q98" s="151"/>
    </row>
    <row r="99" spans="1:17" ht="30" customHeight="1">
      <c r="A99" s="171" t="s">
        <v>174</v>
      </c>
      <c r="B99" s="116" t="s">
        <v>175</v>
      </c>
      <c r="C99" s="75" t="s">
        <v>57</v>
      </c>
      <c r="D99" s="107" t="s">
        <v>8</v>
      </c>
      <c r="E99" s="108">
        <f>Rekenblad!E99</f>
        <v>24</v>
      </c>
      <c r="F99" s="118">
        <f>Rekenblad!F99</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f>Rekenblad!E100</f>
        <v>0</v>
      </c>
      <c r="F100" s="118">
        <f>Rekenblad!F100</f>
        <v>36.887999999999998</v>
      </c>
      <c r="G100" s="109"/>
      <c r="H100" s="167">
        <f t="shared" ref="H100:H102" si="10">E100*5</f>
        <v>0</v>
      </c>
      <c r="I100" s="76"/>
      <c r="J100" s="89"/>
      <c r="K100" s="161"/>
      <c r="L100" s="162"/>
      <c r="M100" s="162"/>
      <c r="N100" s="162"/>
      <c r="O100" s="162"/>
      <c r="P100" s="163"/>
      <c r="Q100" s="151"/>
    </row>
    <row r="101" spans="1:17" ht="30" customHeight="1">
      <c r="A101" s="171" t="s">
        <v>179</v>
      </c>
      <c r="B101" s="89" t="s">
        <v>180</v>
      </c>
      <c r="C101" s="89" t="s">
        <v>117</v>
      </c>
      <c r="D101" s="171" t="s">
        <v>118</v>
      </c>
      <c r="E101" s="108">
        <f>Rekenblad!E101</f>
        <v>0</v>
      </c>
      <c r="F101" s="118">
        <f>Rekenblad!F101</f>
        <v>185.5</v>
      </c>
      <c r="G101" s="118"/>
      <c r="H101" s="167">
        <f t="shared" si="10"/>
        <v>0</v>
      </c>
      <c r="I101" s="173"/>
      <c r="J101" s="75"/>
      <c r="K101" s="183"/>
      <c r="L101" s="184"/>
      <c r="M101" s="184"/>
      <c r="N101" s="184"/>
      <c r="O101" s="184"/>
      <c r="P101" s="185"/>
      <c r="Q101" s="151"/>
    </row>
    <row r="102" spans="1:17" ht="30" customHeight="1">
      <c r="A102" s="186" t="s">
        <v>181</v>
      </c>
      <c r="B102" s="187" t="s">
        <v>182</v>
      </c>
      <c r="C102" s="188" t="s">
        <v>117</v>
      </c>
      <c r="D102" s="186" t="s">
        <v>118</v>
      </c>
      <c r="E102" s="108">
        <f>Rekenblad!E102</f>
        <v>0</v>
      </c>
      <c r="F102" s="118">
        <f>Rekenblad!F102</f>
        <v>0</v>
      </c>
      <c r="G102" s="189"/>
      <c r="H102" s="167">
        <f t="shared" si="10"/>
        <v>0</v>
      </c>
      <c r="I102" s="190"/>
      <c r="J102" s="191"/>
      <c r="K102" s="183"/>
      <c r="L102" s="184"/>
      <c r="M102" s="184"/>
      <c r="N102" s="184"/>
      <c r="O102" s="184"/>
      <c r="P102" s="185"/>
      <c r="Q102" s="151"/>
    </row>
    <row r="103" spans="1:17" ht="30" customHeight="1">
      <c r="A103" s="171"/>
      <c r="B103" s="116"/>
      <c r="C103" s="75"/>
      <c r="D103" s="107"/>
      <c r="E103" s="108"/>
      <c r="F103" s="118"/>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60" t="str">
        <f>Rekenblad!F104</f>
        <v>bedrag per eenheid (excl. btw)</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f>Rekenblad!E105</f>
        <v>0</v>
      </c>
      <c r="F105" s="118">
        <f>Rekenblad!F105</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f>Rekenblad!E106</f>
        <v>16</v>
      </c>
      <c r="F106" s="118">
        <f>Rekenblad!F106</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f>Rekenblad!E107</f>
        <v>8</v>
      </c>
      <c r="F107" s="118">
        <f>Rekenblad!F107</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Rekenblad!E108</f>
        <v>40</v>
      </c>
      <c r="F108" s="118">
        <f>Rekenblad!F108</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10</v>
      </c>
      <c r="F109" s="118">
        <f>Rekenblad!F109</f>
        <v>74.2</v>
      </c>
      <c r="G109" s="118"/>
      <c r="H109" s="195">
        <f t="shared" ref="H109:H120" si="11">SUM(E109*F109)</f>
        <v>742</v>
      </c>
      <c r="I109" s="569" t="s">
        <v>197</v>
      </c>
      <c r="J109" s="570"/>
      <c r="K109" s="161"/>
      <c r="L109" s="162"/>
      <c r="M109" s="162"/>
      <c r="N109" s="162"/>
      <c r="O109" s="162"/>
      <c r="P109" s="163"/>
      <c r="Q109" s="151"/>
    </row>
    <row r="110" spans="1:17" ht="30" customHeight="1">
      <c r="A110" s="104" t="s">
        <v>198</v>
      </c>
      <c r="B110" s="170" t="s">
        <v>199</v>
      </c>
      <c r="C110" s="171" t="s">
        <v>76</v>
      </c>
      <c r="D110" s="171" t="s">
        <v>8</v>
      </c>
      <c r="E110" s="108">
        <f>Rekenblad!E110</f>
        <v>0</v>
      </c>
      <c r="F110" s="118">
        <f>Rekenblad!F110</f>
        <v>286.2</v>
      </c>
      <c r="G110" s="118"/>
      <c r="H110" s="167">
        <f t="shared" si="11"/>
        <v>0</v>
      </c>
      <c r="I110" s="567"/>
      <c r="J110" s="568"/>
      <c r="K110" s="161"/>
      <c r="L110" s="162"/>
      <c r="M110" s="162"/>
      <c r="N110" s="162"/>
      <c r="O110" s="162"/>
      <c r="P110" s="163"/>
      <c r="Q110" s="151"/>
    </row>
    <row r="111" spans="1:17" ht="30" customHeight="1">
      <c r="A111" s="104" t="s">
        <v>200</v>
      </c>
      <c r="B111" s="170" t="s">
        <v>201</v>
      </c>
      <c r="C111" s="171" t="s">
        <v>76</v>
      </c>
      <c r="D111" s="171" t="s">
        <v>8</v>
      </c>
      <c r="E111" s="108">
        <f>Rekenblad!E111</f>
        <v>0</v>
      </c>
      <c r="F111" s="118">
        <f>Rekenblad!F111</f>
        <v>296.8</v>
      </c>
      <c r="G111" s="118"/>
      <c r="H111" s="167">
        <f t="shared" si="11"/>
        <v>0</v>
      </c>
      <c r="I111" s="567"/>
      <c r="J111" s="568"/>
      <c r="K111" s="161"/>
      <c r="L111" s="162"/>
      <c r="M111" s="162"/>
      <c r="N111" s="162"/>
      <c r="O111" s="162"/>
      <c r="P111" s="163"/>
      <c r="Q111" s="151"/>
    </row>
    <row r="112" spans="1:17" ht="30" customHeight="1">
      <c r="A112" s="104" t="s">
        <v>202</v>
      </c>
      <c r="B112" s="170" t="s">
        <v>203</v>
      </c>
      <c r="C112" s="171" t="s">
        <v>57</v>
      </c>
      <c r="D112" s="171" t="s">
        <v>8</v>
      </c>
      <c r="E112" s="108">
        <f>Rekenblad!E112</f>
        <v>0</v>
      </c>
      <c r="F112" s="118">
        <f>Rekenblad!F112</f>
        <v>307.40000000000003</v>
      </c>
      <c r="G112" s="118"/>
      <c r="H112" s="167">
        <f t="shared" si="11"/>
        <v>0</v>
      </c>
      <c r="I112" s="567"/>
      <c r="J112" s="568"/>
      <c r="K112" s="161"/>
      <c r="L112" s="162"/>
      <c r="M112" s="162"/>
      <c r="N112" s="162"/>
      <c r="O112" s="162"/>
      <c r="P112" s="163"/>
      <c r="Q112" s="151"/>
    </row>
    <row r="113" spans="1:17" ht="30" customHeight="1">
      <c r="A113" s="104" t="s">
        <v>204</v>
      </c>
      <c r="B113" s="89" t="s">
        <v>205</v>
      </c>
      <c r="C113" s="89" t="s">
        <v>117</v>
      </c>
      <c r="D113" s="171" t="s">
        <v>118</v>
      </c>
      <c r="E113" s="108">
        <f>Rekenblad!E113</f>
        <v>0</v>
      </c>
      <c r="F113" s="118">
        <f>Rekenblad!F113</f>
        <v>47.7</v>
      </c>
      <c r="G113" s="118"/>
      <c r="H113" s="197">
        <f t="shared" si="11"/>
        <v>0</v>
      </c>
      <c r="I113" s="567"/>
      <c r="J113" s="568"/>
      <c r="K113" s="183"/>
      <c r="L113" s="184"/>
      <c r="M113" s="184"/>
      <c r="N113" s="184"/>
      <c r="O113" s="184"/>
      <c r="P113" s="185"/>
      <c r="Q113" s="151"/>
    </row>
    <row r="114" spans="1:17" ht="30" customHeight="1">
      <c r="A114" s="104" t="s">
        <v>206</v>
      </c>
      <c r="B114" s="170" t="s">
        <v>207</v>
      </c>
      <c r="C114" s="171" t="s">
        <v>57</v>
      </c>
      <c r="D114" s="171" t="s">
        <v>8</v>
      </c>
      <c r="E114" s="108">
        <f>Rekenblad!E114</f>
        <v>0</v>
      </c>
      <c r="F114" s="118">
        <f>Rekenblad!F114</f>
        <v>19.080000000000002</v>
      </c>
      <c r="G114" s="118"/>
      <c r="H114" s="167">
        <f t="shared" si="11"/>
        <v>0</v>
      </c>
      <c r="I114" s="567"/>
      <c r="J114" s="568"/>
      <c r="K114" s="161"/>
      <c r="L114" s="162"/>
      <c r="M114" s="162"/>
      <c r="N114" s="162"/>
      <c r="O114" s="162"/>
      <c r="P114" s="163"/>
      <c r="Q114" s="151"/>
    </row>
    <row r="115" spans="1:17" ht="30" customHeight="1">
      <c r="A115" s="104" t="s">
        <v>208</v>
      </c>
      <c r="B115" s="89" t="s">
        <v>209</v>
      </c>
      <c r="C115" s="89" t="s">
        <v>117</v>
      </c>
      <c r="D115" s="171" t="s">
        <v>118</v>
      </c>
      <c r="E115" s="196">
        <f>G3</f>
        <v>10</v>
      </c>
      <c r="F115" s="118">
        <f>Rekenblad!F115</f>
        <v>101.23</v>
      </c>
      <c r="G115" s="118"/>
      <c r="H115" s="198">
        <f t="shared" si="11"/>
        <v>1012.3000000000001</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f>Rekenblad!E116</f>
        <v>0</v>
      </c>
      <c r="F116" s="118">
        <f>Rekenblad!F116</f>
        <v>66.25</v>
      </c>
      <c r="G116" s="118"/>
      <c r="H116" s="197">
        <f t="shared" si="11"/>
        <v>0</v>
      </c>
      <c r="I116" s="567"/>
      <c r="J116" s="568"/>
      <c r="K116" s="183"/>
      <c r="L116" s="184"/>
      <c r="M116" s="184"/>
      <c r="N116" s="184"/>
      <c r="O116" s="184"/>
      <c r="P116" s="185"/>
      <c r="Q116" s="151"/>
    </row>
    <row r="117" spans="1:17" ht="30" customHeight="1">
      <c r="A117" s="104" t="s">
        <v>212</v>
      </c>
      <c r="B117" s="89" t="s">
        <v>213</v>
      </c>
      <c r="C117" s="89" t="s">
        <v>117</v>
      </c>
      <c r="D117" s="171" t="s">
        <v>118</v>
      </c>
      <c r="E117" s="108">
        <f>Rekenblad!E117</f>
        <v>0</v>
      </c>
      <c r="F117" s="118">
        <f>Rekenblad!F117</f>
        <v>0</v>
      </c>
      <c r="G117" s="118"/>
      <c r="H117" s="197">
        <f t="shared" si="11"/>
        <v>0</v>
      </c>
      <c r="I117" s="567"/>
      <c r="J117" s="568"/>
      <c r="K117" s="183"/>
      <c r="L117" s="184"/>
      <c r="M117" s="184"/>
      <c r="N117" s="184"/>
      <c r="O117" s="184"/>
      <c r="P117" s="185"/>
      <c r="Q117" s="151"/>
    </row>
    <row r="118" spans="1:17" ht="30" customHeight="1">
      <c r="A118" s="104" t="s">
        <v>214</v>
      </c>
      <c r="B118" s="170" t="s">
        <v>215</v>
      </c>
      <c r="C118" s="89" t="s">
        <v>117</v>
      </c>
      <c r="D118" s="171" t="s">
        <v>118</v>
      </c>
      <c r="E118" s="108">
        <f>Rekenblad!E118</f>
        <v>0</v>
      </c>
      <c r="F118" s="118">
        <f>Rekenblad!F118</f>
        <v>0</v>
      </c>
      <c r="G118" s="118"/>
      <c r="H118" s="197">
        <f t="shared" si="11"/>
        <v>0</v>
      </c>
      <c r="I118" s="567"/>
      <c r="J118" s="568"/>
      <c r="K118" s="183"/>
      <c r="L118" s="184"/>
      <c r="M118" s="184"/>
      <c r="N118" s="184"/>
      <c r="O118" s="184"/>
      <c r="P118" s="185"/>
      <c r="Q118" s="151"/>
    </row>
    <row r="119" spans="1:17" ht="30" customHeight="1">
      <c r="A119" s="104" t="s">
        <v>216</v>
      </c>
      <c r="B119" s="170" t="s">
        <v>217</v>
      </c>
      <c r="C119" s="89" t="s">
        <v>117</v>
      </c>
      <c r="D119" s="171" t="s">
        <v>218</v>
      </c>
      <c r="E119" s="108">
        <f>Rekenblad!E119</f>
        <v>0</v>
      </c>
      <c r="F119" s="118">
        <f>Rekenblad!F119</f>
        <v>13.25</v>
      </c>
      <c r="G119" s="118"/>
      <c r="H119" s="197">
        <f t="shared" si="11"/>
        <v>0</v>
      </c>
      <c r="I119" s="567"/>
      <c r="J119" s="568"/>
      <c r="K119" s="183"/>
      <c r="L119" s="184"/>
      <c r="M119" s="184"/>
      <c r="N119" s="184"/>
      <c r="O119" s="184"/>
      <c r="P119" s="185"/>
      <c r="Q119" s="151"/>
    </row>
    <row r="120" spans="1:17" ht="30" customHeight="1">
      <c r="A120" s="104" t="s">
        <v>219</v>
      </c>
      <c r="B120" s="89" t="s">
        <v>220</v>
      </c>
      <c r="C120" s="89" t="s">
        <v>117</v>
      </c>
      <c r="D120" s="171" t="s">
        <v>118</v>
      </c>
      <c r="E120" s="108">
        <f>Rekenblad!E120</f>
        <v>0</v>
      </c>
      <c r="F120" s="118">
        <f>Rekenblad!F120</f>
        <v>0</v>
      </c>
      <c r="G120" s="118"/>
      <c r="H120" s="197">
        <f t="shared" si="11"/>
        <v>0</v>
      </c>
      <c r="I120" s="567"/>
      <c r="J120" s="568"/>
      <c r="K120" s="183"/>
      <c r="L120" s="184"/>
      <c r="M120" s="184"/>
      <c r="N120" s="184"/>
      <c r="O120" s="184"/>
      <c r="P120" s="185"/>
      <c r="Q120" s="151"/>
    </row>
    <row r="121" spans="1:17" ht="30" customHeight="1">
      <c r="A121" s="143"/>
      <c r="B121" s="149"/>
      <c r="C121" s="149"/>
      <c r="D121" s="143"/>
      <c r="E121" s="108"/>
      <c r="F121" s="118"/>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60" t="str">
        <f>Rekenblad!F122</f>
        <v>bedrag per eenheid (excl. btw)</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f>Rekenblad!E123</f>
        <v>0</v>
      </c>
      <c r="F123" s="118">
        <f>Rekenblad!F123</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f>Rekenblad!E124</f>
        <v>0</v>
      </c>
      <c r="F124" s="118">
        <f>Rekenblad!F124</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Rekenblad!E125</f>
        <v>200</v>
      </c>
      <c r="F125" s="118">
        <f>Rekenblad!F125</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Rekenblad!E126</f>
        <v>200</v>
      </c>
      <c r="F126" s="118">
        <f>Rekenblad!F126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f>Rekenblad!E127</f>
        <v>0</v>
      </c>
      <c r="F127" s="118">
        <f>Rekenblad!F127</f>
        <v>609.5</v>
      </c>
      <c r="G127" s="109"/>
      <c r="H127" s="167">
        <f t="shared" ref="H127:H136" si="12">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f>Rekenblad!E128</f>
        <v>0</v>
      </c>
      <c r="F128" s="118">
        <f>Rekenblad!F128</f>
        <v>676.28000000000009</v>
      </c>
      <c r="G128" s="109"/>
      <c r="H128" s="167">
        <f t="shared" si="12"/>
        <v>0</v>
      </c>
      <c r="I128" s="569"/>
      <c r="J128" s="570"/>
      <c r="K128" s="118"/>
      <c r="L128" s="146"/>
      <c r="M128" s="146"/>
      <c r="N128" s="146"/>
      <c r="O128" s="146"/>
      <c r="P128" s="147"/>
      <c r="Q128" s="151"/>
    </row>
    <row r="129" spans="1:17" ht="30" customHeight="1">
      <c r="A129" s="171" t="s">
        <v>236</v>
      </c>
      <c r="B129" s="89" t="s">
        <v>237</v>
      </c>
      <c r="C129" s="89" t="s">
        <v>117</v>
      </c>
      <c r="D129" s="171" t="s">
        <v>118</v>
      </c>
      <c r="E129" s="108">
        <f>Rekenblad!E129</f>
        <v>0</v>
      </c>
      <c r="F129" s="118">
        <f>Rekenblad!F129</f>
        <v>318</v>
      </c>
      <c r="G129" s="118"/>
      <c r="H129" s="167">
        <f t="shared" si="12"/>
        <v>0</v>
      </c>
      <c r="I129" s="569"/>
      <c r="J129" s="570"/>
      <c r="K129" s="183"/>
      <c r="L129" s="184"/>
      <c r="M129" s="184"/>
      <c r="N129" s="184"/>
      <c r="O129" s="184"/>
      <c r="P129" s="185"/>
      <c r="Q129" s="151"/>
    </row>
    <row r="130" spans="1:17" ht="30" customHeight="1">
      <c r="A130" s="171" t="s">
        <v>238</v>
      </c>
      <c r="B130" s="89" t="s">
        <v>239</v>
      </c>
      <c r="C130" s="89" t="s">
        <v>117</v>
      </c>
      <c r="D130" s="171" t="s">
        <v>118</v>
      </c>
      <c r="E130" s="108">
        <f>Rekenblad!E130</f>
        <v>0</v>
      </c>
      <c r="F130" s="118">
        <f>Rekenblad!F130</f>
        <v>0</v>
      </c>
      <c r="G130" s="118"/>
      <c r="H130" s="167">
        <f t="shared" si="12"/>
        <v>0</v>
      </c>
      <c r="I130" s="569"/>
      <c r="J130" s="570"/>
      <c r="K130" s="183"/>
      <c r="L130" s="184"/>
      <c r="M130" s="184"/>
      <c r="N130" s="184"/>
      <c r="O130" s="184"/>
      <c r="P130" s="185"/>
      <c r="Q130" s="151"/>
    </row>
    <row r="131" spans="1:17" ht="30" customHeight="1">
      <c r="A131" s="171" t="s">
        <v>240</v>
      </c>
      <c r="B131" s="89" t="s">
        <v>241</v>
      </c>
      <c r="C131" s="89" t="s">
        <v>117</v>
      </c>
      <c r="D131" s="171" t="s">
        <v>118</v>
      </c>
      <c r="E131" s="108">
        <f>Rekenblad!E131</f>
        <v>0</v>
      </c>
      <c r="F131" s="118">
        <f>Rekenblad!F131</f>
        <v>206.70000000000002</v>
      </c>
      <c r="G131" s="118"/>
      <c r="H131" s="167">
        <f t="shared" si="12"/>
        <v>0</v>
      </c>
      <c r="I131" s="569"/>
      <c r="J131" s="570"/>
      <c r="K131" s="183"/>
      <c r="L131" s="184"/>
      <c r="M131" s="184"/>
      <c r="N131" s="184"/>
      <c r="O131" s="184"/>
      <c r="P131" s="185"/>
      <c r="Q131" s="151"/>
    </row>
    <row r="132" spans="1:17" ht="30" customHeight="1">
      <c r="A132" s="171" t="s">
        <v>242</v>
      </c>
      <c r="B132" s="89" t="s">
        <v>243</v>
      </c>
      <c r="C132" s="89" t="s">
        <v>117</v>
      </c>
      <c r="D132" s="171" t="s">
        <v>118</v>
      </c>
      <c r="E132" s="108">
        <f>Rekenblad!E132</f>
        <v>0</v>
      </c>
      <c r="F132" s="118">
        <f>Rekenblad!F132</f>
        <v>0</v>
      </c>
      <c r="G132" s="118"/>
      <c r="H132" s="167">
        <f t="shared" si="12"/>
        <v>0</v>
      </c>
      <c r="I132" s="569"/>
      <c r="J132" s="570"/>
      <c r="K132" s="183"/>
      <c r="L132" s="184"/>
      <c r="M132" s="184"/>
      <c r="N132" s="184"/>
      <c r="O132" s="184"/>
      <c r="P132" s="185"/>
      <c r="Q132" s="151"/>
    </row>
    <row r="133" spans="1:17" ht="30" customHeight="1">
      <c r="A133" s="171" t="s">
        <v>244</v>
      </c>
      <c r="B133" s="174" t="s">
        <v>245</v>
      </c>
      <c r="C133" s="107" t="s">
        <v>57</v>
      </c>
      <c r="D133" s="107" t="s">
        <v>8</v>
      </c>
      <c r="E133" s="108">
        <f>Rekenblad!E133</f>
        <v>0</v>
      </c>
      <c r="F133" s="118">
        <f>Rekenblad!F133</f>
        <v>212.952</v>
      </c>
      <c r="G133" s="109"/>
      <c r="H133" s="167">
        <f t="shared" si="12"/>
        <v>0</v>
      </c>
      <c r="I133" s="569"/>
      <c r="J133" s="570"/>
      <c r="K133" s="118"/>
      <c r="L133" s="146"/>
      <c r="M133" s="146"/>
      <c r="N133" s="146"/>
      <c r="O133" s="146"/>
      <c r="P133" s="147"/>
      <c r="Q133" s="151"/>
    </row>
    <row r="134" spans="1:17" ht="30" customHeight="1">
      <c r="A134" s="171" t="s">
        <v>246</v>
      </c>
      <c r="B134" s="202" t="s">
        <v>247</v>
      </c>
      <c r="C134" s="203" t="s">
        <v>57</v>
      </c>
      <c r="D134" s="178" t="s">
        <v>8</v>
      </c>
      <c r="E134" s="108">
        <f>Rekenblad!E134</f>
        <v>0</v>
      </c>
      <c r="F134" s="118">
        <f>Rekenblad!F134</f>
        <v>270.3</v>
      </c>
      <c r="G134" s="206"/>
      <c r="H134" s="167">
        <f t="shared" si="12"/>
        <v>0</v>
      </c>
      <c r="I134" s="569"/>
      <c r="J134" s="570"/>
      <c r="K134" s="118"/>
      <c r="L134" s="146"/>
      <c r="M134" s="146"/>
      <c r="N134" s="146"/>
      <c r="O134" s="146"/>
      <c r="P134" s="147"/>
      <c r="Q134" s="151"/>
    </row>
    <row r="135" spans="1:17" ht="30" customHeight="1">
      <c r="A135" s="171" t="s">
        <v>248</v>
      </c>
      <c r="B135" s="174" t="s">
        <v>249</v>
      </c>
      <c r="C135" s="107" t="s">
        <v>57</v>
      </c>
      <c r="D135" s="107" t="s">
        <v>8</v>
      </c>
      <c r="E135" s="108">
        <f>Rekenblad!E135</f>
        <v>0</v>
      </c>
      <c r="F135" s="118">
        <f>Rekenblad!F135</f>
        <v>872.38</v>
      </c>
      <c r="G135" s="109"/>
      <c r="H135" s="167">
        <f t="shared" si="12"/>
        <v>0</v>
      </c>
      <c r="I135" s="569"/>
      <c r="J135" s="570"/>
      <c r="K135" s="207"/>
      <c r="L135" s="146"/>
      <c r="M135" s="146"/>
      <c r="N135" s="146"/>
      <c r="O135" s="146"/>
      <c r="P135" s="147"/>
      <c r="Q135" s="151"/>
    </row>
    <row r="136" spans="1:17" ht="30" customHeight="1">
      <c r="A136" s="171" t="s">
        <v>250</v>
      </c>
      <c r="B136" s="89" t="s">
        <v>251</v>
      </c>
      <c r="C136" s="89" t="s">
        <v>117</v>
      </c>
      <c r="D136" s="171" t="s">
        <v>118</v>
      </c>
      <c r="E136" s="108">
        <f>Rekenblad!E136</f>
        <v>0</v>
      </c>
      <c r="F136" s="118">
        <f>Rekenblad!F136</f>
        <v>0</v>
      </c>
      <c r="G136" s="118"/>
      <c r="H136" s="167">
        <f t="shared" si="12"/>
        <v>0</v>
      </c>
      <c r="I136" s="569"/>
      <c r="J136" s="570"/>
      <c r="K136" s="208"/>
      <c r="L136" s="184"/>
      <c r="M136" s="184"/>
      <c r="N136" s="184"/>
      <c r="O136" s="184"/>
      <c r="P136" s="185"/>
      <c r="Q136" s="151"/>
    </row>
    <row r="137" spans="1:17" ht="30" customHeight="1">
      <c r="A137" s="171" t="s">
        <v>252</v>
      </c>
      <c r="B137" s="116" t="s">
        <v>253</v>
      </c>
      <c r="C137" s="75" t="s">
        <v>76</v>
      </c>
      <c r="D137" s="107" t="s">
        <v>8</v>
      </c>
      <c r="E137" s="108">
        <f>Rekenblad!E137</f>
        <v>64</v>
      </c>
      <c r="F137" s="118">
        <f>Rekenblad!F137</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f>Rekenblad!E138</f>
        <v>0</v>
      </c>
      <c r="F138" s="118">
        <f>Rekenblad!F138</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f>Rekenblad!E139</f>
        <v>0</v>
      </c>
      <c r="F139" s="118">
        <f>Rekenblad!F139</f>
        <v>795</v>
      </c>
      <c r="G139" s="118"/>
      <c r="H139" s="109">
        <f t="shared" ref="H139:H149" si="13">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f>Rekenblad!E140</f>
        <v>0</v>
      </c>
      <c r="F140" s="118">
        <f>Rekenblad!F140</f>
        <v>206.70000000000002</v>
      </c>
      <c r="G140" s="118"/>
      <c r="H140" s="109">
        <f t="shared" si="13"/>
        <v>0</v>
      </c>
      <c r="I140" s="567"/>
      <c r="J140" s="567"/>
      <c r="K140" s="210"/>
      <c r="L140" s="211"/>
      <c r="M140" s="211"/>
      <c r="N140" s="211"/>
      <c r="O140" s="211"/>
      <c r="P140" s="74"/>
      <c r="Q140" s="151"/>
    </row>
    <row r="141" spans="1:17" ht="30" customHeight="1">
      <c r="A141" s="171" t="s">
        <v>262</v>
      </c>
      <c r="B141" s="116" t="s">
        <v>263</v>
      </c>
      <c r="C141" s="75" t="s">
        <v>57</v>
      </c>
      <c r="D141" s="107" t="s">
        <v>8</v>
      </c>
      <c r="E141" s="108">
        <f>Rekenblad!E141</f>
        <v>0</v>
      </c>
      <c r="F141" s="118">
        <f>Rekenblad!F141</f>
        <v>291.5</v>
      </c>
      <c r="G141" s="118"/>
      <c r="H141" s="109">
        <f t="shared" si="13"/>
        <v>0</v>
      </c>
      <c r="I141" s="567"/>
      <c r="J141" s="567"/>
      <c r="K141" s="210"/>
      <c r="L141" s="211"/>
      <c r="M141" s="211"/>
      <c r="N141" s="211"/>
      <c r="O141" s="211"/>
      <c r="P141" s="74"/>
      <c r="Q141" s="151"/>
    </row>
    <row r="142" spans="1:17" ht="30" customHeight="1">
      <c r="A142" s="171" t="s">
        <v>264</v>
      </c>
      <c r="B142" s="116" t="s">
        <v>265</v>
      </c>
      <c r="C142" s="75" t="s">
        <v>57</v>
      </c>
      <c r="D142" s="107" t="s">
        <v>8</v>
      </c>
      <c r="E142" s="108">
        <f>Rekenblad!E142</f>
        <v>0</v>
      </c>
      <c r="F142" s="118">
        <f>Rekenblad!F142</f>
        <v>312.7</v>
      </c>
      <c r="G142" s="118"/>
      <c r="H142" s="109">
        <f t="shared" si="13"/>
        <v>0</v>
      </c>
      <c r="I142" s="567"/>
      <c r="J142" s="567"/>
      <c r="K142" s="210"/>
      <c r="L142" s="211"/>
      <c r="M142" s="211"/>
      <c r="N142" s="211"/>
      <c r="O142" s="211"/>
      <c r="P142" s="74"/>
      <c r="Q142" s="151"/>
    </row>
    <row r="143" spans="1:17" ht="30" customHeight="1">
      <c r="A143" s="171" t="s">
        <v>266</v>
      </c>
      <c r="B143" s="89" t="s">
        <v>267</v>
      </c>
      <c r="C143" s="89" t="s">
        <v>117</v>
      </c>
      <c r="D143" s="171" t="s">
        <v>118</v>
      </c>
      <c r="E143" s="108">
        <f>Rekenblad!E143</f>
        <v>0</v>
      </c>
      <c r="F143" s="118">
        <f>Rekenblad!F143</f>
        <v>243.8</v>
      </c>
      <c r="G143" s="118"/>
      <c r="H143" s="109">
        <f t="shared" si="13"/>
        <v>0</v>
      </c>
      <c r="I143" s="567"/>
      <c r="J143" s="567"/>
      <c r="K143" s="208"/>
      <c r="L143" s="184"/>
      <c r="M143" s="184"/>
      <c r="N143" s="184"/>
      <c r="O143" s="184"/>
      <c r="P143" s="185"/>
      <c r="Q143" s="151"/>
    </row>
    <row r="144" spans="1:17" ht="30" customHeight="1">
      <c r="A144" s="171" t="s">
        <v>268</v>
      </c>
      <c r="B144" s="89" t="s">
        <v>269</v>
      </c>
      <c r="C144" s="89" t="s">
        <v>117</v>
      </c>
      <c r="D144" s="171" t="s">
        <v>118</v>
      </c>
      <c r="E144" s="108">
        <f>Rekenblad!E144</f>
        <v>0</v>
      </c>
      <c r="F144" s="118">
        <f>Rekenblad!F144</f>
        <v>0</v>
      </c>
      <c r="G144" s="118"/>
      <c r="H144" s="109">
        <f t="shared" si="13"/>
        <v>0</v>
      </c>
      <c r="I144" s="567"/>
      <c r="J144" s="567"/>
      <c r="K144" s="208"/>
      <c r="L144" s="184"/>
      <c r="M144" s="184"/>
      <c r="N144" s="184"/>
      <c r="O144" s="184"/>
      <c r="P144" s="185"/>
      <c r="Q144" s="151"/>
    </row>
    <row r="145" spans="1:17" ht="30" customHeight="1">
      <c r="A145" s="171" t="s">
        <v>270</v>
      </c>
      <c r="B145" s="89" t="s">
        <v>271</v>
      </c>
      <c r="C145" s="89" t="s">
        <v>117</v>
      </c>
      <c r="D145" s="171" t="s">
        <v>118</v>
      </c>
      <c r="E145" s="108">
        <f>Rekenblad!E145</f>
        <v>0</v>
      </c>
      <c r="F145" s="118">
        <f>Rekenblad!F145</f>
        <v>0</v>
      </c>
      <c r="G145" s="118"/>
      <c r="H145" s="109">
        <f t="shared" si="13"/>
        <v>0</v>
      </c>
      <c r="I145" s="567"/>
      <c r="J145" s="567"/>
      <c r="K145" s="208"/>
      <c r="L145" s="184"/>
      <c r="M145" s="184"/>
      <c r="N145" s="184"/>
      <c r="O145" s="184"/>
      <c r="P145" s="185"/>
      <c r="Q145" s="151"/>
    </row>
    <row r="146" spans="1:17" ht="30" customHeight="1">
      <c r="A146" s="171" t="s">
        <v>272</v>
      </c>
      <c r="B146" s="89" t="s">
        <v>273</v>
      </c>
      <c r="C146" s="89" t="s">
        <v>117</v>
      </c>
      <c r="D146" s="171" t="s">
        <v>118</v>
      </c>
      <c r="E146" s="108">
        <f>Rekenblad!E146</f>
        <v>0</v>
      </c>
      <c r="F146" s="118">
        <f>Rekenblad!F146</f>
        <v>0</v>
      </c>
      <c r="G146" s="118"/>
      <c r="H146" s="109">
        <f t="shared" si="13"/>
        <v>0</v>
      </c>
      <c r="I146" s="567"/>
      <c r="J146" s="567"/>
      <c r="K146" s="208"/>
      <c r="L146" s="184"/>
      <c r="M146" s="184"/>
      <c r="N146" s="184"/>
      <c r="O146" s="184"/>
      <c r="P146" s="185"/>
      <c r="Q146" s="151"/>
    </row>
    <row r="147" spans="1:17" ht="30" customHeight="1">
      <c r="A147" s="171" t="s">
        <v>274</v>
      </c>
      <c r="B147" s="89" t="s">
        <v>275</v>
      </c>
      <c r="C147" s="89" t="s">
        <v>117</v>
      </c>
      <c r="D147" s="171" t="s">
        <v>118</v>
      </c>
      <c r="E147" s="108">
        <f>Rekenblad!E147</f>
        <v>0</v>
      </c>
      <c r="F147" s="118">
        <f>Rekenblad!F147</f>
        <v>58.300000000000004</v>
      </c>
      <c r="G147" s="118"/>
      <c r="H147" s="109">
        <f t="shared" si="13"/>
        <v>0</v>
      </c>
      <c r="I147" s="567"/>
      <c r="J147" s="567"/>
      <c r="K147" s="208"/>
      <c r="L147" s="184"/>
      <c r="M147" s="184"/>
      <c r="N147" s="184"/>
      <c r="O147" s="184"/>
      <c r="P147" s="185"/>
      <c r="Q147" s="151"/>
    </row>
    <row r="148" spans="1:17" ht="30" customHeight="1">
      <c r="A148" s="171" t="s">
        <v>276</v>
      </c>
      <c r="B148" s="89" t="s">
        <v>277</v>
      </c>
      <c r="C148" s="89" t="s">
        <v>117</v>
      </c>
      <c r="D148" s="171" t="s">
        <v>118</v>
      </c>
      <c r="E148" s="108">
        <f>Rekenblad!E148</f>
        <v>0</v>
      </c>
      <c r="F148" s="118">
        <f>Rekenblad!F148</f>
        <v>0</v>
      </c>
      <c r="G148" s="118"/>
      <c r="H148" s="109">
        <f t="shared" si="13"/>
        <v>0</v>
      </c>
      <c r="I148" s="567"/>
      <c r="J148" s="567"/>
      <c r="K148" s="208"/>
      <c r="L148" s="184"/>
      <c r="M148" s="184"/>
      <c r="N148" s="184"/>
      <c r="O148" s="184"/>
      <c r="P148" s="185"/>
      <c r="Q148" s="151"/>
    </row>
    <row r="149" spans="1:17" ht="30" customHeight="1">
      <c r="A149" s="171" t="s">
        <v>278</v>
      </c>
      <c r="B149" s="89" t="s">
        <v>279</v>
      </c>
      <c r="C149" s="89" t="s">
        <v>117</v>
      </c>
      <c r="D149" s="171" t="s">
        <v>118</v>
      </c>
      <c r="E149" s="108">
        <f>Rekenblad!E149</f>
        <v>0</v>
      </c>
      <c r="F149" s="118">
        <f>Rekenblad!F149</f>
        <v>0</v>
      </c>
      <c r="G149" s="118"/>
      <c r="H149" s="109">
        <f t="shared" si="13"/>
        <v>0</v>
      </c>
      <c r="I149" s="567"/>
      <c r="J149" s="567"/>
      <c r="K149" s="208"/>
      <c r="L149" s="184"/>
      <c r="M149" s="184"/>
      <c r="N149" s="184"/>
      <c r="O149" s="184"/>
      <c r="P149" s="185"/>
      <c r="Q149" s="151"/>
    </row>
    <row r="150" spans="1:17" ht="30" customHeight="1">
      <c r="A150" s="212"/>
      <c r="B150" s="151"/>
      <c r="C150" s="151"/>
      <c r="D150" s="213"/>
      <c r="E150" s="108"/>
      <c r="F150" s="118"/>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60" t="str">
        <f>Rekenblad!F151</f>
        <v>bedrag per eenheid (excl. btw)</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f>Rekenblad!E152</f>
        <v>0</v>
      </c>
      <c r="F152" s="118">
        <f>Rekenblad!F152</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Rekenblad!E153</f>
        <v>5</v>
      </c>
      <c r="F153" s="118">
        <f>Rekenblad!F153</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f>Rekenblad!E154</f>
        <v>0</v>
      </c>
      <c r="F154" s="118">
        <f>Rekenblad!F154</f>
        <v>397.5</v>
      </c>
      <c r="G154" s="109"/>
      <c r="H154" s="167"/>
      <c r="I154" s="153"/>
      <c r="J154" s="152"/>
      <c r="K154" s="118"/>
      <c r="L154" s="146"/>
      <c r="M154" s="146"/>
      <c r="N154" s="146"/>
      <c r="O154" s="146"/>
      <c r="P154" s="147"/>
      <c r="Q154" s="151"/>
    </row>
    <row r="155" spans="1:17" ht="30" customHeight="1">
      <c r="A155" s="171"/>
      <c r="B155" s="116"/>
      <c r="C155" s="75"/>
      <c r="D155" s="171"/>
      <c r="E155" s="108">
        <f>Rekenblad!E155</f>
        <v>0</v>
      </c>
      <c r="F155" s="118">
        <f>Rekenblad!F155</f>
        <v>0</v>
      </c>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60" t="str">
        <f>Rekenblad!F156</f>
        <v>bedrag per eenheid (excl. btw)</v>
      </c>
      <c r="G156" s="48" t="s">
        <v>15</v>
      </c>
      <c r="H156" s="48" t="s">
        <v>16</v>
      </c>
      <c r="I156" s="571" t="s">
        <v>17</v>
      </c>
      <c r="J156" s="571"/>
      <c r="K156" s="37"/>
      <c r="L156" s="50"/>
      <c r="M156" s="50"/>
      <c r="N156" s="50"/>
      <c r="O156" s="50"/>
      <c r="P156" s="49" t="s">
        <v>18</v>
      </c>
      <c r="Q156" s="151"/>
    </row>
    <row r="157" spans="1:17">
      <c r="A157" s="218"/>
      <c r="B157" s="219"/>
      <c r="C157" s="219"/>
      <c r="D157" s="218"/>
      <c r="E157" s="220"/>
      <c r="F157" s="118">
        <f>Rekenblad!F157</f>
        <v>0</v>
      </c>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50</v>
      </c>
      <c r="F158" s="118">
        <f>Rekenblad!F158</f>
        <v>23.32</v>
      </c>
      <c r="G158" s="109"/>
      <c r="H158" s="167">
        <f>E158*F158</f>
        <v>1166</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f>Rekenblad!E159</f>
        <v>0</v>
      </c>
      <c r="F159" s="118">
        <f>Rekenblad!F159</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Rekenblad!E160</f>
        <v>10</v>
      </c>
      <c r="F160" s="118">
        <f>Rekenblad!F160</f>
        <v>276.44800000000004</v>
      </c>
      <c r="G160" s="109"/>
      <c r="H160" s="167">
        <f t="shared" ref="H160:H193" si="14">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50</v>
      </c>
      <c r="F161" s="118">
        <f>Rekenblad!F161</f>
        <v>201.4</v>
      </c>
      <c r="G161" s="109"/>
      <c r="H161" s="167">
        <f t="shared" si="14"/>
        <v>10070</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f>Rekenblad!E162</f>
        <v>0</v>
      </c>
      <c r="F162" s="118">
        <f>Rekenblad!F162</f>
        <v>154.44200000000001</v>
      </c>
      <c r="G162" s="109"/>
      <c r="H162" s="167">
        <f t="shared" si="14"/>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50</v>
      </c>
      <c r="F163" s="118">
        <f>Rekenblad!F163</f>
        <v>66.25</v>
      </c>
      <c r="G163" s="118"/>
      <c r="H163" s="168">
        <f t="shared" si="14"/>
        <v>3312.5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f>Rekenblad!E164</f>
        <v>0</v>
      </c>
      <c r="F164" s="118">
        <f>Rekenblad!F164</f>
        <v>180.20000000000002</v>
      </c>
      <c r="G164" s="118"/>
      <c r="H164" s="197">
        <f t="shared" si="14"/>
        <v>0</v>
      </c>
      <c r="I164" s="569"/>
      <c r="J164" s="570"/>
      <c r="K164" s="183"/>
      <c r="L164" s="184"/>
      <c r="M164" s="184"/>
      <c r="N164" s="184"/>
      <c r="O164" s="184"/>
      <c r="P164" s="185"/>
      <c r="Q164" s="151"/>
    </row>
    <row r="165" spans="1:17" ht="30" customHeight="1">
      <c r="A165" s="171" t="s">
        <v>311</v>
      </c>
      <c r="B165" s="174" t="s">
        <v>312</v>
      </c>
      <c r="C165" s="107" t="s">
        <v>33</v>
      </c>
      <c r="D165" s="107" t="s">
        <v>313</v>
      </c>
      <c r="E165" s="108">
        <f>Rekenblad!E165</f>
        <v>0</v>
      </c>
      <c r="F165" s="118">
        <f>Rekenblad!F165</f>
        <v>180.20000000000002</v>
      </c>
      <c r="G165" s="109"/>
      <c r="H165" s="167">
        <f t="shared" si="14"/>
        <v>0</v>
      </c>
      <c r="I165" s="569"/>
      <c r="J165" s="570"/>
      <c r="K165" s="118"/>
      <c r="L165" s="146"/>
      <c r="M165" s="146"/>
      <c r="N165" s="146"/>
      <c r="O165" s="146"/>
      <c r="P165" s="147"/>
      <c r="Q165" s="151"/>
    </row>
    <row r="166" spans="1:17" ht="30" customHeight="1">
      <c r="A166" s="171" t="s">
        <v>314</v>
      </c>
      <c r="B166" s="174" t="s">
        <v>315</v>
      </c>
      <c r="C166" s="107" t="s">
        <v>57</v>
      </c>
      <c r="D166" s="107" t="s">
        <v>316</v>
      </c>
      <c r="E166" s="108">
        <f>Rekenblad!E166</f>
        <v>0</v>
      </c>
      <c r="F166" s="118">
        <f>Rekenblad!F166</f>
        <v>1679.0400000000002</v>
      </c>
      <c r="G166" s="109"/>
      <c r="H166" s="167">
        <f t="shared" si="14"/>
        <v>0</v>
      </c>
      <c r="I166" s="569"/>
      <c r="J166" s="570"/>
      <c r="K166" s="118"/>
      <c r="L166" s="146"/>
      <c r="M166" s="146"/>
      <c r="N166" s="146"/>
      <c r="O166" s="146"/>
      <c r="P166" s="147"/>
      <c r="Q166" s="151"/>
    </row>
    <row r="167" spans="1:17" ht="30" customHeight="1">
      <c r="A167" s="171" t="s">
        <v>317</v>
      </c>
      <c r="B167" s="89" t="s">
        <v>318</v>
      </c>
      <c r="C167" s="89" t="s">
        <v>117</v>
      </c>
      <c r="D167" s="171" t="s">
        <v>118</v>
      </c>
      <c r="E167" s="108">
        <f>Rekenblad!E167</f>
        <v>0</v>
      </c>
      <c r="F167" s="118">
        <f>Rekenblad!F167</f>
        <v>10.865</v>
      </c>
      <c r="G167" s="118"/>
      <c r="H167" s="197">
        <f t="shared" si="14"/>
        <v>0</v>
      </c>
      <c r="I167" s="569"/>
      <c r="J167" s="570"/>
      <c r="K167" s="183"/>
      <c r="L167" s="184"/>
      <c r="M167" s="184"/>
      <c r="N167" s="184"/>
      <c r="O167" s="184"/>
      <c r="P167" s="185"/>
      <c r="Q167" s="151"/>
    </row>
    <row r="168" spans="1:17" ht="30" customHeight="1">
      <c r="A168" s="171" t="s">
        <v>319</v>
      </c>
      <c r="B168" s="174" t="s">
        <v>320</v>
      </c>
      <c r="C168" s="107" t="s">
        <v>57</v>
      </c>
      <c r="D168" s="107" t="s">
        <v>316</v>
      </c>
      <c r="E168" s="108">
        <f>Rekenblad!E168</f>
        <v>0</v>
      </c>
      <c r="F168" s="118">
        <f>Rekenblad!F168</f>
        <v>1007.424</v>
      </c>
      <c r="G168" s="109"/>
      <c r="H168" s="167">
        <f t="shared" si="14"/>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f>Rekenblad!E169</f>
        <v>0</v>
      </c>
      <c r="F169" s="118">
        <f>Rekenblad!F169</f>
        <v>13.515000000000001</v>
      </c>
      <c r="G169" s="118"/>
      <c r="H169" s="197">
        <f t="shared" si="14"/>
        <v>0</v>
      </c>
      <c r="I169" s="569"/>
      <c r="J169" s="570"/>
      <c r="K169" s="183"/>
      <c r="L169" s="184"/>
      <c r="M169" s="184"/>
      <c r="N169" s="184"/>
      <c r="O169" s="184"/>
      <c r="P169" s="185"/>
      <c r="Q169" s="151"/>
    </row>
    <row r="170" spans="1:17" ht="30" customHeight="1">
      <c r="A170" s="171" t="s">
        <v>324</v>
      </c>
      <c r="B170" s="174" t="s">
        <v>325</v>
      </c>
      <c r="C170" s="107"/>
      <c r="D170" s="107" t="s">
        <v>326</v>
      </c>
      <c r="E170" s="196">
        <f>$G$3*$A$4</f>
        <v>50</v>
      </c>
      <c r="F170" s="118">
        <f>Rekenblad!F170</f>
        <v>74.2</v>
      </c>
      <c r="G170" s="109"/>
      <c r="H170" s="167">
        <f t="shared" si="14"/>
        <v>3710</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f>Rekenblad!E171</f>
        <v>0</v>
      </c>
      <c r="F171" s="118">
        <f>Rekenblad!F171</f>
        <v>283.23200000000003</v>
      </c>
      <c r="G171" s="109"/>
      <c r="H171" s="167">
        <f t="shared" si="14"/>
        <v>0</v>
      </c>
      <c r="I171" s="569"/>
      <c r="J171" s="570"/>
      <c r="K171" s="118"/>
      <c r="L171" s="146"/>
      <c r="M171" s="146"/>
      <c r="N171" s="146"/>
      <c r="O171" s="146"/>
      <c r="P171" s="147"/>
      <c r="Q171" s="151"/>
    </row>
    <row r="172" spans="1:17" ht="30" customHeight="1">
      <c r="A172" s="171" t="s">
        <v>330</v>
      </c>
      <c r="B172" s="89" t="s">
        <v>331</v>
      </c>
      <c r="C172" s="89" t="s">
        <v>117</v>
      </c>
      <c r="D172" s="171" t="s">
        <v>118</v>
      </c>
      <c r="E172" s="108">
        <f>Rekenblad!E172</f>
        <v>0</v>
      </c>
      <c r="F172" s="118">
        <f>Rekenblad!F172</f>
        <v>95.4</v>
      </c>
      <c r="G172" s="118"/>
      <c r="H172" s="197">
        <f t="shared" si="14"/>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50</v>
      </c>
      <c r="F173" s="118">
        <f>Rekenblad!F173</f>
        <v>33.814</v>
      </c>
      <c r="G173" s="109"/>
      <c r="H173" s="167">
        <f t="shared" si="14"/>
        <v>1690.7</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50</v>
      </c>
      <c r="F174" s="118">
        <f>Rekenblad!F174</f>
        <v>46.11</v>
      </c>
      <c r="G174" s="109"/>
      <c r="H174" s="167">
        <f t="shared" si="14"/>
        <v>2305.5</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50</v>
      </c>
      <c r="F175" s="118">
        <f>Rekenblad!F175</f>
        <v>461.1</v>
      </c>
      <c r="G175" s="109"/>
      <c r="H175" s="167">
        <f t="shared" si="14"/>
        <v>23055</v>
      </c>
      <c r="I175" s="569" t="s">
        <v>343</v>
      </c>
      <c r="J175" s="570"/>
      <c r="K175" s="118"/>
      <c r="L175" s="146"/>
      <c r="M175" s="146"/>
      <c r="N175" s="146"/>
      <c r="O175" s="146"/>
      <c r="P175" s="147"/>
      <c r="Q175" s="151"/>
    </row>
    <row r="176" spans="1:17" ht="30" customHeight="1">
      <c r="A176" s="171" t="s">
        <v>344</v>
      </c>
      <c r="B176" s="116" t="s">
        <v>345</v>
      </c>
      <c r="C176" s="75" t="s">
        <v>26</v>
      </c>
      <c r="D176" s="171" t="s">
        <v>291</v>
      </c>
      <c r="E176" s="108">
        <f>Rekenblad!E176</f>
        <v>0</v>
      </c>
      <c r="F176" s="118">
        <f>Rekenblad!F176</f>
        <v>954</v>
      </c>
      <c r="G176" s="109"/>
      <c r="H176" s="167">
        <f t="shared" ref="H176" si="15">SUM(E176*F176)</f>
        <v>0</v>
      </c>
      <c r="I176" s="569" t="s">
        <v>346</v>
      </c>
      <c r="J176" s="570"/>
      <c r="K176" s="118"/>
      <c r="L176" s="146"/>
      <c r="M176" s="146"/>
      <c r="N176" s="146"/>
      <c r="O176" s="146"/>
      <c r="P176" s="147"/>
      <c r="Q176" s="151"/>
    </row>
    <row r="177" spans="1:17" ht="30" customHeight="1">
      <c r="A177" s="171" t="s">
        <v>347</v>
      </c>
      <c r="B177" s="116" t="s">
        <v>348</v>
      </c>
      <c r="C177" s="75" t="s">
        <v>57</v>
      </c>
      <c r="D177" s="107" t="s">
        <v>291</v>
      </c>
      <c r="E177" s="108">
        <f>Rekenblad!E178</f>
        <v>50</v>
      </c>
      <c r="F177" s="118">
        <f>Rekenblad!F178</f>
        <v>20.352</v>
      </c>
      <c r="G177" s="109"/>
      <c r="H177" s="167">
        <f t="shared" si="14"/>
        <v>1017.6</v>
      </c>
      <c r="I177" s="569" t="s">
        <v>349</v>
      </c>
      <c r="J177" s="570"/>
      <c r="K177" s="118"/>
      <c r="L177" s="146"/>
      <c r="M177" s="146"/>
      <c r="N177" s="146"/>
      <c r="O177" s="146"/>
      <c r="P177" s="147"/>
      <c r="Q177" s="151"/>
    </row>
    <row r="178" spans="1:17" ht="30" customHeight="1">
      <c r="A178" s="171" t="s">
        <v>350</v>
      </c>
      <c r="B178" s="116" t="s">
        <v>351</v>
      </c>
      <c r="C178" s="75" t="s">
        <v>57</v>
      </c>
      <c r="D178" s="107" t="s">
        <v>257</v>
      </c>
      <c r="E178" s="108">
        <f>Rekenblad!E179</f>
        <v>0</v>
      </c>
      <c r="F178" s="118">
        <f>Rekenblad!F179</f>
        <v>59.466000000000001</v>
      </c>
      <c r="G178" s="109"/>
      <c r="H178" s="167">
        <f t="shared" si="14"/>
        <v>0</v>
      </c>
      <c r="I178" s="569"/>
      <c r="J178" s="570"/>
      <c r="K178" s="118"/>
      <c r="L178" s="146"/>
      <c r="M178" s="146"/>
      <c r="N178" s="146"/>
      <c r="O178" s="146"/>
      <c r="P178" s="147"/>
      <c r="Q178" s="151"/>
    </row>
    <row r="179" spans="1:17" ht="30" customHeight="1">
      <c r="A179" s="171" t="s">
        <v>352</v>
      </c>
      <c r="B179" s="89" t="s">
        <v>353</v>
      </c>
      <c r="C179" s="89" t="s">
        <v>117</v>
      </c>
      <c r="D179" s="171" t="s">
        <v>118</v>
      </c>
      <c r="E179" s="108">
        <f>Rekenblad!E180</f>
        <v>0</v>
      </c>
      <c r="F179" s="118">
        <f>Rekenblad!F180</f>
        <v>0</v>
      </c>
      <c r="G179" s="118"/>
      <c r="H179" s="197">
        <f t="shared" si="14"/>
        <v>0</v>
      </c>
      <c r="I179" s="569"/>
      <c r="J179" s="570"/>
      <c r="K179" s="183"/>
      <c r="L179" s="184"/>
      <c r="M179" s="184"/>
      <c r="N179" s="184"/>
      <c r="O179" s="184"/>
      <c r="P179" s="185"/>
      <c r="Q179" s="151"/>
    </row>
    <row r="180" spans="1:17" ht="30" customHeight="1">
      <c r="A180" s="171" t="s">
        <v>354</v>
      </c>
      <c r="B180" s="89" t="s">
        <v>355</v>
      </c>
      <c r="C180" s="89" t="s">
        <v>117</v>
      </c>
      <c r="D180" s="171" t="s">
        <v>356</v>
      </c>
      <c r="E180" s="108">
        <f>Rekenblad!E181</f>
        <v>0</v>
      </c>
      <c r="F180" s="118">
        <f>Rekenblad!F181</f>
        <v>53</v>
      </c>
      <c r="G180" s="109"/>
      <c r="H180" s="167">
        <f t="shared" si="14"/>
        <v>0</v>
      </c>
      <c r="I180" s="569"/>
      <c r="J180" s="570"/>
      <c r="K180" s="118"/>
      <c r="L180" s="146"/>
      <c r="M180" s="146"/>
      <c r="N180" s="146"/>
      <c r="O180" s="146"/>
      <c r="P180" s="147"/>
      <c r="Q180" s="151"/>
    </row>
    <row r="181" spans="1:17" ht="30" customHeight="1">
      <c r="A181" s="171" t="s">
        <v>357</v>
      </c>
      <c r="B181" s="89" t="s">
        <v>358</v>
      </c>
      <c r="C181" s="89" t="s">
        <v>117</v>
      </c>
      <c r="D181" s="171" t="s">
        <v>359</v>
      </c>
      <c r="E181" s="108">
        <f>Rekenblad!E182</f>
        <v>0</v>
      </c>
      <c r="F181" s="118">
        <f>Rekenblad!F182</f>
        <v>1.7489999999999999</v>
      </c>
      <c r="G181" s="109"/>
      <c r="H181" s="167">
        <f t="shared" si="14"/>
        <v>0</v>
      </c>
      <c r="I181" s="569"/>
      <c r="J181" s="570"/>
      <c r="K181" s="118"/>
      <c r="L181" s="146"/>
      <c r="M181" s="146"/>
      <c r="N181" s="146"/>
      <c r="O181" s="146"/>
      <c r="P181" s="147"/>
      <c r="Q181" s="151"/>
    </row>
    <row r="182" spans="1:17" ht="30" customHeight="1">
      <c r="A182" s="171" t="s">
        <v>360</v>
      </c>
      <c r="B182" s="89" t="s">
        <v>361</v>
      </c>
      <c r="C182" s="89" t="s">
        <v>117</v>
      </c>
      <c r="D182" s="171" t="s">
        <v>362</v>
      </c>
      <c r="E182" s="108">
        <f>Rekenblad!E183</f>
        <v>0</v>
      </c>
      <c r="F182" s="118">
        <f>Rekenblad!F183</f>
        <v>58.300000000000004</v>
      </c>
      <c r="G182" s="109"/>
      <c r="H182" s="167">
        <f t="shared" si="14"/>
        <v>0</v>
      </c>
      <c r="I182" s="569"/>
      <c r="J182" s="570"/>
      <c r="K182" s="118"/>
      <c r="L182" s="146"/>
      <c r="M182" s="146"/>
      <c r="N182" s="146"/>
      <c r="O182" s="146"/>
      <c r="P182" s="147"/>
      <c r="Q182" s="151"/>
    </row>
    <row r="183" spans="1:17" ht="30" customHeight="1">
      <c r="A183" s="171" t="s">
        <v>363</v>
      </c>
      <c r="B183" s="89" t="s">
        <v>364</v>
      </c>
      <c r="C183" s="89" t="s">
        <v>117</v>
      </c>
      <c r="D183" s="171" t="s">
        <v>304</v>
      </c>
      <c r="E183" s="196">
        <f>$G$3*$A$4</f>
        <v>50</v>
      </c>
      <c r="F183" s="118">
        <f>Rekenblad!F184</f>
        <v>331.78000000000003</v>
      </c>
      <c r="G183" s="109"/>
      <c r="H183" s="167">
        <f t="shared" si="14"/>
        <v>16589</v>
      </c>
      <c r="I183" s="569" t="s">
        <v>365</v>
      </c>
      <c r="J183" s="570"/>
      <c r="K183" s="118"/>
      <c r="L183" s="146"/>
      <c r="M183" s="146"/>
      <c r="N183" s="146"/>
      <c r="O183" s="146"/>
      <c r="P183" s="147"/>
      <c r="Q183" s="151"/>
    </row>
    <row r="184" spans="1:17" ht="30" customHeight="1">
      <c r="A184" s="171" t="s">
        <v>366</v>
      </c>
      <c r="B184" s="89" t="s">
        <v>367</v>
      </c>
      <c r="C184" s="89" t="s">
        <v>117</v>
      </c>
      <c r="D184" s="171" t="s">
        <v>362</v>
      </c>
      <c r="E184" s="108">
        <f>Rekenblad!E185</f>
        <v>0</v>
      </c>
      <c r="F184" s="118">
        <f>Rekenblad!F185</f>
        <v>0</v>
      </c>
      <c r="G184" s="109"/>
      <c r="H184" s="167">
        <f t="shared" si="14"/>
        <v>0</v>
      </c>
      <c r="I184" s="567"/>
      <c r="J184" s="568"/>
      <c r="K184" s="118"/>
      <c r="L184" s="146"/>
      <c r="M184" s="146"/>
      <c r="N184" s="146"/>
      <c r="O184" s="146"/>
      <c r="P184" s="147"/>
      <c r="Q184" s="151"/>
    </row>
    <row r="185" spans="1:17" ht="30" customHeight="1">
      <c r="A185" s="171" t="s">
        <v>368</v>
      </c>
      <c r="B185" s="89" t="s">
        <v>369</v>
      </c>
      <c r="C185" s="89" t="s">
        <v>117</v>
      </c>
      <c r="D185" s="171" t="s">
        <v>370</v>
      </c>
      <c r="E185" s="108">
        <f>Rekenblad!E186</f>
        <v>0</v>
      </c>
      <c r="F185" s="118">
        <f>Rekenblad!F186</f>
        <v>0</v>
      </c>
      <c r="G185" s="109"/>
      <c r="H185" s="167">
        <f t="shared" si="14"/>
        <v>0</v>
      </c>
      <c r="I185" s="567"/>
      <c r="J185" s="568"/>
      <c r="K185" s="161"/>
      <c r="L185" s="162"/>
      <c r="M185" s="162"/>
      <c r="N185" s="162"/>
      <c r="O185" s="162"/>
      <c r="P185" s="163"/>
      <c r="Q185" s="151"/>
    </row>
    <row r="186" spans="1:17" ht="30" customHeight="1">
      <c r="A186" s="171" t="s">
        <v>371</v>
      </c>
      <c r="B186" s="89" t="s">
        <v>372</v>
      </c>
      <c r="C186" s="89" t="s">
        <v>117</v>
      </c>
      <c r="D186" s="171" t="s">
        <v>304</v>
      </c>
      <c r="E186" s="196">
        <f>$G$3*$A$4</f>
        <v>50</v>
      </c>
      <c r="F186" s="118">
        <f>Rekenblad!F187</f>
        <v>312.7</v>
      </c>
      <c r="G186" s="109"/>
      <c r="H186" s="167">
        <f t="shared" si="14"/>
        <v>15635</v>
      </c>
      <c r="I186" s="567" t="s">
        <v>365</v>
      </c>
      <c r="J186" s="568"/>
      <c r="K186" s="161"/>
      <c r="L186" s="162"/>
      <c r="M186" s="162"/>
      <c r="N186" s="162"/>
      <c r="O186" s="162"/>
      <c r="P186" s="163"/>
      <c r="Q186" s="151"/>
    </row>
    <row r="187" spans="1:17" ht="30" customHeight="1">
      <c r="A187" s="171" t="s">
        <v>373</v>
      </c>
      <c r="B187" s="116" t="s">
        <v>374</v>
      </c>
      <c r="C187" s="75" t="s">
        <v>101</v>
      </c>
      <c r="D187" s="107" t="s">
        <v>359</v>
      </c>
      <c r="E187" s="108">
        <f>Rekenblad!E188</f>
        <v>0</v>
      </c>
      <c r="F187" s="118">
        <f>Rekenblad!F188</f>
        <v>1.06</v>
      </c>
      <c r="G187" s="109"/>
      <c r="H187" s="167">
        <f t="shared" si="14"/>
        <v>0</v>
      </c>
      <c r="I187" s="567"/>
      <c r="J187" s="568"/>
      <c r="K187" s="118"/>
      <c r="L187" s="146"/>
      <c r="M187" s="146"/>
      <c r="N187" s="146"/>
      <c r="O187" s="146"/>
      <c r="P187" s="147"/>
      <c r="Q187" s="151"/>
    </row>
    <row r="188" spans="1:17" ht="30" customHeight="1">
      <c r="A188" s="171" t="s">
        <v>375</v>
      </c>
      <c r="B188" s="116" t="s">
        <v>374</v>
      </c>
      <c r="C188" s="75" t="s">
        <v>57</v>
      </c>
      <c r="D188" s="107" t="s">
        <v>376</v>
      </c>
      <c r="E188" s="196">
        <f>$G$3*$A$4*3</f>
        <v>150</v>
      </c>
      <c r="F188" s="118">
        <f>Rekenblad!F189</f>
        <v>118.72</v>
      </c>
      <c r="G188" s="109"/>
      <c r="H188" s="167">
        <f>E188*F188</f>
        <v>17808</v>
      </c>
      <c r="I188" s="567" t="s">
        <v>377</v>
      </c>
      <c r="J188" s="568"/>
      <c r="K188" s="118"/>
      <c r="L188" s="146"/>
      <c r="M188" s="146"/>
      <c r="N188" s="146"/>
      <c r="O188" s="146"/>
      <c r="P188" s="147"/>
      <c r="Q188" s="151"/>
    </row>
    <row r="189" spans="1:17" ht="30" customHeight="1">
      <c r="A189" s="171" t="s">
        <v>378</v>
      </c>
      <c r="B189" s="116" t="s">
        <v>379</v>
      </c>
      <c r="C189" s="75" t="s">
        <v>33</v>
      </c>
      <c r="D189" s="107" t="s">
        <v>359</v>
      </c>
      <c r="E189" s="108">
        <f>Rekenblad!E190</f>
        <v>0</v>
      </c>
      <c r="F189" s="118">
        <f>Rekenblad!F190</f>
        <v>0.84800000000000009</v>
      </c>
      <c r="G189" s="109"/>
      <c r="H189" s="167">
        <f t="shared" si="14"/>
        <v>0</v>
      </c>
      <c r="I189" s="567"/>
      <c r="J189" s="568"/>
      <c r="K189" s="118"/>
      <c r="L189" s="146"/>
      <c r="M189" s="146"/>
      <c r="N189" s="146"/>
      <c r="O189" s="146"/>
      <c r="P189" s="147"/>
      <c r="Q189" s="151"/>
    </row>
    <row r="190" spans="1:17" ht="30" customHeight="1">
      <c r="A190" s="171" t="s">
        <v>380</v>
      </c>
      <c r="B190" s="116" t="s">
        <v>381</v>
      </c>
      <c r="C190" s="75" t="s">
        <v>33</v>
      </c>
      <c r="D190" s="107" t="s">
        <v>359</v>
      </c>
      <c r="E190" s="108">
        <f>Rekenblad!E191</f>
        <v>0</v>
      </c>
      <c r="F190" s="118">
        <f>Rekenblad!F191</f>
        <v>1.3250000000000002</v>
      </c>
      <c r="G190" s="109"/>
      <c r="H190" s="167">
        <f t="shared" si="14"/>
        <v>0</v>
      </c>
      <c r="I190" s="567"/>
      <c r="J190" s="568"/>
      <c r="K190" s="118"/>
      <c r="L190" s="146"/>
      <c r="M190" s="146"/>
      <c r="N190" s="146"/>
      <c r="O190" s="146"/>
      <c r="P190" s="147"/>
      <c r="Q190" s="151"/>
    </row>
    <row r="191" spans="1:17" ht="30" customHeight="1">
      <c r="A191" s="171" t="s">
        <v>382</v>
      </c>
      <c r="B191" s="116" t="s">
        <v>383</v>
      </c>
      <c r="C191" s="75" t="s">
        <v>33</v>
      </c>
      <c r="D191" s="107" t="s">
        <v>384</v>
      </c>
      <c r="E191" s="108">
        <f>Rekenblad!E192</f>
        <v>0</v>
      </c>
      <c r="F191" s="118">
        <f>Rekenblad!F192</f>
        <v>172.78</v>
      </c>
      <c r="G191" s="109"/>
      <c r="H191" s="167">
        <f t="shared" si="14"/>
        <v>0</v>
      </c>
      <c r="I191" s="567"/>
      <c r="J191" s="568"/>
      <c r="K191" s="118"/>
      <c r="L191" s="146"/>
      <c r="M191" s="146"/>
      <c r="N191" s="146"/>
      <c r="O191" s="146"/>
      <c r="P191" s="147"/>
      <c r="Q191" s="151"/>
    </row>
    <row r="192" spans="1:17" ht="30" customHeight="1">
      <c r="A192" s="171" t="s">
        <v>385</v>
      </c>
      <c r="B192" s="116" t="s">
        <v>386</v>
      </c>
      <c r="C192" s="75" t="s">
        <v>57</v>
      </c>
      <c r="D192" s="107" t="s">
        <v>387</v>
      </c>
      <c r="E192" s="108">
        <f>Rekenblad!E193</f>
        <v>0</v>
      </c>
      <c r="F192" s="118">
        <f>Rekenblad!F193</f>
        <v>689</v>
      </c>
      <c r="G192" s="109"/>
      <c r="H192" s="167">
        <f t="shared" si="14"/>
        <v>0</v>
      </c>
      <c r="I192" s="567"/>
      <c r="J192" s="568"/>
      <c r="K192" s="118"/>
      <c r="L192" s="146"/>
      <c r="M192" s="146"/>
      <c r="N192" s="146"/>
      <c r="O192" s="146"/>
      <c r="P192" s="147"/>
      <c r="Q192" s="151"/>
    </row>
    <row r="193" spans="1:17" ht="30" customHeight="1">
      <c r="A193" s="171" t="s">
        <v>388</v>
      </c>
      <c r="B193" s="116" t="s">
        <v>389</v>
      </c>
      <c r="C193" s="75" t="s">
        <v>57</v>
      </c>
      <c r="D193" s="107" t="s">
        <v>387</v>
      </c>
      <c r="E193" s="108">
        <f>Rekenblad!E194</f>
        <v>0</v>
      </c>
      <c r="F193" s="118">
        <f>Rekenblad!F194</f>
        <v>371</v>
      </c>
      <c r="G193" s="109"/>
      <c r="H193" s="167">
        <f t="shared" si="14"/>
        <v>0</v>
      </c>
      <c r="I193" s="567"/>
      <c r="J193" s="568"/>
      <c r="K193" s="118"/>
      <c r="L193" s="146"/>
      <c r="M193" s="146"/>
      <c r="N193" s="146"/>
      <c r="O193" s="146"/>
      <c r="P193" s="147"/>
      <c r="Q193" s="151"/>
    </row>
    <row r="194" spans="1:17" ht="30" customHeight="1">
      <c r="A194" s="226"/>
      <c r="B194" s="227"/>
      <c r="C194" s="228"/>
      <c r="D194" s="229"/>
      <c r="E194" s="179"/>
      <c r="F194" s="118"/>
      <c r="G194" s="230"/>
      <c r="H194" s="230"/>
      <c r="I194" s="231"/>
      <c r="J194" s="232"/>
      <c r="K194" s="233"/>
      <c r="L194" s="234"/>
      <c r="M194" s="234"/>
      <c r="N194" s="234"/>
      <c r="O194" s="234"/>
      <c r="P194" s="163"/>
      <c r="Q194" s="151"/>
    </row>
    <row r="195" spans="1:17" s="5" customFormat="1" ht="65.25" customHeight="1">
      <c r="A195" s="235">
        <v>10</v>
      </c>
      <c r="B195" s="236" t="s">
        <v>390</v>
      </c>
      <c r="C195" s="115"/>
      <c r="D195" s="38" t="s">
        <v>12</v>
      </c>
      <c r="E195" s="47" t="s">
        <v>13</v>
      </c>
      <c r="F195" s="60" t="str">
        <f>Rekenblad!F196</f>
        <v>bedrag per eenheid (excl. btw)</v>
      </c>
      <c r="G195" s="37" t="s">
        <v>15</v>
      </c>
      <c r="H195" s="37" t="s">
        <v>16</v>
      </c>
      <c r="I195" s="563" t="s">
        <v>17</v>
      </c>
      <c r="J195" s="564"/>
      <c r="K195" s="564"/>
      <c r="L195" s="564"/>
      <c r="M195" s="564"/>
      <c r="N195" s="564"/>
      <c r="O195" s="564"/>
      <c r="P195" s="38" t="s">
        <v>18</v>
      </c>
      <c r="Q195" s="301"/>
    </row>
    <row r="196" spans="1:17" ht="30" customHeight="1">
      <c r="A196" s="171" t="s">
        <v>391</v>
      </c>
      <c r="B196" s="89" t="s">
        <v>392</v>
      </c>
      <c r="C196" s="89" t="s">
        <v>117</v>
      </c>
      <c r="D196" s="171" t="s">
        <v>393</v>
      </c>
      <c r="E196" s="108">
        <f>Rekenblad!E197</f>
        <v>0</v>
      </c>
      <c r="F196" s="118">
        <f>Rekenblad!F197</f>
        <v>7.7485999999999997</v>
      </c>
      <c r="G196" s="198"/>
      <c r="H196" s="198">
        <f>1*G196</f>
        <v>0</v>
      </c>
      <c r="I196" s="565"/>
      <c r="J196" s="562"/>
      <c r="K196" s="161"/>
      <c r="L196" s="162"/>
      <c r="M196" s="162"/>
      <c r="N196" s="162"/>
      <c r="O196" s="162"/>
      <c r="P196" s="163"/>
      <c r="Q196" s="151"/>
    </row>
    <row r="197" spans="1:17" ht="30" customHeight="1">
      <c r="A197" s="171" t="s">
        <v>394</v>
      </c>
      <c r="B197" s="89" t="s">
        <v>395</v>
      </c>
      <c r="C197" s="89" t="s">
        <v>117</v>
      </c>
      <c r="D197" s="171" t="s">
        <v>393</v>
      </c>
      <c r="E197" s="108">
        <f>Rekenblad!E198</f>
        <v>0</v>
      </c>
      <c r="F197" s="118">
        <f>Rekenblad!F198</f>
        <v>7.7380000000000004</v>
      </c>
      <c r="G197" s="198"/>
      <c r="H197" s="198">
        <f t="shared" ref="H197:H221" si="16">1*G197</f>
        <v>0</v>
      </c>
      <c r="I197" s="565"/>
      <c r="J197" s="562"/>
      <c r="K197" s="161"/>
      <c r="L197" s="162"/>
      <c r="M197" s="162"/>
      <c r="N197" s="162"/>
      <c r="O197" s="162"/>
      <c r="P197" s="163"/>
      <c r="Q197" s="151"/>
    </row>
    <row r="198" spans="1:17" ht="30" customHeight="1">
      <c r="A198" s="171" t="s">
        <v>396</v>
      </c>
      <c r="B198" s="89" t="s">
        <v>397</v>
      </c>
      <c r="C198" s="89" t="s">
        <v>117</v>
      </c>
      <c r="D198" s="171" t="s">
        <v>398</v>
      </c>
      <c r="E198" s="108">
        <f>Rekenblad!E199</f>
        <v>0</v>
      </c>
      <c r="F198" s="118">
        <f>Rekenblad!F199</f>
        <v>58.300000000000004</v>
      </c>
      <c r="G198" s="198"/>
      <c r="H198" s="198">
        <f t="shared" si="16"/>
        <v>0</v>
      </c>
      <c r="I198" s="565"/>
      <c r="J198" s="562"/>
      <c r="K198" s="161"/>
      <c r="L198" s="162"/>
      <c r="M198" s="162"/>
      <c r="N198" s="162"/>
      <c r="O198" s="162"/>
      <c r="P198" s="163"/>
      <c r="Q198" s="151"/>
    </row>
    <row r="199" spans="1:17" ht="30" customHeight="1">
      <c r="A199" s="171" t="s">
        <v>399</v>
      </c>
      <c r="B199" s="89" t="s">
        <v>400</v>
      </c>
      <c r="C199" s="89" t="s">
        <v>117</v>
      </c>
      <c r="D199" s="171" t="s">
        <v>401</v>
      </c>
      <c r="E199" s="108">
        <f>Rekenblad!E200</f>
        <v>0</v>
      </c>
      <c r="F199" s="118">
        <f>Rekenblad!F200</f>
        <v>14.31</v>
      </c>
      <c r="G199" s="198"/>
      <c r="H199" s="198">
        <f t="shared" si="16"/>
        <v>0</v>
      </c>
      <c r="I199" s="565"/>
      <c r="J199" s="562"/>
      <c r="K199" s="161"/>
      <c r="L199" s="162"/>
      <c r="M199" s="162"/>
      <c r="N199" s="162"/>
      <c r="O199" s="162"/>
      <c r="P199" s="163"/>
      <c r="Q199" s="151"/>
    </row>
    <row r="200" spans="1:17" ht="30" customHeight="1">
      <c r="A200" s="171" t="s">
        <v>402</v>
      </c>
      <c r="B200" s="89" t="s">
        <v>403</v>
      </c>
      <c r="C200" s="89" t="s">
        <v>117</v>
      </c>
      <c r="D200" s="171" t="s">
        <v>401</v>
      </c>
      <c r="E200" s="108">
        <f>Rekenblad!E201</f>
        <v>0</v>
      </c>
      <c r="F200" s="118">
        <f>Rekenblad!F201</f>
        <v>14.31</v>
      </c>
      <c r="G200" s="198"/>
      <c r="H200" s="198">
        <f t="shared" si="16"/>
        <v>0</v>
      </c>
      <c r="I200" s="565"/>
      <c r="J200" s="562"/>
      <c r="K200" s="161"/>
      <c r="L200" s="162"/>
      <c r="M200" s="162"/>
      <c r="N200" s="162"/>
      <c r="O200" s="162"/>
      <c r="P200" s="163"/>
      <c r="Q200" s="151"/>
    </row>
    <row r="201" spans="1:17" ht="30" customHeight="1">
      <c r="A201" s="171" t="s">
        <v>404</v>
      </c>
      <c r="B201" s="89" t="s">
        <v>405</v>
      </c>
      <c r="C201" s="89" t="s">
        <v>117</v>
      </c>
      <c r="D201" s="171" t="s">
        <v>401</v>
      </c>
      <c r="E201" s="108">
        <f>Rekenblad!E202</f>
        <v>0</v>
      </c>
      <c r="F201" s="118">
        <f>Rekenblad!F202</f>
        <v>14.31</v>
      </c>
      <c r="G201" s="198"/>
      <c r="H201" s="198">
        <f t="shared" si="16"/>
        <v>0</v>
      </c>
      <c r="I201" s="565"/>
      <c r="J201" s="562"/>
      <c r="K201" s="161"/>
      <c r="L201" s="162"/>
      <c r="M201" s="162"/>
      <c r="N201" s="162"/>
      <c r="O201" s="162"/>
      <c r="P201" s="163"/>
      <c r="Q201" s="151"/>
    </row>
    <row r="202" spans="1:17" ht="30" customHeight="1">
      <c r="A202" s="171" t="s">
        <v>406</v>
      </c>
      <c r="B202" s="89" t="s">
        <v>407</v>
      </c>
      <c r="C202" s="89" t="s">
        <v>117</v>
      </c>
      <c r="D202" s="171" t="s">
        <v>401</v>
      </c>
      <c r="E202" s="108">
        <f>Rekenblad!E203</f>
        <v>0</v>
      </c>
      <c r="F202" s="118">
        <f>Rekenblad!F203</f>
        <v>14.31</v>
      </c>
      <c r="G202" s="198"/>
      <c r="H202" s="198">
        <f t="shared" si="16"/>
        <v>0</v>
      </c>
      <c r="I202" s="565"/>
      <c r="J202" s="562"/>
      <c r="K202" s="161"/>
      <c r="L202" s="162"/>
      <c r="M202" s="162"/>
      <c r="N202" s="162"/>
      <c r="O202" s="162"/>
      <c r="P202" s="163"/>
      <c r="Q202" s="151"/>
    </row>
    <row r="203" spans="1:17" ht="30" customHeight="1">
      <c r="A203" s="171" t="s">
        <v>408</v>
      </c>
      <c r="B203" s="89" t="s">
        <v>409</v>
      </c>
      <c r="C203" s="89" t="s">
        <v>117</v>
      </c>
      <c r="D203" s="171" t="s">
        <v>401</v>
      </c>
      <c r="E203" s="108">
        <f>Rekenblad!E204</f>
        <v>0</v>
      </c>
      <c r="F203" s="118">
        <f>Rekenblad!F204</f>
        <v>14.31</v>
      </c>
      <c r="G203" s="198"/>
      <c r="H203" s="198">
        <f t="shared" si="16"/>
        <v>0</v>
      </c>
      <c r="I203" s="565"/>
      <c r="J203" s="562"/>
      <c r="K203" s="161"/>
      <c r="L203" s="162"/>
      <c r="M203" s="162"/>
      <c r="N203" s="162"/>
      <c r="O203" s="162"/>
      <c r="P203" s="163"/>
      <c r="Q203" s="151"/>
    </row>
    <row r="204" spans="1:17" ht="30" customHeight="1">
      <c r="A204" s="171" t="s">
        <v>410</v>
      </c>
      <c r="B204" s="89" t="s">
        <v>411</v>
      </c>
      <c r="C204" s="89" t="s">
        <v>117</v>
      </c>
      <c r="D204" s="171" t="s">
        <v>401</v>
      </c>
      <c r="E204" s="108">
        <f>Rekenblad!E205</f>
        <v>0</v>
      </c>
      <c r="F204" s="118">
        <f>Rekenblad!F205</f>
        <v>14.31</v>
      </c>
      <c r="G204" s="198"/>
      <c r="H204" s="198">
        <f t="shared" si="16"/>
        <v>0</v>
      </c>
      <c r="I204" s="565"/>
      <c r="J204" s="562"/>
      <c r="K204" s="161"/>
      <c r="L204" s="162"/>
      <c r="M204" s="162"/>
      <c r="N204" s="162"/>
      <c r="O204" s="162"/>
      <c r="P204" s="163"/>
      <c r="Q204" s="151"/>
    </row>
    <row r="205" spans="1:17" ht="30" customHeight="1">
      <c r="A205" s="171" t="s">
        <v>412</v>
      </c>
      <c r="B205" s="89" t="s">
        <v>413</v>
      </c>
      <c r="C205" s="89" t="s">
        <v>117</v>
      </c>
      <c r="D205" s="171" t="s">
        <v>414</v>
      </c>
      <c r="E205" s="108">
        <f>Rekenblad!E206</f>
        <v>0</v>
      </c>
      <c r="F205" s="118">
        <f>Rekenblad!F206</f>
        <v>90.100000000000009</v>
      </c>
      <c r="G205" s="198"/>
      <c r="H205" s="198">
        <f t="shared" si="16"/>
        <v>0</v>
      </c>
      <c r="I205" s="565"/>
      <c r="J205" s="562"/>
      <c r="K205" s="161"/>
      <c r="L205" s="162"/>
      <c r="M205" s="162"/>
      <c r="N205" s="162"/>
      <c r="O205" s="162"/>
      <c r="P205" s="163"/>
      <c r="Q205" s="151"/>
    </row>
    <row r="206" spans="1:17" ht="30" customHeight="1">
      <c r="A206" s="171" t="s">
        <v>415</v>
      </c>
      <c r="B206" s="89" t="s">
        <v>416</v>
      </c>
      <c r="C206" s="89" t="s">
        <v>117</v>
      </c>
      <c r="D206" s="171" t="s">
        <v>401</v>
      </c>
      <c r="E206" s="108">
        <f>Rekenblad!E207</f>
        <v>0</v>
      </c>
      <c r="F206" s="118">
        <f>Rekenblad!F207</f>
        <v>14.31</v>
      </c>
      <c r="G206" s="198"/>
      <c r="H206" s="198">
        <f t="shared" si="16"/>
        <v>0</v>
      </c>
      <c r="I206" s="565"/>
      <c r="J206" s="562"/>
      <c r="K206" s="161"/>
      <c r="L206" s="162"/>
      <c r="M206" s="162"/>
      <c r="N206" s="162"/>
      <c r="O206" s="162"/>
      <c r="P206" s="163"/>
      <c r="Q206" s="151"/>
    </row>
    <row r="207" spans="1:17" ht="30" customHeight="1">
      <c r="A207" s="171" t="s">
        <v>417</v>
      </c>
      <c r="B207" s="89" t="s">
        <v>418</v>
      </c>
      <c r="C207" s="89" t="s">
        <v>117</v>
      </c>
      <c r="D207" s="171" t="s">
        <v>401</v>
      </c>
      <c r="E207" s="108">
        <f>Rekenblad!E208</f>
        <v>0</v>
      </c>
      <c r="F207" s="118">
        <f>Rekenblad!F208</f>
        <v>2.6500000000000004</v>
      </c>
      <c r="G207" s="198"/>
      <c r="H207" s="198">
        <f t="shared" si="16"/>
        <v>0</v>
      </c>
      <c r="I207" s="565"/>
      <c r="J207" s="562"/>
      <c r="K207" s="161"/>
      <c r="L207" s="162"/>
      <c r="M207" s="162"/>
      <c r="N207" s="162"/>
      <c r="O207" s="162"/>
      <c r="P207" s="163"/>
      <c r="Q207" s="151"/>
    </row>
    <row r="208" spans="1:17" ht="30" customHeight="1">
      <c r="A208" s="171" t="s">
        <v>419</v>
      </c>
      <c r="B208" s="89" t="s">
        <v>420</v>
      </c>
      <c r="C208" s="89" t="s">
        <v>117</v>
      </c>
      <c r="D208" s="171" t="s">
        <v>304</v>
      </c>
      <c r="E208" s="108">
        <f>Rekenblad!E209</f>
        <v>0</v>
      </c>
      <c r="F208" s="118">
        <f>Rekenblad!F209</f>
        <v>14.84</v>
      </c>
      <c r="G208" s="198"/>
      <c r="H208" s="198">
        <f t="shared" si="16"/>
        <v>0</v>
      </c>
      <c r="I208" s="565"/>
      <c r="J208" s="562"/>
      <c r="K208" s="161"/>
      <c r="L208" s="162"/>
      <c r="M208" s="162"/>
      <c r="N208" s="162"/>
      <c r="O208" s="162"/>
      <c r="P208" s="163"/>
      <c r="Q208" s="151"/>
    </row>
    <row r="209" spans="1:17" ht="30" customHeight="1">
      <c r="A209" s="171" t="s">
        <v>421</v>
      </c>
      <c r="B209" s="89" t="s">
        <v>422</v>
      </c>
      <c r="C209" s="89" t="s">
        <v>117</v>
      </c>
      <c r="D209" s="171" t="s">
        <v>401</v>
      </c>
      <c r="E209" s="108">
        <f>Rekenblad!E210</f>
        <v>0</v>
      </c>
      <c r="F209" s="118">
        <f>Rekenblad!F210</f>
        <v>15.158000000000001</v>
      </c>
      <c r="G209" s="198"/>
      <c r="H209" s="198">
        <f t="shared" si="16"/>
        <v>0</v>
      </c>
      <c r="I209" s="565"/>
      <c r="J209" s="562"/>
      <c r="K209" s="161"/>
      <c r="L209" s="162"/>
      <c r="M209" s="162"/>
      <c r="N209" s="162"/>
      <c r="O209" s="162"/>
      <c r="P209" s="163"/>
      <c r="Q209" s="151"/>
    </row>
    <row r="210" spans="1:17" ht="30" customHeight="1">
      <c r="A210" s="171" t="s">
        <v>423</v>
      </c>
      <c r="B210" s="89" t="s">
        <v>424</v>
      </c>
      <c r="C210" s="89" t="s">
        <v>117</v>
      </c>
      <c r="D210" s="171" t="s">
        <v>304</v>
      </c>
      <c r="E210" s="108">
        <f>Rekenblad!E211</f>
        <v>0</v>
      </c>
      <c r="F210" s="118">
        <f>Rekenblad!F211</f>
        <v>90.100000000000009</v>
      </c>
      <c r="G210" s="198"/>
      <c r="H210" s="198">
        <f t="shared" si="16"/>
        <v>0</v>
      </c>
      <c r="I210" s="565"/>
      <c r="J210" s="562"/>
      <c r="K210" s="161"/>
      <c r="L210" s="162"/>
      <c r="M210" s="162"/>
      <c r="N210" s="162"/>
      <c r="O210" s="162"/>
      <c r="P210" s="163"/>
      <c r="Q210" s="151"/>
    </row>
    <row r="211" spans="1:17" ht="30" customHeight="1">
      <c r="A211" s="171" t="s">
        <v>425</v>
      </c>
      <c r="B211" s="89" t="s">
        <v>426</v>
      </c>
      <c r="C211" s="89" t="s">
        <v>117</v>
      </c>
      <c r="D211" s="171" t="s">
        <v>427</v>
      </c>
      <c r="E211" s="108">
        <f>Rekenblad!E212</f>
        <v>0</v>
      </c>
      <c r="F211" s="118">
        <f>Rekenblad!F212</f>
        <v>106</v>
      </c>
      <c r="G211" s="198"/>
      <c r="H211" s="198">
        <f t="shared" si="16"/>
        <v>0</v>
      </c>
      <c r="I211" s="565"/>
      <c r="J211" s="562"/>
      <c r="K211" s="161"/>
      <c r="L211" s="162"/>
      <c r="M211" s="162"/>
      <c r="N211" s="162"/>
      <c r="O211" s="162"/>
      <c r="P211" s="163"/>
      <c r="Q211" s="151"/>
    </row>
    <row r="212" spans="1:17" ht="30" customHeight="1">
      <c r="A212" s="171" t="s">
        <v>428</v>
      </c>
      <c r="B212" s="89" t="s">
        <v>429</v>
      </c>
      <c r="C212" s="89" t="s">
        <v>117</v>
      </c>
      <c r="D212" s="171" t="s">
        <v>304</v>
      </c>
      <c r="E212" s="108">
        <f>Rekenblad!E213</f>
        <v>0</v>
      </c>
      <c r="F212" s="118">
        <f>Rekenblad!F213</f>
        <v>0</v>
      </c>
      <c r="G212" s="198"/>
      <c r="H212" s="198">
        <f t="shared" si="16"/>
        <v>0</v>
      </c>
      <c r="I212" s="565"/>
      <c r="J212" s="562"/>
      <c r="K212" s="161"/>
      <c r="L212" s="162"/>
      <c r="M212" s="162"/>
      <c r="N212" s="162"/>
      <c r="O212" s="162"/>
      <c r="P212" s="163"/>
      <c r="Q212" s="151"/>
    </row>
    <row r="213" spans="1:17" ht="30" customHeight="1">
      <c r="A213" s="171" t="s">
        <v>430</v>
      </c>
      <c r="B213" s="89" t="s">
        <v>431</v>
      </c>
      <c r="C213" s="89" t="s">
        <v>117</v>
      </c>
      <c r="D213" s="171" t="s">
        <v>432</v>
      </c>
      <c r="E213" s="108">
        <f>Rekenblad!E214</f>
        <v>0</v>
      </c>
      <c r="F213" s="118">
        <f>Rekenblad!F214</f>
        <v>24.380000000000003</v>
      </c>
      <c r="G213" s="198"/>
      <c r="H213" s="198">
        <f t="shared" si="16"/>
        <v>0</v>
      </c>
      <c r="I213" s="565"/>
      <c r="J213" s="562"/>
      <c r="K213" s="161"/>
      <c r="L213" s="162"/>
      <c r="M213" s="162"/>
      <c r="N213" s="162"/>
      <c r="O213" s="162"/>
      <c r="P213" s="163"/>
      <c r="Q213" s="151"/>
    </row>
    <row r="214" spans="1:17" ht="30" customHeight="1">
      <c r="A214" s="171" t="s">
        <v>433</v>
      </c>
      <c r="B214" s="89" t="s">
        <v>434</v>
      </c>
      <c r="C214" s="89" t="s">
        <v>117</v>
      </c>
      <c r="D214" s="171" t="s">
        <v>435</v>
      </c>
      <c r="E214" s="108">
        <f>Rekenblad!E215</f>
        <v>0</v>
      </c>
      <c r="F214" s="118">
        <f>Rekenblad!F215</f>
        <v>121.9</v>
      </c>
      <c r="G214" s="198"/>
      <c r="H214" s="198">
        <f t="shared" si="16"/>
        <v>0</v>
      </c>
      <c r="I214" s="565"/>
      <c r="J214" s="562"/>
      <c r="K214" s="161"/>
      <c r="L214" s="162"/>
      <c r="M214" s="162"/>
      <c r="N214" s="162"/>
      <c r="O214" s="162"/>
      <c r="P214" s="163"/>
      <c r="Q214" s="151"/>
    </row>
    <row r="215" spans="1:17" ht="30" customHeight="1">
      <c r="A215" s="171" t="s">
        <v>436</v>
      </c>
      <c r="B215" s="76" t="s">
        <v>437</v>
      </c>
      <c r="C215" s="89" t="s">
        <v>117</v>
      </c>
      <c r="D215" s="171" t="s">
        <v>438</v>
      </c>
      <c r="E215" s="108">
        <f>Rekenblad!E216</f>
        <v>0</v>
      </c>
      <c r="F215" s="118">
        <f>Rekenblad!F216</f>
        <v>0</v>
      </c>
      <c r="G215" s="198"/>
      <c r="H215" s="198">
        <f t="shared" si="16"/>
        <v>0</v>
      </c>
      <c r="I215" s="565"/>
      <c r="J215" s="562"/>
      <c r="K215" s="161"/>
      <c r="L215" s="162"/>
      <c r="M215" s="162"/>
      <c r="N215" s="162"/>
      <c r="O215" s="162"/>
      <c r="P215" s="163"/>
      <c r="Q215" s="151"/>
    </row>
    <row r="216" spans="1:17" ht="30" customHeight="1">
      <c r="A216" s="171" t="s">
        <v>439</v>
      </c>
      <c r="B216" s="89" t="s">
        <v>440</v>
      </c>
      <c r="C216" s="89" t="s">
        <v>117</v>
      </c>
      <c r="D216" s="171" t="s">
        <v>304</v>
      </c>
      <c r="E216" s="108">
        <f>Rekenblad!E217</f>
        <v>0</v>
      </c>
      <c r="F216" s="118">
        <f>Rekenblad!F217</f>
        <v>0</v>
      </c>
      <c r="G216" s="198"/>
      <c r="H216" s="198">
        <f t="shared" si="16"/>
        <v>0</v>
      </c>
      <c r="I216" s="565"/>
      <c r="J216" s="562"/>
      <c r="K216" s="161"/>
      <c r="L216" s="162"/>
      <c r="M216" s="162"/>
      <c r="N216" s="162"/>
      <c r="O216" s="162"/>
      <c r="P216" s="163"/>
      <c r="Q216" s="151"/>
    </row>
    <row r="217" spans="1:17" ht="30" customHeight="1">
      <c r="A217" s="171" t="s">
        <v>441</v>
      </c>
      <c r="B217" s="89" t="s">
        <v>442</v>
      </c>
      <c r="C217" s="89" t="s">
        <v>117</v>
      </c>
      <c r="D217" s="171" t="s">
        <v>304</v>
      </c>
      <c r="E217" s="108">
        <f>Rekenblad!E218</f>
        <v>0</v>
      </c>
      <c r="F217" s="118">
        <f>Rekenblad!F218</f>
        <v>3.71</v>
      </c>
      <c r="G217" s="198"/>
      <c r="H217" s="198">
        <f t="shared" si="16"/>
        <v>0</v>
      </c>
      <c r="I217" s="565"/>
      <c r="J217" s="562"/>
      <c r="K217" s="161"/>
      <c r="L217" s="162"/>
      <c r="M217" s="162"/>
      <c r="N217" s="162"/>
      <c r="O217" s="162"/>
      <c r="P217" s="163"/>
      <c r="Q217" s="151"/>
    </row>
    <row r="218" spans="1:17" ht="30" customHeight="1">
      <c r="A218" s="171" t="s">
        <v>443</v>
      </c>
      <c r="B218" s="89" t="s">
        <v>444</v>
      </c>
      <c r="C218" s="89" t="s">
        <v>117</v>
      </c>
      <c r="D218" s="171" t="s">
        <v>304</v>
      </c>
      <c r="E218" s="108">
        <f>Rekenblad!E219</f>
        <v>0</v>
      </c>
      <c r="F218" s="118">
        <f>Rekenblad!F219</f>
        <v>21.200000000000003</v>
      </c>
      <c r="G218" s="198"/>
      <c r="H218" s="198">
        <f t="shared" si="16"/>
        <v>0</v>
      </c>
      <c r="I218" s="565"/>
      <c r="J218" s="562"/>
      <c r="K218" s="161"/>
      <c r="L218" s="162"/>
      <c r="M218" s="162"/>
      <c r="N218" s="162"/>
      <c r="O218" s="162"/>
      <c r="P218" s="163"/>
      <c r="Q218" s="151"/>
    </row>
    <row r="219" spans="1:17" ht="30" customHeight="1">
      <c r="A219" s="171" t="s">
        <v>445</v>
      </c>
      <c r="B219" s="89" t="s">
        <v>446</v>
      </c>
      <c r="C219" s="89" t="s">
        <v>117</v>
      </c>
      <c r="D219" s="171" t="s">
        <v>139</v>
      </c>
      <c r="E219" s="108">
        <f>Rekenblad!E220</f>
        <v>0</v>
      </c>
      <c r="F219" s="118">
        <f>Rekenblad!F220</f>
        <v>47.7</v>
      </c>
      <c r="G219" s="109"/>
      <c r="H219" s="198">
        <f t="shared" si="16"/>
        <v>0</v>
      </c>
      <c r="I219" s="565"/>
      <c r="J219" s="562"/>
      <c r="K219" s="118"/>
      <c r="L219" s="146"/>
      <c r="M219" s="146"/>
      <c r="N219" s="146"/>
      <c r="O219" s="146"/>
      <c r="P219" s="147"/>
      <c r="Q219" s="151"/>
    </row>
    <row r="220" spans="1:17" ht="30" customHeight="1">
      <c r="A220" s="171" t="s">
        <v>447</v>
      </c>
      <c r="B220" s="89" t="s">
        <v>448</v>
      </c>
      <c r="C220" s="89" t="s">
        <v>117</v>
      </c>
      <c r="D220" s="171" t="s">
        <v>304</v>
      </c>
      <c r="E220" s="108">
        <f>Rekenblad!E221</f>
        <v>0</v>
      </c>
      <c r="F220" s="118">
        <f>Rekenblad!F221</f>
        <v>47.7</v>
      </c>
      <c r="G220" s="109"/>
      <c r="H220" s="198">
        <f t="shared" si="16"/>
        <v>0</v>
      </c>
      <c r="I220" s="565"/>
      <c r="J220" s="562"/>
      <c r="K220" s="118"/>
      <c r="L220" s="146"/>
      <c r="M220" s="146"/>
      <c r="N220" s="146"/>
      <c r="O220" s="146"/>
      <c r="P220" s="147"/>
      <c r="Q220" s="151"/>
    </row>
    <row r="221" spans="1:17" ht="30" customHeight="1">
      <c r="A221" s="171" t="s">
        <v>449</v>
      </c>
      <c r="B221" s="89" t="s">
        <v>450</v>
      </c>
      <c r="C221" s="89" t="s">
        <v>117</v>
      </c>
      <c r="D221" s="171" t="s">
        <v>304</v>
      </c>
      <c r="E221" s="108">
        <f>Rekenblad!E222</f>
        <v>0</v>
      </c>
      <c r="F221" s="118">
        <f>Rekenblad!F222</f>
        <v>26.5</v>
      </c>
      <c r="G221" s="109"/>
      <c r="H221" s="198">
        <f t="shared" si="16"/>
        <v>0</v>
      </c>
      <c r="I221" s="565"/>
      <c r="J221" s="562"/>
      <c r="K221" s="118"/>
      <c r="L221" s="146"/>
      <c r="M221" s="146"/>
      <c r="N221" s="146"/>
      <c r="O221" s="146"/>
      <c r="P221" s="147"/>
      <c r="Q221" s="151"/>
    </row>
    <row r="222" spans="1:17" ht="30" customHeight="1">
      <c r="A222" s="218"/>
      <c r="B222" s="151"/>
      <c r="C222" s="151"/>
      <c r="D222" s="213"/>
      <c r="E222" s="179"/>
      <c r="F222" s="118"/>
      <c r="G222" s="109"/>
      <c r="H222" s="237"/>
      <c r="I222" s="565"/>
      <c r="J222" s="562"/>
      <c r="K222" s="161"/>
      <c r="L222" s="162"/>
      <c r="M222" s="162"/>
      <c r="N222" s="162"/>
      <c r="O222" s="162"/>
      <c r="P222" s="163"/>
      <c r="Q222" s="151"/>
    </row>
    <row r="223" spans="1:17" ht="30" customHeight="1">
      <c r="A223" s="141">
        <v>11</v>
      </c>
      <c r="B223" s="65" t="s">
        <v>451</v>
      </c>
      <c r="C223" s="65"/>
      <c r="D223" s="38" t="s">
        <v>12</v>
      </c>
      <c r="E223" s="47" t="s">
        <v>13</v>
      </c>
      <c r="F223" s="60" t="str">
        <f>Rekenblad!F224</f>
        <v>bedrag per eenheid (excl. btw)</v>
      </c>
      <c r="G223" s="53" t="s">
        <v>15</v>
      </c>
      <c r="H223" s="48" t="s">
        <v>16</v>
      </c>
      <c r="I223" s="563" t="s">
        <v>17</v>
      </c>
      <c r="J223" s="566"/>
      <c r="K223" s="37"/>
      <c r="L223" s="50"/>
      <c r="M223" s="50"/>
      <c r="N223" s="50"/>
      <c r="O223" s="50"/>
      <c r="P223" s="49" t="s">
        <v>18</v>
      </c>
      <c r="Q223" s="151"/>
    </row>
    <row r="224" spans="1:17" ht="30" customHeight="1">
      <c r="A224" s="171" t="s">
        <v>452</v>
      </c>
      <c r="B224" s="116" t="s">
        <v>453</v>
      </c>
      <c r="C224" s="75" t="s">
        <v>33</v>
      </c>
      <c r="D224" s="238" t="s">
        <v>8</v>
      </c>
      <c r="E224" s="108">
        <f>Rekenblad!E225</f>
        <v>4</v>
      </c>
      <c r="F224" s="118">
        <f>Rekenblad!F225</f>
        <v>76.850000000000009</v>
      </c>
      <c r="G224" s="198">
        <f>E224*F224</f>
        <v>307.40000000000003</v>
      </c>
      <c r="H224" s="198">
        <f>1*G224</f>
        <v>307.40000000000003</v>
      </c>
      <c r="I224" s="561" t="s">
        <v>454</v>
      </c>
      <c r="J224" s="562"/>
      <c r="K224" s="183"/>
      <c r="L224" s="184"/>
      <c r="M224" s="184"/>
      <c r="N224" s="184"/>
      <c r="O224" s="184"/>
      <c r="P224" s="185"/>
      <c r="Q224" s="151"/>
    </row>
    <row r="225" spans="1:17" ht="30" customHeight="1">
      <c r="A225" s="171" t="s">
        <v>455</v>
      </c>
      <c r="B225" s="116" t="s">
        <v>453</v>
      </c>
      <c r="C225" s="75" t="s">
        <v>33</v>
      </c>
      <c r="D225" s="238" t="s">
        <v>8</v>
      </c>
      <c r="E225" s="108">
        <f>Rekenblad!E226</f>
        <v>4</v>
      </c>
      <c r="F225" s="118">
        <f>Rekenblad!F226</f>
        <v>63.6</v>
      </c>
      <c r="G225" s="198">
        <f t="shared" ref="G225:G232" si="17">E225*F225</f>
        <v>254.4</v>
      </c>
      <c r="H225" s="198">
        <f t="shared" ref="H225:H232" si="18">1*G225</f>
        <v>254.4</v>
      </c>
      <c r="I225" s="561"/>
      <c r="J225" s="562"/>
      <c r="K225" s="183"/>
      <c r="L225" s="184"/>
      <c r="M225" s="184"/>
      <c r="N225" s="184"/>
      <c r="O225" s="184"/>
      <c r="P225" s="185"/>
      <c r="Q225" s="151"/>
    </row>
    <row r="226" spans="1:17" ht="30" customHeight="1">
      <c r="A226" s="171" t="s">
        <v>456</v>
      </c>
      <c r="B226" s="116" t="s">
        <v>453</v>
      </c>
      <c r="C226" s="75" t="s">
        <v>33</v>
      </c>
      <c r="D226" s="238" t="s">
        <v>8</v>
      </c>
      <c r="E226" s="108">
        <f>Rekenblad!E227</f>
        <v>4</v>
      </c>
      <c r="F226" s="118">
        <f>Rekenblad!F227</f>
        <v>63.6</v>
      </c>
      <c r="G226" s="198">
        <f t="shared" si="17"/>
        <v>254.4</v>
      </c>
      <c r="H226" s="198">
        <f t="shared" si="18"/>
        <v>254.4</v>
      </c>
      <c r="I226" s="561"/>
      <c r="J226" s="562"/>
      <c r="K226" s="183"/>
      <c r="L226" s="184"/>
      <c r="M226" s="184"/>
      <c r="N226" s="184"/>
      <c r="O226" s="184"/>
      <c r="P226" s="185"/>
      <c r="Q226" s="151"/>
    </row>
    <row r="227" spans="1:17" ht="30" customHeight="1">
      <c r="A227" s="171" t="s">
        <v>457</v>
      </c>
      <c r="B227" s="116" t="s">
        <v>458</v>
      </c>
      <c r="C227" s="75" t="s">
        <v>33</v>
      </c>
      <c r="D227" s="238" t="s">
        <v>8</v>
      </c>
      <c r="E227" s="108">
        <f>Rekenblad!E228</f>
        <v>8</v>
      </c>
      <c r="F227" s="118">
        <f>Rekenblad!F228</f>
        <v>115.01</v>
      </c>
      <c r="G227" s="198">
        <f t="shared" si="17"/>
        <v>920.08</v>
      </c>
      <c r="H227" s="198">
        <f t="shared" si="18"/>
        <v>920.08</v>
      </c>
      <c r="I227" s="561"/>
      <c r="J227" s="562"/>
      <c r="K227" s="183"/>
      <c r="L227" s="184"/>
      <c r="M227" s="184"/>
      <c r="N227" s="184"/>
      <c r="O227" s="184"/>
      <c r="P227" s="185"/>
      <c r="Q227" s="151"/>
    </row>
    <row r="228" spans="1:17" ht="30" customHeight="1">
      <c r="A228" s="171" t="s">
        <v>459</v>
      </c>
      <c r="B228" s="174" t="s">
        <v>460</v>
      </c>
      <c r="C228" s="107" t="s">
        <v>33</v>
      </c>
      <c r="D228" s="107" t="s">
        <v>8</v>
      </c>
      <c r="E228" s="108">
        <f>Rekenblad!E229</f>
        <v>8</v>
      </c>
      <c r="F228" s="118">
        <f>Rekenblad!F229</f>
        <v>79.5</v>
      </c>
      <c r="G228" s="198">
        <f t="shared" si="17"/>
        <v>636</v>
      </c>
      <c r="H228" s="198">
        <f t="shared" si="18"/>
        <v>636</v>
      </c>
      <c r="I228" s="561"/>
      <c r="J228" s="562"/>
      <c r="K228" s="161"/>
      <c r="L228" s="162"/>
      <c r="M228" s="162"/>
      <c r="N228" s="162"/>
      <c r="O228" s="162"/>
      <c r="P228" s="163"/>
      <c r="Q228" s="151"/>
    </row>
    <row r="229" spans="1:17" ht="30" customHeight="1">
      <c r="A229" s="171" t="s">
        <v>461</v>
      </c>
      <c r="B229" s="174" t="s">
        <v>462</v>
      </c>
      <c r="C229" s="107" t="s">
        <v>53</v>
      </c>
      <c r="D229" s="107" t="s">
        <v>463</v>
      </c>
      <c r="E229" s="108">
        <f>Rekenblad!E230</f>
        <v>1</v>
      </c>
      <c r="F229" s="118">
        <f>Rekenblad!F230</f>
        <v>530</v>
      </c>
      <c r="G229" s="198">
        <f t="shared" si="17"/>
        <v>530</v>
      </c>
      <c r="H229" s="198">
        <f t="shared" si="18"/>
        <v>530</v>
      </c>
      <c r="I229" s="561"/>
      <c r="J229" s="562"/>
      <c r="K229" s="118"/>
      <c r="L229" s="146"/>
      <c r="M229" s="146"/>
      <c r="N229" s="146"/>
      <c r="O229" s="146"/>
      <c r="P229" s="147"/>
      <c r="Q229" s="151"/>
    </row>
    <row r="230" spans="1:17" ht="30" customHeight="1">
      <c r="A230" s="171" t="s">
        <v>464</v>
      </c>
      <c r="B230" s="89" t="s">
        <v>465</v>
      </c>
      <c r="C230" s="89" t="s">
        <v>101</v>
      </c>
      <c r="D230" s="171"/>
      <c r="E230" s="108">
        <f>Rekenblad!E231</f>
        <v>0</v>
      </c>
      <c r="F230" s="118">
        <f>Rekenblad!F231</f>
        <v>81.62</v>
      </c>
      <c r="G230" s="118">
        <f t="shared" si="17"/>
        <v>0</v>
      </c>
      <c r="H230" s="197">
        <f t="shared" si="18"/>
        <v>0</v>
      </c>
      <c r="I230" s="561"/>
      <c r="J230" s="562"/>
      <c r="K230" s="183"/>
      <c r="L230" s="184"/>
      <c r="M230" s="184"/>
      <c r="N230" s="184"/>
      <c r="O230" s="184"/>
      <c r="P230" s="185"/>
      <c r="Q230" s="151"/>
    </row>
    <row r="231" spans="1:17" ht="30" customHeight="1">
      <c r="A231" s="171" t="s">
        <v>466</v>
      </c>
      <c r="B231" s="89" t="s">
        <v>467</v>
      </c>
      <c r="C231" s="89" t="s">
        <v>101</v>
      </c>
      <c r="D231" s="171"/>
      <c r="E231" s="108">
        <f>Rekenblad!E232</f>
        <v>0</v>
      </c>
      <c r="F231" s="118">
        <f>Rekenblad!F232</f>
        <v>51.982399999999998</v>
      </c>
      <c r="G231" s="118">
        <f t="shared" si="17"/>
        <v>0</v>
      </c>
      <c r="H231" s="197">
        <f t="shared" si="18"/>
        <v>0</v>
      </c>
      <c r="I231" s="561"/>
      <c r="J231" s="562"/>
      <c r="K231" s="183"/>
      <c r="L231" s="184"/>
      <c r="M231" s="184"/>
      <c r="N231" s="184"/>
      <c r="O231" s="184"/>
      <c r="P231" s="185"/>
      <c r="Q231" s="151"/>
    </row>
    <row r="232" spans="1:17" ht="30" customHeight="1">
      <c r="A232" s="171" t="s">
        <v>468</v>
      </c>
      <c r="B232" s="174" t="s">
        <v>469</v>
      </c>
      <c r="C232" s="107" t="s">
        <v>33</v>
      </c>
      <c r="D232" s="107" t="s">
        <v>470</v>
      </c>
      <c r="E232" s="108">
        <f>Rekenblad!E233</f>
        <v>12</v>
      </c>
      <c r="F232" s="118">
        <f>Rekenblad!F233</f>
        <v>63.6</v>
      </c>
      <c r="G232" s="198">
        <f t="shared" si="17"/>
        <v>763.2</v>
      </c>
      <c r="H232" s="198">
        <f t="shared" si="18"/>
        <v>763.2</v>
      </c>
      <c r="I232" s="561" t="s">
        <v>471</v>
      </c>
      <c r="J232" s="562"/>
      <c r="K232" s="161"/>
      <c r="L232" s="162"/>
      <c r="M232" s="162"/>
      <c r="N232" s="162"/>
      <c r="O232" s="162"/>
      <c r="P232" s="163"/>
      <c r="Q232" s="151"/>
    </row>
    <row r="233" spans="1:17" ht="30" customHeight="1">
      <c r="A233" s="171"/>
      <c r="B233" s="89"/>
      <c r="C233" s="89"/>
      <c r="D233" s="171"/>
      <c r="E233" s="108"/>
      <c r="F233" s="118"/>
      <c r="G233" s="109"/>
      <c r="H233" s="167"/>
      <c r="I233" s="231"/>
      <c r="J233" s="232"/>
      <c r="K233" s="240"/>
      <c r="L233" s="241"/>
      <c r="M233" s="241"/>
      <c r="N233" s="241"/>
      <c r="O233" s="241"/>
      <c r="P233" s="147"/>
      <c r="Q233" s="151"/>
    </row>
    <row r="234" spans="1:17" s="5" customFormat="1" ht="65.25" customHeight="1">
      <c r="A234" s="61" t="s">
        <v>10</v>
      </c>
      <c r="B234" s="62" t="s">
        <v>11</v>
      </c>
      <c r="C234" s="63"/>
      <c r="D234" s="35" t="s">
        <v>12</v>
      </c>
      <c r="E234" s="36" t="s">
        <v>13</v>
      </c>
      <c r="F234" s="60" t="str">
        <f>Rekenblad!F235</f>
        <v>bedrag per eenheid (excl. btw)</v>
      </c>
      <c r="G234" s="37" t="s">
        <v>15</v>
      </c>
      <c r="H234" s="37" t="s">
        <v>16</v>
      </c>
      <c r="I234" s="563" t="s">
        <v>17</v>
      </c>
      <c r="J234" s="564"/>
      <c r="K234" s="564"/>
      <c r="L234" s="564"/>
      <c r="M234" s="564"/>
      <c r="N234" s="564"/>
      <c r="O234" s="564"/>
      <c r="P234" s="38" t="s">
        <v>18</v>
      </c>
      <c r="Q234" s="301"/>
    </row>
    <row r="235" spans="1:17">
      <c r="A235" s="218"/>
      <c r="B235" s="219"/>
      <c r="C235" s="219"/>
      <c r="D235" s="218"/>
      <c r="E235" s="220"/>
      <c r="F235" s="118">
        <f>Rekenblad!F236</f>
        <v>0</v>
      </c>
      <c r="G235" s="221"/>
      <c r="H235" s="221"/>
      <c r="I235" s="222"/>
      <c r="J235" s="151"/>
      <c r="K235" s="223"/>
      <c r="L235" s="224"/>
      <c r="M235" s="224"/>
      <c r="N235" s="224"/>
      <c r="O235" s="224"/>
      <c r="P235" s="225"/>
      <c r="Q235" s="151"/>
    </row>
    <row r="236" spans="1:17" ht="30" customHeight="1">
      <c r="A236" s="171" t="s">
        <v>472</v>
      </c>
      <c r="B236" s="116" t="s">
        <v>473</v>
      </c>
      <c r="C236" s="75"/>
      <c r="D236" s="107" t="s">
        <v>474</v>
      </c>
      <c r="E236" s="108">
        <f>Rekenblad!E237</f>
        <v>5</v>
      </c>
      <c r="F236" s="118">
        <f>Rekenblad!F237</f>
        <v>1060</v>
      </c>
      <c r="G236" s="109"/>
      <c r="H236" s="167">
        <f t="shared" ref="H236:H237" si="19">SUM(E236*F236)</f>
        <v>5300</v>
      </c>
      <c r="I236" s="76"/>
      <c r="J236" s="89"/>
      <c r="K236" s="118"/>
      <c r="L236" s="146"/>
      <c r="M236" s="146"/>
      <c r="N236" s="146"/>
      <c r="O236" s="146"/>
      <c r="P236" s="147"/>
      <c r="Q236" s="151"/>
    </row>
    <row r="237" spans="1:17" ht="30" customHeight="1">
      <c r="A237" s="171" t="s">
        <v>475</v>
      </c>
      <c r="B237" s="116" t="s">
        <v>476</v>
      </c>
      <c r="C237" s="75"/>
      <c r="D237" s="171" t="s">
        <v>477</v>
      </c>
      <c r="E237" s="108">
        <f>Rekenblad!E238</f>
        <v>5</v>
      </c>
      <c r="F237" s="118">
        <f>Rekenblad!F238</f>
        <v>21200</v>
      </c>
      <c r="G237" s="109"/>
      <c r="H237" s="167">
        <f t="shared" si="19"/>
        <v>106000</v>
      </c>
      <c r="I237" s="76"/>
      <c r="J237" s="89"/>
      <c r="K237" s="118"/>
      <c r="L237" s="146"/>
      <c r="M237" s="146"/>
      <c r="N237" s="146"/>
      <c r="O237" s="146"/>
      <c r="P237" s="147"/>
      <c r="Q237" s="151"/>
    </row>
    <row r="238" spans="1:17" ht="30" customHeight="1">
      <c r="A238" s="171" t="s">
        <v>478</v>
      </c>
      <c r="B238" s="116" t="s">
        <v>479</v>
      </c>
      <c r="C238" s="75"/>
      <c r="D238" s="107" t="s">
        <v>477</v>
      </c>
      <c r="E238" s="108">
        <f>Rekenblad!E239</f>
        <v>5</v>
      </c>
      <c r="F238" s="118">
        <f>Rekenblad!F239</f>
        <v>21200</v>
      </c>
      <c r="G238" s="109"/>
      <c r="H238" s="167">
        <f>E238*F238</f>
        <v>106000</v>
      </c>
      <c r="I238" s="76"/>
      <c r="J238" s="89"/>
      <c r="K238" s="118"/>
      <c r="L238" s="146"/>
      <c r="M238" s="146"/>
      <c r="N238" s="146"/>
      <c r="O238" s="146"/>
      <c r="P238" s="147"/>
      <c r="Q238" s="151"/>
    </row>
    <row r="239" spans="1:17">
      <c r="A239" s="218"/>
      <c r="B239" s="219"/>
      <c r="C239" s="219"/>
      <c r="D239" s="218"/>
      <c r="E239" s="220"/>
      <c r="F239" s="221"/>
      <c r="G239" s="221"/>
      <c r="H239" s="221">
        <v>0</v>
      </c>
      <c r="I239" s="222"/>
      <c r="J239" s="151"/>
      <c r="K239" s="223"/>
      <c r="L239" s="224"/>
      <c r="M239" s="224"/>
      <c r="N239" s="224"/>
      <c r="O239" s="224"/>
      <c r="P239" s="225"/>
      <c r="Q239" s="151"/>
    </row>
    <row r="240" spans="1:17">
      <c r="A240" s="242"/>
      <c r="B240" s="219"/>
      <c r="C240" s="219"/>
      <c r="D240" s="218"/>
      <c r="E240" s="220"/>
      <c r="F240" s="221"/>
      <c r="G240" s="221"/>
      <c r="H240" s="243"/>
      <c r="I240" s="222"/>
      <c r="J240" s="151"/>
      <c r="K240" s="223"/>
      <c r="L240" s="224"/>
      <c r="M240" s="224"/>
      <c r="N240" s="224"/>
      <c r="O240" s="224"/>
      <c r="P240" s="225"/>
      <c r="Q240" s="151"/>
    </row>
    <row r="241" spans="1:17" ht="15" customHeight="1" thickBot="1">
      <c r="A241" s="218"/>
      <c r="B241" s="219"/>
      <c r="C241" s="219"/>
      <c r="D241" s="244"/>
      <c r="E241" s="220"/>
      <c r="F241" s="221"/>
      <c r="G241" s="329" t="s">
        <v>480</v>
      </c>
      <c r="H241" s="330" t="s">
        <v>481</v>
      </c>
      <c r="I241" s="222"/>
      <c r="J241" s="151"/>
      <c r="K241" s="223"/>
      <c r="L241" s="224"/>
      <c r="M241" s="224"/>
      <c r="N241" s="224"/>
      <c r="O241" s="224"/>
      <c r="P241" s="225"/>
      <c r="Q241" s="151"/>
    </row>
    <row r="242" spans="1:17" ht="15" customHeight="1">
      <c r="A242" s="245"/>
      <c r="B242" s="246" t="s">
        <v>482</v>
      </c>
      <c r="C242" s="246"/>
      <c r="D242" s="247"/>
      <c r="E242" s="248"/>
      <c r="F242" s="249"/>
      <c r="G242" s="249">
        <f>H242/5</f>
        <v>309236.57923999999</v>
      </c>
      <c r="H242" s="250">
        <f>SUM(H11:H241)</f>
        <v>1546182.8962000001</v>
      </c>
      <c r="I242" s="222"/>
      <c r="J242" s="151"/>
      <c r="K242" s="223"/>
      <c r="L242" s="224"/>
      <c r="M242" s="224"/>
      <c r="N242" s="224"/>
      <c r="O242" s="224"/>
      <c r="P242" s="225"/>
      <c r="Q242" s="151"/>
    </row>
    <row r="243" spans="1:17" ht="15" customHeight="1">
      <c r="A243" s="251"/>
      <c r="B243" s="219" t="s">
        <v>483</v>
      </c>
      <c r="C243" s="219"/>
      <c r="D243" s="328">
        <v>0.16</v>
      </c>
      <c r="E243" s="220"/>
      <c r="F243" s="221"/>
      <c r="G243" s="221">
        <f>H243/5</f>
        <v>49477.852678400006</v>
      </c>
      <c r="H243" s="252">
        <f>D243*H242</f>
        <v>247389.26339200002</v>
      </c>
      <c r="I243" s="222"/>
      <c r="J243" s="151"/>
      <c r="K243" s="223"/>
      <c r="L243" s="224"/>
      <c r="M243" s="224"/>
      <c r="N243" s="224"/>
      <c r="O243" s="224"/>
      <c r="P243" s="225"/>
      <c r="Q243" s="151"/>
    </row>
    <row r="244" spans="1:17">
      <c r="A244" s="251"/>
      <c r="B244" s="219"/>
      <c r="C244" s="219"/>
      <c r="D244" s="218"/>
      <c r="E244" s="220"/>
      <c r="F244" s="221"/>
      <c r="G244" s="221"/>
      <c r="H244" s="252"/>
      <c r="I244" s="222"/>
      <c r="J244" s="151"/>
      <c r="K244" s="223"/>
      <c r="L244" s="224"/>
      <c r="M244" s="224"/>
      <c r="N244" s="224"/>
      <c r="O244" s="224"/>
      <c r="P244" s="225"/>
      <c r="Q244" s="151"/>
    </row>
    <row r="245" spans="1:17">
      <c r="A245" s="251"/>
      <c r="B245" s="253" t="s">
        <v>484</v>
      </c>
      <c r="C245" s="253"/>
      <c r="D245" s="218"/>
      <c r="E245" s="220"/>
      <c r="F245" s="221"/>
      <c r="G245" s="221">
        <f>H245/5</f>
        <v>358714.43191839999</v>
      </c>
      <c r="H245" s="254">
        <f>SUM(H242:H243)</f>
        <v>1793572.1595920001</v>
      </c>
      <c r="I245" s="222"/>
      <c r="J245" s="151"/>
      <c r="K245" s="223"/>
      <c r="L245" s="224"/>
      <c r="M245" s="224"/>
      <c r="N245" s="224"/>
      <c r="O245" s="224"/>
      <c r="P245" s="225"/>
      <c r="Q245" s="151"/>
    </row>
    <row r="246" spans="1:17">
      <c r="A246" s="251"/>
      <c r="B246" s="255" t="s">
        <v>485</v>
      </c>
      <c r="C246" s="255"/>
      <c r="D246" s="327">
        <v>0.21</v>
      </c>
      <c r="E246" s="256"/>
      <c r="F246" s="257"/>
      <c r="G246" s="257">
        <f>H246/5</f>
        <v>75330.030702863995</v>
      </c>
      <c r="H246" s="258">
        <f>D246*H245</f>
        <v>376650.15351431997</v>
      </c>
      <c r="I246" s="222"/>
      <c r="J246" s="151"/>
      <c r="K246" s="223"/>
      <c r="L246" s="224"/>
      <c r="M246" s="224"/>
      <c r="N246" s="224"/>
      <c r="O246" s="224"/>
      <c r="P246" s="225"/>
      <c r="Q246" s="151"/>
    </row>
    <row r="247" spans="1:17">
      <c r="A247" s="251"/>
      <c r="B247" s="219"/>
      <c r="C247" s="219"/>
      <c r="D247" s="218"/>
      <c r="E247" s="220"/>
      <c r="F247" s="221"/>
      <c r="G247" s="221"/>
      <c r="H247" s="259"/>
      <c r="I247" s="222"/>
      <c r="J247" s="151"/>
      <c r="K247" s="223"/>
      <c r="L247" s="224"/>
      <c r="M247" s="224"/>
      <c r="N247" s="224"/>
      <c r="O247" s="224"/>
      <c r="P247" s="225"/>
      <c r="Q247" s="151"/>
    </row>
    <row r="248" spans="1:17">
      <c r="A248" s="251"/>
      <c r="B248" s="260" t="s">
        <v>486</v>
      </c>
      <c r="C248" s="260"/>
      <c r="D248" s="218"/>
      <c r="E248" s="220"/>
      <c r="F248" s="221"/>
      <c r="G248" s="261">
        <f>H248/5</f>
        <v>434044.46262126399</v>
      </c>
      <c r="H248" s="262">
        <f>SUM(H245:H246)</f>
        <v>2170222.3131063199</v>
      </c>
      <c r="I248" s="222"/>
      <c r="J248" s="151"/>
      <c r="K248" s="223"/>
      <c r="L248" s="224"/>
      <c r="M248" s="224"/>
      <c r="N248" s="224"/>
      <c r="O248" s="224"/>
      <c r="P248" s="225"/>
      <c r="Q248" s="151"/>
    </row>
    <row r="249" spans="1:17" ht="15.75" thickBot="1">
      <c r="A249" s="263"/>
      <c r="B249" s="264"/>
      <c r="C249" s="264"/>
      <c r="D249" s="265"/>
      <c r="E249" s="266"/>
      <c r="F249" s="267"/>
      <c r="G249" s="268"/>
      <c r="H249" s="269"/>
      <c r="I249" s="222"/>
      <c r="J249" s="225"/>
      <c r="K249" s="270"/>
      <c r="L249" s="271"/>
      <c r="M249" s="271"/>
      <c r="N249" s="271"/>
      <c r="O249" s="271"/>
      <c r="P249" s="225"/>
      <c r="Q249" s="151"/>
    </row>
    <row r="250" spans="1:17">
      <c r="A250" s="218"/>
      <c r="B250" s="219"/>
      <c r="C250" s="219"/>
      <c r="D250" s="218"/>
      <c r="E250" s="220"/>
      <c r="F250" s="221"/>
      <c r="G250" s="221"/>
      <c r="H250" s="221"/>
      <c r="I250" s="222"/>
      <c r="J250" s="151"/>
      <c r="K250" s="223"/>
      <c r="L250" s="224"/>
      <c r="M250" s="224"/>
      <c r="N250" s="224"/>
      <c r="O250" s="224"/>
      <c r="P250" s="225"/>
      <c r="Q250" s="151"/>
    </row>
    <row r="251" spans="1:17">
      <c r="A251" s="218"/>
      <c r="B251" s="219" t="s">
        <v>487</v>
      </c>
      <c r="C251" s="219"/>
      <c r="D251" s="218"/>
      <c r="E251" s="220"/>
      <c r="F251" s="221"/>
      <c r="G251" s="221">
        <f>H251/5</f>
        <v>214241.94587399997</v>
      </c>
      <c r="H251" s="221">
        <f>SUM(H11:H14)*(1+$D$243)*(1+$D$246)</f>
        <v>1071209.7293699998</v>
      </c>
      <c r="I251" s="222"/>
      <c r="J251" s="151"/>
      <c r="K251" s="223"/>
      <c r="L251" s="224"/>
      <c r="M251" s="224"/>
      <c r="N251" s="224"/>
      <c r="O251" s="224"/>
      <c r="P251" s="225"/>
      <c r="Q251" s="151"/>
    </row>
    <row r="252" spans="1:17">
      <c r="A252" s="218"/>
      <c r="B252" s="219" t="s">
        <v>488</v>
      </c>
      <c r="C252" s="219"/>
      <c r="D252" s="218"/>
      <c r="E252" s="220"/>
      <c r="F252" s="221"/>
      <c r="G252" s="221">
        <f>H252/5</f>
        <v>219802.51674726396</v>
      </c>
      <c r="H252" s="221">
        <f>SUM(H16:H238)*(1+$D$243)*(1+$D$246)</f>
        <v>1099012.5837363198</v>
      </c>
      <c r="I252" s="222"/>
      <c r="J252" s="151"/>
      <c r="K252" s="223"/>
      <c r="L252" s="224"/>
      <c r="M252" s="224"/>
      <c r="N252" s="224"/>
      <c r="O252" s="224"/>
      <c r="P252" s="225"/>
      <c r="Q252" s="151"/>
    </row>
  </sheetData>
  <mergeCells count="172">
    <mergeCell ref="I36:J36"/>
    <mergeCell ref="I37:J37"/>
    <mergeCell ref="I38:J38"/>
    <mergeCell ref="I23:J23"/>
    <mergeCell ref="I24:J24"/>
    <mergeCell ref="A1:P1"/>
    <mergeCell ref="E3:F3"/>
    <mergeCell ref="E4:F4"/>
    <mergeCell ref="I5:O5"/>
    <mergeCell ref="I33:J33"/>
    <mergeCell ref="I34:J34"/>
    <mergeCell ref="I35:J35"/>
    <mergeCell ref="I45:J45"/>
    <mergeCell ref="I46:J46"/>
    <mergeCell ref="I47:J47"/>
    <mergeCell ref="I48:J48"/>
    <mergeCell ref="I49:J49"/>
    <mergeCell ref="I50:J50"/>
    <mergeCell ref="I39:J39"/>
    <mergeCell ref="I40:J40"/>
    <mergeCell ref="I41:J41"/>
    <mergeCell ref="I42:J42"/>
    <mergeCell ref="I43:J43"/>
    <mergeCell ref="I44:J44"/>
    <mergeCell ref="I61:J61"/>
    <mergeCell ref="I62:J62"/>
    <mergeCell ref="I63:J63"/>
    <mergeCell ref="I64:J64"/>
    <mergeCell ref="I65:J65"/>
    <mergeCell ref="I66:J66"/>
    <mergeCell ref="I51:J51"/>
    <mergeCell ref="I52:J52"/>
    <mergeCell ref="I57:J57"/>
    <mergeCell ref="I58:J58"/>
    <mergeCell ref="I59:J59"/>
    <mergeCell ref="I60:J60"/>
    <mergeCell ref="I93:J93"/>
    <mergeCell ref="I94:J94"/>
    <mergeCell ref="I109:J109"/>
    <mergeCell ref="I76:J76"/>
    <mergeCell ref="I77:J77"/>
    <mergeCell ref="I82:J82"/>
    <mergeCell ref="I92:J92"/>
    <mergeCell ref="I69:J69"/>
    <mergeCell ref="I70:J70"/>
    <mergeCell ref="I71:J71"/>
    <mergeCell ref="I75:J75"/>
    <mergeCell ref="I116:J116"/>
    <mergeCell ref="I117:J117"/>
    <mergeCell ref="I118:J118"/>
    <mergeCell ref="I119:J119"/>
    <mergeCell ref="I120:J120"/>
    <mergeCell ref="I121:J121"/>
    <mergeCell ref="I110:J110"/>
    <mergeCell ref="I111:J111"/>
    <mergeCell ref="I112:J112"/>
    <mergeCell ref="I113:J113"/>
    <mergeCell ref="I114:J114"/>
    <mergeCell ref="I115:J115"/>
    <mergeCell ref="I130:J130"/>
    <mergeCell ref="I131:J131"/>
    <mergeCell ref="I132:J132"/>
    <mergeCell ref="I133:J133"/>
    <mergeCell ref="I134:J134"/>
    <mergeCell ref="I135:J135"/>
    <mergeCell ref="I122:J122"/>
    <mergeCell ref="I126:J126"/>
    <mergeCell ref="I127:J127"/>
    <mergeCell ref="I128:J128"/>
    <mergeCell ref="I129:J129"/>
    <mergeCell ref="I125:J125"/>
    <mergeCell ref="I142:J142"/>
    <mergeCell ref="I143:J143"/>
    <mergeCell ref="I144:J144"/>
    <mergeCell ref="I145:J145"/>
    <mergeCell ref="I146:J146"/>
    <mergeCell ref="I147:J147"/>
    <mergeCell ref="I136:J136"/>
    <mergeCell ref="I137:J137"/>
    <mergeCell ref="I138:J138"/>
    <mergeCell ref="I139:J139"/>
    <mergeCell ref="I140:J140"/>
    <mergeCell ref="I141:J141"/>
    <mergeCell ref="I155:J155"/>
    <mergeCell ref="I156:J156"/>
    <mergeCell ref="I159:J159"/>
    <mergeCell ref="I160:J160"/>
    <mergeCell ref="I161:J161"/>
    <mergeCell ref="I148:J148"/>
    <mergeCell ref="I149:J149"/>
    <mergeCell ref="I152:J152"/>
    <mergeCell ref="I153:J153"/>
    <mergeCell ref="I151:J151"/>
    <mergeCell ref="I168:J168"/>
    <mergeCell ref="I169:J169"/>
    <mergeCell ref="I170:J170"/>
    <mergeCell ref="I171:J171"/>
    <mergeCell ref="I172:J172"/>
    <mergeCell ref="I162:J162"/>
    <mergeCell ref="I163:J163"/>
    <mergeCell ref="I164:J164"/>
    <mergeCell ref="I165:J165"/>
    <mergeCell ref="I166:J166"/>
    <mergeCell ref="I167:J167"/>
    <mergeCell ref="I182:J182"/>
    <mergeCell ref="I183:J183"/>
    <mergeCell ref="I184:J184"/>
    <mergeCell ref="I185:J185"/>
    <mergeCell ref="I186:J186"/>
    <mergeCell ref="I187:J187"/>
    <mergeCell ref="I175:J175"/>
    <mergeCell ref="I177:J177"/>
    <mergeCell ref="I178:J178"/>
    <mergeCell ref="I179:J179"/>
    <mergeCell ref="I180:J180"/>
    <mergeCell ref="I181:J181"/>
    <mergeCell ref="I197:J197"/>
    <mergeCell ref="I198:J198"/>
    <mergeCell ref="I199:J199"/>
    <mergeCell ref="I200:J200"/>
    <mergeCell ref="I188:J188"/>
    <mergeCell ref="I189:J189"/>
    <mergeCell ref="I190:J190"/>
    <mergeCell ref="I191:J191"/>
    <mergeCell ref="I192:J192"/>
    <mergeCell ref="I193:J193"/>
    <mergeCell ref="I207:J207"/>
    <mergeCell ref="I208:J208"/>
    <mergeCell ref="I209:J209"/>
    <mergeCell ref="I210:J210"/>
    <mergeCell ref="I211:J211"/>
    <mergeCell ref="I212:J212"/>
    <mergeCell ref="I201:J201"/>
    <mergeCell ref="I202:J202"/>
    <mergeCell ref="I203:J203"/>
    <mergeCell ref="I204:J204"/>
    <mergeCell ref="I205:J205"/>
    <mergeCell ref="I206:J206"/>
    <mergeCell ref="I221:J221"/>
    <mergeCell ref="I222:J222"/>
    <mergeCell ref="I223:J223"/>
    <mergeCell ref="I224:J224"/>
    <mergeCell ref="I213:J213"/>
    <mergeCell ref="I214:J214"/>
    <mergeCell ref="I215:J215"/>
    <mergeCell ref="I216:J216"/>
    <mergeCell ref="I217:J217"/>
    <mergeCell ref="I218:J218"/>
    <mergeCell ref="I232:J232"/>
    <mergeCell ref="I234:O234"/>
    <mergeCell ref="I176:J176"/>
    <mergeCell ref="I158:J158"/>
    <mergeCell ref="I174:J174"/>
    <mergeCell ref="I195:O195"/>
    <mergeCell ref="I196:J196"/>
    <mergeCell ref="I231:J231"/>
    <mergeCell ref="I56:J56"/>
    <mergeCell ref="I68:J68"/>
    <mergeCell ref="I74:J74"/>
    <mergeCell ref="I81:J81"/>
    <mergeCell ref="I91:J91"/>
    <mergeCell ref="I99:J99"/>
    <mergeCell ref="I104:J104"/>
    <mergeCell ref="I108:J108"/>
    <mergeCell ref="I225:J225"/>
    <mergeCell ref="I226:J226"/>
    <mergeCell ref="I227:J227"/>
    <mergeCell ref="I228:J228"/>
    <mergeCell ref="I229:J229"/>
    <mergeCell ref="I230:J230"/>
    <mergeCell ref="I219:J219"/>
    <mergeCell ref="I220:J2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3"/>
  <sheetViews>
    <sheetView zoomScale="85" zoomScaleNormal="85" workbookViewId="0">
      <pane ySplit="5" topLeftCell="A6" activePane="bottomLeft" state="frozen"/>
      <selection activeCell="D259" sqref="D259"/>
      <selection pane="bottomLeft" activeCell="I12" sqref="I12"/>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5.28515625" style="6" customWidth="1"/>
    <col min="12" max="12" width="19" style="7" bestFit="1" customWidth="1"/>
    <col min="13" max="13" width="12.5703125" style="7" customWidth="1"/>
    <col min="14" max="14" width="9.5703125" style="7" bestFit="1" customWidth="1"/>
    <col min="15" max="15" width="16.5703125" style="7" customWidth="1"/>
    <col min="16" max="16" width="48.85546875" style="8" customWidth="1"/>
    <col min="17" max="16384" width="9.140625" style="3"/>
  </cols>
  <sheetData>
    <row r="1" spans="1:17" ht="32.25" customHeight="1" thickBot="1">
      <c r="A1" s="583" t="s">
        <v>513</v>
      </c>
      <c r="B1" s="584"/>
      <c r="C1" s="584"/>
      <c r="D1" s="584"/>
      <c r="E1" s="584"/>
      <c r="F1" s="584"/>
      <c r="G1" s="584"/>
      <c r="H1" s="584"/>
      <c r="I1" s="584"/>
      <c r="J1" s="584"/>
      <c r="K1" s="584"/>
      <c r="L1" s="584"/>
      <c r="M1" s="584"/>
      <c r="N1" s="584"/>
      <c r="O1" s="584"/>
      <c r="P1" s="585"/>
    </row>
    <row r="2" spans="1:17" s="12" customFormat="1" ht="24.75" customHeight="1" thickBo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thickBot="1">
      <c r="A3" s="308" t="s">
        <v>4</v>
      </c>
      <c r="B3" s="309" t="s">
        <v>5</v>
      </c>
      <c r="C3" s="289">
        <v>100</v>
      </c>
      <c r="D3" s="290">
        <f>C3*3</f>
        <v>300</v>
      </c>
      <c r="E3" s="578" t="s">
        <v>6</v>
      </c>
      <c r="F3" s="579"/>
      <c r="G3" s="291">
        <v>20</v>
      </c>
      <c r="H3" s="292">
        <f>G3*G4</f>
        <v>180</v>
      </c>
      <c r="I3" s="293"/>
      <c r="J3" s="293"/>
      <c r="K3" s="294"/>
      <c r="L3" s="294"/>
      <c r="M3" s="294"/>
      <c r="N3" s="294"/>
      <c r="O3" s="294"/>
      <c r="P3" s="294"/>
      <c r="Q3" s="295"/>
    </row>
    <row r="4" spans="1:17"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17" s="5" customFormat="1" ht="46.5" customHeight="1">
      <c r="A5" s="61" t="s">
        <v>10</v>
      </c>
      <c r="B5" s="62" t="s">
        <v>11</v>
      </c>
      <c r="C5" s="63"/>
      <c r="D5" s="35" t="s">
        <v>12</v>
      </c>
      <c r="E5" s="36" t="s">
        <v>13</v>
      </c>
      <c r="F5" s="37" t="s">
        <v>14</v>
      </c>
      <c r="G5" s="37" t="s">
        <v>15</v>
      </c>
      <c r="H5" s="37" t="s">
        <v>16</v>
      </c>
      <c r="I5" s="563" t="s">
        <v>17</v>
      </c>
      <c r="J5" s="564"/>
      <c r="K5" s="564"/>
      <c r="L5" s="564"/>
      <c r="M5" s="564"/>
      <c r="N5" s="564"/>
      <c r="O5" s="564"/>
      <c r="P5" s="38" t="s">
        <v>18</v>
      </c>
      <c r="Q5" s="301"/>
    </row>
    <row r="6" spans="1:17" ht="34.9"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s="22" customFormat="1" ht="11.25">
      <c r="A7" s="501"/>
      <c r="B7" s="501"/>
      <c r="C7" s="501"/>
      <c r="D7" s="501"/>
      <c r="E7" s="501"/>
      <c r="F7" s="501"/>
      <c r="G7" s="501"/>
      <c r="H7" s="501"/>
      <c r="I7" s="501"/>
      <c r="J7" s="501"/>
      <c r="K7" s="322">
        <v>6</v>
      </c>
      <c r="L7" s="501" t="s">
        <v>22</v>
      </c>
      <c r="M7" s="501"/>
      <c r="N7" s="501"/>
      <c r="O7" s="501"/>
      <c r="P7" s="276"/>
      <c r="Q7" s="502"/>
    </row>
    <row r="8" spans="1:17" s="22" customFormat="1" ht="11.25">
      <c r="A8" s="503"/>
      <c r="B8" s="503"/>
      <c r="C8" s="503"/>
      <c r="D8" s="503"/>
      <c r="E8" s="503"/>
      <c r="F8" s="503"/>
      <c r="G8" s="503"/>
      <c r="H8" s="503"/>
      <c r="I8" s="503"/>
      <c r="J8" s="503"/>
      <c r="K8" s="495"/>
      <c r="L8" s="503" t="s">
        <v>23</v>
      </c>
      <c r="M8" s="503"/>
      <c r="N8" s="503"/>
      <c r="O8" s="503"/>
      <c r="P8" s="276"/>
      <c r="Q8" s="502"/>
    </row>
    <row r="9" spans="1:17" customFormat="1" ht="17.25" customHeight="1">
      <c r="A9" s="272"/>
      <c r="B9" s="272"/>
      <c r="C9" s="272"/>
      <c r="D9" s="272"/>
      <c r="E9" s="272"/>
      <c r="F9" s="272"/>
      <c r="G9" s="272"/>
      <c r="H9" s="272"/>
      <c r="I9" s="272"/>
      <c r="J9" s="272"/>
      <c r="K9" s="318">
        <f>($K$7*2)+($K$8*2)+1+1</f>
        <v>14</v>
      </c>
      <c r="L9" s="272" t="str">
        <f>Rekenblad!L9</f>
        <v>man in de binding</v>
      </c>
      <c r="M9" s="273">
        <f>Rekenblad!M9</f>
        <v>116.03999999999999</v>
      </c>
      <c r="N9" s="272" t="str">
        <f>Rekenblad!N9</f>
        <v>/man/week</v>
      </c>
      <c r="O9" s="273"/>
      <c r="P9" s="112"/>
      <c r="Q9" s="310"/>
    </row>
    <row r="10" spans="1:17" customFormat="1" ht="17.25" customHeight="1">
      <c r="A10" s="112"/>
      <c r="B10" s="112"/>
      <c r="C10" s="112"/>
      <c r="D10" s="112"/>
      <c r="E10" s="112"/>
      <c r="F10" s="112"/>
      <c r="G10" s="112"/>
      <c r="H10" s="112"/>
      <c r="I10" s="112"/>
      <c r="J10" s="112"/>
      <c r="K10" s="319">
        <f>K9</f>
        <v>14</v>
      </c>
      <c r="L10" s="112" t="str">
        <f>Rekenblad!L10</f>
        <v>Telefoon abonnement</v>
      </c>
      <c r="M10" s="113">
        <f>Rekenblad!M10</f>
        <v>60</v>
      </c>
      <c r="N10" s="112" t="str">
        <f>Rekenblad!N10</f>
        <v>/maand</v>
      </c>
      <c r="O10" s="113"/>
      <c r="P10" s="112"/>
      <c r="Q10" s="310"/>
    </row>
    <row r="11" spans="1:17" customFormat="1" ht="17.25" customHeight="1">
      <c r="A11" s="492" t="s">
        <v>514</v>
      </c>
      <c r="B11" s="493" t="s">
        <v>515</v>
      </c>
      <c r="C11" s="493"/>
      <c r="D11" s="272" t="s">
        <v>27</v>
      </c>
      <c r="E11" s="272">
        <v>60</v>
      </c>
      <c r="F11" s="272">
        <f>0.5*40*4*85</f>
        <v>6800</v>
      </c>
      <c r="G11" s="493"/>
      <c r="H11" s="493"/>
      <c r="I11" s="272"/>
      <c r="J11" s="272"/>
      <c r="K11" s="319"/>
      <c r="L11" s="112"/>
      <c r="M11" s="494"/>
      <c r="N11" s="112"/>
      <c r="O11" s="113"/>
      <c r="P11" s="112"/>
      <c r="Q11" s="310"/>
    </row>
    <row r="12" spans="1:17" ht="35.450000000000003" customHeight="1">
      <c r="A12" s="78" t="s">
        <v>24</v>
      </c>
      <c r="B12" s="79" t="s">
        <v>25</v>
      </c>
      <c r="C12" s="80" t="s">
        <v>26</v>
      </c>
      <c r="D12" s="68" t="s">
        <v>27</v>
      </c>
      <c r="E12" s="69">
        <v>60</v>
      </c>
      <c r="F12" s="70">
        <f>O12+F11</f>
        <v>14679.759999999998</v>
      </c>
      <c r="G12" s="81">
        <f>H12/5</f>
        <v>176157.11999999997</v>
      </c>
      <c r="H12" s="82">
        <f>F12*E12</f>
        <v>880785.59999999986</v>
      </c>
      <c r="I12" s="274" t="s">
        <v>28</v>
      </c>
      <c r="J12" s="275" t="s">
        <v>29</v>
      </c>
      <c r="K12" s="319"/>
      <c r="L12" s="112"/>
      <c r="M12" s="86"/>
      <c r="N12" s="112"/>
      <c r="O12" s="113">
        <f>K9*(M9*(52/12))+K10*M10</f>
        <v>7879.7599999999984</v>
      </c>
      <c r="P12" s="89"/>
      <c r="Q12" s="151"/>
    </row>
    <row r="13" spans="1:17" s="20" customFormat="1">
      <c r="A13" s="90" t="s">
        <v>31</v>
      </c>
      <c r="B13" s="91" t="s">
        <v>32</v>
      </c>
      <c r="C13" s="92" t="s">
        <v>33</v>
      </c>
      <c r="D13" s="93" t="s">
        <v>27</v>
      </c>
      <c r="E13" s="94">
        <v>60</v>
      </c>
      <c r="F13" s="95">
        <v>10000</v>
      </c>
      <c r="G13" s="96">
        <f>F13*12</f>
        <v>120000</v>
      </c>
      <c r="H13" s="97"/>
      <c r="I13" s="98"/>
      <c r="J13" s="99"/>
      <c r="K13" s="319"/>
      <c r="L13" s="112"/>
      <c r="M13" s="113"/>
      <c r="N13" s="112"/>
      <c r="O13" s="113"/>
      <c r="P13" s="99"/>
      <c r="Q13" s="302"/>
    </row>
    <row r="14" spans="1:17" ht="78.75">
      <c r="A14" s="78" t="s">
        <v>34</v>
      </c>
      <c r="B14" s="79" t="s">
        <v>35</v>
      </c>
      <c r="C14" s="80" t="s">
        <v>26</v>
      </c>
      <c r="D14" s="68" t="s">
        <v>27</v>
      </c>
      <c r="E14" s="69">
        <v>60</v>
      </c>
      <c r="F14" s="70">
        <f>O14</f>
        <v>12931.462499999998</v>
      </c>
      <c r="G14" s="81">
        <f>H14/5</f>
        <v>155177.54999999999</v>
      </c>
      <c r="H14" s="82">
        <f>F14*E14</f>
        <v>775887.74999999988</v>
      </c>
      <c r="I14" s="76" t="s">
        <v>36</v>
      </c>
      <c r="J14" s="84" t="s">
        <v>516</v>
      </c>
      <c r="K14" s="325">
        <v>3.75</v>
      </c>
      <c r="L14" s="324" t="s">
        <v>517</v>
      </c>
      <c r="M14" s="500">
        <f>K7*(F17)+K8*F19+(1*$F$138)</f>
        <v>3448.3899999999994</v>
      </c>
      <c r="N14" s="324" t="s">
        <v>39</v>
      </c>
      <c r="O14" s="113">
        <f>(M14*K14)</f>
        <v>12931.462499999998</v>
      </c>
      <c r="P14" s="103" t="s">
        <v>40</v>
      </c>
      <c r="Q14" s="151"/>
    </row>
    <row r="15" spans="1:17" ht="69.599999999999994" customHeight="1">
      <c r="A15" s="104" t="s">
        <v>41</v>
      </c>
      <c r="B15" s="105" t="s">
        <v>42</v>
      </c>
      <c r="C15" s="106" t="s">
        <v>26</v>
      </c>
      <c r="D15" s="107" t="s">
        <v>27</v>
      </c>
      <c r="E15" s="108">
        <v>60</v>
      </c>
      <c r="F15" s="109">
        <f>O15</f>
        <v>8400</v>
      </c>
      <c r="G15" s="81">
        <f>H15/5</f>
        <v>100800</v>
      </c>
      <c r="H15" s="82">
        <f>F15*E15</f>
        <v>504000</v>
      </c>
      <c r="I15" s="83" t="s">
        <v>43</v>
      </c>
      <c r="J15" s="111" t="s">
        <v>44</v>
      </c>
      <c r="K15" s="320">
        <v>80</v>
      </c>
      <c r="L15" s="112" t="s">
        <v>8</v>
      </c>
      <c r="M15" s="113">
        <v>105</v>
      </c>
      <c r="N15" s="112" t="s">
        <v>8</v>
      </c>
      <c r="O15" s="113">
        <f>M15*K15</f>
        <v>8400</v>
      </c>
      <c r="P15" s="277" t="s">
        <v>518</v>
      </c>
      <c r="Q15" s="151"/>
    </row>
    <row r="16" spans="1:17" ht="33.75">
      <c r="A16" s="64">
        <v>2</v>
      </c>
      <c r="B16" s="115" t="s">
        <v>46</v>
      </c>
      <c r="C16" s="115"/>
      <c r="D16" s="38" t="s">
        <v>12</v>
      </c>
      <c r="E16" s="47" t="s">
        <v>13</v>
      </c>
      <c r="F16" s="48" t="s">
        <v>14</v>
      </c>
      <c r="G16" s="48" t="s">
        <v>15</v>
      </c>
      <c r="H16" s="48" t="s">
        <v>16</v>
      </c>
      <c r="I16" s="38" t="s">
        <v>17</v>
      </c>
      <c r="J16" s="49" t="s">
        <v>47</v>
      </c>
      <c r="K16" s="37" t="s">
        <v>48</v>
      </c>
      <c r="L16" s="50" t="s">
        <v>49</v>
      </c>
      <c r="M16" s="58" t="s">
        <v>50</v>
      </c>
      <c r="N16" s="58"/>
      <c r="O16" s="59"/>
      <c r="P16" s="49" t="s">
        <v>18</v>
      </c>
      <c r="Q16" s="151"/>
    </row>
    <row r="17" spans="1:17" ht="96" customHeight="1">
      <c r="A17" s="78" t="s">
        <v>51</v>
      </c>
      <c r="B17" s="116" t="s">
        <v>52</v>
      </c>
      <c r="C17" s="75" t="s">
        <v>53</v>
      </c>
      <c r="D17" s="107" t="s">
        <v>8</v>
      </c>
      <c r="E17" s="117">
        <f>D3</f>
        <v>300</v>
      </c>
      <c r="F17" s="118">
        <f>Rekenblad!F16</f>
        <v>530.56499999999994</v>
      </c>
      <c r="G17" s="118">
        <f>E17*F17</f>
        <v>159169.49999999997</v>
      </c>
      <c r="H17" s="109">
        <f>A4*G17</f>
        <v>795847.49999999988</v>
      </c>
      <c r="I17" s="76" t="s">
        <v>54</v>
      </c>
      <c r="J17" s="76" t="s">
        <v>55</v>
      </c>
      <c r="K17" s="119">
        <v>100</v>
      </c>
      <c r="L17" s="120">
        <v>500</v>
      </c>
      <c r="M17" s="278">
        <v>3</v>
      </c>
      <c r="N17" s="278"/>
      <c r="O17" s="76"/>
      <c r="P17" s="77"/>
      <c r="Q17" s="151"/>
    </row>
    <row r="18" spans="1:17" ht="96" customHeight="1">
      <c r="A18" s="78" t="s">
        <v>51</v>
      </c>
      <c r="B18" s="116" t="s">
        <v>56</v>
      </c>
      <c r="C18" s="75" t="s">
        <v>57</v>
      </c>
      <c r="D18" s="107" t="s">
        <v>8</v>
      </c>
      <c r="E18" s="108"/>
      <c r="F18" s="118">
        <f>Rekenblad!F17</f>
        <v>225.58499999999998</v>
      </c>
      <c r="G18" s="118"/>
      <c r="H18" s="109"/>
      <c r="I18" s="76" t="s">
        <v>58</v>
      </c>
      <c r="J18" s="76"/>
      <c r="K18" s="119"/>
      <c r="L18" s="120"/>
      <c r="M18" s="121"/>
      <c r="N18" s="121"/>
      <c r="O18" s="75"/>
      <c r="P18" s="77"/>
      <c r="Q18" s="151"/>
    </row>
    <row r="19" spans="1:17" ht="71.25" customHeight="1">
      <c r="A19" s="104" t="s">
        <v>59</v>
      </c>
      <c r="B19" s="116" t="s">
        <v>60</v>
      </c>
      <c r="C19" s="75" t="s">
        <v>53</v>
      </c>
      <c r="D19" s="107" t="s">
        <v>8</v>
      </c>
      <c r="E19" s="30">
        <f>H3</f>
        <v>180</v>
      </c>
      <c r="F19" s="118">
        <f>Rekenblad!F18</f>
        <v>225.58499999999998</v>
      </c>
      <c r="G19" s="118">
        <f>F19*E19</f>
        <v>40605.299999999996</v>
      </c>
      <c r="H19" s="109">
        <f>A4*G19</f>
        <v>203026.49999999997</v>
      </c>
      <c r="I19" s="76" t="s">
        <v>61</v>
      </c>
      <c r="J19" s="76" t="s">
        <v>62</v>
      </c>
      <c r="K19" s="122">
        <v>10</v>
      </c>
      <c r="L19" s="122">
        <v>50</v>
      </c>
      <c r="M19" s="279">
        <v>4</v>
      </c>
      <c r="N19" s="279"/>
      <c r="O19" s="124"/>
      <c r="P19" s="77"/>
      <c r="Q19" s="151"/>
    </row>
    <row r="20" spans="1:17" s="19" customFormat="1" ht="47.25" customHeight="1">
      <c r="A20" s="125" t="s">
        <v>63</v>
      </c>
      <c r="B20" s="126" t="s">
        <v>64</v>
      </c>
      <c r="C20" s="127" t="s">
        <v>33</v>
      </c>
      <c r="D20" s="127" t="s">
        <v>8</v>
      </c>
      <c r="E20" s="128">
        <f>E17</f>
        <v>300</v>
      </c>
      <c r="F20" s="130">
        <f>Rekenblad!F19</f>
        <v>424</v>
      </c>
      <c r="G20" s="130">
        <f t="shared" ref="G20:G23" si="0">F20*E20</f>
        <v>127200</v>
      </c>
      <c r="H20" s="131"/>
      <c r="I20" s="132"/>
      <c r="J20" s="133"/>
      <c r="K20" s="134"/>
      <c r="L20" s="135"/>
      <c r="M20" s="136"/>
      <c r="N20" s="136"/>
      <c r="O20" s="137"/>
      <c r="P20" s="138"/>
      <c r="Q20" s="303"/>
    </row>
    <row r="21" spans="1:17" s="19" customFormat="1" ht="47.25" customHeight="1">
      <c r="A21" s="125" t="s">
        <v>65</v>
      </c>
      <c r="B21" s="126" t="s">
        <v>66</v>
      </c>
      <c r="C21" s="127" t="s">
        <v>33</v>
      </c>
      <c r="D21" s="127" t="s">
        <v>8</v>
      </c>
      <c r="E21" s="128">
        <v>90</v>
      </c>
      <c r="F21" s="130">
        <f>Rekenblad!F20</f>
        <v>689</v>
      </c>
      <c r="G21" s="130">
        <f t="shared" si="0"/>
        <v>62010</v>
      </c>
      <c r="H21" s="139"/>
      <c r="I21" s="132"/>
      <c r="J21" s="133"/>
      <c r="K21" s="134"/>
      <c r="L21" s="135"/>
      <c r="M21" s="136"/>
      <c r="N21" s="136"/>
      <c r="O21" s="137"/>
      <c r="P21" s="138"/>
      <c r="Q21" s="303"/>
    </row>
    <row r="22" spans="1:17" s="19" customFormat="1" ht="47.25" customHeight="1">
      <c r="A22" s="125" t="s">
        <v>67</v>
      </c>
      <c r="B22" s="126" t="s">
        <v>68</v>
      </c>
      <c r="C22" s="127" t="s">
        <v>33</v>
      </c>
      <c r="D22" s="127" t="s">
        <v>8</v>
      </c>
      <c r="E22" s="128"/>
      <c r="F22" s="130">
        <f>Rekenblad!F21</f>
        <v>2031.6666666666702</v>
      </c>
      <c r="G22" s="130">
        <f t="shared" si="0"/>
        <v>0</v>
      </c>
      <c r="H22" s="139"/>
      <c r="I22" s="132"/>
      <c r="J22" s="133"/>
      <c r="K22" s="134"/>
      <c r="L22" s="135"/>
      <c r="M22" s="136"/>
      <c r="N22" s="136"/>
      <c r="O22" s="137"/>
      <c r="P22" s="138"/>
      <c r="Q22" s="303"/>
    </row>
    <row r="23" spans="1:17" s="19" customFormat="1" ht="47.25" customHeight="1">
      <c r="A23" s="125" t="s">
        <v>69</v>
      </c>
      <c r="B23" s="126" t="s">
        <v>70</v>
      </c>
      <c r="C23" s="127" t="s">
        <v>33</v>
      </c>
      <c r="D23" s="127" t="s">
        <v>8</v>
      </c>
      <c r="E23" s="128"/>
      <c r="F23" s="130">
        <f>Rekenblad!F22</f>
        <v>3445</v>
      </c>
      <c r="G23" s="130">
        <f t="shared" si="0"/>
        <v>0</v>
      </c>
      <c r="H23" s="139"/>
      <c r="I23" s="132"/>
      <c r="J23" s="133"/>
      <c r="K23" s="134"/>
      <c r="L23" s="135"/>
      <c r="M23" s="136"/>
      <c r="N23" s="136"/>
      <c r="O23" s="137"/>
      <c r="P23" s="138"/>
      <c r="Q23" s="303"/>
    </row>
    <row r="24" spans="1:17" ht="59.25" customHeight="1">
      <c r="A24" s="64">
        <v>3</v>
      </c>
      <c r="B24" s="65" t="s">
        <v>71</v>
      </c>
      <c r="C24" s="140"/>
      <c r="D24" s="51" t="s">
        <v>12</v>
      </c>
      <c r="E24" s="52" t="s">
        <v>13</v>
      </c>
      <c r="F24" s="60" t="str">
        <f>Rekenblad!F23</f>
        <v>bedrag per eenheid (excl. btw)</v>
      </c>
      <c r="G24" s="53" t="s">
        <v>15</v>
      </c>
      <c r="H24" s="54" t="s">
        <v>16</v>
      </c>
      <c r="I24" s="563" t="s">
        <v>17</v>
      </c>
      <c r="J24" s="566"/>
      <c r="K24" s="37"/>
      <c r="L24" s="50"/>
      <c r="M24" s="50"/>
      <c r="N24" s="50"/>
      <c r="O24" s="50"/>
      <c r="P24" s="49" t="s">
        <v>18</v>
      </c>
      <c r="Q24" s="151"/>
    </row>
    <row r="25" spans="1:17" ht="30" customHeight="1">
      <c r="A25" s="141" t="s">
        <v>72</v>
      </c>
      <c r="B25" s="142" t="s">
        <v>73</v>
      </c>
      <c r="C25" s="65"/>
      <c r="D25" s="143"/>
      <c r="E25" s="144"/>
      <c r="F25" s="118">
        <f>Rekenblad!F24</f>
        <v>0</v>
      </c>
      <c r="G25" s="145"/>
      <c r="H25" s="145"/>
      <c r="I25" s="569" t="s">
        <v>74</v>
      </c>
      <c r="J25" s="570"/>
      <c r="K25" s="118"/>
      <c r="L25" s="146"/>
      <c r="M25" s="146"/>
      <c r="N25" s="146"/>
      <c r="O25" s="146"/>
      <c r="P25" s="147"/>
      <c r="Q25" s="151"/>
    </row>
    <row r="26" spans="1:17" ht="30" customHeight="1">
      <c r="A26" s="143"/>
      <c r="B26" s="148" t="s">
        <v>75</v>
      </c>
      <c r="C26" s="149" t="s">
        <v>76</v>
      </c>
      <c r="D26" s="143" t="s">
        <v>8</v>
      </c>
      <c r="E26" s="108">
        <f>((1/3)*($D$3+$H$3)*$A$4)*I26</f>
        <v>533.33333333333326</v>
      </c>
      <c r="F26" s="118">
        <f>Rekenblad!F25</f>
        <v>55.650000000000006</v>
      </c>
      <c r="G26" s="145" t="s">
        <v>77</v>
      </c>
      <c r="H26" s="145">
        <f>E26*F26</f>
        <v>29680</v>
      </c>
      <c r="I26" s="280">
        <f>Rekenblad!I25</f>
        <v>0.66666666666666663</v>
      </c>
      <c r="J26" s="151"/>
      <c r="K26" s="118"/>
      <c r="L26" s="146"/>
      <c r="M26" s="146"/>
      <c r="N26" s="146"/>
      <c r="O26" s="146"/>
      <c r="P26" s="147"/>
      <c r="Q26" s="151"/>
    </row>
    <row r="27" spans="1:17" ht="30" customHeight="1">
      <c r="A27" s="143"/>
      <c r="B27" s="148" t="s">
        <v>78</v>
      </c>
      <c r="C27" s="149" t="s">
        <v>76</v>
      </c>
      <c r="D27" s="143" t="s">
        <v>8</v>
      </c>
      <c r="E27" s="108">
        <f>((1/3)*($D$3+$H$3)*$A$4)*I27</f>
        <v>133.33333333333331</v>
      </c>
      <c r="F27" s="118">
        <f>Rekenblad!F26</f>
        <v>68.900000000000006</v>
      </c>
      <c r="G27" s="145" t="s">
        <v>77</v>
      </c>
      <c r="H27" s="145">
        <f t="shared" ref="H27:H31" si="1">E27*F27</f>
        <v>9186.6666666666661</v>
      </c>
      <c r="I27" s="280">
        <f>Rekenblad!I26</f>
        <v>0.16666666666666666</v>
      </c>
      <c r="J27" s="152"/>
      <c r="K27" s="118"/>
      <c r="L27" s="146"/>
      <c r="M27" s="146"/>
      <c r="N27" s="146"/>
      <c r="O27" s="146"/>
      <c r="P27" s="147"/>
      <c r="Q27" s="151"/>
    </row>
    <row r="28" spans="1:17" ht="30" customHeight="1">
      <c r="A28" s="143"/>
      <c r="B28" s="148" t="s">
        <v>79</v>
      </c>
      <c r="C28" s="149" t="s">
        <v>76</v>
      </c>
      <c r="D28" s="143" t="s">
        <v>8</v>
      </c>
      <c r="E28" s="108">
        <f>((1/3)*($D$3+$H$3)*$A$4)*I28</f>
        <v>66.666666666666657</v>
      </c>
      <c r="F28" s="118">
        <f>Rekenblad!F27</f>
        <v>79.5</v>
      </c>
      <c r="G28" s="145" t="s">
        <v>77</v>
      </c>
      <c r="H28" s="145">
        <f t="shared" si="1"/>
        <v>5299.9999999999991</v>
      </c>
      <c r="I28" s="280">
        <f>Rekenblad!I27</f>
        <v>8.3333333333333329E-2</v>
      </c>
      <c r="J28" s="152"/>
      <c r="K28" s="118"/>
      <c r="L28" s="146"/>
      <c r="M28" s="146"/>
      <c r="N28" s="146"/>
      <c r="O28" s="146"/>
      <c r="P28" s="147"/>
      <c r="Q28" s="151"/>
    </row>
    <row r="29" spans="1:17" ht="30" customHeight="1">
      <c r="A29" s="143"/>
      <c r="B29" s="148" t="s">
        <v>80</v>
      </c>
      <c r="C29" s="149" t="s">
        <v>76</v>
      </c>
      <c r="D29" s="143" t="s">
        <v>8</v>
      </c>
      <c r="E29" s="108">
        <f>((1/3)*($D$3+$H$3)*$A$4)*I29</f>
        <v>66.666666666666657</v>
      </c>
      <c r="F29" s="118">
        <f>Rekenblad!F28</f>
        <v>100.7</v>
      </c>
      <c r="G29" s="145" t="s">
        <v>77</v>
      </c>
      <c r="H29" s="145">
        <f t="shared" si="1"/>
        <v>6713.3333333333321</v>
      </c>
      <c r="I29" s="280">
        <f>Rekenblad!I28</f>
        <v>8.3333333333333329E-2</v>
      </c>
      <c r="J29" s="152"/>
      <c r="K29" s="118"/>
      <c r="L29" s="146"/>
      <c r="M29" s="146"/>
      <c r="N29" s="146"/>
      <c r="O29" s="146"/>
      <c r="P29" s="147"/>
      <c r="Q29" s="151"/>
    </row>
    <row r="30" spans="1:17" ht="30" customHeight="1">
      <c r="A30" s="143"/>
      <c r="B30" s="148" t="s">
        <v>81</v>
      </c>
      <c r="C30" s="149" t="s">
        <v>33</v>
      </c>
      <c r="D30" s="143" t="s">
        <v>8</v>
      </c>
      <c r="E30" s="108">
        <f>Rekenblad!E29</f>
        <v>0</v>
      </c>
      <c r="F30" s="118">
        <f>Rekenblad!F29</f>
        <v>76.850000000000009</v>
      </c>
      <c r="G30" s="145" t="s">
        <v>77</v>
      </c>
      <c r="H30" s="145">
        <f t="shared" si="1"/>
        <v>0</v>
      </c>
      <c r="I30" s="153"/>
      <c r="J30" s="152"/>
      <c r="K30" s="118"/>
      <c r="L30" s="146"/>
      <c r="M30" s="146"/>
      <c r="N30" s="146"/>
      <c r="O30" s="146"/>
      <c r="P30" s="147"/>
      <c r="Q30" s="151"/>
    </row>
    <row r="31" spans="1:17" ht="30" customHeight="1">
      <c r="A31" s="143"/>
      <c r="B31" s="148" t="s">
        <v>82</v>
      </c>
      <c r="C31" s="149" t="s">
        <v>57</v>
      </c>
      <c r="D31" s="143" t="s">
        <v>8</v>
      </c>
      <c r="E31" s="108">
        <f>Rekenblad!E30</f>
        <v>0</v>
      </c>
      <c r="F31" s="118">
        <f>Rekenblad!F30</f>
        <v>113.102</v>
      </c>
      <c r="G31" s="145" t="s">
        <v>77</v>
      </c>
      <c r="H31" s="145">
        <f t="shared" si="1"/>
        <v>0</v>
      </c>
      <c r="I31" s="153"/>
      <c r="J31" s="152"/>
      <c r="K31" s="118"/>
      <c r="L31" s="146"/>
      <c r="M31" s="146"/>
      <c r="N31" s="146"/>
      <c r="O31" s="146"/>
      <c r="P31" s="147"/>
      <c r="Q31" s="151"/>
    </row>
    <row r="32" spans="1:17" ht="30" customHeight="1">
      <c r="A32" s="143"/>
      <c r="B32" s="148"/>
      <c r="C32" s="149"/>
      <c r="D32" s="143"/>
      <c r="E32" s="108"/>
      <c r="F32" s="118"/>
      <c r="G32" s="145"/>
      <c r="H32" s="145"/>
      <c r="I32" s="153"/>
      <c r="J32" s="152"/>
      <c r="K32" s="118"/>
      <c r="L32" s="146"/>
      <c r="M32" s="146"/>
      <c r="N32" s="146"/>
      <c r="O32" s="146"/>
      <c r="P32" s="147"/>
      <c r="Q32" s="151"/>
    </row>
    <row r="33" spans="1:17" ht="30" customHeight="1">
      <c r="A33" s="141" t="s">
        <v>83</v>
      </c>
      <c r="B33" s="142" t="s">
        <v>84</v>
      </c>
      <c r="C33" s="65"/>
      <c r="D33" s="64"/>
      <c r="E33" s="108"/>
      <c r="F33" s="118"/>
      <c r="G33" s="145"/>
      <c r="H33" s="145"/>
      <c r="I33" s="153"/>
      <c r="J33" s="155"/>
      <c r="K33" s="118"/>
      <c r="L33" s="146"/>
      <c r="M33" s="146"/>
      <c r="N33" s="146"/>
      <c r="O33" s="146"/>
      <c r="P33" s="147"/>
      <c r="Q33" s="151"/>
    </row>
    <row r="34" spans="1:17" ht="30" customHeight="1">
      <c r="A34" s="143"/>
      <c r="B34" s="148" t="s">
        <v>75</v>
      </c>
      <c r="C34" s="149" t="s">
        <v>76</v>
      </c>
      <c r="D34" s="143" t="s">
        <v>8</v>
      </c>
      <c r="E34" s="108">
        <f>Rekenblad!E33</f>
        <v>0</v>
      </c>
      <c r="F34" s="118">
        <f>Rekenblad!F33</f>
        <v>50.88</v>
      </c>
      <c r="G34" s="145"/>
      <c r="H34" s="145">
        <f>F34*E34</f>
        <v>0</v>
      </c>
      <c r="I34" s="569"/>
      <c r="J34" s="573"/>
      <c r="K34" s="118"/>
      <c r="L34" s="146"/>
      <c r="M34" s="146"/>
      <c r="N34" s="146"/>
      <c r="O34" s="146"/>
      <c r="P34" s="147"/>
      <c r="Q34" s="151"/>
    </row>
    <row r="35" spans="1:17" ht="30" customHeight="1">
      <c r="A35" s="143"/>
      <c r="B35" s="148" t="s">
        <v>78</v>
      </c>
      <c r="C35" s="149" t="s">
        <v>76</v>
      </c>
      <c r="D35" s="143" t="s">
        <v>8</v>
      </c>
      <c r="E35" s="108">
        <f>Rekenblad!E34</f>
        <v>0</v>
      </c>
      <c r="F35" s="118">
        <f>Rekenblad!F34</f>
        <v>63.6</v>
      </c>
      <c r="G35" s="145"/>
      <c r="H35" s="145">
        <f t="shared" ref="H35:H42" si="2">F35*E35</f>
        <v>0</v>
      </c>
      <c r="I35" s="569"/>
      <c r="J35" s="573"/>
      <c r="K35" s="118"/>
      <c r="L35" s="146"/>
      <c r="M35" s="146"/>
      <c r="N35" s="146"/>
      <c r="O35" s="146"/>
      <c r="P35" s="147"/>
      <c r="Q35" s="151"/>
    </row>
    <row r="36" spans="1:17" ht="30" customHeight="1">
      <c r="A36" s="143"/>
      <c r="B36" s="148" t="s">
        <v>79</v>
      </c>
      <c r="C36" s="149" t="s">
        <v>76</v>
      </c>
      <c r="D36" s="143" t="s">
        <v>8</v>
      </c>
      <c r="E36" s="108">
        <f>Rekenblad!E35</f>
        <v>0</v>
      </c>
      <c r="F36" s="118">
        <f>Rekenblad!F35</f>
        <v>74.2</v>
      </c>
      <c r="G36" s="145"/>
      <c r="H36" s="145">
        <f t="shared" si="2"/>
        <v>0</v>
      </c>
      <c r="I36" s="569"/>
      <c r="J36" s="573"/>
      <c r="K36" s="118"/>
      <c r="L36" s="146"/>
      <c r="M36" s="146"/>
      <c r="N36" s="146"/>
      <c r="O36" s="146"/>
      <c r="P36" s="147"/>
      <c r="Q36" s="151"/>
    </row>
    <row r="37" spans="1:17" ht="30" customHeight="1">
      <c r="A37" s="143"/>
      <c r="B37" s="148" t="s">
        <v>80</v>
      </c>
      <c r="C37" s="149" t="s">
        <v>76</v>
      </c>
      <c r="D37" s="143" t="s">
        <v>8</v>
      </c>
      <c r="E37" s="108">
        <f>Rekenblad!E36</f>
        <v>0</v>
      </c>
      <c r="F37" s="118">
        <f>Rekenblad!F36</f>
        <v>84.800000000000011</v>
      </c>
      <c r="G37" s="145"/>
      <c r="H37" s="145">
        <f t="shared" si="2"/>
        <v>0</v>
      </c>
      <c r="I37" s="569"/>
      <c r="J37" s="573"/>
      <c r="K37" s="118"/>
      <c r="L37" s="146"/>
      <c r="M37" s="146"/>
      <c r="N37" s="146"/>
      <c r="O37" s="146"/>
      <c r="P37" s="147"/>
      <c r="Q37" s="151"/>
    </row>
    <row r="38" spans="1:17" ht="30" customHeight="1">
      <c r="A38" s="141" t="s">
        <v>85</v>
      </c>
      <c r="B38" s="156" t="s">
        <v>86</v>
      </c>
      <c r="C38" s="141"/>
      <c r="D38" s="64"/>
      <c r="E38" s="108"/>
      <c r="F38" s="118"/>
      <c r="G38" s="145"/>
      <c r="H38" s="145">
        <f t="shared" si="2"/>
        <v>0</v>
      </c>
      <c r="I38" s="569"/>
      <c r="J38" s="573"/>
      <c r="K38" s="118"/>
      <c r="L38" s="146"/>
      <c r="M38" s="146"/>
      <c r="N38" s="146"/>
      <c r="O38" s="146"/>
      <c r="P38" s="147"/>
      <c r="Q38" s="151"/>
    </row>
    <row r="39" spans="1:17" ht="30" customHeight="1">
      <c r="A39" s="143"/>
      <c r="B39" s="157" t="s">
        <v>75</v>
      </c>
      <c r="C39" s="143" t="s">
        <v>76</v>
      </c>
      <c r="D39" s="143" t="s">
        <v>8</v>
      </c>
      <c r="E39" s="108">
        <f>Rekenblad!E38</f>
        <v>0</v>
      </c>
      <c r="F39" s="118">
        <f>Rekenblad!F38</f>
        <v>50.88</v>
      </c>
      <c r="G39" s="145"/>
      <c r="H39" s="145">
        <f t="shared" si="2"/>
        <v>0</v>
      </c>
      <c r="I39" s="569"/>
      <c r="J39" s="573"/>
      <c r="K39" s="118"/>
      <c r="L39" s="146"/>
      <c r="M39" s="146"/>
      <c r="N39" s="146"/>
      <c r="O39" s="146"/>
      <c r="P39" s="147"/>
      <c r="Q39" s="151"/>
    </row>
    <row r="40" spans="1:17" ht="30" customHeight="1">
      <c r="A40" s="143"/>
      <c r="B40" s="157" t="s">
        <v>78</v>
      </c>
      <c r="C40" s="143" t="s">
        <v>76</v>
      </c>
      <c r="D40" s="143" t="s">
        <v>8</v>
      </c>
      <c r="E40" s="108">
        <f>Rekenblad!E39</f>
        <v>0</v>
      </c>
      <c r="F40" s="118">
        <f>Rekenblad!F39</f>
        <v>58.300000000000004</v>
      </c>
      <c r="G40" s="145"/>
      <c r="H40" s="145">
        <f t="shared" si="2"/>
        <v>0</v>
      </c>
      <c r="I40" s="569"/>
      <c r="J40" s="573"/>
      <c r="K40" s="118"/>
      <c r="L40" s="146"/>
      <c r="M40" s="146"/>
      <c r="N40" s="146"/>
      <c r="O40" s="146"/>
      <c r="P40" s="147"/>
      <c r="Q40" s="151"/>
    </row>
    <row r="41" spans="1:17" ht="30" customHeight="1">
      <c r="A41" s="143"/>
      <c r="B41" s="157" t="s">
        <v>79</v>
      </c>
      <c r="C41" s="143" t="s">
        <v>76</v>
      </c>
      <c r="D41" s="143" t="s">
        <v>8</v>
      </c>
      <c r="E41" s="108">
        <f>Rekenblad!E40</f>
        <v>0</v>
      </c>
      <c r="F41" s="118">
        <f>Rekenblad!F40</f>
        <v>68.900000000000006</v>
      </c>
      <c r="G41" s="145"/>
      <c r="H41" s="145">
        <f t="shared" si="2"/>
        <v>0</v>
      </c>
      <c r="I41" s="569"/>
      <c r="J41" s="573"/>
      <c r="K41" s="118"/>
      <c r="L41" s="146"/>
      <c r="M41" s="146"/>
      <c r="N41" s="146"/>
      <c r="O41" s="146"/>
      <c r="P41" s="147"/>
      <c r="Q41" s="151"/>
    </row>
    <row r="42" spans="1:17" ht="30" customHeight="1">
      <c r="A42" s="143"/>
      <c r="B42" s="157" t="s">
        <v>80</v>
      </c>
      <c r="C42" s="143" t="s">
        <v>76</v>
      </c>
      <c r="D42" s="143" t="s">
        <v>8</v>
      </c>
      <c r="E42" s="108">
        <f>Rekenblad!E41</f>
        <v>0</v>
      </c>
      <c r="F42" s="118">
        <f>Rekenblad!F41</f>
        <v>79.5</v>
      </c>
      <c r="G42" s="145"/>
      <c r="H42" s="145">
        <f t="shared" si="2"/>
        <v>0</v>
      </c>
      <c r="I42" s="569"/>
      <c r="J42" s="573"/>
      <c r="K42" s="118"/>
      <c r="L42" s="146"/>
      <c r="M42" s="146"/>
      <c r="N42" s="146"/>
      <c r="O42" s="146"/>
      <c r="P42" s="147"/>
      <c r="Q42" s="151"/>
    </row>
    <row r="43" spans="1:17" ht="30" customHeight="1">
      <c r="A43" s="141" t="s">
        <v>87</v>
      </c>
      <c r="B43" s="142" t="s">
        <v>88</v>
      </c>
      <c r="C43" s="65"/>
      <c r="D43" s="64"/>
      <c r="E43" s="108"/>
      <c r="F43" s="118"/>
      <c r="G43" s="145"/>
      <c r="H43" s="145"/>
      <c r="I43" s="569"/>
      <c r="J43" s="573"/>
      <c r="K43" s="118"/>
      <c r="L43" s="146"/>
      <c r="M43" s="146"/>
      <c r="N43" s="146"/>
      <c r="O43" s="146"/>
      <c r="P43" s="147"/>
      <c r="Q43" s="151"/>
    </row>
    <row r="44" spans="1:17" ht="30" customHeight="1">
      <c r="A44" s="143"/>
      <c r="B44" s="148" t="s">
        <v>75</v>
      </c>
      <c r="C44" s="149" t="s">
        <v>76</v>
      </c>
      <c r="D44" s="143" t="s">
        <v>8</v>
      </c>
      <c r="E44" s="108">
        <f>Rekenblad!E43</f>
        <v>0</v>
      </c>
      <c r="F44" s="118">
        <f>Rekenblad!F43</f>
        <v>42.400000000000006</v>
      </c>
      <c r="G44" s="145"/>
      <c r="H44" s="145">
        <f>E44*F44</f>
        <v>0</v>
      </c>
      <c r="I44" s="569"/>
      <c r="J44" s="573"/>
      <c r="K44" s="118"/>
      <c r="L44" s="146"/>
      <c r="M44" s="146"/>
      <c r="N44" s="146"/>
      <c r="O44" s="146"/>
      <c r="P44" s="147"/>
      <c r="Q44" s="151"/>
    </row>
    <row r="45" spans="1:17" ht="30" customHeight="1">
      <c r="A45" s="143"/>
      <c r="B45" s="148" t="s">
        <v>78</v>
      </c>
      <c r="C45" s="149" t="s">
        <v>76</v>
      </c>
      <c r="D45" s="143" t="s">
        <v>8</v>
      </c>
      <c r="E45" s="108">
        <f>Rekenblad!E44</f>
        <v>0</v>
      </c>
      <c r="F45" s="118">
        <f>Rekenblad!F44</f>
        <v>53</v>
      </c>
      <c r="G45" s="145"/>
      <c r="H45" s="145">
        <f t="shared" ref="H45:H47" si="3">E45*F45</f>
        <v>0</v>
      </c>
      <c r="I45" s="569"/>
      <c r="J45" s="573"/>
      <c r="K45" s="118"/>
      <c r="L45" s="146"/>
      <c r="M45" s="146"/>
      <c r="N45" s="146"/>
      <c r="O45" s="146"/>
      <c r="P45" s="147"/>
      <c r="Q45" s="151"/>
    </row>
    <row r="46" spans="1:17" ht="30" customHeight="1">
      <c r="A46" s="143"/>
      <c r="B46" s="148" t="s">
        <v>79</v>
      </c>
      <c r="C46" s="149" t="s">
        <v>76</v>
      </c>
      <c r="D46" s="143" t="s">
        <v>8</v>
      </c>
      <c r="E46" s="108">
        <f>Rekenblad!E45</f>
        <v>0</v>
      </c>
      <c r="F46" s="118">
        <f>Rekenblad!F45</f>
        <v>63.6</v>
      </c>
      <c r="G46" s="145"/>
      <c r="H46" s="145">
        <f t="shared" si="3"/>
        <v>0</v>
      </c>
      <c r="I46" s="569"/>
      <c r="J46" s="573"/>
      <c r="K46" s="118"/>
      <c r="L46" s="146"/>
      <c r="M46" s="146"/>
      <c r="N46" s="146"/>
      <c r="O46" s="146"/>
      <c r="P46" s="147"/>
      <c r="Q46" s="151"/>
    </row>
    <row r="47" spans="1:17" ht="30" customHeight="1">
      <c r="A47" s="143"/>
      <c r="B47" s="148" t="s">
        <v>80</v>
      </c>
      <c r="C47" s="149" t="s">
        <v>76</v>
      </c>
      <c r="D47" s="143" t="s">
        <v>8</v>
      </c>
      <c r="E47" s="108">
        <f>Rekenblad!E46</f>
        <v>0</v>
      </c>
      <c r="F47" s="118">
        <f>Rekenblad!F46</f>
        <v>79.5</v>
      </c>
      <c r="G47" s="145"/>
      <c r="H47" s="145">
        <f t="shared" si="3"/>
        <v>0</v>
      </c>
      <c r="I47" s="569"/>
      <c r="J47" s="573"/>
      <c r="K47" s="118"/>
      <c r="L47" s="146"/>
      <c r="M47" s="146"/>
      <c r="N47" s="146"/>
      <c r="O47" s="146"/>
      <c r="P47" s="147"/>
      <c r="Q47" s="151"/>
    </row>
    <row r="48" spans="1:17" ht="30" customHeight="1">
      <c r="A48" s="143"/>
      <c r="B48" s="148" t="s">
        <v>89</v>
      </c>
      <c r="C48" s="149" t="s">
        <v>33</v>
      </c>
      <c r="D48" s="143" t="s">
        <v>8</v>
      </c>
      <c r="E48" s="108">
        <f>Rekenblad!E47</f>
        <v>16</v>
      </c>
      <c r="F48" s="118">
        <f>Rekenblad!F47</f>
        <v>111.83000000000001</v>
      </c>
      <c r="G48" s="118"/>
      <c r="H48" s="118">
        <f>E48*F48</f>
        <v>1789.2800000000002</v>
      </c>
      <c r="I48" s="569" t="s">
        <v>90</v>
      </c>
      <c r="J48" s="573"/>
      <c r="K48" s="118"/>
      <c r="L48" s="146"/>
      <c r="M48" s="146"/>
      <c r="N48" s="146"/>
      <c r="O48" s="146"/>
      <c r="P48" s="147"/>
      <c r="Q48" s="151"/>
    </row>
    <row r="49" spans="1:17" ht="30" customHeight="1">
      <c r="A49" s="143"/>
      <c r="B49" s="148" t="s">
        <v>91</v>
      </c>
      <c r="C49" s="149" t="s">
        <v>33</v>
      </c>
      <c r="D49" s="143" t="s">
        <v>8</v>
      </c>
      <c r="E49" s="108">
        <f>Rekenblad!E48</f>
        <v>2</v>
      </c>
      <c r="F49" s="118">
        <f>Rekenblad!F48</f>
        <v>97.52000000000001</v>
      </c>
      <c r="G49" s="118"/>
      <c r="H49" s="118">
        <f t="shared" ref="H49:H61" si="4">E49*F49</f>
        <v>195.04000000000002</v>
      </c>
      <c r="I49" s="569" t="s">
        <v>92</v>
      </c>
      <c r="J49" s="573"/>
      <c r="K49" s="118"/>
      <c r="L49" s="146"/>
      <c r="M49" s="146"/>
      <c r="N49" s="146"/>
      <c r="O49" s="146"/>
      <c r="P49" s="147"/>
      <c r="Q49" s="151"/>
    </row>
    <row r="50" spans="1:17" ht="30" customHeight="1">
      <c r="A50" s="143"/>
      <c r="B50" s="148" t="s">
        <v>93</v>
      </c>
      <c r="C50" s="149" t="s">
        <v>33</v>
      </c>
      <c r="D50" s="143" t="s">
        <v>8</v>
      </c>
      <c r="E50" s="108">
        <f>Rekenblad!E49</f>
        <v>40</v>
      </c>
      <c r="F50" s="118">
        <f>Rekenblad!F49</f>
        <v>68.37</v>
      </c>
      <c r="G50" s="118"/>
      <c r="H50" s="118">
        <f t="shared" si="4"/>
        <v>2734.8</v>
      </c>
      <c r="I50" s="569" t="s">
        <v>94</v>
      </c>
      <c r="J50" s="573"/>
      <c r="K50" s="118"/>
      <c r="L50" s="146"/>
      <c r="M50" s="146"/>
      <c r="N50" s="146"/>
      <c r="O50" s="146"/>
      <c r="P50" s="147"/>
      <c r="Q50" s="151"/>
    </row>
    <row r="51" spans="1:17" ht="30" customHeight="1">
      <c r="A51" s="143"/>
      <c r="B51" s="148" t="s">
        <v>95</v>
      </c>
      <c r="C51" s="149" t="s">
        <v>33</v>
      </c>
      <c r="D51" s="143" t="s">
        <v>8</v>
      </c>
      <c r="E51" s="108">
        <f>Rekenblad!E50</f>
        <v>2</v>
      </c>
      <c r="F51" s="118">
        <f>Rekenblad!F50</f>
        <v>68.37</v>
      </c>
      <c r="G51" s="118"/>
      <c r="H51" s="118">
        <f t="shared" si="4"/>
        <v>136.74</v>
      </c>
      <c r="I51" s="569" t="s">
        <v>92</v>
      </c>
      <c r="J51" s="573"/>
      <c r="K51" s="118"/>
      <c r="L51" s="146"/>
      <c r="M51" s="146"/>
      <c r="N51" s="146"/>
      <c r="O51" s="146"/>
      <c r="P51" s="147"/>
      <c r="Q51" s="151"/>
    </row>
    <row r="52" spans="1:17" ht="30" customHeight="1">
      <c r="A52" s="143"/>
      <c r="B52" s="148" t="s">
        <v>96</v>
      </c>
      <c r="C52" s="149" t="s">
        <v>33</v>
      </c>
      <c r="D52" s="143" t="s">
        <v>8</v>
      </c>
      <c r="E52" s="108">
        <f>Rekenblad!E51</f>
        <v>2</v>
      </c>
      <c r="F52" s="118">
        <f>Rekenblad!F51</f>
        <v>82.68</v>
      </c>
      <c r="G52" s="118"/>
      <c r="H52" s="118">
        <f t="shared" si="4"/>
        <v>165.36</v>
      </c>
      <c r="I52" s="569" t="s">
        <v>92</v>
      </c>
      <c r="J52" s="573"/>
      <c r="K52" s="118"/>
      <c r="L52" s="146"/>
      <c r="M52" s="146"/>
      <c r="N52" s="146"/>
      <c r="O52" s="146"/>
      <c r="P52" s="147"/>
      <c r="Q52" s="151"/>
    </row>
    <row r="53" spans="1:17" ht="30" customHeight="1">
      <c r="A53" s="143"/>
      <c r="B53" s="157" t="s">
        <v>97</v>
      </c>
      <c r="C53" s="160" t="s">
        <v>33</v>
      </c>
      <c r="D53" s="143" t="s">
        <v>8</v>
      </c>
      <c r="E53" s="108">
        <f>Rekenblad!E52</f>
        <v>40</v>
      </c>
      <c r="F53" s="118">
        <f>Rekenblad!F52</f>
        <v>100.17</v>
      </c>
      <c r="G53" s="118"/>
      <c r="H53" s="118">
        <f t="shared" si="4"/>
        <v>4006.8</v>
      </c>
      <c r="I53" s="569" t="s">
        <v>94</v>
      </c>
      <c r="J53" s="573"/>
      <c r="K53" s="161"/>
      <c r="L53" s="162"/>
      <c r="M53" s="162"/>
      <c r="N53" s="162"/>
      <c r="O53" s="162"/>
      <c r="P53" s="163"/>
      <c r="Q53" s="151"/>
    </row>
    <row r="54" spans="1:17" ht="30" customHeight="1">
      <c r="A54" s="143"/>
      <c r="B54" s="157" t="s">
        <v>98</v>
      </c>
      <c r="C54" s="160" t="s">
        <v>57</v>
      </c>
      <c r="D54" s="143" t="s">
        <v>8</v>
      </c>
      <c r="E54" s="108">
        <f>Rekenblad!E53</f>
        <v>5</v>
      </c>
      <c r="F54" s="118">
        <f>Rekenblad!F53</f>
        <v>113.102</v>
      </c>
      <c r="G54" s="118"/>
      <c r="H54" s="118">
        <f t="shared" si="4"/>
        <v>565.51</v>
      </c>
      <c r="I54" s="153" t="s">
        <v>99</v>
      </c>
      <c r="J54" s="155"/>
      <c r="K54" s="161"/>
      <c r="L54" s="162"/>
      <c r="M54" s="162"/>
      <c r="N54" s="162"/>
      <c r="O54" s="162"/>
      <c r="P54" s="163"/>
      <c r="Q54" s="151"/>
    </row>
    <row r="55" spans="1:17" ht="30" customHeight="1">
      <c r="A55" s="143"/>
      <c r="B55" s="157" t="s">
        <v>100</v>
      </c>
      <c r="C55" s="160" t="s">
        <v>101</v>
      </c>
      <c r="D55" s="143" t="s">
        <v>8</v>
      </c>
      <c r="E55" s="108">
        <f>Rekenblad!E54</f>
        <v>0</v>
      </c>
      <c r="F55" s="118">
        <f>Rekenblad!F54</f>
        <v>42.400000000000006</v>
      </c>
      <c r="G55" s="145"/>
      <c r="H55" s="118">
        <f t="shared" si="4"/>
        <v>0</v>
      </c>
      <c r="I55" s="153"/>
      <c r="J55" s="155"/>
      <c r="K55" s="161"/>
      <c r="L55" s="162"/>
      <c r="M55" s="162"/>
      <c r="N55" s="162"/>
      <c r="O55" s="162"/>
      <c r="P55" s="163"/>
      <c r="Q55" s="151"/>
    </row>
    <row r="56" spans="1:17" ht="30" customHeight="1">
      <c r="A56" s="143"/>
      <c r="B56" s="157"/>
      <c r="C56" s="160"/>
      <c r="D56" s="143"/>
      <c r="E56" s="108"/>
      <c r="F56" s="118"/>
      <c r="G56" s="145"/>
      <c r="H56" s="145"/>
      <c r="I56" s="153"/>
      <c r="J56" s="155"/>
      <c r="K56" s="161"/>
      <c r="L56" s="162"/>
      <c r="M56" s="162"/>
      <c r="N56" s="162"/>
      <c r="O56" s="162"/>
      <c r="P56" s="163"/>
      <c r="Q56" s="151"/>
    </row>
    <row r="57" spans="1:17" ht="30" customHeight="1">
      <c r="A57" s="64" t="s">
        <v>102</v>
      </c>
      <c r="B57" s="156" t="s">
        <v>103</v>
      </c>
      <c r="C57" s="141"/>
      <c r="D57" s="64"/>
      <c r="E57" s="108"/>
      <c r="F57" s="118"/>
      <c r="G57" s="145"/>
      <c r="H57" s="145"/>
      <c r="I57" s="569"/>
      <c r="J57" s="573"/>
      <c r="K57" s="118"/>
      <c r="L57" s="146"/>
      <c r="M57" s="146"/>
      <c r="N57" s="146"/>
      <c r="O57" s="146"/>
      <c r="P57" s="147"/>
      <c r="Q57" s="151"/>
    </row>
    <row r="58" spans="1:17" ht="30" customHeight="1">
      <c r="A58" s="143"/>
      <c r="B58" s="157" t="s">
        <v>75</v>
      </c>
      <c r="C58" s="143" t="s">
        <v>76</v>
      </c>
      <c r="D58" s="143" t="s">
        <v>8</v>
      </c>
      <c r="E58" s="108">
        <f>Rekenblad!E57</f>
        <v>0</v>
      </c>
      <c r="F58" s="118">
        <f>Rekenblad!F57</f>
        <v>47.7</v>
      </c>
      <c r="G58" s="145"/>
      <c r="H58" s="145">
        <f t="shared" si="4"/>
        <v>0</v>
      </c>
      <c r="I58" s="569"/>
      <c r="J58" s="573"/>
      <c r="K58" s="118"/>
      <c r="L58" s="146"/>
      <c r="M58" s="146"/>
      <c r="N58" s="146"/>
      <c r="O58" s="146"/>
      <c r="P58" s="147"/>
      <c r="Q58" s="151"/>
    </row>
    <row r="59" spans="1:17" ht="30" customHeight="1">
      <c r="A59" s="143"/>
      <c r="B59" s="157" t="s">
        <v>78</v>
      </c>
      <c r="C59" s="143" t="s">
        <v>76</v>
      </c>
      <c r="D59" s="143" t="s">
        <v>8</v>
      </c>
      <c r="E59" s="108">
        <f>Rekenblad!E58</f>
        <v>0</v>
      </c>
      <c r="F59" s="118">
        <f>Rekenblad!F58</f>
        <v>58.300000000000004</v>
      </c>
      <c r="G59" s="145"/>
      <c r="H59" s="145">
        <f t="shared" si="4"/>
        <v>0</v>
      </c>
      <c r="I59" s="569"/>
      <c r="J59" s="573"/>
      <c r="K59" s="118"/>
      <c r="L59" s="146"/>
      <c r="M59" s="146"/>
      <c r="N59" s="146"/>
      <c r="O59" s="146"/>
      <c r="P59" s="147"/>
      <c r="Q59" s="151"/>
    </row>
    <row r="60" spans="1:17" ht="30" customHeight="1">
      <c r="A60" s="143"/>
      <c r="B60" s="157" t="s">
        <v>79</v>
      </c>
      <c r="C60" s="143" t="s">
        <v>76</v>
      </c>
      <c r="D60" s="143" t="s">
        <v>8</v>
      </c>
      <c r="E60" s="108">
        <f>Rekenblad!E59</f>
        <v>0</v>
      </c>
      <c r="F60" s="118">
        <f>Rekenblad!F59</f>
        <v>68.900000000000006</v>
      </c>
      <c r="G60" s="145"/>
      <c r="H60" s="145">
        <f t="shared" si="4"/>
        <v>0</v>
      </c>
      <c r="I60" s="569"/>
      <c r="J60" s="573"/>
      <c r="K60" s="118"/>
      <c r="L60" s="146"/>
      <c r="M60" s="146"/>
      <c r="N60" s="146"/>
      <c r="O60" s="146"/>
      <c r="P60" s="147"/>
      <c r="Q60" s="151"/>
    </row>
    <row r="61" spans="1:17" ht="30" customHeight="1">
      <c r="A61" s="143"/>
      <c r="B61" s="157" t="s">
        <v>80</v>
      </c>
      <c r="C61" s="143" t="s">
        <v>76</v>
      </c>
      <c r="D61" s="143" t="s">
        <v>8</v>
      </c>
      <c r="E61" s="108">
        <f>Rekenblad!E60</f>
        <v>0</v>
      </c>
      <c r="F61" s="118">
        <f>Rekenblad!F60</f>
        <v>95.4</v>
      </c>
      <c r="G61" s="145"/>
      <c r="H61" s="145">
        <f t="shared" si="4"/>
        <v>0</v>
      </c>
      <c r="I61" s="569"/>
      <c r="J61" s="573"/>
      <c r="K61" s="118"/>
      <c r="L61" s="146"/>
      <c r="M61" s="146"/>
      <c r="N61" s="146"/>
      <c r="O61" s="146"/>
      <c r="P61" s="147"/>
      <c r="Q61" s="151"/>
    </row>
    <row r="62" spans="1:17" ht="30" customHeight="1">
      <c r="A62" s="143"/>
      <c r="B62" s="157"/>
      <c r="C62" s="143"/>
      <c r="D62" s="143"/>
      <c r="E62" s="108"/>
      <c r="F62" s="118"/>
      <c r="G62" s="145"/>
      <c r="H62" s="145"/>
      <c r="I62" s="569"/>
      <c r="J62" s="573"/>
      <c r="K62" s="161"/>
      <c r="L62" s="162"/>
      <c r="M62" s="162"/>
      <c r="N62" s="162"/>
      <c r="O62" s="162"/>
      <c r="P62" s="163"/>
      <c r="Q62" s="151"/>
    </row>
    <row r="63" spans="1:17" ht="30" customHeight="1">
      <c r="A63" s="64" t="s">
        <v>104</v>
      </c>
      <c r="B63" s="65" t="s">
        <v>105</v>
      </c>
      <c r="C63" s="164"/>
      <c r="D63" s="35" t="s">
        <v>12</v>
      </c>
      <c r="E63" s="57" t="s">
        <v>13</v>
      </c>
      <c r="F63" s="60" t="str">
        <f>Rekenblad!F62</f>
        <v>bedrag per eenheid (excl. btw)</v>
      </c>
      <c r="G63" s="53" t="s">
        <v>15</v>
      </c>
      <c r="H63" s="54" t="s">
        <v>16</v>
      </c>
      <c r="I63" s="574" t="s">
        <v>17</v>
      </c>
      <c r="J63" s="566"/>
      <c r="K63" s="37"/>
      <c r="L63" s="50"/>
      <c r="M63" s="50"/>
      <c r="N63" s="50"/>
      <c r="O63" s="50"/>
      <c r="P63" s="49" t="s">
        <v>18</v>
      </c>
      <c r="Q63" s="151"/>
    </row>
    <row r="64" spans="1:17" ht="30" customHeight="1">
      <c r="A64" s="143"/>
      <c r="B64" s="148" t="s">
        <v>75</v>
      </c>
      <c r="C64" s="149" t="s">
        <v>26</v>
      </c>
      <c r="D64" s="143" t="s">
        <v>8</v>
      </c>
      <c r="E64" s="108">
        <f>Rekenblad!E63</f>
        <v>20</v>
      </c>
      <c r="F64" s="118">
        <f>Rekenblad!F63</f>
        <v>206.70000000000002</v>
      </c>
      <c r="G64" s="145"/>
      <c r="H64" s="145">
        <f>E64*F64</f>
        <v>4134</v>
      </c>
      <c r="I64" s="569" t="s">
        <v>106</v>
      </c>
      <c r="J64" s="570"/>
      <c r="K64" s="118"/>
      <c r="L64" s="146"/>
      <c r="M64" s="146"/>
      <c r="N64" s="146"/>
      <c r="O64" s="146"/>
      <c r="P64" s="147"/>
      <c r="Q64" s="151"/>
    </row>
    <row r="65" spans="1:17" ht="30" customHeight="1">
      <c r="A65" s="143"/>
      <c r="B65" s="148" t="s">
        <v>78</v>
      </c>
      <c r="C65" s="149" t="s">
        <v>26</v>
      </c>
      <c r="D65" s="143" t="s">
        <v>8</v>
      </c>
      <c r="E65" s="108">
        <f>Rekenblad!E64</f>
        <v>0</v>
      </c>
      <c r="F65" s="118">
        <f>Rekenblad!F64</f>
        <v>238.5</v>
      </c>
      <c r="G65" s="145"/>
      <c r="H65" s="145">
        <f t="shared" ref="H65:H68" si="5">E65*F65</f>
        <v>0</v>
      </c>
      <c r="I65" s="569"/>
      <c r="J65" s="573"/>
      <c r="K65" s="118"/>
      <c r="L65" s="146"/>
      <c r="M65" s="146"/>
      <c r="N65" s="146"/>
      <c r="O65" s="146"/>
      <c r="P65" s="147"/>
      <c r="Q65" s="151"/>
    </row>
    <row r="66" spans="1:17" ht="30" customHeight="1">
      <c r="A66" s="143"/>
      <c r="B66" s="148" t="s">
        <v>79</v>
      </c>
      <c r="C66" s="149" t="s">
        <v>26</v>
      </c>
      <c r="D66" s="143" t="s">
        <v>8</v>
      </c>
      <c r="E66" s="108">
        <f>Rekenblad!E65</f>
        <v>0</v>
      </c>
      <c r="F66" s="118">
        <f>Rekenblad!F65</f>
        <v>1166</v>
      </c>
      <c r="G66" s="145"/>
      <c r="H66" s="145">
        <f t="shared" si="5"/>
        <v>0</v>
      </c>
      <c r="I66" s="569"/>
      <c r="J66" s="573"/>
      <c r="K66" s="118"/>
      <c r="L66" s="146"/>
      <c r="M66" s="146"/>
      <c r="N66" s="146"/>
      <c r="O66" s="146"/>
      <c r="P66" s="147"/>
      <c r="Q66" s="151"/>
    </row>
    <row r="67" spans="1:17" ht="30" customHeight="1">
      <c r="A67" s="143"/>
      <c r="B67" s="148" t="s">
        <v>80</v>
      </c>
      <c r="C67" s="149" t="s">
        <v>26</v>
      </c>
      <c r="D67" s="143" t="s">
        <v>8</v>
      </c>
      <c r="E67" s="108">
        <f>Rekenblad!E66</f>
        <v>0</v>
      </c>
      <c r="F67" s="118">
        <f>Rekenblad!F66</f>
        <v>344.5</v>
      </c>
      <c r="G67" s="145"/>
      <c r="H67" s="145">
        <f t="shared" si="5"/>
        <v>0</v>
      </c>
      <c r="I67" s="569"/>
      <c r="J67" s="573"/>
      <c r="K67" s="118"/>
      <c r="L67" s="146"/>
      <c r="M67" s="146"/>
      <c r="N67" s="146"/>
      <c r="O67" s="146"/>
      <c r="P67" s="147"/>
      <c r="Q67" s="151"/>
    </row>
    <row r="68" spans="1:17" ht="30" customHeight="1">
      <c r="A68" s="143"/>
      <c r="B68" s="148" t="s">
        <v>107</v>
      </c>
      <c r="C68" s="149" t="s">
        <v>57</v>
      </c>
      <c r="D68" s="143" t="s">
        <v>8</v>
      </c>
      <c r="E68" s="108">
        <f>Rekenblad!E67</f>
        <v>0</v>
      </c>
      <c r="F68" s="118">
        <f>Rekenblad!F67</f>
        <v>339.20000000000005</v>
      </c>
      <c r="G68" s="145"/>
      <c r="H68" s="145">
        <f t="shared" si="5"/>
        <v>0</v>
      </c>
      <c r="I68" s="153"/>
      <c r="J68" s="155"/>
      <c r="K68" s="118"/>
      <c r="L68" s="146"/>
      <c r="M68" s="146"/>
      <c r="N68" s="146"/>
      <c r="O68" s="146"/>
      <c r="P68" s="147"/>
      <c r="Q68" s="151"/>
    </row>
    <row r="69" spans="1:17" ht="30" customHeight="1">
      <c r="A69" s="143"/>
      <c r="B69" s="148"/>
      <c r="C69" s="149"/>
      <c r="D69" s="143"/>
      <c r="E69" s="108"/>
      <c r="F69" s="118"/>
      <c r="G69" s="145"/>
      <c r="H69" s="145"/>
      <c r="I69" s="569"/>
      <c r="J69" s="573"/>
      <c r="K69" s="118"/>
      <c r="L69" s="146"/>
      <c r="M69" s="146"/>
      <c r="N69" s="146"/>
      <c r="O69" s="146"/>
      <c r="P69" s="147"/>
      <c r="Q69" s="151"/>
    </row>
    <row r="70" spans="1:17" ht="30" customHeight="1">
      <c r="A70" s="165">
        <v>4</v>
      </c>
      <c r="B70" s="166" t="s">
        <v>108</v>
      </c>
      <c r="C70" s="166"/>
      <c r="D70" s="51" t="s">
        <v>12</v>
      </c>
      <c r="E70" s="52" t="s">
        <v>13</v>
      </c>
      <c r="F70" s="60" t="str">
        <f>Rekenblad!F69</f>
        <v>bedrag per eenheid (excl. btw)</v>
      </c>
      <c r="G70" s="53" t="s">
        <v>15</v>
      </c>
      <c r="H70" s="54" t="s">
        <v>16</v>
      </c>
      <c r="I70" s="563" t="s">
        <v>17</v>
      </c>
      <c r="J70" s="566"/>
      <c r="K70" s="37"/>
      <c r="L70" s="50"/>
      <c r="M70" s="50"/>
      <c r="N70" s="50"/>
      <c r="O70" s="50"/>
      <c r="P70" s="49" t="s">
        <v>18</v>
      </c>
      <c r="Q70" s="151"/>
    </row>
    <row r="71" spans="1:17" ht="30" customHeight="1">
      <c r="A71" s="78" t="s">
        <v>109</v>
      </c>
      <c r="B71" s="116" t="s">
        <v>110</v>
      </c>
      <c r="C71" s="75" t="s">
        <v>26</v>
      </c>
      <c r="D71" s="107" t="s">
        <v>8</v>
      </c>
      <c r="E71" s="108">
        <f>Rekenblad!E70</f>
        <v>40</v>
      </c>
      <c r="F71" s="118">
        <f>Rekenblad!F70</f>
        <v>48.972000000000008</v>
      </c>
      <c r="G71" s="109"/>
      <c r="H71" s="167">
        <f>E71*F71</f>
        <v>1958.8800000000003</v>
      </c>
      <c r="I71" s="569" t="s">
        <v>111</v>
      </c>
      <c r="J71" s="573"/>
      <c r="K71" s="168"/>
      <c r="L71" s="169"/>
      <c r="M71" s="169"/>
      <c r="N71" s="169"/>
      <c r="O71" s="169"/>
      <c r="P71" s="77"/>
      <c r="Q71" s="151"/>
    </row>
    <row r="72" spans="1:17" ht="30" customHeight="1">
      <c r="A72" s="78" t="s">
        <v>112</v>
      </c>
      <c r="B72" s="116" t="s">
        <v>113</v>
      </c>
      <c r="C72" s="75" t="s">
        <v>26</v>
      </c>
      <c r="D72" s="107" t="s">
        <v>8</v>
      </c>
      <c r="E72" s="108">
        <f>Rekenblad!E71</f>
        <v>40</v>
      </c>
      <c r="F72" s="118">
        <f>Rekenblad!F71</f>
        <v>220.64400000000001</v>
      </c>
      <c r="G72" s="109"/>
      <c r="H72" s="167">
        <f t="shared" ref="H72:H77" si="6">E72*F72</f>
        <v>8825.76</v>
      </c>
      <c r="I72" s="569" t="s">
        <v>114</v>
      </c>
      <c r="J72" s="573"/>
      <c r="K72" s="118"/>
      <c r="L72" s="146"/>
      <c r="M72" s="146"/>
      <c r="N72" s="146"/>
      <c r="O72" s="146"/>
      <c r="P72" s="77"/>
      <c r="Q72" s="151"/>
    </row>
    <row r="73" spans="1:17" ht="30" customHeight="1">
      <c r="A73" s="78" t="s">
        <v>115</v>
      </c>
      <c r="B73" s="170" t="s">
        <v>116</v>
      </c>
      <c r="C73" s="89" t="s">
        <v>117</v>
      </c>
      <c r="D73" s="171" t="s">
        <v>118</v>
      </c>
      <c r="E73" s="108">
        <f>Rekenblad!E72</f>
        <v>0</v>
      </c>
      <c r="F73" s="118">
        <f>Rekenblad!F72</f>
        <v>39.75</v>
      </c>
      <c r="G73" s="109"/>
      <c r="H73" s="167">
        <f t="shared" si="6"/>
        <v>0</v>
      </c>
      <c r="I73" s="153"/>
      <c r="J73" s="152"/>
      <c r="K73" s="161"/>
      <c r="L73" s="162"/>
      <c r="M73" s="162"/>
      <c r="N73" s="162"/>
      <c r="O73" s="162"/>
      <c r="P73" s="163"/>
      <c r="Q73" s="151"/>
    </row>
    <row r="74" spans="1:17" ht="30" customHeight="1">
      <c r="A74" s="78" t="s">
        <v>119</v>
      </c>
      <c r="B74" s="170" t="s">
        <v>120</v>
      </c>
      <c r="C74" s="89" t="s">
        <v>117</v>
      </c>
      <c r="D74" s="171" t="s">
        <v>118</v>
      </c>
      <c r="E74" s="108">
        <f>Rekenblad!E73</f>
        <v>0</v>
      </c>
      <c r="F74" s="118">
        <f>Rekenblad!F73</f>
        <v>39.75</v>
      </c>
      <c r="G74" s="109"/>
      <c r="H74" s="167">
        <f t="shared" si="6"/>
        <v>0</v>
      </c>
      <c r="I74" s="153"/>
      <c r="J74" s="152"/>
      <c r="K74" s="161"/>
      <c r="L74" s="162"/>
      <c r="M74" s="162"/>
      <c r="N74" s="162"/>
      <c r="O74" s="162"/>
      <c r="P74" s="163"/>
      <c r="Q74" s="151"/>
    </row>
    <row r="75" spans="1:17" ht="30" customHeight="1">
      <c r="A75" s="78" t="s">
        <v>121</v>
      </c>
      <c r="B75" s="116" t="s">
        <v>122</v>
      </c>
      <c r="C75" s="75" t="s">
        <v>26</v>
      </c>
      <c r="D75" s="107" t="s">
        <v>8</v>
      </c>
      <c r="E75" s="108">
        <f>Rekenblad!E74</f>
        <v>40</v>
      </c>
      <c r="F75" s="118">
        <f>Rekenblad!F74</f>
        <v>82.987400000000008</v>
      </c>
      <c r="G75" s="109"/>
      <c r="H75" s="167">
        <f t="shared" si="6"/>
        <v>3319.4960000000001</v>
      </c>
      <c r="I75" s="569" t="s">
        <v>123</v>
      </c>
      <c r="J75" s="573"/>
      <c r="K75" s="168"/>
      <c r="L75" s="169"/>
      <c r="M75" s="169"/>
      <c r="N75" s="169"/>
      <c r="O75" s="169"/>
      <c r="P75" s="77"/>
      <c r="Q75" s="151"/>
    </row>
    <row r="76" spans="1:17" ht="30" customHeight="1">
      <c r="A76" s="78" t="s">
        <v>124</v>
      </c>
      <c r="B76" s="116" t="s">
        <v>125</v>
      </c>
      <c r="C76" s="75" t="s">
        <v>57</v>
      </c>
      <c r="D76" s="171" t="s">
        <v>126</v>
      </c>
      <c r="E76" s="108">
        <f>Rekenblad!E75</f>
        <v>40</v>
      </c>
      <c r="F76" s="118">
        <f>Rekenblad!F75</f>
        <v>147.55199999999999</v>
      </c>
      <c r="G76" s="109"/>
      <c r="H76" s="167">
        <f t="shared" si="6"/>
        <v>5902.08</v>
      </c>
      <c r="I76" s="569" t="s">
        <v>127</v>
      </c>
      <c r="J76" s="573"/>
      <c r="K76" s="168"/>
      <c r="L76" s="169"/>
      <c r="M76" s="169"/>
      <c r="N76" s="169"/>
      <c r="O76" s="169"/>
      <c r="P76" s="77"/>
      <c r="Q76" s="151"/>
    </row>
    <row r="77" spans="1:17" ht="30" customHeight="1">
      <c r="A77" s="171" t="s">
        <v>128</v>
      </c>
      <c r="B77" s="116" t="s">
        <v>129</v>
      </c>
      <c r="C77" s="75"/>
      <c r="D77" s="171" t="s">
        <v>126</v>
      </c>
      <c r="E77" s="108">
        <f>Rekenblad!E76</f>
        <v>0</v>
      </c>
      <c r="F77" s="118">
        <f>Rekenblad!F76</f>
        <v>190.8</v>
      </c>
      <c r="G77" s="109"/>
      <c r="H77" s="167">
        <f t="shared" si="6"/>
        <v>0</v>
      </c>
      <c r="I77" s="567"/>
      <c r="J77" s="567"/>
      <c r="K77" s="168"/>
      <c r="L77" s="169"/>
      <c r="M77" s="169"/>
      <c r="N77" s="169"/>
      <c r="O77" s="169"/>
      <c r="P77" s="77"/>
      <c r="Q77" s="151"/>
    </row>
    <row r="78" spans="1:17" ht="30" customHeight="1">
      <c r="A78" s="171" t="s">
        <v>130</v>
      </c>
      <c r="B78" s="116" t="s">
        <v>131</v>
      </c>
      <c r="C78" s="75"/>
      <c r="D78" s="171" t="s">
        <v>126</v>
      </c>
      <c r="E78" s="108">
        <f>Rekenblad!E77</f>
        <v>5</v>
      </c>
      <c r="F78" s="118">
        <f>Rekenblad!F77</f>
        <v>53.169599999999996</v>
      </c>
      <c r="G78" s="109"/>
      <c r="H78" s="167">
        <f>F78*E78</f>
        <v>265.84799999999996</v>
      </c>
      <c r="I78" s="567" t="s">
        <v>132</v>
      </c>
      <c r="J78" s="567"/>
      <c r="K78" s="168"/>
      <c r="L78" s="169"/>
      <c r="M78" s="169"/>
      <c r="N78" s="169"/>
      <c r="O78" s="169"/>
      <c r="P78" s="77"/>
      <c r="Q78" s="151"/>
    </row>
    <row r="79" spans="1:17" ht="30" customHeight="1">
      <c r="A79" s="171" t="s">
        <v>133</v>
      </c>
      <c r="B79" s="89" t="s">
        <v>134</v>
      </c>
      <c r="C79" s="89" t="s">
        <v>117</v>
      </c>
      <c r="D79" s="171" t="s">
        <v>118</v>
      </c>
      <c r="E79" s="108">
        <f>Rekenblad!E78</f>
        <v>0</v>
      </c>
      <c r="F79" s="118">
        <f>Rekenblad!F78</f>
        <v>68.900000000000006</v>
      </c>
      <c r="G79" s="109"/>
      <c r="H79" s="167">
        <f t="shared" ref="H79:H81" si="7">F79*E79</f>
        <v>0</v>
      </c>
      <c r="I79" s="76"/>
      <c r="J79" s="89"/>
      <c r="K79" s="161"/>
      <c r="L79" s="162"/>
      <c r="M79" s="162"/>
      <c r="N79" s="162"/>
      <c r="O79" s="162"/>
      <c r="P79" s="163"/>
      <c r="Q79" s="151"/>
    </row>
    <row r="80" spans="1:17" ht="30" customHeight="1">
      <c r="A80" s="171" t="s">
        <v>135</v>
      </c>
      <c r="B80" s="89" t="s">
        <v>136</v>
      </c>
      <c r="C80" s="89" t="s">
        <v>117</v>
      </c>
      <c r="D80" s="171" t="s">
        <v>118</v>
      </c>
      <c r="E80" s="108">
        <f>Rekenblad!E79</f>
        <v>0</v>
      </c>
      <c r="F80" s="118">
        <f>Rekenblad!F79</f>
        <v>196.10000000000002</v>
      </c>
      <c r="G80" s="109"/>
      <c r="H80" s="167">
        <f t="shared" si="7"/>
        <v>0</v>
      </c>
      <c r="I80" s="76"/>
      <c r="J80" s="89"/>
      <c r="K80" s="161"/>
      <c r="L80" s="162"/>
      <c r="M80" s="162"/>
      <c r="N80" s="162"/>
      <c r="O80" s="162"/>
      <c r="P80" s="163"/>
      <c r="Q80" s="151"/>
    </row>
    <row r="81" spans="1:17" ht="30" customHeight="1">
      <c r="A81" s="171" t="s">
        <v>137</v>
      </c>
      <c r="B81" s="89" t="s">
        <v>138</v>
      </c>
      <c r="C81" s="89" t="s">
        <v>117</v>
      </c>
      <c r="D81" s="171" t="s">
        <v>139</v>
      </c>
      <c r="E81" s="108">
        <f>Rekenblad!E80</f>
        <v>0</v>
      </c>
      <c r="F81" s="118">
        <f>Rekenblad!F80</f>
        <v>174.9</v>
      </c>
      <c r="G81" s="118"/>
      <c r="H81" s="167">
        <f t="shared" si="7"/>
        <v>0</v>
      </c>
      <c r="I81" s="173"/>
      <c r="J81" s="75"/>
      <c r="K81" s="37"/>
      <c r="L81" s="50"/>
      <c r="M81" s="50"/>
      <c r="N81" s="50"/>
      <c r="O81" s="50"/>
      <c r="P81" s="49"/>
      <c r="Q81" s="151"/>
    </row>
    <row r="82" spans="1:17" ht="30" customHeight="1">
      <c r="A82" s="171" t="s">
        <v>140</v>
      </c>
      <c r="B82" s="174" t="s">
        <v>141</v>
      </c>
      <c r="C82" s="107" t="s">
        <v>26</v>
      </c>
      <c r="D82" s="107" t="s">
        <v>8</v>
      </c>
      <c r="E82" s="108">
        <f>Rekenblad!E81</f>
        <v>40</v>
      </c>
      <c r="F82" s="118">
        <f>Rekenblad!F81</f>
        <v>122.35199999999999</v>
      </c>
      <c r="G82" s="109"/>
      <c r="H82" s="167">
        <f>SUM(E82*F82)</f>
        <v>4894.08</v>
      </c>
      <c r="I82" s="567" t="s">
        <v>142</v>
      </c>
      <c r="J82" s="568"/>
      <c r="K82" s="118"/>
      <c r="L82" s="146"/>
      <c r="M82" s="146"/>
      <c r="N82" s="146"/>
      <c r="O82" s="146"/>
      <c r="P82" s="147"/>
      <c r="Q82" s="151"/>
    </row>
    <row r="83" spans="1:17" ht="30" customHeight="1">
      <c r="A83" s="171" t="s">
        <v>143</v>
      </c>
      <c r="B83" s="174" t="s">
        <v>144</v>
      </c>
      <c r="C83" s="107" t="s">
        <v>26</v>
      </c>
      <c r="D83" s="107" t="s">
        <v>8</v>
      </c>
      <c r="E83" s="108">
        <f>Rekenblad!E82</f>
        <v>40</v>
      </c>
      <c r="F83" s="118">
        <f>Rekenblad!F82</f>
        <v>150</v>
      </c>
      <c r="G83" s="109"/>
      <c r="H83" s="167">
        <f>SUM(E83*F83)</f>
        <v>6000</v>
      </c>
      <c r="I83" s="567" t="s">
        <v>145</v>
      </c>
      <c r="J83" s="568"/>
      <c r="K83" s="118"/>
      <c r="L83" s="146"/>
      <c r="M83" s="146"/>
      <c r="N83" s="146"/>
      <c r="O83" s="146"/>
      <c r="P83" s="147"/>
      <c r="Q83" s="151"/>
    </row>
    <row r="84" spans="1:17" ht="30" customHeight="1">
      <c r="A84" s="171" t="s">
        <v>146</v>
      </c>
      <c r="B84" s="170" t="s">
        <v>147</v>
      </c>
      <c r="C84" s="89" t="s">
        <v>117</v>
      </c>
      <c r="D84" s="171" t="s">
        <v>118</v>
      </c>
      <c r="E84" s="108">
        <f>Rekenblad!E83</f>
        <v>0</v>
      </c>
      <c r="F84" s="118">
        <f>Rekenblad!F83</f>
        <v>0</v>
      </c>
      <c r="G84" s="109"/>
      <c r="H84" s="167">
        <f t="shared" ref="H84:H90" si="8">SUM(E84*F84)</f>
        <v>0</v>
      </c>
      <c r="I84" s="76"/>
      <c r="J84" s="89"/>
      <c r="K84" s="161"/>
      <c r="L84" s="162"/>
      <c r="M84" s="162"/>
      <c r="N84" s="162"/>
      <c r="O84" s="162"/>
      <c r="P84" s="163"/>
      <c r="Q84" s="151"/>
    </row>
    <row r="85" spans="1:17" ht="30" customHeight="1">
      <c r="A85" s="171" t="s">
        <v>148</v>
      </c>
      <c r="B85" s="89" t="s">
        <v>149</v>
      </c>
      <c r="C85" s="89" t="s">
        <v>117</v>
      </c>
      <c r="D85" s="171" t="s">
        <v>118</v>
      </c>
      <c r="E85" s="108">
        <f>Rekenblad!E84</f>
        <v>0</v>
      </c>
      <c r="F85" s="118">
        <f>Rekenblad!F84</f>
        <v>0</v>
      </c>
      <c r="G85" s="109"/>
      <c r="H85" s="167">
        <f t="shared" si="8"/>
        <v>0</v>
      </c>
      <c r="I85" s="175"/>
      <c r="J85" s="176"/>
      <c r="K85" s="161"/>
      <c r="L85" s="162"/>
      <c r="M85" s="162"/>
      <c r="N85" s="162"/>
      <c r="O85" s="162"/>
      <c r="P85" s="163"/>
      <c r="Q85" s="151"/>
    </row>
    <row r="86" spans="1:17" ht="30" customHeight="1">
      <c r="A86" s="171" t="s">
        <v>150</v>
      </c>
      <c r="B86" s="89" t="s">
        <v>151</v>
      </c>
      <c r="C86" s="89" t="s">
        <v>117</v>
      </c>
      <c r="D86" s="171" t="s">
        <v>118</v>
      </c>
      <c r="E86" s="108">
        <f>Rekenblad!E85</f>
        <v>0</v>
      </c>
      <c r="F86" s="118">
        <f>Rekenblad!F85</f>
        <v>174.9</v>
      </c>
      <c r="G86" s="109"/>
      <c r="H86" s="167">
        <f t="shared" si="8"/>
        <v>0</v>
      </c>
      <c r="I86" s="153"/>
      <c r="J86" s="152"/>
      <c r="K86" s="161"/>
      <c r="L86" s="162"/>
      <c r="M86" s="162"/>
      <c r="N86" s="162"/>
      <c r="O86" s="162"/>
      <c r="P86" s="163"/>
      <c r="Q86" s="151"/>
    </row>
    <row r="87" spans="1:17" ht="30" customHeight="1">
      <c r="A87" s="171" t="s">
        <v>152</v>
      </c>
      <c r="B87" s="170" t="s">
        <v>153</v>
      </c>
      <c r="C87" s="89" t="s">
        <v>117</v>
      </c>
      <c r="D87" s="171" t="s">
        <v>118</v>
      </c>
      <c r="E87" s="108">
        <f>Rekenblad!E86</f>
        <v>0</v>
      </c>
      <c r="F87" s="118">
        <f>Rekenblad!F86</f>
        <v>156.35</v>
      </c>
      <c r="G87" s="109"/>
      <c r="H87" s="167">
        <f t="shared" si="8"/>
        <v>0</v>
      </c>
      <c r="I87" s="153"/>
      <c r="J87" s="152"/>
      <c r="K87" s="161"/>
      <c r="L87" s="162"/>
      <c r="M87" s="162"/>
      <c r="N87" s="162"/>
      <c r="O87" s="162"/>
      <c r="P87" s="163"/>
      <c r="Q87" s="151"/>
    </row>
    <row r="88" spans="1:17" ht="30" customHeight="1">
      <c r="A88" s="171" t="s">
        <v>154</v>
      </c>
      <c r="B88" s="170" t="s">
        <v>153</v>
      </c>
      <c r="C88" s="89" t="s">
        <v>117</v>
      </c>
      <c r="D88" s="171" t="s">
        <v>118</v>
      </c>
      <c r="E88" s="108">
        <f>Rekenblad!E87</f>
        <v>0</v>
      </c>
      <c r="F88" s="118">
        <f>Rekenblad!F87</f>
        <v>234.52500000000001</v>
      </c>
      <c r="G88" s="109"/>
      <c r="H88" s="167">
        <f t="shared" si="8"/>
        <v>0</v>
      </c>
      <c r="I88" s="153"/>
      <c r="J88" s="152"/>
      <c r="K88" s="161"/>
      <c r="L88" s="162"/>
      <c r="M88" s="162"/>
      <c r="N88" s="162"/>
      <c r="O88" s="162"/>
      <c r="P88" s="163"/>
      <c r="Q88" s="151"/>
    </row>
    <row r="89" spans="1:17" ht="30" customHeight="1">
      <c r="A89" s="171" t="s">
        <v>155</v>
      </c>
      <c r="B89" s="170" t="s">
        <v>153</v>
      </c>
      <c r="C89" s="89" t="s">
        <v>117</v>
      </c>
      <c r="D89" s="171" t="s">
        <v>118</v>
      </c>
      <c r="E89" s="108">
        <f>Rekenblad!E88</f>
        <v>0</v>
      </c>
      <c r="F89" s="118">
        <f>Rekenblad!F88</f>
        <v>340.71600000000001</v>
      </c>
      <c r="G89" s="109"/>
      <c r="H89" s="167">
        <f t="shared" si="8"/>
        <v>0</v>
      </c>
      <c r="I89" s="153"/>
      <c r="J89" s="152"/>
      <c r="K89" s="161"/>
      <c r="L89" s="162"/>
      <c r="M89" s="162"/>
      <c r="N89" s="162"/>
      <c r="O89" s="162"/>
      <c r="P89" s="163"/>
      <c r="Q89" s="151"/>
    </row>
    <row r="90" spans="1:17" ht="30" customHeight="1">
      <c r="A90" s="171" t="s">
        <v>156</v>
      </c>
      <c r="B90" s="170" t="s">
        <v>153</v>
      </c>
      <c r="C90" s="89" t="s">
        <v>117</v>
      </c>
      <c r="D90" s="171" t="s">
        <v>118</v>
      </c>
      <c r="E90" s="108">
        <f>Rekenblad!E89</f>
        <v>0</v>
      </c>
      <c r="F90" s="118">
        <f>Rekenblad!F89</f>
        <v>312.7</v>
      </c>
      <c r="G90" s="109"/>
      <c r="H90" s="167">
        <f t="shared" si="8"/>
        <v>0</v>
      </c>
      <c r="I90" s="153"/>
      <c r="J90" s="152"/>
      <c r="K90" s="161"/>
      <c r="L90" s="162"/>
      <c r="M90" s="162"/>
      <c r="N90" s="162"/>
      <c r="O90" s="162"/>
      <c r="P90" s="163"/>
      <c r="Q90" s="151"/>
    </row>
    <row r="91" spans="1:17" ht="30" customHeight="1">
      <c r="A91" s="177"/>
      <c r="B91" s="174"/>
      <c r="C91" s="178"/>
      <c r="D91" s="178"/>
      <c r="E91" s="108"/>
      <c r="F91" s="118"/>
      <c r="G91" s="181"/>
      <c r="H91" s="182"/>
      <c r="I91" s="153"/>
      <c r="J91" s="152"/>
      <c r="K91" s="161"/>
      <c r="L91" s="162"/>
      <c r="M91" s="162"/>
      <c r="N91" s="162"/>
      <c r="O91" s="162"/>
      <c r="P91" s="163"/>
      <c r="Q91" s="151"/>
    </row>
    <row r="92" spans="1:17" ht="30" customHeight="1">
      <c r="A92" s="165">
        <v>5</v>
      </c>
      <c r="B92" s="115" t="s">
        <v>157</v>
      </c>
      <c r="C92" s="166"/>
      <c r="D92" s="51" t="s">
        <v>12</v>
      </c>
      <c r="E92" s="52" t="s">
        <v>13</v>
      </c>
      <c r="F92" s="60" t="str">
        <f>Rekenblad!F91</f>
        <v>bedrag per eenheid (excl. btw)</v>
      </c>
      <c r="G92" s="53" t="s">
        <v>15</v>
      </c>
      <c r="H92" s="54" t="s">
        <v>16</v>
      </c>
      <c r="I92" s="563" t="s">
        <v>17</v>
      </c>
      <c r="J92" s="566"/>
      <c r="K92" s="37"/>
      <c r="L92" s="50"/>
      <c r="M92" s="50"/>
      <c r="N92" s="50"/>
      <c r="O92" s="50"/>
      <c r="P92" s="49" t="s">
        <v>18</v>
      </c>
      <c r="Q92" s="151"/>
    </row>
    <row r="93" spans="1:17" ht="30" customHeight="1">
      <c r="A93" s="171" t="s">
        <v>158</v>
      </c>
      <c r="B93" s="116" t="s">
        <v>159</v>
      </c>
      <c r="C93" s="75"/>
      <c r="D93" s="171" t="s">
        <v>8</v>
      </c>
      <c r="E93" s="108">
        <f>Rekenblad!E92</f>
        <v>0</v>
      </c>
      <c r="F93" s="118">
        <f>Rekenblad!F92</f>
        <v>53</v>
      </c>
      <c r="G93" s="109"/>
      <c r="H93" s="167">
        <f>F93*E93</f>
        <v>0</v>
      </c>
      <c r="I93" s="569" t="s">
        <v>160</v>
      </c>
      <c r="J93" s="573"/>
      <c r="K93" s="168"/>
      <c r="L93" s="169"/>
      <c r="M93" s="169"/>
      <c r="N93" s="169"/>
      <c r="O93" s="169"/>
      <c r="P93" s="77"/>
      <c r="Q93" s="151"/>
    </row>
    <row r="94" spans="1:17" ht="30" customHeight="1">
      <c r="A94" s="171" t="s">
        <v>161</v>
      </c>
      <c r="B94" s="116" t="s">
        <v>162</v>
      </c>
      <c r="C94" s="75"/>
      <c r="D94" s="171" t="s">
        <v>8</v>
      </c>
      <c r="E94" s="108">
        <f>Rekenblad!E93</f>
        <v>40</v>
      </c>
      <c r="F94" s="118">
        <f>Rekenblad!F93</f>
        <v>73.572479999999999</v>
      </c>
      <c r="G94" s="109"/>
      <c r="H94" s="167">
        <f>F94*E94</f>
        <v>2942.8991999999998</v>
      </c>
      <c r="I94" s="569" t="s">
        <v>163</v>
      </c>
      <c r="J94" s="573"/>
      <c r="K94" s="168"/>
      <c r="L94" s="169"/>
      <c r="M94" s="169"/>
      <c r="N94" s="169"/>
      <c r="O94" s="169"/>
      <c r="P94" s="77"/>
      <c r="Q94" s="151"/>
    </row>
    <row r="95" spans="1:17" ht="30" customHeight="1">
      <c r="A95" s="171" t="s">
        <v>164</v>
      </c>
      <c r="B95" s="174" t="s">
        <v>165</v>
      </c>
      <c r="C95" s="107"/>
      <c r="D95" s="107" t="s">
        <v>8</v>
      </c>
      <c r="E95" s="108">
        <f>Rekenblad!E94</f>
        <v>40</v>
      </c>
      <c r="F95" s="118">
        <f>Rekenblad!F94</f>
        <v>84.887999999999991</v>
      </c>
      <c r="G95" s="109"/>
      <c r="H95" s="167">
        <f>E95*5</f>
        <v>200</v>
      </c>
      <c r="I95" s="567" t="s">
        <v>163</v>
      </c>
      <c r="J95" s="567"/>
      <c r="K95" s="118"/>
      <c r="L95" s="146"/>
      <c r="M95" s="146"/>
      <c r="N95" s="146"/>
      <c r="O95" s="146"/>
      <c r="P95" s="147"/>
      <c r="Q95" s="151"/>
    </row>
    <row r="96" spans="1:17" ht="30" customHeight="1">
      <c r="A96" s="171" t="s">
        <v>166</v>
      </c>
      <c r="B96" s="170" t="s">
        <v>167</v>
      </c>
      <c r="C96" s="89" t="s">
        <v>117</v>
      </c>
      <c r="D96" s="171" t="s">
        <v>118</v>
      </c>
      <c r="E96" s="108">
        <f>Rekenblad!E95</f>
        <v>0</v>
      </c>
      <c r="F96" s="118">
        <f>Rekenblad!F95</f>
        <v>0</v>
      </c>
      <c r="G96" s="109"/>
      <c r="H96" s="167">
        <f t="shared" ref="H96:H99" si="9">E96*5</f>
        <v>0</v>
      </c>
      <c r="I96" s="76"/>
      <c r="J96" s="89"/>
      <c r="K96" s="161"/>
      <c r="L96" s="162"/>
      <c r="M96" s="162"/>
      <c r="N96" s="162"/>
      <c r="O96" s="162"/>
      <c r="P96" s="163"/>
      <c r="Q96" s="151"/>
    </row>
    <row r="97" spans="1:17" ht="30" customHeight="1">
      <c r="A97" s="171" t="s">
        <v>168</v>
      </c>
      <c r="B97" s="170" t="s">
        <v>169</v>
      </c>
      <c r="C97" s="89" t="s">
        <v>117</v>
      </c>
      <c r="D97" s="171" t="s">
        <v>118</v>
      </c>
      <c r="E97" s="108">
        <f>Rekenblad!E96</f>
        <v>0</v>
      </c>
      <c r="F97" s="118">
        <f>Rekenblad!F96</f>
        <v>0</v>
      </c>
      <c r="G97" s="109"/>
      <c r="H97" s="167">
        <f t="shared" si="9"/>
        <v>0</v>
      </c>
      <c r="I97" s="76"/>
      <c r="J97" s="89"/>
      <c r="K97" s="161"/>
      <c r="L97" s="162"/>
      <c r="M97" s="162"/>
      <c r="N97" s="162"/>
      <c r="O97" s="162"/>
      <c r="P97" s="163"/>
      <c r="Q97" s="151"/>
    </row>
    <row r="98" spans="1:17" ht="30" customHeight="1">
      <c r="A98" s="171" t="s">
        <v>170</v>
      </c>
      <c r="B98" s="170" t="s">
        <v>171</v>
      </c>
      <c r="C98" s="89" t="s">
        <v>117</v>
      </c>
      <c r="D98" s="171" t="s">
        <v>118</v>
      </c>
      <c r="E98" s="108">
        <f>Rekenblad!E97</f>
        <v>0</v>
      </c>
      <c r="F98" s="118">
        <f>Rekenblad!F97</f>
        <v>0</v>
      </c>
      <c r="G98" s="109"/>
      <c r="H98" s="167">
        <f t="shared" si="9"/>
        <v>0</v>
      </c>
      <c r="I98" s="76"/>
      <c r="J98" s="89"/>
      <c r="K98" s="161"/>
      <c r="L98" s="162"/>
      <c r="M98" s="162"/>
      <c r="N98" s="162"/>
      <c r="O98" s="162"/>
      <c r="P98" s="163"/>
      <c r="Q98" s="151"/>
    </row>
    <row r="99" spans="1:17" ht="30" customHeight="1">
      <c r="A99" s="171" t="s">
        <v>172</v>
      </c>
      <c r="B99" s="170" t="s">
        <v>173</v>
      </c>
      <c r="C99" s="89" t="s">
        <v>117</v>
      </c>
      <c r="D99" s="171" t="s">
        <v>118</v>
      </c>
      <c r="E99" s="108">
        <f>Rekenblad!E98</f>
        <v>0</v>
      </c>
      <c r="F99" s="118">
        <f>Rekenblad!F98</f>
        <v>0</v>
      </c>
      <c r="G99" s="109"/>
      <c r="H99" s="167">
        <f t="shared" si="9"/>
        <v>0</v>
      </c>
      <c r="I99" s="76"/>
      <c r="J99" s="89"/>
      <c r="K99" s="161"/>
      <c r="L99" s="162"/>
      <c r="M99" s="162"/>
      <c r="N99" s="162"/>
      <c r="O99" s="162"/>
      <c r="P99" s="163"/>
      <c r="Q99" s="151"/>
    </row>
    <row r="100" spans="1:17" ht="30" customHeight="1">
      <c r="A100" s="171" t="s">
        <v>174</v>
      </c>
      <c r="B100" s="116" t="s">
        <v>175</v>
      </c>
      <c r="C100" s="75" t="s">
        <v>57</v>
      </c>
      <c r="D100" s="107" t="s">
        <v>8</v>
      </c>
      <c r="E100" s="108">
        <f>Rekenblad!E99</f>
        <v>24</v>
      </c>
      <c r="F100" s="118">
        <f>Rekenblad!F99</f>
        <v>142.15199999999999</v>
      </c>
      <c r="G100" s="109"/>
      <c r="H100" s="167">
        <f>E100*5</f>
        <v>120</v>
      </c>
      <c r="I100" s="567" t="s">
        <v>176</v>
      </c>
      <c r="J100" s="568"/>
      <c r="K100" s="118"/>
      <c r="L100" s="146"/>
      <c r="M100" s="146"/>
      <c r="N100" s="146"/>
      <c r="O100" s="146"/>
      <c r="P100" s="147"/>
      <c r="Q100" s="151"/>
    </row>
    <row r="101" spans="1:17" ht="30" customHeight="1">
      <c r="A101" s="171" t="s">
        <v>177</v>
      </c>
      <c r="B101" s="116" t="s">
        <v>178</v>
      </c>
      <c r="C101" s="75" t="s">
        <v>57</v>
      </c>
      <c r="D101" s="107" t="s">
        <v>8</v>
      </c>
      <c r="E101" s="108">
        <f>Rekenblad!E100</f>
        <v>0</v>
      </c>
      <c r="F101" s="118">
        <f>Rekenblad!F100</f>
        <v>36.887999999999998</v>
      </c>
      <c r="G101" s="109"/>
      <c r="H101" s="167">
        <f t="shared" ref="H101:H103" si="10">E101*5</f>
        <v>0</v>
      </c>
      <c r="I101" s="76"/>
      <c r="J101" s="89"/>
      <c r="K101" s="161"/>
      <c r="L101" s="162"/>
      <c r="M101" s="162"/>
      <c r="N101" s="162"/>
      <c r="O101" s="162"/>
      <c r="P101" s="163"/>
      <c r="Q101" s="151"/>
    </row>
    <row r="102" spans="1:17" ht="30" customHeight="1">
      <c r="A102" s="171" t="s">
        <v>179</v>
      </c>
      <c r="B102" s="89" t="s">
        <v>180</v>
      </c>
      <c r="C102" s="89" t="s">
        <v>117</v>
      </c>
      <c r="D102" s="171" t="s">
        <v>118</v>
      </c>
      <c r="E102" s="108">
        <f>Rekenblad!E101</f>
        <v>0</v>
      </c>
      <c r="F102" s="118">
        <f>Rekenblad!F101</f>
        <v>185.5</v>
      </c>
      <c r="G102" s="118"/>
      <c r="H102" s="167">
        <f t="shared" si="10"/>
        <v>0</v>
      </c>
      <c r="I102" s="173"/>
      <c r="J102" s="75"/>
      <c r="K102" s="183"/>
      <c r="L102" s="184"/>
      <c r="M102" s="184"/>
      <c r="N102" s="184"/>
      <c r="O102" s="184"/>
      <c r="P102" s="185"/>
      <c r="Q102" s="151"/>
    </row>
    <row r="103" spans="1:17" ht="30" customHeight="1">
      <c r="A103" s="186" t="s">
        <v>181</v>
      </c>
      <c r="B103" s="187" t="s">
        <v>182</v>
      </c>
      <c r="C103" s="188" t="s">
        <v>117</v>
      </c>
      <c r="D103" s="186" t="s">
        <v>118</v>
      </c>
      <c r="E103" s="108">
        <f>Rekenblad!E102</f>
        <v>0</v>
      </c>
      <c r="F103" s="118">
        <f>Rekenblad!F102</f>
        <v>0</v>
      </c>
      <c r="G103" s="189"/>
      <c r="H103" s="167">
        <f t="shared" si="10"/>
        <v>0</v>
      </c>
      <c r="I103" s="190"/>
      <c r="J103" s="191"/>
      <c r="K103" s="183"/>
      <c r="L103" s="184"/>
      <c r="M103" s="184"/>
      <c r="N103" s="184"/>
      <c r="O103" s="184"/>
      <c r="P103" s="185"/>
      <c r="Q103" s="151"/>
    </row>
    <row r="104" spans="1:17" ht="30" customHeight="1">
      <c r="A104" s="171"/>
      <c r="B104" s="116"/>
      <c r="C104" s="75"/>
      <c r="D104" s="107"/>
      <c r="E104" s="108"/>
      <c r="F104" s="118"/>
      <c r="G104" s="109"/>
      <c r="H104" s="167"/>
      <c r="I104" s="76"/>
      <c r="J104" s="152"/>
      <c r="K104" s="161"/>
      <c r="L104" s="162"/>
      <c r="M104" s="162"/>
      <c r="N104" s="162"/>
      <c r="O104" s="162"/>
      <c r="P104" s="163"/>
      <c r="Q104" s="151"/>
    </row>
    <row r="105" spans="1:17" ht="30" customHeight="1">
      <c r="A105" s="192">
        <v>6</v>
      </c>
      <c r="B105" s="193" t="s">
        <v>183</v>
      </c>
      <c r="C105" s="194"/>
      <c r="D105" s="35" t="s">
        <v>12</v>
      </c>
      <c r="E105" s="57" t="s">
        <v>13</v>
      </c>
      <c r="F105" s="60" t="str">
        <f>Rekenblad!F104</f>
        <v>bedrag per eenheid (excl. btw)</v>
      </c>
      <c r="G105" s="53" t="s">
        <v>15</v>
      </c>
      <c r="H105" s="54" t="s">
        <v>16</v>
      </c>
      <c r="I105" s="574" t="s">
        <v>17</v>
      </c>
      <c r="J105" s="566"/>
      <c r="K105" s="37"/>
      <c r="L105" s="50"/>
      <c r="M105" s="50"/>
      <c r="N105" s="50"/>
      <c r="O105" s="50"/>
      <c r="P105" s="49" t="s">
        <v>18</v>
      </c>
      <c r="Q105" s="151"/>
    </row>
    <row r="106" spans="1:17" ht="30" customHeight="1">
      <c r="A106" s="104" t="s">
        <v>184</v>
      </c>
      <c r="B106" s="174" t="s">
        <v>185</v>
      </c>
      <c r="C106" s="107" t="s">
        <v>76</v>
      </c>
      <c r="D106" s="107" t="s">
        <v>8</v>
      </c>
      <c r="E106" s="108">
        <f>Rekenblad!E105</f>
        <v>0</v>
      </c>
      <c r="F106" s="118">
        <f>Rekenblad!F105</f>
        <v>127.2</v>
      </c>
      <c r="G106" s="110"/>
      <c r="H106" s="195">
        <f>SUM(E106*F106)</f>
        <v>0</v>
      </c>
      <c r="I106" s="76"/>
      <c r="J106" s="89"/>
      <c r="K106" s="118"/>
      <c r="L106" s="146"/>
      <c r="M106" s="146"/>
      <c r="N106" s="146"/>
      <c r="O106" s="146"/>
      <c r="P106" s="147"/>
      <c r="Q106" s="151"/>
    </row>
    <row r="107" spans="1:17" ht="30" customHeight="1">
      <c r="A107" s="104" t="s">
        <v>186</v>
      </c>
      <c r="B107" s="174" t="s">
        <v>187</v>
      </c>
      <c r="C107" s="107" t="s">
        <v>57</v>
      </c>
      <c r="D107" s="107" t="s">
        <v>8</v>
      </c>
      <c r="E107" s="108">
        <f>Rekenblad!E106</f>
        <v>16</v>
      </c>
      <c r="F107" s="118">
        <f>Rekenblad!F106</f>
        <v>286.84799999999996</v>
      </c>
      <c r="G107" s="110"/>
      <c r="H107" s="195">
        <f>SUM(E107*F107)</f>
        <v>4589.5679999999993</v>
      </c>
      <c r="I107" s="76" t="s">
        <v>188</v>
      </c>
      <c r="J107" s="89"/>
      <c r="K107" s="118"/>
      <c r="L107" s="146"/>
      <c r="M107" s="146"/>
      <c r="N107" s="146"/>
      <c r="O107" s="146"/>
      <c r="P107" s="147"/>
      <c r="Q107" s="151"/>
    </row>
    <row r="108" spans="1:17" ht="30" customHeight="1">
      <c r="A108" s="104" t="s">
        <v>189</v>
      </c>
      <c r="B108" s="174" t="s">
        <v>190</v>
      </c>
      <c r="C108" s="107" t="s">
        <v>76</v>
      </c>
      <c r="D108" s="107" t="s">
        <v>8</v>
      </c>
      <c r="E108" s="108">
        <f>Rekenblad!E107</f>
        <v>8</v>
      </c>
      <c r="F108" s="118">
        <f>Rekenblad!F107</f>
        <v>200</v>
      </c>
      <c r="G108" s="110"/>
      <c r="H108" s="195">
        <f>SUM(E108*F108)</f>
        <v>1600</v>
      </c>
      <c r="I108" s="76" t="s">
        <v>191</v>
      </c>
      <c r="J108" s="89"/>
      <c r="K108" s="118"/>
      <c r="L108" s="146"/>
      <c r="M108" s="146"/>
      <c r="N108" s="146"/>
      <c r="O108" s="146"/>
      <c r="P108" s="147"/>
      <c r="Q108" s="151"/>
    </row>
    <row r="109" spans="1:17" ht="30" customHeight="1">
      <c r="A109" s="104" t="s">
        <v>192</v>
      </c>
      <c r="B109" s="174" t="s">
        <v>193</v>
      </c>
      <c r="C109" s="107" t="s">
        <v>76</v>
      </c>
      <c r="D109" s="107" t="s">
        <v>8</v>
      </c>
      <c r="E109" s="108">
        <f>Rekenblad!E108</f>
        <v>40</v>
      </c>
      <c r="F109" s="118">
        <f>Rekenblad!F108</f>
        <v>143.1</v>
      </c>
      <c r="G109" s="110"/>
      <c r="H109" s="195">
        <f>SUM(E109*F109)</f>
        <v>5724</v>
      </c>
      <c r="I109" s="569" t="s">
        <v>194</v>
      </c>
      <c r="J109" s="570"/>
      <c r="K109" s="118"/>
      <c r="L109" s="146"/>
      <c r="M109" s="146"/>
      <c r="N109" s="146"/>
      <c r="O109" s="146"/>
      <c r="P109" s="147"/>
      <c r="Q109" s="151"/>
    </row>
    <row r="110" spans="1:17" ht="30" customHeight="1">
      <c r="A110" s="104" t="s">
        <v>195</v>
      </c>
      <c r="B110" s="170" t="s">
        <v>196</v>
      </c>
      <c r="C110" s="171" t="s">
        <v>76</v>
      </c>
      <c r="D110" s="171" t="s">
        <v>8</v>
      </c>
      <c r="E110" s="196">
        <f>G3</f>
        <v>20</v>
      </c>
      <c r="F110" s="118">
        <f>Rekenblad!F109</f>
        <v>74.2</v>
      </c>
      <c r="G110" s="118"/>
      <c r="H110" s="195">
        <f t="shared" ref="H110:H121" si="11">SUM(E110*F110)</f>
        <v>1484</v>
      </c>
      <c r="I110" s="569" t="s">
        <v>197</v>
      </c>
      <c r="J110" s="570"/>
      <c r="K110" s="161"/>
      <c r="L110" s="162"/>
      <c r="M110" s="162"/>
      <c r="N110" s="162"/>
      <c r="O110" s="162"/>
      <c r="P110" s="163"/>
      <c r="Q110" s="151"/>
    </row>
    <row r="111" spans="1:17" ht="30" customHeight="1">
      <c r="A111" s="104" t="s">
        <v>198</v>
      </c>
      <c r="B111" s="170" t="s">
        <v>199</v>
      </c>
      <c r="C111" s="171" t="s">
        <v>76</v>
      </c>
      <c r="D111" s="171" t="s">
        <v>8</v>
      </c>
      <c r="E111" s="108">
        <f>Rekenblad!E110</f>
        <v>0</v>
      </c>
      <c r="F111" s="118">
        <f>Rekenblad!F110</f>
        <v>286.2</v>
      </c>
      <c r="G111" s="118"/>
      <c r="H111" s="167">
        <f t="shared" si="11"/>
        <v>0</v>
      </c>
      <c r="I111" s="567"/>
      <c r="J111" s="568"/>
      <c r="K111" s="161"/>
      <c r="L111" s="162"/>
      <c r="M111" s="162"/>
      <c r="N111" s="162"/>
      <c r="O111" s="162"/>
      <c r="P111" s="163"/>
      <c r="Q111" s="151"/>
    </row>
    <row r="112" spans="1:17" ht="30" customHeight="1">
      <c r="A112" s="104" t="s">
        <v>200</v>
      </c>
      <c r="B112" s="170" t="s">
        <v>201</v>
      </c>
      <c r="C112" s="171" t="s">
        <v>76</v>
      </c>
      <c r="D112" s="171" t="s">
        <v>8</v>
      </c>
      <c r="E112" s="108">
        <f>Rekenblad!E111</f>
        <v>0</v>
      </c>
      <c r="F112" s="118">
        <f>Rekenblad!F111</f>
        <v>296.8</v>
      </c>
      <c r="G112" s="118"/>
      <c r="H112" s="167">
        <f t="shared" si="11"/>
        <v>0</v>
      </c>
      <c r="I112" s="567"/>
      <c r="J112" s="568"/>
      <c r="K112" s="161"/>
      <c r="L112" s="162"/>
      <c r="M112" s="162"/>
      <c r="N112" s="162"/>
      <c r="O112" s="162"/>
      <c r="P112" s="163"/>
      <c r="Q112" s="151"/>
    </row>
    <row r="113" spans="1:17" ht="30" customHeight="1">
      <c r="A113" s="104" t="s">
        <v>202</v>
      </c>
      <c r="B113" s="170" t="s">
        <v>203</v>
      </c>
      <c r="C113" s="171" t="s">
        <v>57</v>
      </c>
      <c r="D113" s="171" t="s">
        <v>8</v>
      </c>
      <c r="E113" s="108">
        <f>Rekenblad!E112</f>
        <v>0</v>
      </c>
      <c r="F113" s="118">
        <f>Rekenblad!F112</f>
        <v>307.40000000000003</v>
      </c>
      <c r="G113" s="118"/>
      <c r="H113" s="167">
        <f t="shared" si="11"/>
        <v>0</v>
      </c>
      <c r="I113" s="567"/>
      <c r="J113" s="568"/>
      <c r="K113" s="161"/>
      <c r="L113" s="162"/>
      <c r="M113" s="162"/>
      <c r="N113" s="162"/>
      <c r="O113" s="162"/>
      <c r="P113" s="163"/>
      <c r="Q113" s="151"/>
    </row>
    <row r="114" spans="1:17" ht="30" customHeight="1">
      <c r="A114" s="104" t="s">
        <v>204</v>
      </c>
      <c r="B114" s="89" t="s">
        <v>205</v>
      </c>
      <c r="C114" s="89" t="s">
        <v>117</v>
      </c>
      <c r="D114" s="171" t="s">
        <v>118</v>
      </c>
      <c r="E114" s="108">
        <f>Rekenblad!E113</f>
        <v>0</v>
      </c>
      <c r="F114" s="118">
        <f>Rekenblad!F113</f>
        <v>47.7</v>
      </c>
      <c r="G114" s="118"/>
      <c r="H114" s="197">
        <f t="shared" si="11"/>
        <v>0</v>
      </c>
      <c r="I114" s="567"/>
      <c r="J114" s="568"/>
      <c r="K114" s="183"/>
      <c r="L114" s="184"/>
      <c r="M114" s="184"/>
      <c r="N114" s="184"/>
      <c r="O114" s="184"/>
      <c r="P114" s="185"/>
      <c r="Q114" s="151"/>
    </row>
    <row r="115" spans="1:17" ht="30" customHeight="1">
      <c r="A115" s="104" t="s">
        <v>206</v>
      </c>
      <c r="B115" s="170" t="s">
        <v>207</v>
      </c>
      <c r="C115" s="171" t="s">
        <v>57</v>
      </c>
      <c r="D115" s="171" t="s">
        <v>8</v>
      </c>
      <c r="E115" s="108">
        <f>Rekenblad!E114</f>
        <v>0</v>
      </c>
      <c r="F115" s="118">
        <f>Rekenblad!F114</f>
        <v>19.080000000000002</v>
      </c>
      <c r="G115" s="118"/>
      <c r="H115" s="167">
        <f t="shared" si="11"/>
        <v>0</v>
      </c>
      <c r="I115" s="567"/>
      <c r="J115" s="568"/>
      <c r="K115" s="161"/>
      <c r="L115" s="162"/>
      <c r="M115" s="162"/>
      <c r="N115" s="162"/>
      <c r="O115" s="162"/>
      <c r="P115" s="163"/>
      <c r="Q115" s="151"/>
    </row>
    <row r="116" spans="1:17" ht="30" customHeight="1">
      <c r="A116" s="104" t="s">
        <v>208</v>
      </c>
      <c r="B116" s="89" t="s">
        <v>209</v>
      </c>
      <c r="C116" s="89" t="s">
        <v>117</v>
      </c>
      <c r="D116" s="171" t="s">
        <v>118</v>
      </c>
      <c r="E116" s="196">
        <f>G3</f>
        <v>20</v>
      </c>
      <c r="F116" s="118">
        <f>Rekenblad!F115</f>
        <v>101.23</v>
      </c>
      <c r="G116" s="118"/>
      <c r="H116" s="198">
        <f t="shared" si="11"/>
        <v>2024.6000000000001</v>
      </c>
      <c r="I116" s="569" t="s">
        <v>197</v>
      </c>
      <c r="J116" s="570"/>
      <c r="K116" s="183"/>
      <c r="L116" s="184"/>
      <c r="M116" s="184"/>
      <c r="N116" s="184"/>
      <c r="O116" s="184"/>
      <c r="P116" s="185"/>
      <c r="Q116" s="151"/>
    </row>
    <row r="117" spans="1:17" ht="30" customHeight="1">
      <c r="A117" s="104" t="s">
        <v>210</v>
      </c>
      <c r="B117" s="89" t="s">
        <v>211</v>
      </c>
      <c r="C117" s="89" t="s">
        <v>117</v>
      </c>
      <c r="D117" s="171" t="s">
        <v>118</v>
      </c>
      <c r="E117" s="108">
        <f>Rekenblad!E116</f>
        <v>0</v>
      </c>
      <c r="F117" s="118">
        <f>Rekenblad!F116</f>
        <v>66.25</v>
      </c>
      <c r="G117" s="118"/>
      <c r="H117" s="197">
        <f t="shared" si="11"/>
        <v>0</v>
      </c>
      <c r="I117" s="567"/>
      <c r="J117" s="568"/>
      <c r="K117" s="183"/>
      <c r="L117" s="184"/>
      <c r="M117" s="184"/>
      <c r="N117" s="184"/>
      <c r="O117" s="184"/>
      <c r="P117" s="185"/>
      <c r="Q117" s="151"/>
    </row>
    <row r="118" spans="1:17" ht="30" customHeight="1">
      <c r="A118" s="104" t="s">
        <v>212</v>
      </c>
      <c r="B118" s="89" t="s">
        <v>213</v>
      </c>
      <c r="C118" s="89" t="s">
        <v>117</v>
      </c>
      <c r="D118" s="171" t="s">
        <v>118</v>
      </c>
      <c r="E118" s="108">
        <f>Rekenblad!E117</f>
        <v>0</v>
      </c>
      <c r="F118" s="118">
        <f>Rekenblad!F117</f>
        <v>0</v>
      </c>
      <c r="G118" s="118"/>
      <c r="H118" s="197">
        <f t="shared" si="11"/>
        <v>0</v>
      </c>
      <c r="I118" s="567"/>
      <c r="J118" s="568"/>
      <c r="K118" s="183"/>
      <c r="L118" s="184"/>
      <c r="M118" s="184"/>
      <c r="N118" s="184"/>
      <c r="O118" s="184"/>
      <c r="P118" s="185"/>
      <c r="Q118" s="151"/>
    </row>
    <row r="119" spans="1:17" ht="30" customHeight="1">
      <c r="A119" s="104" t="s">
        <v>214</v>
      </c>
      <c r="B119" s="170" t="s">
        <v>215</v>
      </c>
      <c r="C119" s="89" t="s">
        <v>117</v>
      </c>
      <c r="D119" s="171" t="s">
        <v>118</v>
      </c>
      <c r="E119" s="108">
        <f>Rekenblad!E118</f>
        <v>0</v>
      </c>
      <c r="F119" s="118">
        <f>Rekenblad!F118</f>
        <v>0</v>
      </c>
      <c r="G119" s="118"/>
      <c r="H119" s="197">
        <f t="shared" si="11"/>
        <v>0</v>
      </c>
      <c r="I119" s="567"/>
      <c r="J119" s="568"/>
      <c r="K119" s="183"/>
      <c r="L119" s="184"/>
      <c r="M119" s="184"/>
      <c r="N119" s="184"/>
      <c r="O119" s="184"/>
      <c r="P119" s="185"/>
      <c r="Q119" s="151"/>
    </row>
    <row r="120" spans="1:17" ht="30" customHeight="1">
      <c r="A120" s="104" t="s">
        <v>216</v>
      </c>
      <c r="B120" s="170" t="s">
        <v>217</v>
      </c>
      <c r="C120" s="89" t="s">
        <v>117</v>
      </c>
      <c r="D120" s="171" t="s">
        <v>218</v>
      </c>
      <c r="E120" s="108">
        <f>Rekenblad!E119</f>
        <v>0</v>
      </c>
      <c r="F120" s="118">
        <f>Rekenblad!F119</f>
        <v>13.25</v>
      </c>
      <c r="G120" s="118"/>
      <c r="H120" s="197">
        <f t="shared" si="11"/>
        <v>0</v>
      </c>
      <c r="I120" s="567"/>
      <c r="J120" s="568"/>
      <c r="K120" s="183"/>
      <c r="L120" s="184"/>
      <c r="M120" s="184"/>
      <c r="N120" s="184"/>
      <c r="O120" s="184"/>
      <c r="P120" s="185"/>
      <c r="Q120" s="151"/>
    </row>
    <row r="121" spans="1:17" ht="30" customHeight="1">
      <c r="A121" s="104" t="s">
        <v>219</v>
      </c>
      <c r="B121" s="89" t="s">
        <v>220</v>
      </c>
      <c r="C121" s="89" t="s">
        <v>117</v>
      </c>
      <c r="D121" s="171" t="s">
        <v>118</v>
      </c>
      <c r="E121" s="108">
        <f>Rekenblad!E120</f>
        <v>0</v>
      </c>
      <c r="F121" s="118">
        <f>Rekenblad!F120</f>
        <v>0</v>
      </c>
      <c r="G121" s="118"/>
      <c r="H121" s="197">
        <f t="shared" si="11"/>
        <v>0</v>
      </c>
      <c r="I121" s="567"/>
      <c r="J121" s="568"/>
      <c r="K121" s="183"/>
      <c r="L121" s="184"/>
      <c r="M121" s="184"/>
      <c r="N121" s="184"/>
      <c r="O121" s="184"/>
      <c r="P121" s="185"/>
      <c r="Q121" s="151"/>
    </row>
    <row r="122" spans="1:17" ht="30" customHeight="1">
      <c r="A122" s="143"/>
      <c r="B122" s="149"/>
      <c r="C122" s="149"/>
      <c r="D122" s="143"/>
      <c r="E122" s="108"/>
      <c r="F122" s="118"/>
      <c r="G122" s="145"/>
      <c r="H122" s="145"/>
      <c r="I122" s="567"/>
      <c r="J122" s="568"/>
      <c r="K122" s="161"/>
      <c r="L122" s="162"/>
      <c r="M122" s="162"/>
      <c r="N122" s="162"/>
      <c r="O122" s="162"/>
      <c r="P122" s="163"/>
      <c r="Q122" s="151"/>
    </row>
    <row r="123" spans="1:17" ht="30" customHeight="1">
      <c r="A123" s="199">
        <v>7</v>
      </c>
      <c r="B123" s="164" t="s">
        <v>221</v>
      </c>
      <c r="C123" s="164"/>
      <c r="D123" s="35" t="s">
        <v>12</v>
      </c>
      <c r="E123" s="57" t="s">
        <v>13</v>
      </c>
      <c r="F123" s="60" t="str">
        <f>Rekenblad!F122</f>
        <v>bedrag per eenheid (excl. btw)</v>
      </c>
      <c r="G123" s="53" t="s">
        <v>15</v>
      </c>
      <c r="H123" s="54" t="s">
        <v>16</v>
      </c>
      <c r="I123" s="572" t="s">
        <v>17</v>
      </c>
      <c r="J123" s="566"/>
      <c r="K123" s="37"/>
      <c r="L123" s="50"/>
      <c r="M123" s="50"/>
      <c r="N123" s="50"/>
      <c r="O123" s="50"/>
      <c r="P123" s="49" t="s">
        <v>18</v>
      </c>
      <c r="Q123" s="151"/>
    </row>
    <row r="124" spans="1:17" ht="30" customHeight="1">
      <c r="A124" s="171" t="s">
        <v>222</v>
      </c>
      <c r="B124" s="174" t="s">
        <v>223</v>
      </c>
      <c r="C124" s="107" t="s">
        <v>57</v>
      </c>
      <c r="D124" s="107" t="s">
        <v>8</v>
      </c>
      <c r="E124" s="108">
        <f>Rekenblad!E123</f>
        <v>0</v>
      </c>
      <c r="F124" s="118">
        <f>Rekenblad!F123</f>
        <v>100.7</v>
      </c>
      <c r="G124" s="109"/>
      <c r="H124" s="167"/>
      <c r="I124" s="76"/>
      <c r="J124" s="89"/>
      <c r="K124" s="118"/>
      <c r="L124" s="146"/>
      <c r="M124" s="146"/>
      <c r="N124" s="146"/>
      <c r="O124" s="146"/>
      <c r="P124" s="147"/>
      <c r="Q124" s="151"/>
    </row>
    <row r="125" spans="1:17" ht="30" customHeight="1">
      <c r="A125" s="171" t="s">
        <v>224</v>
      </c>
      <c r="B125" s="89" t="s">
        <v>225</v>
      </c>
      <c r="C125" s="89" t="s">
        <v>117</v>
      </c>
      <c r="D125" s="171" t="s">
        <v>118</v>
      </c>
      <c r="E125" s="108">
        <f>Rekenblad!E124</f>
        <v>0</v>
      </c>
      <c r="F125" s="118">
        <f>Rekenblad!F124</f>
        <v>95.4</v>
      </c>
      <c r="G125" s="118"/>
      <c r="H125" s="197"/>
      <c r="I125" s="200"/>
      <c r="J125" s="201"/>
      <c r="K125" s="183"/>
      <c r="L125" s="184"/>
      <c r="M125" s="184"/>
      <c r="N125" s="184"/>
      <c r="O125" s="184"/>
      <c r="P125" s="185"/>
      <c r="Q125" s="151"/>
    </row>
    <row r="126" spans="1:17" ht="30" customHeight="1">
      <c r="A126" s="171" t="s">
        <v>226</v>
      </c>
      <c r="B126" s="174" t="s">
        <v>227</v>
      </c>
      <c r="C126" s="107" t="s">
        <v>76</v>
      </c>
      <c r="D126" s="107" t="s">
        <v>8</v>
      </c>
      <c r="E126" s="108">
        <f>Rekenblad!E125</f>
        <v>200</v>
      </c>
      <c r="F126" s="118">
        <f>Rekenblad!F125</f>
        <v>238.5</v>
      </c>
      <c r="G126" s="109"/>
      <c r="H126" s="167">
        <f>E126*F126</f>
        <v>47700</v>
      </c>
      <c r="I126" s="569" t="s">
        <v>228</v>
      </c>
      <c r="J126" s="570"/>
      <c r="K126" s="118"/>
      <c r="L126" s="146"/>
      <c r="M126" s="146"/>
      <c r="N126" s="146"/>
      <c r="O126" s="146"/>
      <c r="P126" s="147"/>
      <c r="Q126" s="151"/>
    </row>
    <row r="127" spans="1:17" ht="30" customHeight="1">
      <c r="A127" s="171" t="s">
        <v>229</v>
      </c>
      <c r="B127" s="174" t="s">
        <v>230</v>
      </c>
      <c r="C127" s="107" t="s">
        <v>76</v>
      </c>
      <c r="D127" s="107" t="s">
        <v>8</v>
      </c>
      <c r="E127" s="108">
        <f>Rekenblad!E126</f>
        <v>200</v>
      </c>
      <c r="F127" s="118">
        <f>Rekenblad!F126</f>
        <v>291.5</v>
      </c>
      <c r="G127" s="109"/>
      <c r="H127" s="167">
        <f>SUM(E127*F127)</f>
        <v>58300</v>
      </c>
      <c r="I127" s="569" t="s">
        <v>231</v>
      </c>
      <c r="J127" s="570"/>
      <c r="K127" s="118"/>
      <c r="L127" s="146"/>
      <c r="M127" s="146"/>
      <c r="N127" s="146"/>
      <c r="O127" s="146"/>
      <c r="P127" s="147"/>
      <c r="Q127" s="151"/>
    </row>
    <row r="128" spans="1:17" ht="30" customHeight="1">
      <c r="A128" s="171" t="s">
        <v>232</v>
      </c>
      <c r="B128" s="174" t="s">
        <v>233</v>
      </c>
      <c r="C128" s="107" t="s">
        <v>57</v>
      </c>
      <c r="D128" s="107" t="s">
        <v>8</v>
      </c>
      <c r="E128" s="108">
        <f>Rekenblad!E127</f>
        <v>0</v>
      </c>
      <c r="F128" s="118">
        <f>Rekenblad!F127</f>
        <v>609.5</v>
      </c>
      <c r="G128" s="109"/>
      <c r="H128" s="167">
        <f t="shared" ref="H128:H137" si="12">SUM(E128*F128)</f>
        <v>0</v>
      </c>
      <c r="I128" s="569"/>
      <c r="J128" s="570"/>
      <c r="K128" s="118"/>
      <c r="L128" s="146"/>
      <c r="M128" s="146"/>
      <c r="N128" s="146"/>
      <c r="O128" s="146"/>
      <c r="P128" s="147"/>
      <c r="Q128" s="151"/>
    </row>
    <row r="129" spans="1:17" ht="30" customHeight="1">
      <c r="A129" s="171" t="s">
        <v>234</v>
      </c>
      <c r="B129" s="174" t="s">
        <v>235</v>
      </c>
      <c r="C129" s="107" t="s">
        <v>57</v>
      </c>
      <c r="D129" s="107" t="s">
        <v>8</v>
      </c>
      <c r="E129" s="108">
        <f>Rekenblad!E128</f>
        <v>0</v>
      </c>
      <c r="F129" s="118">
        <f>Rekenblad!F128</f>
        <v>676.28000000000009</v>
      </c>
      <c r="G129" s="109"/>
      <c r="H129" s="167">
        <f t="shared" si="12"/>
        <v>0</v>
      </c>
      <c r="I129" s="569"/>
      <c r="J129" s="570"/>
      <c r="K129" s="118"/>
      <c r="L129" s="146"/>
      <c r="M129" s="146"/>
      <c r="N129" s="146"/>
      <c r="O129" s="146"/>
      <c r="P129" s="147"/>
      <c r="Q129" s="151"/>
    </row>
    <row r="130" spans="1:17" ht="30" customHeight="1">
      <c r="A130" s="171" t="s">
        <v>236</v>
      </c>
      <c r="B130" s="89" t="s">
        <v>237</v>
      </c>
      <c r="C130" s="89" t="s">
        <v>117</v>
      </c>
      <c r="D130" s="171" t="s">
        <v>118</v>
      </c>
      <c r="E130" s="108">
        <f>Rekenblad!E129</f>
        <v>0</v>
      </c>
      <c r="F130" s="118">
        <f>Rekenblad!F129</f>
        <v>318</v>
      </c>
      <c r="G130" s="118"/>
      <c r="H130" s="167">
        <f t="shared" si="12"/>
        <v>0</v>
      </c>
      <c r="I130" s="569"/>
      <c r="J130" s="570"/>
      <c r="K130" s="183"/>
      <c r="L130" s="184"/>
      <c r="M130" s="184"/>
      <c r="N130" s="184"/>
      <c r="O130" s="184"/>
      <c r="P130" s="185"/>
      <c r="Q130" s="151"/>
    </row>
    <row r="131" spans="1:17" ht="30" customHeight="1">
      <c r="A131" s="171" t="s">
        <v>238</v>
      </c>
      <c r="B131" s="89" t="s">
        <v>239</v>
      </c>
      <c r="C131" s="89" t="s">
        <v>117</v>
      </c>
      <c r="D131" s="171" t="s">
        <v>118</v>
      </c>
      <c r="E131" s="108">
        <f>Rekenblad!E130</f>
        <v>0</v>
      </c>
      <c r="F131" s="118">
        <f>Rekenblad!F130</f>
        <v>0</v>
      </c>
      <c r="G131" s="118"/>
      <c r="H131" s="167">
        <f t="shared" si="12"/>
        <v>0</v>
      </c>
      <c r="I131" s="569"/>
      <c r="J131" s="570"/>
      <c r="K131" s="183"/>
      <c r="L131" s="184"/>
      <c r="M131" s="184"/>
      <c r="N131" s="184"/>
      <c r="O131" s="184"/>
      <c r="P131" s="185"/>
      <c r="Q131" s="151"/>
    </row>
    <row r="132" spans="1:17" ht="30" customHeight="1">
      <c r="A132" s="171" t="s">
        <v>240</v>
      </c>
      <c r="B132" s="89" t="s">
        <v>241</v>
      </c>
      <c r="C132" s="89" t="s">
        <v>117</v>
      </c>
      <c r="D132" s="171" t="s">
        <v>118</v>
      </c>
      <c r="E132" s="108">
        <f>Rekenblad!E131</f>
        <v>0</v>
      </c>
      <c r="F132" s="118">
        <f>Rekenblad!F131</f>
        <v>206.70000000000002</v>
      </c>
      <c r="G132" s="118"/>
      <c r="H132" s="167">
        <f t="shared" si="12"/>
        <v>0</v>
      </c>
      <c r="I132" s="569"/>
      <c r="J132" s="570"/>
      <c r="K132" s="183"/>
      <c r="L132" s="184"/>
      <c r="M132" s="184"/>
      <c r="N132" s="184"/>
      <c r="O132" s="184"/>
      <c r="P132" s="185"/>
      <c r="Q132" s="151"/>
    </row>
    <row r="133" spans="1:17" ht="30" customHeight="1">
      <c r="A133" s="171" t="s">
        <v>242</v>
      </c>
      <c r="B133" s="89" t="s">
        <v>243</v>
      </c>
      <c r="C133" s="89" t="s">
        <v>117</v>
      </c>
      <c r="D133" s="171" t="s">
        <v>118</v>
      </c>
      <c r="E133" s="108">
        <f>Rekenblad!E132</f>
        <v>0</v>
      </c>
      <c r="F133" s="118">
        <f>Rekenblad!F132</f>
        <v>0</v>
      </c>
      <c r="G133" s="118"/>
      <c r="H133" s="167">
        <f t="shared" si="12"/>
        <v>0</v>
      </c>
      <c r="I133" s="569"/>
      <c r="J133" s="570"/>
      <c r="K133" s="183"/>
      <c r="L133" s="184"/>
      <c r="M133" s="184"/>
      <c r="N133" s="184"/>
      <c r="O133" s="184"/>
      <c r="P133" s="185"/>
      <c r="Q133" s="151"/>
    </row>
    <row r="134" spans="1:17" ht="30" customHeight="1">
      <c r="A134" s="171" t="s">
        <v>244</v>
      </c>
      <c r="B134" s="174" t="s">
        <v>245</v>
      </c>
      <c r="C134" s="107" t="s">
        <v>57</v>
      </c>
      <c r="D134" s="107" t="s">
        <v>8</v>
      </c>
      <c r="E134" s="108">
        <f>Rekenblad!E133</f>
        <v>0</v>
      </c>
      <c r="F134" s="118">
        <f>Rekenblad!F133</f>
        <v>212.952</v>
      </c>
      <c r="G134" s="109"/>
      <c r="H134" s="167">
        <f t="shared" si="12"/>
        <v>0</v>
      </c>
      <c r="I134" s="569"/>
      <c r="J134" s="570"/>
      <c r="K134" s="118"/>
      <c r="L134" s="146"/>
      <c r="M134" s="146"/>
      <c r="N134" s="146"/>
      <c r="O134" s="146"/>
      <c r="P134" s="147"/>
      <c r="Q134" s="151"/>
    </row>
    <row r="135" spans="1:17" ht="30" customHeight="1">
      <c r="A135" s="171" t="s">
        <v>246</v>
      </c>
      <c r="B135" s="202" t="s">
        <v>247</v>
      </c>
      <c r="C135" s="203" t="s">
        <v>57</v>
      </c>
      <c r="D135" s="178" t="s">
        <v>8</v>
      </c>
      <c r="E135" s="108">
        <f>Rekenblad!E134</f>
        <v>0</v>
      </c>
      <c r="F135" s="118">
        <f>Rekenblad!F134</f>
        <v>270.3</v>
      </c>
      <c r="G135" s="206"/>
      <c r="H135" s="167">
        <f t="shared" si="12"/>
        <v>0</v>
      </c>
      <c r="I135" s="569"/>
      <c r="J135" s="570"/>
      <c r="K135" s="118"/>
      <c r="L135" s="146"/>
      <c r="M135" s="146"/>
      <c r="N135" s="146"/>
      <c r="O135" s="146"/>
      <c r="P135" s="147"/>
      <c r="Q135" s="151"/>
    </row>
    <row r="136" spans="1:17" ht="30" customHeight="1">
      <c r="A136" s="171" t="s">
        <v>248</v>
      </c>
      <c r="B136" s="174" t="s">
        <v>249</v>
      </c>
      <c r="C136" s="107" t="s">
        <v>57</v>
      </c>
      <c r="D136" s="107" t="s">
        <v>8</v>
      </c>
      <c r="E136" s="108">
        <f>Rekenblad!E135</f>
        <v>0</v>
      </c>
      <c r="F136" s="118">
        <f>Rekenblad!F135</f>
        <v>872.38</v>
      </c>
      <c r="G136" s="109"/>
      <c r="H136" s="167">
        <f t="shared" si="12"/>
        <v>0</v>
      </c>
      <c r="I136" s="569"/>
      <c r="J136" s="570"/>
      <c r="K136" s="207"/>
      <c r="L136" s="146"/>
      <c r="M136" s="146"/>
      <c r="N136" s="146"/>
      <c r="O136" s="146"/>
      <c r="P136" s="147"/>
      <c r="Q136" s="151"/>
    </row>
    <row r="137" spans="1:17" ht="30" customHeight="1">
      <c r="A137" s="171" t="s">
        <v>250</v>
      </c>
      <c r="B137" s="89" t="s">
        <v>251</v>
      </c>
      <c r="C137" s="89" t="s">
        <v>117</v>
      </c>
      <c r="D137" s="171" t="s">
        <v>118</v>
      </c>
      <c r="E137" s="108">
        <f>Rekenblad!E136</f>
        <v>0</v>
      </c>
      <c r="F137" s="118">
        <f>Rekenblad!F136</f>
        <v>0</v>
      </c>
      <c r="G137" s="118"/>
      <c r="H137" s="167">
        <f t="shared" si="12"/>
        <v>0</v>
      </c>
      <c r="I137" s="569"/>
      <c r="J137" s="570"/>
      <c r="K137" s="208"/>
      <c r="L137" s="184"/>
      <c r="M137" s="184"/>
      <c r="N137" s="184"/>
      <c r="O137" s="184"/>
      <c r="P137" s="185"/>
      <c r="Q137" s="151"/>
    </row>
    <row r="138" spans="1:17" ht="30" customHeight="1">
      <c r="A138" s="171" t="s">
        <v>252</v>
      </c>
      <c r="B138" s="116" t="s">
        <v>253</v>
      </c>
      <c r="C138" s="75" t="s">
        <v>76</v>
      </c>
      <c r="D138" s="107" t="s">
        <v>8</v>
      </c>
      <c r="E138" s="108">
        <f>Rekenblad!E137</f>
        <v>64</v>
      </c>
      <c r="F138" s="118">
        <f>Rekenblad!F137</f>
        <v>265</v>
      </c>
      <c r="G138" s="118"/>
      <c r="H138" s="109">
        <f>SUM(F138*E138)</f>
        <v>16960</v>
      </c>
      <c r="I138" s="569" t="s">
        <v>254</v>
      </c>
      <c r="J138" s="570"/>
      <c r="K138" s="209"/>
      <c r="L138" s="169"/>
      <c r="M138" s="169"/>
      <c r="N138" s="169"/>
      <c r="O138" s="169"/>
      <c r="P138" s="77"/>
      <c r="Q138" s="151"/>
    </row>
    <row r="139" spans="1:17" ht="30" customHeight="1">
      <c r="A139" s="171" t="s">
        <v>255</v>
      </c>
      <c r="B139" s="116" t="s">
        <v>256</v>
      </c>
      <c r="C139" s="75" t="s">
        <v>57</v>
      </c>
      <c r="D139" s="107" t="s">
        <v>257</v>
      </c>
      <c r="E139" s="108">
        <f>Rekenblad!E138</f>
        <v>0</v>
      </c>
      <c r="F139" s="118">
        <f>Rekenblad!F138</f>
        <v>615.64800000000002</v>
      </c>
      <c r="G139" s="118"/>
      <c r="H139" s="109">
        <f>SUM(F139*E139)</f>
        <v>0</v>
      </c>
      <c r="I139" s="569"/>
      <c r="J139" s="570"/>
      <c r="K139" s="209"/>
      <c r="L139" s="169"/>
      <c r="M139" s="169"/>
      <c r="N139" s="169"/>
      <c r="O139" s="169"/>
      <c r="P139" s="77"/>
      <c r="Q139" s="151"/>
    </row>
    <row r="140" spans="1:17" ht="30" customHeight="1">
      <c r="A140" s="171" t="s">
        <v>258</v>
      </c>
      <c r="B140" s="116" t="s">
        <v>259</v>
      </c>
      <c r="C140" s="75" t="s">
        <v>76</v>
      </c>
      <c r="D140" s="107" t="s">
        <v>8</v>
      </c>
      <c r="E140" s="108">
        <f>Rekenblad!E139</f>
        <v>0</v>
      </c>
      <c r="F140" s="118">
        <f>Rekenblad!F139</f>
        <v>795</v>
      </c>
      <c r="G140" s="118"/>
      <c r="H140" s="109">
        <f t="shared" ref="H140:H150" si="13">SUM(F140*E140)</f>
        <v>0</v>
      </c>
      <c r="I140" s="567"/>
      <c r="J140" s="567"/>
      <c r="K140" s="209"/>
      <c r="L140" s="169"/>
      <c r="M140" s="169"/>
      <c r="N140" s="169"/>
      <c r="O140" s="169"/>
      <c r="P140" s="77"/>
      <c r="Q140" s="151"/>
    </row>
    <row r="141" spans="1:17" ht="30" customHeight="1">
      <c r="A141" s="171" t="s">
        <v>260</v>
      </c>
      <c r="B141" s="116" t="s">
        <v>261</v>
      </c>
      <c r="C141" s="75" t="s">
        <v>57</v>
      </c>
      <c r="D141" s="107" t="s">
        <v>8</v>
      </c>
      <c r="E141" s="108">
        <f>Rekenblad!E140</f>
        <v>0</v>
      </c>
      <c r="F141" s="118">
        <f>Rekenblad!F140</f>
        <v>206.70000000000002</v>
      </c>
      <c r="G141" s="118"/>
      <c r="H141" s="109">
        <f t="shared" si="13"/>
        <v>0</v>
      </c>
      <c r="I141" s="567"/>
      <c r="J141" s="567"/>
      <c r="K141" s="210"/>
      <c r="L141" s="211"/>
      <c r="M141" s="211"/>
      <c r="N141" s="211"/>
      <c r="O141" s="211"/>
      <c r="P141" s="74"/>
      <c r="Q141" s="151"/>
    </row>
    <row r="142" spans="1:17" ht="30" customHeight="1">
      <c r="A142" s="171" t="s">
        <v>262</v>
      </c>
      <c r="B142" s="116" t="s">
        <v>263</v>
      </c>
      <c r="C142" s="75" t="s">
        <v>57</v>
      </c>
      <c r="D142" s="107" t="s">
        <v>8</v>
      </c>
      <c r="E142" s="108">
        <f>Rekenblad!E141</f>
        <v>0</v>
      </c>
      <c r="F142" s="118">
        <f>Rekenblad!F141</f>
        <v>291.5</v>
      </c>
      <c r="G142" s="118"/>
      <c r="H142" s="109">
        <f t="shared" si="13"/>
        <v>0</v>
      </c>
      <c r="I142" s="567"/>
      <c r="J142" s="567"/>
      <c r="K142" s="210"/>
      <c r="L142" s="211"/>
      <c r="M142" s="211"/>
      <c r="N142" s="211"/>
      <c r="O142" s="211"/>
      <c r="P142" s="74"/>
      <c r="Q142" s="151"/>
    </row>
    <row r="143" spans="1:17" ht="30" customHeight="1">
      <c r="A143" s="171" t="s">
        <v>264</v>
      </c>
      <c r="B143" s="116" t="s">
        <v>265</v>
      </c>
      <c r="C143" s="75" t="s">
        <v>57</v>
      </c>
      <c r="D143" s="107" t="s">
        <v>8</v>
      </c>
      <c r="E143" s="108">
        <f>Rekenblad!E142</f>
        <v>0</v>
      </c>
      <c r="F143" s="118">
        <f>Rekenblad!F142</f>
        <v>312.7</v>
      </c>
      <c r="G143" s="118"/>
      <c r="H143" s="109">
        <f t="shared" si="13"/>
        <v>0</v>
      </c>
      <c r="I143" s="567"/>
      <c r="J143" s="567"/>
      <c r="K143" s="210"/>
      <c r="L143" s="211"/>
      <c r="M143" s="211"/>
      <c r="N143" s="211"/>
      <c r="O143" s="211"/>
      <c r="P143" s="74"/>
      <c r="Q143" s="151"/>
    </row>
    <row r="144" spans="1:17" ht="30" customHeight="1">
      <c r="A144" s="171" t="s">
        <v>266</v>
      </c>
      <c r="B144" s="89" t="s">
        <v>267</v>
      </c>
      <c r="C144" s="89" t="s">
        <v>117</v>
      </c>
      <c r="D144" s="171" t="s">
        <v>118</v>
      </c>
      <c r="E144" s="108">
        <f>Rekenblad!E143</f>
        <v>0</v>
      </c>
      <c r="F144" s="118">
        <f>Rekenblad!F143</f>
        <v>243.8</v>
      </c>
      <c r="G144" s="118"/>
      <c r="H144" s="109">
        <f t="shared" si="13"/>
        <v>0</v>
      </c>
      <c r="I144" s="567"/>
      <c r="J144" s="567"/>
      <c r="K144" s="208"/>
      <c r="L144" s="184"/>
      <c r="M144" s="184"/>
      <c r="N144" s="184"/>
      <c r="O144" s="184"/>
      <c r="P144" s="185"/>
      <c r="Q144" s="151"/>
    </row>
    <row r="145" spans="1:17" ht="30" customHeight="1">
      <c r="A145" s="171" t="s">
        <v>268</v>
      </c>
      <c r="B145" s="89" t="s">
        <v>269</v>
      </c>
      <c r="C145" s="89" t="s">
        <v>117</v>
      </c>
      <c r="D145" s="171" t="s">
        <v>118</v>
      </c>
      <c r="E145" s="108">
        <f>Rekenblad!E144</f>
        <v>0</v>
      </c>
      <c r="F145" s="118">
        <f>Rekenblad!F144</f>
        <v>0</v>
      </c>
      <c r="G145" s="118"/>
      <c r="H145" s="109">
        <f t="shared" si="13"/>
        <v>0</v>
      </c>
      <c r="I145" s="567"/>
      <c r="J145" s="567"/>
      <c r="K145" s="208"/>
      <c r="L145" s="184"/>
      <c r="M145" s="184"/>
      <c r="N145" s="184"/>
      <c r="O145" s="184"/>
      <c r="P145" s="185"/>
      <c r="Q145" s="151"/>
    </row>
    <row r="146" spans="1:17" ht="30" customHeight="1">
      <c r="A146" s="171" t="s">
        <v>270</v>
      </c>
      <c r="B146" s="89" t="s">
        <v>271</v>
      </c>
      <c r="C146" s="89" t="s">
        <v>117</v>
      </c>
      <c r="D146" s="171" t="s">
        <v>118</v>
      </c>
      <c r="E146" s="108">
        <f>Rekenblad!E145</f>
        <v>0</v>
      </c>
      <c r="F146" s="118">
        <f>Rekenblad!F145</f>
        <v>0</v>
      </c>
      <c r="G146" s="118"/>
      <c r="H146" s="109">
        <f t="shared" si="13"/>
        <v>0</v>
      </c>
      <c r="I146" s="567"/>
      <c r="J146" s="567"/>
      <c r="K146" s="208"/>
      <c r="L146" s="184"/>
      <c r="M146" s="184"/>
      <c r="N146" s="184"/>
      <c r="O146" s="184"/>
      <c r="P146" s="185"/>
      <c r="Q146" s="151"/>
    </row>
    <row r="147" spans="1:17" ht="30" customHeight="1">
      <c r="A147" s="171" t="s">
        <v>272</v>
      </c>
      <c r="B147" s="89" t="s">
        <v>273</v>
      </c>
      <c r="C147" s="89" t="s">
        <v>117</v>
      </c>
      <c r="D147" s="171" t="s">
        <v>118</v>
      </c>
      <c r="E147" s="108">
        <f>Rekenblad!E146</f>
        <v>0</v>
      </c>
      <c r="F147" s="118">
        <f>Rekenblad!F146</f>
        <v>0</v>
      </c>
      <c r="G147" s="118"/>
      <c r="H147" s="109">
        <f t="shared" si="13"/>
        <v>0</v>
      </c>
      <c r="I147" s="567"/>
      <c r="J147" s="567"/>
      <c r="K147" s="208"/>
      <c r="L147" s="184"/>
      <c r="M147" s="184"/>
      <c r="N147" s="184"/>
      <c r="O147" s="184"/>
      <c r="P147" s="185"/>
      <c r="Q147" s="151"/>
    </row>
    <row r="148" spans="1:17" ht="30" customHeight="1">
      <c r="A148" s="171" t="s">
        <v>274</v>
      </c>
      <c r="B148" s="89" t="s">
        <v>275</v>
      </c>
      <c r="C148" s="89" t="s">
        <v>117</v>
      </c>
      <c r="D148" s="171" t="s">
        <v>118</v>
      </c>
      <c r="E148" s="108">
        <f>Rekenblad!E147</f>
        <v>0</v>
      </c>
      <c r="F148" s="118">
        <f>Rekenblad!F147</f>
        <v>58.300000000000004</v>
      </c>
      <c r="G148" s="118"/>
      <c r="H148" s="109">
        <f t="shared" si="13"/>
        <v>0</v>
      </c>
      <c r="I148" s="567"/>
      <c r="J148" s="567"/>
      <c r="K148" s="208"/>
      <c r="L148" s="184"/>
      <c r="M148" s="184"/>
      <c r="N148" s="184"/>
      <c r="O148" s="184"/>
      <c r="P148" s="185"/>
      <c r="Q148" s="151"/>
    </row>
    <row r="149" spans="1:17" ht="30" customHeight="1">
      <c r="A149" s="171" t="s">
        <v>276</v>
      </c>
      <c r="B149" s="89" t="s">
        <v>277</v>
      </c>
      <c r="C149" s="89" t="s">
        <v>117</v>
      </c>
      <c r="D149" s="171" t="s">
        <v>118</v>
      </c>
      <c r="E149" s="108">
        <f>Rekenblad!E148</f>
        <v>0</v>
      </c>
      <c r="F149" s="118">
        <f>Rekenblad!F148</f>
        <v>0</v>
      </c>
      <c r="G149" s="118"/>
      <c r="H149" s="109">
        <f t="shared" si="13"/>
        <v>0</v>
      </c>
      <c r="I149" s="567"/>
      <c r="J149" s="567"/>
      <c r="K149" s="208"/>
      <c r="L149" s="184"/>
      <c r="M149" s="184"/>
      <c r="N149" s="184"/>
      <c r="O149" s="184"/>
      <c r="P149" s="185"/>
      <c r="Q149" s="151"/>
    </row>
    <row r="150" spans="1:17" ht="30" customHeight="1">
      <c r="A150" s="171" t="s">
        <v>278</v>
      </c>
      <c r="B150" s="89" t="s">
        <v>279</v>
      </c>
      <c r="C150" s="89" t="s">
        <v>117</v>
      </c>
      <c r="D150" s="171" t="s">
        <v>118</v>
      </c>
      <c r="E150" s="108">
        <f>Rekenblad!E149</f>
        <v>0</v>
      </c>
      <c r="F150" s="118">
        <f>Rekenblad!F149</f>
        <v>0</v>
      </c>
      <c r="G150" s="118"/>
      <c r="H150" s="109">
        <f t="shared" si="13"/>
        <v>0</v>
      </c>
      <c r="I150" s="567"/>
      <c r="J150" s="567"/>
      <c r="K150" s="208"/>
      <c r="L150" s="184"/>
      <c r="M150" s="184"/>
      <c r="N150" s="184"/>
      <c r="O150" s="184"/>
      <c r="P150" s="185"/>
      <c r="Q150" s="151"/>
    </row>
    <row r="151" spans="1:17" ht="30" customHeight="1">
      <c r="A151" s="212"/>
      <c r="B151" s="151"/>
      <c r="C151" s="151"/>
      <c r="D151" s="213"/>
      <c r="E151" s="108"/>
      <c r="F151" s="118"/>
      <c r="G151" s="214"/>
      <c r="H151" s="215"/>
      <c r="I151" s="216"/>
      <c r="J151" s="217"/>
      <c r="K151" s="183"/>
      <c r="L151" s="184"/>
      <c r="M151" s="184"/>
      <c r="N151" s="184"/>
      <c r="O151" s="184"/>
      <c r="P151" s="185"/>
      <c r="Q151" s="151"/>
    </row>
    <row r="152" spans="1:17" ht="30" customHeight="1">
      <c r="A152" s="141">
        <v>8</v>
      </c>
      <c r="B152" s="65" t="s">
        <v>280</v>
      </c>
      <c r="C152" s="65"/>
      <c r="D152" s="38" t="s">
        <v>12</v>
      </c>
      <c r="E152" s="47" t="s">
        <v>13</v>
      </c>
      <c r="F152" s="60" t="str">
        <f>Rekenblad!F151</f>
        <v>bedrag per eenheid (excl. btw)</v>
      </c>
      <c r="G152" s="48" t="s">
        <v>15</v>
      </c>
      <c r="H152" s="48" t="s">
        <v>16</v>
      </c>
      <c r="I152" s="571" t="s">
        <v>17</v>
      </c>
      <c r="J152" s="571"/>
      <c r="K152" s="37"/>
      <c r="L152" s="50"/>
      <c r="M152" s="50"/>
      <c r="N152" s="50"/>
      <c r="O152" s="50"/>
      <c r="P152" s="49" t="s">
        <v>18</v>
      </c>
      <c r="Q152" s="151"/>
    </row>
    <row r="153" spans="1:17" ht="30" customHeight="1">
      <c r="A153" s="171" t="s">
        <v>281</v>
      </c>
      <c r="B153" s="174" t="s">
        <v>282</v>
      </c>
      <c r="C153" s="107"/>
      <c r="D153" s="107" t="s">
        <v>283</v>
      </c>
      <c r="E153" s="108">
        <f>Rekenblad!E152</f>
        <v>0</v>
      </c>
      <c r="F153" s="118">
        <f>Rekenblad!F152</f>
        <v>395.97360000000003</v>
      </c>
      <c r="G153" s="109"/>
      <c r="H153" s="167">
        <f>SUM(E153*F153)</f>
        <v>0</v>
      </c>
      <c r="I153" s="569"/>
      <c r="J153" s="570"/>
      <c r="K153" s="118"/>
      <c r="L153" s="146"/>
      <c r="M153" s="146"/>
      <c r="N153" s="146"/>
      <c r="O153" s="146"/>
      <c r="P153" s="147"/>
      <c r="Q153" s="151"/>
    </row>
    <row r="154" spans="1:17" ht="30" customHeight="1">
      <c r="A154" s="171" t="s">
        <v>284</v>
      </c>
      <c r="B154" s="174" t="s">
        <v>282</v>
      </c>
      <c r="C154" s="107" t="s">
        <v>57</v>
      </c>
      <c r="D154" s="107" t="s">
        <v>283</v>
      </c>
      <c r="E154" s="108">
        <f>Rekenblad!E153</f>
        <v>5</v>
      </c>
      <c r="F154" s="118">
        <f>Rekenblad!F153</f>
        <v>307.82400000000001</v>
      </c>
      <c r="G154" s="109"/>
      <c r="H154" s="167">
        <f>SUM(E154*F154)</f>
        <v>1539.1200000000001</v>
      </c>
      <c r="I154" s="569" t="s">
        <v>285</v>
      </c>
      <c r="J154" s="570"/>
      <c r="K154" s="118"/>
      <c r="L154" s="146"/>
      <c r="M154" s="146"/>
      <c r="N154" s="146"/>
      <c r="O154" s="146"/>
      <c r="P154" s="147"/>
      <c r="Q154" s="151"/>
    </row>
    <row r="155" spans="1:17" ht="30" customHeight="1">
      <c r="A155" s="171" t="s">
        <v>286</v>
      </c>
      <c r="B155" s="174" t="s">
        <v>287</v>
      </c>
      <c r="C155" s="107" t="s">
        <v>57</v>
      </c>
      <c r="D155" s="107" t="s">
        <v>257</v>
      </c>
      <c r="E155" s="108">
        <f>Rekenblad!E154</f>
        <v>0</v>
      </c>
      <c r="F155" s="118">
        <f>Rekenblad!F154</f>
        <v>397.5</v>
      </c>
      <c r="G155" s="109"/>
      <c r="H155" s="167"/>
      <c r="I155" s="153"/>
      <c r="J155" s="152"/>
      <c r="K155" s="118"/>
      <c r="L155" s="146"/>
      <c r="M155" s="146"/>
      <c r="N155" s="146"/>
      <c r="O155" s="146"/>
      <c r="P155" s="147"/>
      <c r="Q155" s="151"/>
    </row>
    <row r="156" spans="1:17" ht="30" customHeight="1">
      <c r="A156" s="171"/>
      <c r="B156" s="116"/>
      <c r="C156" s="75"/>
      <c r="D156" s="171"/>
      <c r="E156" s="108">
        <f>Rekenblad!E155</f>
        <v>0</v>
      </c>
      <c r="F156" s="118">
        <f>Rekenblad!F155</f>
        <v>0</v>
      </c>
      <c r="G156" s="109"/>
      <c r="H156" s="167"/>
      <c r="I156" s="569"/>
      <c r="J156" s="570"/>
      <c r="K156" s="161"/>
      <c r="L156" s="162"/>
      <c r="M156" s="162"/>
      <c r="N156" s="162"/>
      <c r="O156" s="162"/>
      <c r="P156" s="163"/>
      <c r="Q156" s="151"/>
    </row>
    <row r="157" spans="1:17" ht="30" customHeight="1">
      <c r="A157" s="141">
        <v>9</v>
      </c>
      <c r="B157" s="142" t="s">
        <v>288</v>
      </c>
      <c r="C157" s="65"/>
      <c r="D157" s="38" t="s">
        <v>12</v>
      </c>
      <c r="E157" s="47" t="s">
        <v>13</v>
      </c>
      <c r="F157" s="60" t="str">
        <f>Rekenblad!F156</f>
        <v>bedrag per eenheid (excl. btw)</v>
      </c>
      <c r="G157" s="48" t="s">
        <v>15</v>
      </c>
      <c r="H157" s="48" t="s">
        <v>16</v>
      </c>
      <c r="I157" s="571" t="s">
        <v>17</v>
      </c>
      <c r="J157" s="571"/>
      <c r="K157" s="37"/>
      <c r="L157" s="50"/>
      <c r="M157" s="50"/>
      <c r="N157" s="50"/>
      <c r="O157" s="50"/>
      <c r="P157" s="49" t="s">
        <v>18</v>
      </c>
      <c r="Q157" s="151"/>
    </row>
    <row r="158" spans="1:17">
      <c r="A158" s="218"/>
      <c r="B158" s="219"/>
      <c r="C158" s="219"/>
      <c r="D158" s="218"/>
      <c r="E158" s="220"/>
      <c r="F158" s="118">
        <f>Rekenblad!F157</f>
        <v>0</v>
      </c>
      <c r="G158" s="221"/>
      <c r="H158" s="221"/>
      <c r="I158" s="222"/>
      <c r="J158" s="151"/>
      <c r="K158" s="223"/>
      <c r="L158" s="224"/>
      <c r="M158" s="224"/>
      <c r="N158" s="224"/>
      <c r="O158" s="224"/>
      <c r="P158" s="225"/>
      <c r="Q158" s="151"/>
    </row>
    <row r="159" spans="1:17" ht="30" customHeight="1">
      <c r="A159" s="171" t="s">
        <v>289</v>
      </c>
      <c r="B159" s="174" t="s">
        <v>290</v>
      </c>
      <c r="C159" s="107" t="s">
        <v>117</v>
      </c>
      <c r="D159" s="107" t="s">
        <v>291</v>
      </c>
      <c r="E159" s="196">
        <f>$G$3*$A$4</f>
        <v>100</v>
      </c>
      <c r="F159" s="118">
        <f>Rekenblad!F158</f>
        <v>23.32</v>
      </c>
      <c r="G159" s="109"/>
      <c r="H159" s="167">
        <f>E159*F159</f>
        <v>2332</v>
      </c>
      <c r="I159" s="567" t="s">
        <v>292</v>
      </c>
      <c r="J159" s="568"/>
      <c r="K159" s="118"/>
      <c r="L159" s="146"/>
      <c r="M159" s="146"/>
      <c r="N159" s="146"/>
      <c r="O159" s="146"/>
      <c r="P159" s="147"/>
      <c r="Q159" s="151"/>
    </row>
    <row r="160" spans="1:17" ht="30" customHeight="1">
      <c r="A160" s="171" t="s">
        <v>293</v>
      </c>
      <c r="B160" s="174" t="s">
        <v>294</v>
      </c>
      <c r="C160" s="107" t="s">
        <v>57</v>
      </c>
      <c r="D160" s="107" t="s">
        <v>291</v>
      </c>
      <c r="E160" s="108">
        <f>Rekenblad!E159</f>
        <v>0</v>
      </c>
      <c r="F160" s="118">
        <f>Rekenblad!F159</f>
        <v>95.347000000000008</v>
      </c>
      <c r="G160" s="109"/>
      <c r="H160" s="167"/>
      <c r="I160" s="567"/>
      <c r="J160" s="568"/>
      <c r="K160" s="118"/>
      <c r="L160" s="146"/>
      <c r="M160" s="146"/>
      <c r="N160" s="146"/>
      <c r="O160" s="146"/>
      <c r="P160" s="147"/>
      <c r="Q160" s="151"/>
    </row>
    <row r="161" spans="1:17" ht="30" customHeight="1">
      <c r="A161" s="171" t="s">
        <v>295</v>
      </c>
      <c r="B161" s="174" t="s">
        <v>296</v>
      </c>
      <c r="C161" s="107" t="s">
        <v>57</v>
      </c>
      <c r="D161" s="107" t="s">
        <v>291</v>
      </c>
      <c r="E161" s="108">
        <f>Rekenblad!E160</f>
        <v>10</v>
      </c>
      <c r="F161" s="118">
        <f>Rekenblad!F160</f>
        <v>276.44800000000004</v>
      </c>
      <c r="G161" s="109"/>
      <c r="H161" s="167">
        <f t="shared" ref="H161:H194" si="14">SUM(E161*F161)</f>
        <v>2764.4800000000005</v>
      </c>
      <c r="I161" s="569" t="s">
        <v>297</v>
      </c>
      <c r="J161" s="570"/>
      <c r="K161" s="118"/>
      <c r="L161" s="146"/>
      <c r="M161" s="146"/>
      <c r="N161" s="146"/>
      <c r="O161" s="146"/>
      <c r="P161" s="147"/>
      <c r="Q161" s="151"/>
    </row>
    <row r="162" spans="1:17" ht="30" customHeight="1">
      <c r="A162" s="171" t="s">
        <v>298</v>
      </c>
      <c r="B162" s="174" t="s">
        <v>299</v>
      </c>
      <c r="C162" s="107" t="s">
        <v>57</v>
      </c>
      <c r="D162" s="107" t="s">
        <v>300</v>
      </c>
      <c r="E162" s="196">
        <f>$G$3*$A$4</f>
        <v>100</v>
      </c>
      <c r="F162" s="118">
        <f>Rekenblad!F161</f>
        <v>201.4</v>
      </c>
      <c r="G162" s="109"/>
      <c r="H162" s="167">
        <f t="shared" si="14"/>
        <v>20140</v>
      </c>
      <c r="I162" s="569" t="s">
        <v>301</v>
      </c>
      <c r="J162" s="570"/>
      <c r="K162" s="118"/>
      <c r="L162" s="146"/>
      <c r="M162" s="146"/>
      <c r="N162" s="146"/>
      <c r="O162" s="146"/>
      <c r="P162" s="147"/>
      <c r="Q162" s="151"/>
    </row>
    <row r="163" spans="1:17" ht="30" customHeight="1">
      <c r="A163" s="171" t="s">
        <v>302</v>
      </c>
      <c r="B163" s="174" t="s">
        <v>303</v>
      </c>
      <c r="C163" s="107" t="s">
        <v>57</v>
      </c>
      <c r="D163" s="107" t="s">
        <v>304</v>
      </c>
      <c r="E163" s="108">
        <f>Rekenblad!E162</f>
        <v>0</v>
      </c>
      <c r="F163" s="118">
        <f>Rekenblad!F162</f>
        <v>154.44200000000001</v>
      </c>
      <c r="G163" s="109"/>
      <c r="H163" s="167">
        <f t="shared" si="14"/>
        <v>0</v>
      </c>
      <c r="I163" s="569"/>
      <c r="J163" s="570"/>
      <c r="K163" s="118"/>
      <c r="L163" s="146"/>
      <c r="M163" s="146"/>
      <c r="N163" s="146"/>
      <c r="O163" s="146"/>
      <c r="P163" s="147"/>
      <c r="Q163" s="151"/>
    </row>
    <row r="164" spans="1:17" ht="30" customHeight="1">
      <c r="A164" s="171" t="s">
        <v>305</v>
      </c>
      <c r="B164" s="89" t="s">
        <v>306</v>
      </c>
      <c r="C164" s="89" t="s">
        <v>117</v>
      </c>
      <c r="D164" s="171" t="s">
        <v>307</v>
      </c>
      <c r="E164" s="196">
        <f>$G$3*$A$4</f>
        <v>100</v>
      </c>
      <c r="F164" s="118">
        <f>Rekenblad!F163</f>
        <v>66.25</v>
      </c>
      <c r="G164" s="118"/>
      <c r="H164" s="168">
        <f t="shared" si="14"/>
        <v>6625</v>
      </c>
      <c r="I164" s="569" t="s">
        <v>308</v>
      </c>
      <c r="J164" s="570"/>
      <c r="K164" s="183"/>
      <c r="L164" s="184"/>
      <c r="M164" s="184"/>
      <c r="N164" s="184"/>
      <c r="O164" s="184"/>
      <c r="P164" s="185"/>
      <c r="Q164" s="151"/>
    </row>
    <row r="165" spans="1:17" ht="30" customHeight="1">
      <c r="A165" s="171" t="s">
        <v>309</v>
      </c>
      <c r="B165" s="89" t="s">
        <v>310</v>
      </c>
      <c r="C165" s="89" t="s">
        <v>117</v>
      </c>
      <c r="D165" s="171" t="s">
        <v>118</v>
      </c>
      <c r="E165" s="108">
        <f>Rekenblad!E164</f>
        <v>0</v>
      </c>
      <c r="F165" s="118">
        <f>Rekenblad!F164</f>
        <v>180.20000000000002</v>
      </c>
      <c r="G165" s="118"/>
      <c r="H165" s="197">
        <f t="shared" si="14"/>
        <v>0</v>
      </c>
      <c r="I165" s="569"/>
      <c r="J165" s="570"/>
      <c r="K165" s="183"/>
      <c r="L165" s="184"/>
      <c r="M165" s="184"/>
      <c r="N165" s="184"/>
      <c r="O165" s="184"/>
      <c r="P165" s="185"/>
      <c r="Q165" s="151"/>
    </row>
    <row r="166" spans="1:17" ht="30" customHeight="1">
      <c r="A166" s="171" t="s">
        <v>311</v>
      </c>
      <c r="B166" s="174" t="s">
        <v>312</v>
      </c>
      <c r="C166" s="107" t="s">
        <v>33</v>
      </c>
      <c r="D166" s="107" t="s">
        <v>313</v>
      </c>
      <c r="E166" s="108">
        <f>Rekenblad!E165</f>
        <v>0</v>
      </c>
      <c r="F166" s="118">
        <f>Rekenblad!F165</f>
        <v>180.20000000000002</v>
      </c>
      <c r="G166" s="109"/>
      <c r="H166" s="167">
        <f t="shared" si="14"/>
        <v>0</v>
      </c>
      <c r="I166" s="569"/>
      <c r="J166" s="570"/>
      <c r="K166" s="118"/>
      <c r="L166" s="146"/>
      <c r="M166" s="146"/>
      <c r="N166" s="146"/>
      <c r="O166" s="146"/>
      <c r="P166" s="147"/>
      <c r="Q166" s="151"/>
    </row>
    <row r="167" spans="1:17" ht="30" customHeight="1">
      <c r="A167" s="171" t="s">
        <v>314</v>
      </c>
      <c r="B167" s="174" t="s">
        <v>315</v>
      </c>
      <c r="C167" s="107" t="s">
        <v>57</v>
      </c>
      <c r="D167" s="107" t="s">
        <v>316</v>
      </c>
      <c r="E167" s="108">
        <f>Rekenblad!E166</f>
        <v>0</v>
      </c>
      <c r="F167" s="118">
        <f>Rekenblad!F166</f>
        <v>1679.0400000000002</v>
      </c>
      <c r="G167" s="109"/>
      <c r="H167" s="167">
        <f t="shared" si="14"/>
        <v>0</v>
      </c>
      <c r="I167" s="569"/>
      <c r="J167" s="570"/>
      <c r="K167" s="118"/>
      <c r="L167" s="146"/>
      <c r="M167" s="146"/>
      <c r="N167" s="146"/>
      <c r="O167" s="146"/>
      <c r="P167" s="147"/>
      <c r="Q167" s="151"/>
    </row>
    <row r="168" spans="1:17" ht="30" customHeight="1">
      <c r="A168" s="171" t="s">
        <v>317</v>
      </c>
      <c r="B168" s="89" t="s">
        <v>318</v>
      </c>
      <c r="C168" s="89" t="s">
        <v>117</v>
      </c>
      <c r="D168" s="171" t="s">
        <v>118</v>
      </c>
      <c r="E168" s="108">
        <f>Rekenblad!E167</f>
        <v>0</v>
      </c>
      <c r="F168" s="118">
        <f>Rekenblad!F167</f>
        <v>10.865</v>
      </c>
      <c r="G168" s="118"/>
      <c r="H168" s="197">
        <f t="shared" si="14"/>
        <v>0</v>
      </c>
      <c r="I168" s="569"/>
      <c r="J168" s="570"/>
      <c r="K168" s="183"/>
      <c r="L168" s="184"/>
      <c r="M168" s="184"/>
      <c r="N168" s="184"/>
      <c r="O168" s="184"/>
      <c r="P168" s="185"/>
      <c r="Q168" s="151"/>
    </row>
    <row r="169" spans="1:17" ht="30" customHeight="1">
      <c r="A169" s="171" t="s">
        <v>319</v>
      </c>
      <c r="B169" s="174" t="s">
        <v>320</v>
      </c>
      <c r="C169" s="107" t="s">
        <v>57</v>
      </c>
      <c r="D169" s="107" t="s">
        <v>316</v>
      </c>
      <c r="E169" s="108">
        <f>Rekenblad!E168</f>
        <v>0</v>
      </c>
      <c r="F169" s="118">
        <f>Rekenblad!F168</f>
        <v>1007.424</v>
      </c>
      <c r="G169" s="109"/>
      <c r="H169" s="167">
        <f t="shared" si="14"/>
        <v>0</v>
      </c>
      <c r="I169" s="569" t="s">
        <v>321</v>
      </c>
      <c r="J169" s="570"/>
      <c r="K169" s="118"/>
      <c r="L169" s="146"/>
      <c r="M169" s="146"/>
      <c r="N169" s="146"/>
      <c r="O169" s="146"/>
      <c r="P169" s="147"/>
      <c r="Q169" s="151"/>
    </row>
    <row r="170" spans="1:17" ht="30" customHeight="1">
      <c r="A170" s="171" t="s">
        <v>322</v>
      </c>
      <c r="B170" s="89" t="s">
        <v>323</v>
      </c>
      <c r="C170" s="89" t="s">
        <v>117</v>
      </c>
      <c r="D170" s="171" t="s">
        <v>118</v>
      </c>
      <c r="E170" s="108">
        <f>Rekenblad!E169</f>
        <v>0</v>
      </c>
      <c r="F170" s="118">
        <f>Rekenblad!F169</f>
        <v>13.515000000000001</v>
      </c>
      <c r="G170" s="118"/>
      <c r="H170" s="197">
        <f t="shared" si="14"/>
        <v>0</v>
      </c>
      <c r="I170" s="569"/>
      <c r="J170" s="570"/>
      <c r="K170" s="183"/>
      <c r="L170" s="184"/>
      <c r="M170" s="184"/>
      <c r="N170" s="184"/>
      <c r="O170" s="184"/>
      <c r="P170" s="185"/>
      <c r="Q170" s="151"/>
    </row>
    <row r="171" spans="1:17" ht="30" customHeight="1">
      <c r="A171" s="171" t="s">
        <v>324</v>
      </c>
      <c r="B171" s="174" t="s">
        <v>325</v>
      </c>
      <c r="C171" s="107"/>
      <c r="D171" s="107" t="s">
        <v>326</v>
      </c>
      <c r="E171" s="196">
        <f>$G$3*$A$4</f>
        <v>100</v>
      </c>
      <c r="F171" s="118">
        <f>Rekenblad!F170</f>
        <v>74.2</v>
      </c>
      <c r="G171" s="109"/>
      <c r="H171" s="167">
        <f t="shared" si="14"/>
        <v>7420</v>
      </c>
      <c r="I171" s="567" t="s">
        <v>327</v>
      </c>
      <c r="J171" s="568"/>
      <c r="K171" s="118"/>
      <c r="L171" s="146"/>
      <c r="M171" s="146"/>
      <c r="N171" s="146"/>
      <c r="O171" s="146"/>
      <c r="P171" s="147"/>
      <c r="Q171" s="151"/>
    </row>
    <row r="172" spans="1:17" ht="30" customHeight="1">
      <c r="A172" s="171" t="s">
        <v>328</v>
      </c>
      <c r="B172" s="174" t="s">
        <v>329</v>
      </c>
      <c r="C172" s="107" t="s">
        <v>57</v>
      </c>
      <c r="D172" s="107" t="s">
        <v>326</v>
      </c>
      <c r="E172" s="108">
        <f>Rekenblad!E171</f>
        <v>0</v>
      </c>
      <c r="F172" s="118">
        <f>Rekenblad!F171</f>
        <v>283.23200000000003</v>
      </c>
      <c r="G172" s="109"/>
      <c r="H172" s="167">
        <f t="shared" si="14"/>
        <v>0</v>
      </c>
      <c r="I172" s="569"/>
      <c r="J172" s="570"/>
      <c r="K172" s="118"/>
      <c r="L172" s="146"/>
      <c r="M172" s="146"/>
      <c r="N172" s="146"/>
      <c r="O172" s="146"/>
      <c r="P172" s="147"/>
      <c r="Q172" s="151"/>
    </row>
    <row r="173" spans="1:17" ht="30" customHeight="1">
      <c r="A173" s="171" t="s">
        <v>330</v>
      </c>
      <c r="B173" s="89" t="s">
        <v>331</v>
      </c>
      <c r="C173" s="89" t="s">
        <v>117</v>
      </c>
      <c r="D173" s="171" t="s">
        <v>118</v>
      </c>
      <c r="E173" s="108">
        <f>Rekenblad!E172</f>
        <v>0</v>
      </c>
      <c r="F173" s="118">
        <f>Rekenblad!F172</f>
        <v>95.4</v>
      </c>
      <c r="G173" s="118"/>
      <c r="H173" s="197">
        <f t="shared" si="14"/>
        <v>0</v>
      </c>
      <c r="I173" s="569"/>
      <c r="J173" s="570"/>
      <c r="K173" s="183"/>
      <c r="L173" s="184"/>
      <c r="M173" s="184"/>
      <c r="N173" s="184"/>
      <c r="O173" s="184"/>
      <c r="P173" s="185"/>
      <c r="Q173" s="151"/>
    </row>
    <row r="174" spans="1:17" ht="30" customHeight="1">
      <c r="A174" s="171" t="s">
        <v>332</v>
      </c>
      <c r="B174" s="174" t="s">
        <v>333</v>
      </c>
      <c r="C174" s="107" t="s">
        <v>57</v>
      </c>
      <c r="D174" s="107" t="s">
        <v>334</v>
      </c>
      <c r="E174" s="196">
        <f>$G$3*$A$4</f>
        <v>100</v>
      </c>
      <c r="F174" s="118">
        <f>Rekenblad!F173</f>
        <v>33.814</v>
      </c>
      <c r="G174" s="109"/>
      <c r="H174" s="167">
        <f t="shared" si="14"/>
        <v>3381.4</v>
      </c>
      <c r="I174" s="153" t="s">
        <v>335</v>
      </c>
      <c r="J174" s="152"/>
      <c r="K174" s="118"/>
      <c r="L174" s="146"/>
      <c r="M174" s="146"/>
      <c r="N174" s="146"/>
      <c r="O174" s="146"/>
      <c r="P174" s="147"/>
      <c r="Q174" s="151"/>
    </row>
    <row r="175" spans="1:17" ht="30" customHeight="1">
      <c r="A175" s="171" t="s">
        <v>336</v>
      </c>
      <c r="B175" s="116" t="s">
        <v>337</v>
      </c>
      <c r="C175" s="75" t="s">
        <v>57</v>
      </c>
      <c r="D175" s="107" t="s">
        <v>338</v>
      </c>
      <c r="E175" s="196">
        <f>$G$3*$A$4</f>
        <v>100</v>
      </c>
      <c r="F175" s="118">
        <f>Rekenblad!F174</f>
        <v>46.11</v>
      </c>
      <c r="G175" s="109"/>
      <c r="H175" s="167">
        <f t="shared" si="14"/>
        <v>4611</v>
      </c>
      <c r="I175" s="569" t="s">
        <v>339</v>
      </c>
      <c r="J175" s="570"/>
      <c r="K175" s="118"/>
      <c r="L175" s="146"/>
      <c r="M175" s="146"/>
      <c r="N175" s="146"/>
      <c r="O175" s="146"/>
      <c r="P175" s="147"/>
      <c r="Q175" s="151"/>
    </row>
    <row r="176" spans="1:17" ht="30" customHeight="1">
      <c r="A176" s="171" t="s">
        <v>340</v>
      </c>
      <c r="B176" s="116" t="s">
        <v>341</v>
      </c>
      <c r="C176" s="75" t="s">
        <v>76</v>
      </c>
      <c r="D176" s="107" t="s">
        <v>342</v>
      </c>
      <c r="E176" s="196">
        <f>$G$3*$A$4</f>
        <v>100</v>
      </c>
      <c r="F176" s="118">
        <f>Rekenblad!F175</f>
        <v>461.1</v>
      </c>
      <c r="G176" s="109"/>
      <c r="H176" s="167">
        <f t="shared" si="14"/>
        <v>46110</v>
      </c>
      <c r="I176" s="569" t="s">
        <v>343</v>
      </c>
      <c r="J176" s="570"/>
      <c r="K176" s="118"/>
      <c r="L176" s="146"/>
      <c r="M176" s="146"/>
      <c r="N176" s="146"/>
      <c r="O176" s="146"/>
      <c r="P176" s="147"/>
      <c r="Q176" s="151"/>
    </row>
    <row r="177" spans="1:17" ht="30" customHeight="1">
      <c r="A177" s="171" t="s">
        <v>344</v>
      </c>
      <c r="B177" s="116" t="s">
        <v>345</v>
      </c>
      <c r="C177" s="75" t="s">
        <v>26</v>
      </c>
      <c r="D177" s="171" t="s">
        <v>291</v>
      </c>
      <c r="E177" s="108">
        <f>Rekenblad!E176</f>
        <v>0</v>
      </c>
      <c r="F177" s="118">
        <f>Rekenblad!F176</f>
        <v>954</v>
      </c>
      <c r="G177" s="109"/>
      <c r="H177" s="167">
        <f t="shared" ref="H177" si="15">SUM(E177*F177)</f>
        <v>0</v>
      </c>
      <c r="I177" s="569" t="s">
        <v>346</v>
      </c>
      <c r="J177" s="570"/>
      <c r="K177" s="118"/>
      <c r="L177" s="146"/>
      <c r="M177" s="146"/>
      <c r="N177" s="146"/>
      <c r="O177" s="146"/>
      <c r="P177" s="147"/>
      <c r="Q177" s="151"/>
    </row>
    <row r="178" spans="1:17" ht="30" customHeight="1">
      <c r="A178" s="171" t="s">
        <v>347</v>
      </c>
      <c r="B178" s="116" t="s">
        <v>348</v>
      </c>
      <c r="C178" s="75" t="s">
        <v>57</v>
      </c>
      <c r="D178" s="107" t="s">
        <v>291</v>
      </c>
      <c r="E178" s="108">
        <f>Rekenblad!E178</f>
        <v>50</v>
      </c>
      <c r="F178" s="118">
        <f>Rekenblad!F178</f>
        <v>20.352</v>
      </c>
      <c r="G178" s="109"/>
      <c r="H178" s="167">
        <f t="shared" si="14"/>
        <v>1017.6</v>
      </c>
      <c r="I178" s="569" t="s">
        <v>349</v>
      </c>
      <c r="J178" s="570"/>
      <c r="K178" s="118"/>
      <c r="L178" s="146"/>
      <c r="M178" s="146"/>
      <c r="N178" s="146"/>
      <c r="O178" s="146"/>
      <c r="P178" s="147"/>
      <c r="Q178" s="151"/>
    </row>
    <row r="179" spans="1:17" ht="30" customHeight="1">
      <c r="A179" s="171" t="s">
        <v>350</v>
      </c>
      <c r="B179" s="116" t="s">
        <v>351</v>
      </c>
      <c r="C179" s="75" t="s">
        <v>57</v>
      </c>
      <c r="D179" s="107" t="s">
        <v>257</v>
      </c>
      <c r="E179" s="108">
        <f>Rekenblad!E179</f>
        <v>0</v>
      </c>
      <c r="F179" s="118">
        <f>Rekenblad!F179</f>
        <v>59.466000000000001</v>
      </c>
      <c r="G179" s="109"/>
      <c r="H179" s="167">
        <f t="shared" si="14"/>
        <v>0</v>
      </c>
      <c r="I179" s="569"/>
      <c r="J179" s="570"/>
      <c r="K179" s="118"/>
      <c r="L179" s="146"/>
      <c r="M179" s="146"/>
      <c r="N179" s="146"/>
      <c r="O179" s="146"/>
      <c r="P179" s="147"/>
      <c r="Q179" s="151"/>
    </row>
    <row r="180" spans="1:17" ht="30" customHeight="1">
      <c r="A180" s="171" t="s">
        <v>352</v>
      </c>
      <c r="B180" s="89" t="s">
        <v>353</v>
      </c>
      <c r="C180" s="89" t="s">
        <v>117</v>
      </c>
      <c r="D180" s="171" t="s">
        <v>118</v>
      </c>
      <c r="E180" s="108">
        <f>Rekenblad!E180</f>
        <v>0</v>
      </c>
      <c r="F180" s="118">
        <f>Rekenblad!F180</f>
        <v>0</v>
      </c>
      <c r="G180" s="118"/>
      <c r="H180" s="197">
        <f t="shared" si="14"/>
        <v>0</v>
      </c>
      <c r="I180" s="569"/>
      <c r="J180" s="570"/>
      <c r="K180" s="183"/>
      <c r="L180" s="184"/>
      <c r="M180" s="184"/>
      <c r="N180" s="184"/>
      <c r="O180" s="184"/>
      <c r="P180" s="185"/>
      <c r="Q180" s="151"/>
    </row>
    <row r="181" spans="1:17" ht="30" customHeight="1">
      <c r="A181" s="171" t="s">
        <v>354</v>
      </c>
      <c r="B181" s="89" t="s">
        <v>355</v>
      </c>
      <c r="C181" s="89" t="s">
        <v>117</v>
      </c>
      <c r="D181" s="171" t="s">
        <v>356</v>
      </c>
      <c r="E181" s="108">
        <f>Rekenblad!E181</f>
        <v>0</v>
      </c>
      <c r="F181" s="118">
        <f>Rekenblad!F181</f>
        <v>53</v>
      </c>
      <c r="G181" s="109"/>
      <c r="H181" s="167">
        <f t="shared" si="14"/>
        <v>0</v>
      </c>
      <c r="I181" s="569"/>
      <c r="J181" s="570"/>
      <c r="K181" s="118"/>
      <c r="L181" s="146"/>
      <c r="M181" s="146"/>
      <c r="N181" s="146"/>
      <c r="O181" s="146"/>
      <c r="P181" s="147"/>
      <c r="Q181" s="151"/>
    </row>
    <row r="182" spans="1:17" ht="30" customHeight="1">
      <c r="A182" s="171" t="s">
        <v>357</v>
      </c>
      <c r="B182" s="89" t="s">
        <v>358</v>
      </c>
      <c r="C182" s="89" t="s">
        <v>117</v>
      </c>
      <c r="D182" s="171" t="s">
        <v>359</v>
      </c>
      <c r="E182" s="108">
        <f>Rekenblad!E182</f>
        <v>0</v>
      </c>
      <c r="F182" s="118">
        <f>Rekenblad!F182</f>
        <v>1.7489999999999999</v>
      </c>
      <c r="G182" s="109"/>
      <c r="H182" s="167">
        <f t="shared" si="14"/>
        <v>0</v>
      </c>
      <c r="I182" s="569"/>
      <c r="J182" s="570"/>
      <c r="K182" s="118"/>
      <c r="L182" s="146"/>
      <c r="M182" s="146"/>
      <c r="N182" s="146"/>
      <c r="O182" s="146"/>
      <c r="P182" s="147"/>
      <c r="Q182" s="151"/>
    </row>
    <row r="183" spans="1:17" ht="30" customHeight="1">
      <c r="A183" s="171" t="s">
        <v>360</v>
      </c>
      <c r="B183" s="89" t="s">
        <v>361</v>
      </c>
      <c r="C183" s="89" t="s">
        <v>117</v>
      </c>
      <c r="D183" s="171" t="s">
        <v>362</v>
      </c>
      <c r="E183" s="108">
        <f>Rekenblad!E183</f>
        <v>0</v>
      </c>
      <c r="F183" s="118">
        <f>Rekenblad!F183</f>
        <v>58.300000000000004</v>
      </c>
      <c r="G183" s="109"/>
      <c r="H183" s="167">
        <f t="shared" si="14"/>
        <v>0</v>
      </c>
      <c r="I183" s="569"/>
      <c r="J183" s="570"/>
      <c r="K183" s="118"/>
      <c r="L183" s="146"/>
      <c r="M183" s="146"/>
      <c r="N183" s="146"/>
      <c r="O183" s="146"/>
      <c r="P183" s="147"/>
      <c r="Q183" s="151"/>
    </row>
    <row r="184" spans="1:17" ht="30" customHeight="1">
      <c r="A184" s="171" t="s">
        <v>363</v>
      </c>
      <c r="B184" s="89" t="s">
        <v>364</v>
      </c>
      <c r="C184" s="89" t="s">
        <v>117</v>
      </c>
      <c r="D184" s="171" t="s">
        <v>304</v>
      </c>
      <c r="E184" s="196">
        <f>$G$3*$A$4</f>
        <v>100</v>
      </c>
      <c r="F184" s="118">
        <f>Rekenblad!F184</f>
        <v>331.78000000000003</v>
      </c>
      <c r="G184" s="109"/>
      <c r="H184" s="167">
        <f t="shared" si="14"/>
        <v>33178</v>
      </c>
      <c r="I184" s="569" t="s">
        <v>365</v>
      </c>
      <c r="J184" s="570"/>
      <c r="K184" s="118"/>
      <c r="L184" s="146"/>
      <c r="M184" s="146"/>
      <c r="N184" s="146"/>
      <c r="O184" s="146"/>
      <c r="P184" s="147"/>
      <c r="Q184" s="151"/>
    </row>
    <row r="185" spans="1:17" ht="30" customHeight="1">
      <c r="A185" s="171" t="s">
        <v>366</v>
      </c>
      <c r="B185" s="89" t="s">
        <v>367</v>
      </c>
      <c r="C185" s="89" t="s">
        <v>117</v>
      </c>
      <c r="D185" s="171" t="s">
        <v>362</v>
      </c>
      <c r="E185" s="108">
        <f>Rekenblad!E185</f>
        <v>0</v>
      </c>
      <c r="F185" s="118">
        <f>Rekenblad!F185</f>
        <v>0</v>
      </c>
      <c r="G185" s="109"/>
      <c r="H185" s="167">
        <f t="shared" si="14"/>
        <v>0</v>
      </c>
      <c r="I185" s="567"/>
      <c r="J185" s="568"/>
      <c r="K185" s="118"/>
      <c r="L185" s="146"/>
      <c r="M185" s="146"/>
      <c r="N185" s="146"/>
      <c r="O185" s="146"/>
      <c r="P185" s="147"/>
      <c r="Q185" s="151"/>
    </row>
    <row r="186" spans="1:17" ht="30" customHeight="1">
      <c r="A186" s="171" t="s">
        <v>368</v>
      </c>
      <c r="B186" s="89" t="s">
        <v>369</v>
      </c>
      <c r="C186" s="89" t="s">
        <v>117</v>
      </c>
      <c r="D186" s="171" t="s">
        <v>370</v>
      </c>
      <c r="E186" s="108">
        <f>Rekenblad!E186</f>
        <v>0</v>
      </c>
      <c r="F186" s="118">
        <f>Rekenblad!F186</f>
        <v>0</v>
      </c>
      <c r="G186" s="109"/>
      <c r="H186" s="167">
        <f t="shared" si="14"/>
        <v>0</v>
      </c>
      <c r="I186" s="567"/>
      <c r="J186" s="568"/>
      <c r="K186" s="161"/>
      <c r="L186" s="162"/>
      <c r="M186" s="162"/>
      <c r="N186" s="162"/>
      <c r="O186" s="162"/>
      <c r="P186" s="163"/>
      <c r="Q186" s="151"/>
    </row>
    <row r="187" spans="1:17" ht="30" customHeight="1">
      <c r="A187" s="171" t="s">
        <v>371</v>
      </c>
      <c r="B187" s="89" t="s">
        <v>372</v>
      </c>
      <c r="C187" s="89" t="s">
        <v>117</v>
      </c>
      <c r="D187" s="171" t="s">
        <v>304</v>
      </c>
      <c r="E187" s="196">
        <f>$G$3*$A$4</f>
        <v>100</v>
      </c>
      <c r="F187" s="118">
        <f>Rekenblad!F187</f>
        <v>312.7</v>
      </c>
      <c r="G187" s="109"/>
      <c r="H187" s="167">
        <f t="shared" si="14"/>
        <v>31270</v>
      </c>
      <c r="I187" s="567" t="s">
        <v>365</v>
      </c>
      <c r="J187" s="568"/>
      <c r="K187" s="161"/>
      <c r="L187" s="162"/>
      <c r="M187" s="162"/>
      <c r="N187" s="162"/>
      <c r="O187" s="162"/>
      <c r="P187" s="163"/>
      <c r="Q187" s="151"/>
    </row>
    <row r="188" spans="1:17" ht="30" customHeight="1">
      <c r="A188" s="171" t="s">
        <v>373</v>
      </c>
      <c r="B188" s="116" t="s">
        <v>374</v>
      </c>
      <c r="C188" s="75" t="s">
        <v>101</v>
      </c>
      <c r="D188" s="107" t="s">
        <v>359</v>
      </c>
      <c r="E188" s="108">
        <f>Rekenblad!E188</f>
        <v>0</v>
      </c>
      <c r="F188" s="118">
        <f>Rekenblad!F188</f>
        <v>1.06</v>
      </c>
      <c r="G188" s="109"/>
      <c r="H188" s="167">
        <f t="shared" si="14"/>
        <v>0</v>
      </c>
      <c r="I188" s="567"/>
      <c r="J188" s="568"/>
      <c r="K188" s="118"/>
      <c r="L188" s="146"/>
      <c r="M188" s="146"/>
      <c r="N188" s="146"/>
      <c r="O188" s="146"/>
      <c r="P188" s="147"/>
      <c r="Q188" s="151"/>
    </row>
    <row r="189" spans="1:17" ht="30" customHeight="1">
      <c r="A189" s="171" t="s">
        <v>375</v>
      </c>
      <c r="B189" s="116" t="s">
        <v>374</v>
      </c>
      <c r="C189" s="75" t="s">
        <v>57</v>
      </c>
      <c r="D189" s="107" t="s">
        <v>376</v>
      </c>
      <c r="E189" s="196">
        <f>$G$3*$A$4*3</f>
        <v>300</v>
      </c>
      <c r="F189" s="118">
        <f>Rekenblad!F189</f>
        <v>118.72</v>
      </c>
      <c r="G189" s="109"/>
      <c r="H189" s="167">
        <f>E189*F189</f>
        <v>35616</v>
      </c>
      <c r="I189" s="567" t="s">
        <v>377</v>
      </c>
      <c r="J189" s="568"/>
      <c r="K189" s="118"/>
      <c r="L189" s="146"/>
      <c r="M189" s="146"/>
      <c r="N189" s="146"/>
      <c r="O189" s="146"/>
      <c r="P189" s="147"/>
      <c r="Q189" s="151"/>
    </row>
    <row r="190" spans="1:17" ht="30" customHeight="1">
      <c r="A190" s="171" t="s">
        <v>378</v>
      </c>
      <c r="B190" s="116" t="s">
        <v>379</v>
      </c>
      <c r="C190" s="75" t="s">
        <v>33</v>
      </c>
      <c r="D190" s="107" t="s">
        <v>359</v>
      </c>
      <c r="E190" s="108">
        <f>Rekenblad!E190</f>
        <v>0</v>
      </c>
      <c r="F190" s="118">
        <f>Rekenblad!F190</f>
        <v>0.84800000000000009</v>
      </c>
      <c r="G190" s="109"/>
      <c r="H190" s="167">
        <f t="shared" si="14"/>
        <v>0</v>
      </c>
      <c r="I190" s="567"/>
      <c r="J190" s="568"/>
      <c r="K190" s="118"/>
      <c r="L190" s="146"/>
      <c r="M190" s="146"/>
      <c r="N190" s="146"/>
      <c r="O190" s="146"/>
      <c r="P190" s="147"/>
      <c r="Q190" s="151"/>
    </row>
    <row r="191" spans="1:17" ht="30" customHeight="1">
      <c r="A191" s="171" t="s">
        <v>380</v>
      </c>
      <c r="B191" s="116" t="s">
        <v>381</v>
      </c>
      <c r="C191" s="75" t="s">
        <v>33</v>
      </c>
      <c r="D191" s="107" t="s">
        <v>359</v>
      </c>
      <c r="E191" s="108">
        <f>Rekenblad!E191</f>
        <v>0</v>
      </c>
      <c r="F191" s="118">
        <f>Rekenblad!F191</f>
        <v>1.3250000000000002</v>
      </c>
      <c r="G191" s="109"/>
      <c r="H191" s="167">
        <f t="shared" si="14"/>
        <v>0</v>
      </c>
      <c r="I191" s="567"/>
      <c r="J191" s="568"/>
      <c r="K191" s="118"/>
      <c r="L191" s="146"/>
      <c r="M191" s="146"/>
      <c r="N191" s="146"/>
      <c r="O191" s="146"/>
      <c r="P191" s="147"/>
      <c r="Q191" s="151"/>
    </row>
    <row r="192" spans="1:17" ht="30" customHeight="1">
      <c r="A192" s="171" t="s">
        <v>382</v>
      </c>
      <c r="B192" s="116" t="s">
        <v>383</v>
      </c>
      <c r="C192" s="75" t="s">
        <v>33</v>
      </c>
      <c r="D192" s="107" t="s">
        <v>384</v>
      </c>
      <c r="E192" s="108">
        <f>Rekenblad!E192</f>
        <v>0</v>
      </c>
      <c r="F192" s="118">
        <f>Rekenblad!F192</f>
        <v>172.78</v>
      </c>
      <c r="G192" s="109"/>
      <c r="H192" s="167">
        <f t="shared" si="14"/>
        <v>0</v>
      </c>
      <c r="I192" s="567"/>
      <c r="J192" s="568"/>
      <c r="K192" s="118"/>
      <c r="L192" s="146"/>
      <c r="M192" s="146"/>
      <c r="N192" s="146"/>
      <c r="O192" s="146"/>
      <c r="P192" s="147"/>
      <c r="Q192" s="151"/>
    </row>
    <row r="193" spans="1:17" ht="30" customHeight="1">
      <c r="A193" s="171" t="s">
        <v>385</v>
      </c>
      <c r="B193" s="116" t="s">
        <v>386</v>
      </c>
      <c r="C193" s="75" t="s">
        <v>57</v>
      </c>
      <c r="D193" s="107" t="s">
        <v>387</v>
      </c>
      <c r="E193" s="108">
        <f>Rekenblad!E193</f>
        <v>0</v>
      </c>
      <c r="F193" s="118">
        <f>Rekenblad!F193</f>
        <v>689</v>
      </c>
      <c r="G193" s="109"/>
      <c r="H193" s="167">
        <f t="shared" si="14"/>
        <v>0</v>
      </c>
      <c r="I193" s="567"/>
      <c r="J193" s="568"/>
      <c r="K193" s="118"/>
      <c r="L193" s="146"/>
      <c r="M193" s="146"/>
      <c r="N193" s="146"/>
      <c r="O193" s="146"/>
      <c r="P193" s="147"/>
      <c r="Q193" s="151"/>
    </row>
    <row r="194" spans="1:17" ht="30" customHeight="1">
      <c r="A194" s="171" t="s">
        <v>388</v>
      </c>
      <c r="B194" s="116" t="s">
        <v>389</v>
      </c>
      <c r="C194" s="75" t="s">
        <v>57</v>
      </c>
      <c r="D194" s="107" t="s">
        <v>387</v>
      </c>
      <c r="E194" s="108">
        <f>Rekenblad!E194</f>
        <v>0</v>
      </c>
      <c r="F194" s="118">
        <f>Rekenblad!F194</f>
        <v>371</v>
      </c>
      <c r="G194" s="109"/>
      <c r="H194" s="167">
        <f t="shared" si="14"/>
        <v>0</v>
      </c>
      <c r="I194" s="567"/>
      <c r="J194" s="568"/>
      <c r="K194" s="118"/>
      <c r="L194" s="146"/>
      <c r="M194" s="146"/>
      <c r="N194" s="146"/>
      <c r="O194" s="146"/>
      <c r="P194" s="147"/>
      <c r="Q194" s="151"/>
    </row>
    <row r="195" spans="1:17" ht="30" customHeight="1">
      <c r="A195" s="226"/>
      <c r="B195" s="227"/>
      <c r="C195" s="228"/>
      <c r="D195" s="229"/>
      <c r="E195" s="179"/>
      <c r="F195" s="118"/>
      <c r="G195" s="230"/>
      <c r="H195" s="230"/>
      <c r="I195" s="231"/>
      <c r="J195" s="232"/>
      <c r="K195" s="233"/>
      <c r="L195" s="234"/>
      <c r="M195" s="234"/>
      <c r="N195" s="234"/>
      <c r="O195" s="234"/>
      <c r="P195" s="163"/>
      <c r="Q195" s="151"/>
    </row>
    <row r="196" spans="1:17" s="5" customFormat="1" ht="65.25" customHeight="1">
      <c r="A196" s="235">
        <v>10</v>
      </c>
      <c r="B196" s="236" t="s">
        <v>390</v>
      </c>
      <c r="C196" s="115"/>
      <c r="D196" s="38" t="s">
        <v>12</v>
      </c>
      <c r="E196" s="47" t="s">
        <v>13</v>
      </c>
      <c r="F196" s="60" t="str">
        <f>Rekenblad!F196</f>
        <v>bedrag per eenheid (excl. btw)</v>
      </c>
      <c r="G196" s="37" t="s">
        <v>15</v>
      </c>
      <c r="H196" s="37" t="s">
        <v>16</v>
      </c>
      <c r="I196" s="563" t="s">
        <v>17</v>
      </c>
      <c r="J196" s="564"/>
      <c r="K196" s="564"/>
      <c r="L196" s="564"/>
      <c r="M196" s="564"/>
      <c r="N196" s="564"/>
      <c r="O196" s="564"/>
      <c r="P196" s="38" t="s">
        <v>18</v>
      </c>
      <c r="Q196" s="301"/>
    </row>
    <row r="197" spans="1:17" ht="30" customHeight="1">
      <c r="A197" s="171" t="s">
        <v>391</v>
      </c>
      <c r="B197" s="89" t="s">
        <v>392</v>
      </c>
      <c r="C197" s="89" t="s">
        <v>117</v>
      </c>
      <c r="D197" s="171" t="s">
        <v>393</v>
      </c>
      <c r="E197" s="108">
        <f>Rekenblad!E197</f>
        <v>0</v>
      </c>
      <c r="F197" s="118">
        <f>Rekenblad!F197</f>
        <v>7.7485999999999997</v>
      </c>
      <c r="G197" s="198"/>
      <c r="H197" s="198">
        <f>1*G197</f>
        <v>0</v>
      </c>
      <c r="I197" s="565"/>
      <c r="J197" s="562"/>
      <c r="K197" s="161"/>
      <c r="L197" s="162"/>
      <c r="M197" s="162"/>
      <c r="N197" s="162"/>
      <c r="O197" s="162"/>
      <c r="P197" s="163"/>
      <c r="Q197" s="151"/>
    </row>
    <row r="198" spans="1:17" ht="30" customHeight="1">
      <c r="A198" s="171" t="s">
        <v>394</v>
      </c>
      <c r="B198" s="89" t="s">
        <v>395</v>
      </c>
      <c r="C198" s="89" t="s">
        <v>117</v>
      </c>
      <c r="D198" s="171" t="s">
        <v>393</v>
      </c>
      <c r="E198" s="108">
        <f>Rekenblad!E198</f>
        <v>0</v>
      </c>
      <c r="F198" s="118">
        <f>Rekenblad!F198</f>
        <v>7.7380000000000004</v>
      </c>
      <c r="G198" s="198"/>
      <c r="H198" s="198">
        <f t="shared" ref="H198:H222" si="16">1*G198</f>
        <v>0</v>
      </c>
      <c r="I198" s="565"/>
      <c r="J198" s="562"/>
      <c r="K198" s="161"/>
      <c r="L198" s="162"/>
      <c r="M198" s="162"/>
      <c r="N198" s="162"/>
      <c r="O198" s="162"/>
      <c r="P198" s="163"/>
      <c r="Q198" s="151"/>
    </row>
    <row r="199" spans="1:17" ht="30" customHeight="1">
      <c r="A199" s="171" t="s">
        <v>396</v>
      </c>
      <c r="B199" s="89" t="s">
        <v>397</v>
      </c>
      <c r="C199" s="89" t="s">
        <v>117</v>
      </c>
      <c r="D199" s="171" t="s">
        <v>398</v>
      </c>
      <c r="E199" s="108">
        <f>Rekenblad!E199</f>
        <v>0</v>
      </c>
      <c r="F199" s="118">
        <f>Rekenblad!F199</f>
        <v>58.300000000000004</v>
      </c>
      <c r="G199" s="198"/>
      <c r="H199" s="198">
        <f t="shared" si="16"/>
        <v>0</v>
      </c>
      <c r="I199" s="565"/>
      <c r="J199" s="562"/>
      <c r="K199" s="161"/>
      <c r="L199" s="162"/>
      <c r="M199" s="162"/>
      <c r="N199" s="162"/>
      <c r="O199" s="162"/>
      <c r="P199" s="163"/>
      <c r="Q199" s="151"/>
    </row>
    <row r="200" spans="1:17" ht="30" customHeight="1">
      <c r="A200" s="171" t="s">
        <v>399</v>
      </c>
      <c r="B200" s="89" t="s">
        <v>400</v>
      </c>
      <c r="C200" s="89" t="s">
        <v>117</v>
      </c>
      <c r="D200" s="171" t="s">
        <v>401</v>
      </c>
      <c r="E200" s="108">
        <f>Rekenblad!E200</f>
        <v>0</v>
      </c>
      <c r="F200" s="118">
        <f>Rekenblad!F200</f>
        <v>14.31</v>
      </c>
      <c r="G200" s="198"/>
      <c r="H200" s="198">
        <f t="shared" si="16"/>
        <v>0</v>
      </c>
      <c r="I200" s="565"/>
      <c r="J200" s="562"/>
      <c r="K200" s="161"/>
      <c r="L200" s="162"/>
      <c r="M200" s="162"/>
      <c r="N200" s="162"/>
      <c r="O200" s="162"/>
      <c r="P200" s="163"/>
      <c r="Q200" s="151"/>
    </row>
    <row r="201" spans="1:17" ht="30" customHeight="1">
      <c r="A201" s="171" t="s">
        <v>402</v>
      </c>
      <c r="B201" s="89" t="s">
        <v>403</v>
      </c>
      <c r="C201" s="89" t="s">
        <v>117</v>
      </c>
      <c r="D201" s="171" t="s">
        <v>401</v>
      </c>
      <c r="E201" s="108">
        <f>Rekenblad!E201</f>
        <v>0</v>
      </c>
      <c r="F201" s="118">
        <f>Rekenblad!F201</f>
        <v>14.31</v>
      </c>
      <c r="G201" s="198"/>
      <c r="H201" s="198">
        <f t="shared" si="16"/>
        <v>0</v>
      </c>
      <c r="I201" s="565"/>
      <c r="J201" s="562"/>
      <c r="K201" s="161"/>
      <c r="L201" s="162"/>
      <c r="M201" s="162"/>
      <c r="N201" s="162"/>
      <c r="O201" s="162"/>
      <c r="P201" s="163"/>
      <c r="Q201" s="151"/>
    </row>
    <row r="202" spans="1:17" ht="30" customHeight="1">
      <c r="A202" s="171" t="s">
        <v>404</v>
      </c>
      <c r="B202" s="89" t="s">
        <v>405</v>
      </c>
      <c r="C202" s="89" t="s">
        <v>117</v>
      </c>
      <c r="D202" s="171" t="s">
        <v>401</v>
      </c>
      <c r="E202" s="108">
        <f>Rekenblad!E202</f>
        <v>0</v>
      </c>
      <c r="F202" s="118">
        <f>Rekenblad!F202</f>
        <v>14.31</v>
      </c>
      <c r="G202" s="198"/>
      <c r="H202" s="198">
        <f t="shared" si="16"/>
        <v>0</v>
      </c>
      <c r="I202" s="565"/>
      <c r="J202" s="562"/>
      <c r="K202" s="161"/>
      <c r="L202" s="162"/>
      <c r="M202" s="162"/>
      <c r="N202" s="162"/>
      <c r="O202" s="162"/>
      <c r="P202" s="163"/>
      <c r="Q202" s="151"/>
    </row>
    <row r="203" spans="1:17" ht="30" customHeight="1">
      <c r="A203" s="171" t="s">
        <v>406</v>
      </c>
      <c r="B203" s="89" t="s">
        <v>407</v>
      </c>
      <c r="C203" s="89" t="s">
        <v>117</v>
      </c>
      <c r="D203" s="171" t="s">
        <v>401</v>
      </c>
      <c r="E203" s="108">
        <f>Rekenblad!E203</f>
        <v>0</v>
      </c>
      <c r="F203" s="118">
        <f>Rekenblad!F203</f>
        <v>14.31</v>
      </c>
      <c r="G203" s="198"/>
      <c r="H203" s="198">
        <f t="shared" si="16"/>
        <v>0</v>
      </c>
      <c r="I203" s="565"/>
      <c r="J203" s="562"/>
      <c r="K203" s="161"/>
      <c r="L203" s="162"/>
      <c r="M203" s="162"/>
      <c r="N203" s="162"/>
      <c r="O203" s="162"/>
      <c r="P203" s="163"/>
      <c r="Q203" s="151"/>
    </row>
    <row r="204" spans="1:17" ht="30" customHeight="1">
      <c r="A204" s="171" t="s">
        <v>408</v>
      </c>
      <c r="B204" s="89" t="s">
        <v>409</v>
      </c>
      <c r="C204" s="89" t="s">
        <v>117</v>
      </c>
      <c r="D204" s="171" t="s">
        <v>401</v>
      </c>
      <c r="E204" s="108">
        <f>Rekenblad!E204</f>
        <v>0</v>
      </c>
      <c r="F204" s="118">
        <f>Rekenblad!F204</f>
        <v>14.31</v>
      </c>
      <c r="G204" s="198"/>
      <c r="H204" s="198">
        <f t="shared" si="16"/>
        <v>0</v>
      </c>
      <c r="I204" s="565"/>
      <c r="J204" s="562"/>
      <c r="K204" s="161"/>
      <c r="L204" s="162"/>
      <c r="M204" s="162"/>
      <c r="N204" s="162"/>
      <c r="O204" s="162"/>
      <c r="P204" s="163"/>
      <c r="Q204" s="151"/>
    </row>
    <row r="205" spans="1:17" ht="30" customHeight="1">
      <c r="A205" s="171" t="s">
        <v>410</v>
      </c>
      <c r="B205" s="89" t="s">
        <v>411</v>
      </c>
      <c r="C205" s="89" t="s">
        <v>117</v>
      </c>
      <c r="D205" s="171" t="s">
        <v>401</v>
      </c>
      <c r="E205" s="108">
        <f>Rekenblad!E205</f>
        <v>0</v>
      </c>
      <c r="F205" s="118">
        <f>Rekenblad!F205</f>
        <v>14.31</v>
      </c>
      <c r="G205" s="198"/>
      <c r="H205" s="198">
        <f t="shared" si="16"/>
        <v>0</v>
      </c>
      <c r="I205" s="565"/>
      <c r="J205" s="562"/>
      <c r="K205" s="161"/>
      <c r="L205" s="162"/>
      <c r="M205" s="162"/>
      <c r="N205" s="162"/>
      <c r="O205" s="162"/>
      <c r="P205" s="163"/>
      <c r="Q205" s="151"/>
    </row>
    <row r="206" spans="1:17" ht="30" customHeight="1">
      <c r="A206" s="171" t="s">
        <v>412</v>
      </c>
      <c r="B206" s="89" t="s">
        <v>413</v>
      </c>
      <c r="C206" s="89" t="s">
        <v>117</v>
      </c>
      <c r="D206" s="171" t="s">
        <v>414</v>
      </c>
      <c r="E206" s="108">
        <f>Rekenblad!E206</f>
        <v>0</v>
      </c>
      <c r="F206" s="118">
        <f>Rekenblad!F206</f>
        <v>90.100000000000009</v>
      </c>
      <c r="G206" s="198"/>
      <c r="H206" s="198">
        <f t="shared" si="16"/>
        <v>0</v>
      </c>
      <c r="I206" s="565"/>
      <c r="J206" s="562"/>
      <c r="K206" s="161"/>
      <c r="L206" s="162"/>
      <c r="M206" s="162"/>
      <c r="N206" s="162"/>
      <c r="O206" s="162"/>
      <c r="P206" s="163"/>
      <c r="Q206" s="151"/>
    </row>
    <row r="207" spans="1:17" ht="30" customHeight="1">
      <c r="A207" s="171" t="s">
        <v>415</v>
      </c>
      <c r="B207" s="89" t="s">
        <v>416</v>
      </c>
      <c r="C207" s="89" t="s">
        <v>117</v>
      </c>
      <c r="D207" s="171" t="s">
        <v>401</v>
      </c>
      <c r="E207" s="108">
        <f>Rekenblad!E207</f>
        <v>0</v>
      </c>
      <c r="F207" s="118">
        <f>Rekenblad!F207</f>
        <v>14.31</v>
      </c>
      <c r="G207" s="198"/>
      <c r="H207" s="198">
        <f t="shared" si="16"/>
        <v>0</v>
      </c>
      <c r="I207" s="565"/>
      <c r="J207" s="562"/>
      <c r="K207" s="161"/>
      <c r="L207" s="162"/>
      <c r="M207" s="162"/>
      <c r="N207" s="162"/>
      <c r="O207" s="162"/>
      <c r="P207" s="163"/>
      <c r="Q207" s="151"/>
    </row>
    <row r="208" spans="1:17" ht="30" customHeight="1">
      <c r="A208" s="171" t="s">
        <v>417</v>
      </c>
      <c r="B208" s="89" t="s">
        <v>418</v>
      </c>
      <c r="C208" s="89" t="s">
        <v>117</v>
      </c>
      <c r="D208" s="171" t="s">
        <v>401</v>
      </c>
      <c r="E208" s="108">
        <f>Rekenblad!E208</f>
        <v>0</v>
      </c>
      <c r="F208" s="118">
        <f>Rekenblad!F208</f>
        <v>2.6500000000000004</v>
      </c>
      <c r="G208" s="198"/>
      <c r="H208" s="198">
        <f t="shared" si="16"/>
        <v>0</v>
      </c>
      <c r="I208" s="565"/>
      <c r="J208" s="562"/>
      <c r="K208" s="161"/>
      <c r="L208" s="162"/>
      <c r="M208" s="162"/>
      <c r="N208" s="162"/>
      <c r="O208" s="162"/>
      <c r="P208" s="163"/>
      <c r="Q208" s="151"/>
    </row>
    <row r="209" spans="1:17" ht="30" customHeight="1">
      <c r="A209" s="171" t="s">
        <v>419</v>
      </c>
      <c r="B209" s="89" t="s">
        <v>420</v>
      </c>
      <c r="C209" s="89" t="s">
        <v>117</v>
      </c>
      <c r="D209" s="171" t="s">
        <v>304</v>
      </c>
      <c r="E209" s="108">
        <f>Rekenblad!E209</f>
        <v>0</v>
      </c>
      <c r="F209" s="118">
        <f>Rekenblad!F209</f>
        <v>14.84</v>
      </c>
      <c r="G209" s="198"/>
      <c r="H209" s="198">
        <f t="shared" si="16"/>
        <v>0</v>
      </c>
      <c r="I209" s="565"/>
      <c r="J209" s="562"/>
      <c r="K209" s="161"/>
      <c r="L209" s="162"/>
      <c r="M209" s="162"/>
      <c r="N209" s="162"/>
      <c r="O209" s="162"/>
      <c r="P209" s="163"/>
      <c r="Q209" s="151"/>
    </row>
    <row r="210" spans="1:17" ht="30" customHeight="1">
      <c r="A210" s="171" t="s">
        <v>421</v>
      </c>
      <c r="B210" s="89" t="s">
        <v>422</v>
      </c>
      <c r="C210" s="89" t="s">
        <v>117</v>
      </c>
      <c r="D210" s="171" t="s">
        <v>401</v>
      </c>
      <c r="E210" s="108">
        <f>Rekenblad!E210</f>
        <v>0</v>
      </c>
      <c r="F210" s="118">
        <f>Rekenblad!F210</f>
        <v>15.158000000000001</v>
      </c>
      <c r="G210" s="198"/>
      <c r="H210" s="198">
        <f t="shared" si="16"/>
        <v>0</v>
      </c>
      <c r="I210" s="565"/>
      <c r="J210" s="562"/>
      <c r="K210" s="161"/>
      <c r="L210" s="162"/>
      <c r="M210" s="162"/>
      <c r="N210" s="162"/>
      <c r="O210" s="162"/>
      <c r="P210" s="163"/>
      <c r="Q210" s="151"/>
    </row>
    <row r="211" spans="1:17" ht="30" customHeight="1">
      <c r="A211" s="171" t="s">
        <v>423</v>
      </c>
      <c r="B211" s="89" t="s">
        <v>424</v>
      </c>
      <c r="C211" s="89" t="s">
        <v>117</v>
      </c>
      <c r="D211" s="171" t="s">
        <v>304</v>
      </c>
      <c r="E211" s="108">
        <f>Rekenblad!E211</f>
        <v>0</v>
      </c>
      <c r="F211" s="118">
        <f>Rekenblad!F211</f>
        <v>90.100000000000009</v>
      </c>
      <c r="G211" s="198"/>
      <c r="H211" s="198">
        <f t="shared" si="16"/>
        <v>0</v>
      </c>
      <c r="I211" s="565"/>
      <c r="J211" s="562"/>
      <c r="K211" s="161"/>
      <c r="L211" s="162"/>
      <c r="M211" s="162"/>
      <c r="N211" s="162"/>
      <c r="O211" s="162"/>
      <c r="P211" s="163"/>
      <c r="Q211" s="151"/>
    </row>
    <row r="212" spans="1:17" ht="30" customHeight="1">
      <c r="A212" s="171" t="s">
        <v>425</v>
      </c>
      <c r="B212" s="89" t="s">
        <v>426</v>
      </c>
      <c r="C212" s="89" t="s">
        <v>117</v>
      </c>
      <c r="D212" s="171" t="s">
        <v>427</v>
      </c>
      <c r="E212" s="108">
        <f>Rekenblad!E212</f>
        <v>0</v>
      </c>
      <c r="F212" s="118">
        <f>Rekenblad!F212</f>
        <v>106</v>
      </c>
      <c r="G212" s="198"/>
      <c r="H212" s="198">
        <f t="shared" si="16"/>
        <v>0</v>
      </c>
      <c r="I212" s="565"/>
      <c r="J212" s="562"/>
      <c r="K212" s="161"/>
      <c r="L212" s="162"/>
      <c r="M212" s="162"/>
      <c r="N212" s="162"/>
      <c r="O212" s="162"/>
      <c r="P212" s="163"/>
      <c r="Q212" s="151"/>
    </row>
    <row r="213" spans="1:17" ht="30" customHeight="1">
      <c r="A213" s="171" t="s">
        <v>428</v>
      </c>
      <c r="B213" s="89" t="s">
        <v>429</v>
      </c>
      <c r="C213" s="89" t="s">
        <v>117</v>
      </c>
      <c r="D213" s="171" t="s">
        <v>304</v>
      </c>
      <c r="E213" s="108">
        <f>Rekenblad!E213</f>
        <v>0</v>
      </c>
      <c r="F213" s="118">
        <f>Rekenblad!F213</f>
        <v>0</v>
      </c>
      <c r="G213" s="198"/>
      <c r="H213" s="198">
        <f t="shared" si="16"/>
        <v>0</v>
      </c>
      <c r="I213" s="565"/>
      <c r="J213" s="562"/>
      <c r="K213" s="161"/>
      <c r="L213" s="162"/>
      <c r="M213" s="162"/>
      <c r="N213" s="162"/>
      <c r="O213" s="162"/>
      <c r="P213" s="163"/>
      <c r="Q213" s="151"/>
    </row>
    <row r="214" spans="1:17" ht="30" customHeight="1">
      <c r="A214" s="171" t="s">
        <v>430</v>
      </c>
      <c r="B214" s="89" t="s">
        <v>431</v>
      </c>
      <c r="C214" s="89" t="s">
        <v>117</v>
      </c>
      <c r="D214" s="171" t="s">
        <v>432</v>
      </c>
      <c r="E214" s="108">
        <f>Rekenblad!E214</f>
        <v>0</v>
      </c>
      <c r="F214" s="118">
        <f>Rekenblad!F214</f>
        <v>24.380000000000003</v>
      </c>
      <c r="G214" s="198"/>
      <c r="H214" s="198">
        <f t="shared" si="16"/>
        <v>0</v>
      </c>
      <c r="I214" s="565"/>
      <c r="J214" s="562"/>
      <c r="K214" s="161"/>
      <c r="L214" s="162"/>
      <c r="M214" s="162"/>
      <c r="N214" s="162"/>
      <c r="O214" s="162"/>
      <c r="P214" s="163"/>
      <c r="Q214" s="151"/>
    </row>
    <row r="215" spans="1:17" ht="30" customHeight="1">
      <c r="A215" s="171" t="s">
        <v>433</v>
      </c>
      <c r="B215" s="89" t="s">
        <v>434</v>
      </c>
      <c r="C215" s="89" t="s">
        <v>117</v>
      </c>
      <c r="D215" s="171" t="s">
        <v>435</v>
      </c>
      <c r="E215" s="108">
        <f>Rekenblad!E215</f>
        <v>0</v>
      </c>
      <c r="F215" s="118">
        <f>Rekenblad!F215</f>
        <v>121.9</v>
      </c>
      <c r="G215" s="198"/>
      <c r="H215" s="198">
        <f t="shared" si="16"/>
        <v>0</v>
      </c>
      <c r="I215" s="565"/>
      <c r="J215" s="562"/>
      <c r="K215" s="161"/>
      <c r="L215" s="162"/>
      <c r="M215" s="162"/>
      <c r="N215" s="162"/>
      <c r="O215" s="162"/>
      <c r="P215" s="163"/>
      <c r="Q215" s="151"/>
    </row>
    <row r="216" spans="1:17" ht="30" customHeight="1">
      <c r="A216" s="171" t="s">
        <v>436</v>
      </c>
      <c r="B216" s="76" t="s">
        <v>437</v>
      </c>
      <c r="C216" s="89" t="s">
        <v>117</v>
      </c>
      <c r="D216" s="171" t="s">
        <v>438</v>
      </c>
      <c r="E216" s="108">
        <f>Rekenblad!E216</f>
        <v>0</v>
      </c>
      <c r="F216" s="118">
        <f>Rekenblad!F216</f>
        <v>0</v>
      </c>
      <c r="G216" s="198"/>
      <c r="H216" s="198">
        <f t="shared" si="16"/>
        <v>0</v>
      </c>
      <c r="I216" s="565"/>
      <c r="J216" s="562"/>
      <c r="K216" s="161"/>
      <c r="L216" s="162"/>
      <c r="M216" s="162"/>
      <c r="N216" s="162"/>
      <c r="O216" s="162"/>
      <c r="P216" s="163"/>
      <c r="Q216" s="151"/>
    </row>
    <row r="217" spans="1:17" ht="30" customHeight="1">
      <c r="A217" s="171" t="s">
        <v>439</v>
      </c>
      <c r="B217" s="89" t="s">
        <v>440</v>
      </c>
      <c r="C217" s="89" t="s">
        <v>117</v>
      </c>
      <c r="D217" s="171" t="s">
        <v>304</v>
      </c>
      <c r="E217" s="108">
        <f>Rekenblad!E217</f>
        <v>0</v>
      </c>
      <c r="F217" s="118">
        <f>Rekenblad!F217</f>
        <v>0</v>
      </c>
      <c r="G217" s="198"/>
      <c r="H217" s="198">
        <f t="shared" si="16"/>
        <v>0</v>
      </c>
      <c r="I217" s="565"/>
      <c r="J217" s="562"/>
      <c r="K217" s="161"/>
      <c r="L217" s="162"/>
      <c r="M217" s="162"/>
      <c r="N217" s="162"/>
      <c r="O217" s="162"/>
      <c r="P217" s="163"/>
      <c r="Q217" s="151"/>
    </row>
    <row r="218" spans="1:17" ht="30" customHeight="1">
      <c r="A218" s="171" t="s">
        <v>441</v>
      </c>
      <c r="B218" s="89" t="s">
        <v>442</v>
      </c>
      <c r="C218" s="89" t="s">
        <v>117</v>
      </c>
      <c r="D218" s="171" t="s">
        <v>304</v>
      </c>
      <c r="E218" s="108">
        <f>Rekenblad!E218</f>
        <v>0</v>
      </c>
      <c r="F218" s="118">
        <f>Rekenblad!F218</f>
        <v>3.71</v>
      </c>
      <c r="G218" s="198"/>
      <c r="H218" s="198">
        <f t="shared" si="16"/>
        <v>0</v>
      </c>
      <c r="I218" s="565"/>
      <c r="J218" s="562"/>
      <c r="K218" s="161"/>
      <c r="L218" s="162"/>
      <c r="M218" s="162"/>
      <c r="N218" s="162"/>
      <c r="O218" s="162"/>
      <c r="P218" s="163"/>
      <c r="Q218" s="151"/>
    </row>
    <row r="219" spans="1:17" ht="30" customHeight="1">
      <c r="A219" s="171" t="s">
        <v>443</v>
      </c>
      <c r="B219" s="89" t="s">
        <v>444</v>
      </c>
      <c r="C219" s="89" t="s">
        <v>117</v>
      </c>
      <c r="D219" s="171" t="s">
        <v>304</v>
      </c>
      <c r="E219" s="108">
        <f>Rekenblad!E219</f>
        <v>0</v>
      </c>
      <c r="F219" s="118">
        <f>Rekenblad!F219</f>
        <v>21.200000000000003</v>
      </c>
      <c r="G219" s="198"/>
      <c r="H219" s="198">
        <f t="shared" si="16"/>
        <v>0</v>
      </c>
      <c r="I219" s="565"/>
      <c r="J219" s="562"/>
      <c r="K219" s="161"/>
      <c r="L219" s="162"/>
      <c r="M219" s="162"/>
      <c r="N219" s="162"/>
      <c r="O219" s="162"/>
      <c r="P219" s="163"/>
      <c r="Q219" s="151"/>
    </row>
    <row r="220" spans="1:17" ht="30" customHeight="1">
      <c r="A220" s="171" t="s">
        <v>445</v>
      </c>
      <c r="B220" s="89" t="s">
        <v>446</v>
      </c>
      <c r="C220" s="89" t="s">
        <v>117</v>
      </c>
      <c r="D220" s="171" t="s">
        <v>139</v>
      </c>
      <c r="E220" s="108">
        <f>Rekenblad!E220</f>
        <v>0</v>
      </c>
      <c r="F220" s="118">
        <f>Rekenblad!F220</f>
        <v>47.7</v>
      </c>
      <c r="G220" s="109"/>
      <c r="H220" s="198">
        <f t="shared" si="16"/>
        <v>0</v>
      </c>
      <c r="I220" s="565"/>
      <c r="J220" s="562"/>
      <c r="K220" s="118"/>
      <c r="L220" s="146"/>
      <c r="M220" s="146"/>
      <c r="N220" s="146"/>
      <c r="O220" s="146"/>
      <c r="P220" s="147"/>
      <c r="Q220" s="151"/>
    </row>
    <row r="221" spans="1:17" ht="30" customHeight="1">
      <c r="A221" s="171" t="s">
        <v>447</v>
      </c>
      <c r="B221" s="89" t="s">
        <v>448</v>
      </c>
      <c r="C221" s="89" t="s">
        <v>117</v>
      </c>
      <c r="D221" s="171" t="s">
        <v>304</v>
      </c>
      <c r="E221" s="108">
        <f>Rekenblad!E221</f>
        <v>0</v>
      </c>
      <c r="F221" s="118">
        <f>Rekenblad!F221</f>
        <v>47.7</v>
      </c>
      <c r="G221" s="109"/>
      <c r="H221" s="198">
        <f t="shared" si="16"/>
        <v>0</v>
      </c>
      <c r="I221" s="565"/>
      <c r="J221" s="562"/>
      <c r="K221" s="118"/>
      <c r="L221" s="146"/>
      <c r="M221" s="146"/>
      <c r="N221" s="146"/>
      <c r="O221" s="146"/>
      <c r="P221" s="147"/>
      <c r="Q221" s="151"/>
    </row>
    <row r="222" spans="1:17" ht="30" customHeight="1">
      <c r="A222" s="171" t="s">
        <v>449</v>
      </c>
      <c r="B222" s="89" t="s">
        <v>450</v>
      </c>
      <c r="C222" s="89" t="s">
        <v>117</v>
      </c>
      <c r="D222" s="171" t="s">
        <v>304</v>
      </c>
      <c r="E222" s="108">
        <f>Rekenblad!E222</f>
        <v>0</v>
      </c>
      <c r="F222" s="118">
        <f>Rekenblad!F222</f>
        <v>26.5</v>
      </c>
      <c r="G222" s="109"/>
      <c r="H222" s="198">
        <f t="shared" si="16"/>
        <v>0</v>
      </c>
      <c r="I222" s="565"/>
      <c r="J222" s="562"/>
      <c r="K222" s="118"/>
      <c r="L222" s="146"/>
      <c r="M222" s="146"/>
      <c r="N222" s="146"/>
      <c r="O222" s="146"/>
      <c r="P222" s="147"/>
      <c r="Q222" s="151"/>
    </row>
    <row r="223" spans="1:17" ht="30" customHeight="1">
      <c r="A223" s="218"/>
      <c r="B223" s="151"/>
      <c r="C223" s="151"/>
      <c r="D223" s="213"/>
      <c r="E223" s="179"/>
      <c r="F223" s="118"/>
      <c r="G223" s="109"/>
      <c r="H223" s="237"/>
      <c r="I223" s="565"/>
      <c r="J223" s="562"/>
      <c r="K223" s="161"/>
      <c r="L223" s="162"/>
      <c r="M223" s="162"/>
      <c r="N223" s="162"/>
      <c r="O223" s="162"/>
      <c r="P223" s="163"/>
      <c r="Q223" s="151"/>
    </row>
    <row r="224" spans="1:17" ht="30" customHeight="1">
      <c r="A224" s="141">
        <v>11</v>
      </c>
      <c r="B224" s="65" t="s">
        <v>451</v>
      </c>
      <c r="C224" s="65"/>
      <c r="D224" s="38" t="s">
        <v>12</v>
      </c>
      <c r="E224" s="47" t="s">
        <v>13</v>
      </c>
      <c r="F224" s="60" t="str">
        <f>Rekenblad!F224</f>
        <v>bedrag per eenheid (excl. btw)</v>
      </c>
      <c r="G224" s="53" t="s">
        <v>15</v>
      </c>
      <c r="H224" s="48" t="s">
        <v>16</v>
      </c>
      <c r="I224" s="563" t="s">
        <v>17</v>
      </c>
      <c r="J224" s="566"/>
      <c r="K224" s="37"/>
      <c r="L224" s="50"/>
      <c r="M224" s="50"/>
      <c r="N224" s="50"/>
      <c r="O224" s="50"/>
      <c r="P224" s="49" t="s">
        <v>18</v>
      </c>
      <c r="Q224" s="151"/>
    </row>
    <row r="225" spans="1:17" ht="30" customHeight="1">
      <c r="A225" s="171" t="s">
        <v>452</v>
      </c>
      <c r="B225" s="116" t="s">
        <v>453</v>
      </c>
      <c r="C225" s="75" t="s">
        <v>33</v>
      </c>
      <c r="D225" s="238" t="s">
        <v>8</v>
      </c>
      <c r="E225" s="108">
        <f>Rekenblad!E225</f>
        <v>4</v>
      </c>
      <c r="F225" s="118">
        <f>Rekenblad!F225</f>
        <v>76.850000000000009</v>
      </c>
      <c r="G225" s="198">
        <f>E225*F225</f>
        <v>307.40000000000003</v>
      </c>
      <c r="H225" s="198">
        <f>1*G225</f>
        <v>307.40000000000003</v>
      </c>
      <c r="I225" s="561" t="s">
        <v>454</v>
      </c>
      <c r="J225" s="562"/>
      <c r="K225" s="183"/>
      <c r="L225" s="184"/>
      <c r="M225" s="184"/>
      <c r="N225" s="184"/>
      <c r="O225" s="184"/>
      <c r="P225" s="185"/>
      <c r="Q225" s="151"/>
    </row>
    <row r="226" spans="1:17" ht="30" customHeight="1">
      <c r="A226" s="171" t="s">
        <v>455</v>
      </c>
      <c r="B226" s="116" t="s">
        <v>453</v>
      </c>
      <c r="C226" s="75" t="s">
        <v>33</v>
      </c>
      <c r="D226" s="238" t="s">
        <v>8</v>
      </c>
      <c r="E226" s="108">
        <f>Rekenblad!E226</f>
        <v>4</v>
      </c>
      <c r="F226" s="118">
        <f>Rekenblad!F226</f>
        <v>63.6</v>
      </c>
      <c r="G226" s="198">
        <f t="shared" ref="G226:G233" si="17">E226*F226</f>
        <v>254.4</v>
      </c>
      <c r="H226" s="198">
        <f t="shared" ref="H226:H233" si="18">1*G226</f>
        <v>254.4</v>
      </c>
      <c r="I226" s="561"/>
      <c r="J226" s="562"/>
      <c r="K226" s="183"/>
      <c r="L226" s="184"/>
      <c r="M226" s="184"/>
      <c r="N226" s="184"/>
      <c r="O226" s="184"/>
      <c r="P226" s="185"/>
      <c r="Q226" s="151"/>
    </row>
    <row r="227" spans="1:17" ht="30" customHeight="1">
      <c r="A227" s="171" t="s">
        <v>456</v>
      </c>
      <c r="B227" s="116" t="s">
        <v>453</v>
      </c>
      <c r="C227" s="75" t="s">
        <v>33</v>
      </c>
      <c r="D227" s="238" t="s">
        <v>8</v>
      </c>
      <c r="E227" s="108">
        <f>Rekenblad!E227</f>
        <v>4</v>
      </c>
      <c r="F227" s="118">
        <f>Rekenblad!F227</f>
        <v>63.6</v>
      </c>
      <c r="G227" s="198">
        <f t="shared" si="17"/>
        <v>254.4</v>
      </c>
      <c r="H227" s="198">
        <f t="shared" si="18"/>
        <v>254.4</v>
      </c>
      <c r="I227" s="561"/>
      <c r="J227" s="562"/>
      <c r="K227" s="183"/>
      <c r="L227" s="184"/>
      <c r="M227" s="184"/>
      <c r="N227" s="184"/>
      <c r="O227" s="184"/>
      <c r="P227" s="185"/>
      <c r="Q227" s="151"/>
    </row>
    <row r="228" spans="1:17" ht="30" customHeight="1">
      <c r="A228" s="171" t="s">
        <v>457</v>
      </c>
      <c r="B228" s="116" t="s">
        <v>458</v>
      </c>
      <c r="C228" s="75" t="s">
        <v>33</v>
      </c>
      <c r="D228" s="238" t="s">
        <v>8</v>
      </c>
      <c r="E228" s="108">
        <f>Rekenblad!E228</f>
        <v>8</v>
      </c>
      <c r="F228" s="118">
        <f>Rekenblad!F228</f>
        <v>115.01</v>
      </c>
      <c r="G228" s="198">
        <f t="shared" si="17"/>
        <v>920.08</v>
      </c>
      <c r="H228" s="198">
        <f t="shared" si="18"/>
        <v>920.08</v>
      </c>
      <c r="I228" s="561"/>
      <c r="J228" s="562"/>
      <c r="K228" s="183"/>
      <c r="L228" s="184"/>
      <c r="M228" s="184"/>
      <c r="N228" s="184"/>
      <c r="O228" s="184"/>
      <c r="P228" s="185"/>
      <c r="Q228" s="151"/>
    </row>
    <row r="229" spans="1:17" ht="30" customHeight="1">
      <c r="A229" s="171" t="s">
        <v>459</v>
      </c>
      <c r="B229" s="174" t="s">
        <v>460</v>
      </c>
      <c r="C229" s="107" t="s">
        <v>33</v>
      </c>
      <c r="D229" s="107" t="s">
        <v>8</v>
      </c>
      <c r="E229" s="108">
        <f>Rekenblad!E229</f>
        <v>8</v>
      </c>
      <c r="F229" s="118">
        <f>Rekenblad!F229</f>
        <v>79.5</v>
      </c>
      <c r="G229" s="198">
        <f t="shared" si="17"/>
        <v>636</v>
      </c>
      <c r="H229" s="198">
        <f t="shared" si="18"/>
        <v>636</v>
      </c>
      <c r="I229" s="561"/>
      <c r="J229" s="562"/>
      <c r="K229" s="161"/>
      <c r="L229" s="162"/>
      <c r="M229" s="162"/>
      <c r="N229" s="162"/>
      <c r="O229" s="162"/>
      <c r="P229" s="163"/>
      <c r="Q229" s="151"/>
    </row>
    <row r="230" spans="1:17" ht="30" customHeight="1">
      <c r="A230" s="171" t="s">
        <v>461</v>
      </c>
      <c r="B230" s="174" t="s">
        <v>462</v>
      </c>
      <c r="C230" s="107" t="s">
        <v>53</v>
      </c>
      <c r="D230" s="107" t="s">
        <v>463</v>
      </c>
      <c r="E230" s="108">
        <f>Rekenblad!E230</f>
        <v>1</v>
      </c>
      <c r="F230" s="118">
        <f>Rekenblad!F230</f>
        <v>530</v>
      </c>
      <c r="G230" s="198">
        <f t="shared" si="17"/>
        <v>530</v>
      </c>
      <c r="H230" s="198">
        <f t="shared" si="18"/>
        <v>530</v>
      </c>
      <c r="I230" s="561"/>
      <c r="J230" s="562"/>
      <c r="K230" s="118"/>
      <c r="L230" s="146"/>
      <c r="M230" s="146"/>
      <c r="N230" s="146"/>
      <c r="O230" s="146"/>
      <c r="P230" s="147"/>
      <c r="Q230" s="151"/>
    </row>
    <row r="231" spans="1:17" ht="30" customHeight="1">
      <c r="A231" s="171" t="s">
        <v>464</v>
      </c>
      <c r="B231" s="89" t="s">
        <v>465</v>
      </c>
      <c r="C231" s="89" t="s">
        <v>101</v>
      </c>
      <c r="D231" s="171"/>
      <c r="E231" s="108">
        <f>Rekenblad!E231</f>
        <v>0</v>
      </c>
      <c r="F231" s="118">
        <f>Rekenblad!F231</f>
        <v>81.62</v>
      </c>
      <c r="G231" s="118">
        <f t="shared" si="17"/>
        <v>0</v>
      </c>
      <c r="H231" s="197">
        <f t="shared" si="18"/>
        <v>0</v>
      </c>
      <c r="I231" s="561"/>
      <c r="J231" s="562"/>
      <c r="K231" s="183"/>
      <c r="L231" s="184"/>
      <c r="M231" s="184"/>
      <c r="N231" s="184"/>
      <c r="O231" s="184"/>
      <c r="P231" s="185"/>
      <c r="Q231" s="151"/>
    </row>
    <row r="232" spans="1:17" ht="30" customHeight="1">
      <c r="A232" s="171" t="s">
        <v>466</v>
      </c>
      <c r="B232" s="89" t="s">
        <v>467</v>
      </c>
      <c r="C232" s="89" t="s">
        <v>101</v>
      </c>
      <c r="D232" s="171"/>
      <c r="E232" s="108">
        <f>Rekenblad!E232</f>
        <v>0</v>
      </c>
      <c r="F232" s="118">
        <f>Rekenblad!F232</f>
        <v>51.982399999999998</v>
      </c>
      <c r="G232" s="118">
        <f t="shared" si="17"/>
        <v>0</v>
      </c>
      <c r="H232" s="197">
        <f t="shared" si="18"/>
        <v>0</v>
      </c>
      <c r="I232" s="561"/>
      <c r="J232" s="562"/>
      <c r="K232" s="183"/>
      <c r="L232" s="184"/>
      <c r="M232" s="184"/>
      <c r="N232" s="184"/>
      <c r="O232" s="184"/>
      <c r="P232" s="185"/>
      <c r="Q232" s="151"/>
    </row>
    <row r="233" spans="1:17" ht="30" customHeight="1">
      <c r="A233" s="171" t="s">
        <v>468</v>
      </c>
      <c r="B233" s="174" t="s">
        <v>469</v>
      </c>
      <c r="C233" s="107" t="s">
        <v>33</v>
      </c>
      <c r="D233" s="107" t="s">
        <v>470</v>
      </c>
      <c r="E233" s="108">
        <f>Rekenblad!E233</f>
        <v>12</v>
      </c>
      <c r="F233" s="118">
        <f>Rekenblad!F233</f>
        <v>63.6</v>
      </c>
      <c r="G233" s="198">
        <f t="shared" si="17"/>
        <v>763.2</v>
      </c>
      <c r="H233" s="198">
        <f t="shared" si="18"/>
        <v>763.2</v>
      </c>
      <c r="I233" s="561" t="s">
        <v>471</v>
      </c>
      <c r="J233" s="562"/>
      <c r="K233" s="161"/>
      <c r="L233" s="162"/>
      <c r="M233" s="162"/>
      <c r="N233" s="162"/>
      <c r="O233" s="162"/>
      <c r="P233" s="163"/>
      <c r="Q233" s="151"/>
    </row>
    <row r="234" spans="1:17" ht="30" customHeight="1">
      <c r="A234" s="171"/>
      <c r="B234" s="89"/>
      <c r="C234" s="89"/>
      <c r="D234" s="171"/>
      <c r="E234" s="108"/>
      <c r="F234" s="118"/>
      <c r="G234" s="109"/>
      <c r="H234" s="167"/>
      <c r="I234" s="231"/>
      <c r="J234" s="232"/>
      <c r="K234" s="240"/>
      <c r="L234" s="241"/>
      <c r="M234" s="241"/>
      <c r="N234" s="241"/>
      <c r="O234" s="241"/>
      <c r="P234" s="147"/>
      <c r="Q234" s="151"/>
    </row>
    <row r="235" spans="1:17" s="5" customFormat="1" ht="65.25" customHeight="1">
      <c r="A235" s="61" t="s">
        <v>10</v>
      </c>
      <c r="B235" s="62" t="s">
        <v>11</v>
      </c>
      <c r="C235" s="63"/>
      <c r="D235" s="35" t="s">
        <v>12</v>
      </c>
      <c r="E235" s="36" t="s">
        <v>13</v>
      </c>
      <c r="F235" s="60" t="str">
        <f>Rekenblad!F235</f>
        <v>bedrag per eenheid (excl. btw)</v>
      </c>
      <c r="G235" s="37" t="s">
        <v>15</v>
      </c>
      <c r="H235" s="37" t="s">
        <v>16</v>
      </c>
      <c r="I235" s="563" t="s">
        <v>17</v>
      </c>
      <c r="J235" s="564"/>
      <c r="K235" s="564"/>
      <c r="L235" s="564"/>
      <c r="M235" s="564"/>
      <c r="N235" s="564"/>
      <c r="O235" s="564"/>
      <c r="P235" s="38" t="s">
        <v>18</v>
      </c>
      <c r="Q235" s="301"/>
    </row>
    <row r="236" spans="1:17">
      <c r="A236" s="218"/>
      <c r="B236" s="219"/>
      <c r="C236" s="219"/>
      <c r="D236" s="218"/>
      <c r="E236" s="220"/>
      <c r="F236" s="118">
        <f>Rekenblad!F236</f>
        <v>0</v>
      </c>
      <c r="G236" s="221"/>
      <c r="H236" s="221"/>
      <c r="I236" s="222"/>
      <c r="J236" s="151"/>
      <c r="K236" s="223"/>
      <c r="L236" s="224"/>
      <c r="M236" s="224"/>
      <c r="N236" s="224"/>
      <c r="O236" s="224"/>
      <c r="P236" s="225"/>
      <c r="Q236" s="151"/>
    </row>
    <row r="237" spans="1:17" ht="30" customHeight="1">
      <c r="A237" s="171" t="s">
        <v>472</v>
      </c>
      <c r="B237" s="116" t="s">
        <v>473</v>
      </c>
      <c r="C237" s="75"/>
      <c r="D237" s="107" t="s">
        <v>474</v>
      </c>
      <c r="E237" s="108">
        <f>Rekenblad!E237</f>
        <v>5</v>
      </c>
      <c r="F237" s="118">
        <f>Rekenblad!F237</f>
        <v>1060</v>
      </c>
      <c r="G237" s="109"/>
      <c r="H237" s="167">
        <f t="shared" ref="H237:H238" si="19">SUM(E237*F237)</f>
        <v>5300</v>
      </c>
      <c r="I237" s="76"/>
      <c r="J237" s="89"/>
      <c r="K237" s="118"/>
      <c r="L237" s="146"/>
      <c r="M237" s="146"/>
      <c r="N237" s="146"/>
      <c r="O237" s="146"/>
      <c r="P237" s="147"/>
      <c r="Q237" s="151"/>
    </row>
    <row r="238" spans="1:17" ht="30" customHeight="1">
      <c r="A238" s="171" t="s">
        <v>475</v>
      </c>
      <c r="B238" s="116" t="s">
        <v>476</v>
      </c>
      <c r="C238" s="75"/>
      <c r="D238" s="171" t="s">
        <v>477</v>
      </c>
      <c r="E238" s="108">
        <f>Rekenblad!E238</f>
        <v>5</v>
      </c>
      <c r="F238" s="118">
        <f>Rekenblad!F238</f>
        <v>21200</v>
      </c>
      <c r="G238" s="109"/>
      <c r="H238" s="167">
        <f t="shared" si="19"/>
        <v>106000</v>
      </c>
      <c r="I238" s="76"/>
      <c r="J238" s="89"/>
      <c r="K238" s="118"/>
      <c r="L238" s="146"/>
      <c r="M238" s="146"/>
      <c r="N238" s="146"/>
      <c r="O238" s="146"/>
      <c r="P238" s="147"/>
      <c r="Q238" s="151"/>
    </row>
    <row r="239" spans="1:17" ht="30" customHeight="1">
      <c r="A239" s="171" t="s">
        <v>478</v>
      </c>
      <c r="B239" s="116" t="s">
        <v>479</v>
      </c>
      <c r="C239" s="75"/>
      <c r="D239" s="107" t="s">
        <v>477</v>
      </c>
      <c r="E239" s="108">
        <f>Rekenblad!E239</f>
        <v>5</v>
      </c>
      <c r="F239" s="118">
        <f>Rekenblad!F239</f>
        <v>21200</v>
      </c>
      <c r="G239" s="109"/>
      <c r="H239" s="167">
        <f>E239*F239</f>
        <v>106000</v>
      </c>
      <c r="I239" s="76"/>
      <c r="J239" s="89"/>
      <c r="K239" s="118"/>
      <c r="L239" s="146"/>
      <c r="M239" s="146"/>
      <c r="N239" s="146"/>
      <c r="O239" s="146"/>
      <c r="P239" s="147"/>
      <c r="Q239" s="151"/>
    </row>
    <row r="240" spans="1:17">
      <c r="A240" s="218"/>
      <c r="B240" s="219"/>
      <c r="C240" s="219"/>
      <c r="D240" s="218"/>
      <c r="E240" s="220"/>
      <c r="F240" s="221"/>
      <c r="G240" s="221"/>
      <c r="H240" s="221">
        <v>0</v>
      </c>
      <c r="I240" s="222"/>
      <c r="J240" s="151"/>
      <c r="K240" s="223"/>
      <c r="L240" s="224"/>
      <c r="M240" s="224"/>
      <c r="N240" s="224"/>
      <c r="O240" s="224"/>
      <c r="P240" s="225"/>
      <c r="Q240" s="151"/>
    </row>
    <row r="241" spans="1:17">
      <c r="A241" s="242"/>
      <c r="B241" s="219"/>
      <c r="C241" s="219"/>
      <c r="D241" s="218"/>
      <c r="E241" s="220"/>
      <c r="F241" s="221"/>
      <c r="G241" s="221"/>
      <c r="H241" s="243"/>
      <c r="I241" s="222"/>
      <c r="J241" s="151"/>
      <c r="K241" s="223"/>
      <c r="L241" s="224"/>
      <c r="M241" s="224"/>
      <c r="N241" s="224"/>
      <c r="O241" s="224"/>
      <c r="P241" s="225"/>
      <c r="Q241" s="151"/>
    </row>
    <row r="242" spans="1:17" ht="15" customHeight="1" thickBot="1">
      <c r="A242" s="218"/>
      <c r="B242" s="219"/>
      <c r="C242" s="219"/>
      <c r="D242" s="244"/>
      <c r="E242" s="220"/>
      <c r="F242" s="221"/>
      <c r="G242" s="329" t="s">
        <v>480</v>
      </c>
      <c r="H242" s="330" t="s">
        <v>481</v>
      </c>
      <c r="I242" s="222"/>
      <c r="J242" s="151"/>
      <c r="K242" s="223"/>
      <c r="L242" s="224"/>
      <c r="M242" s="224"/>
      <c r="N242" s="224"/>
      <c r="O242" s="224"/>
      <c r="P242" s="225"/>
      <c r="Q242" s="151"/>
    </row>
    <row r="243" spans="1:17" ht="15" customHeight="1">
      <c r="A243" s="245"/>
      <c r="B243" s="246" t="s">
        <v>482</v>
      </c>
      <c r="C243" s="246"/>
      <c r="D243" s="247"/>
      <c r="E243" s="248"/>
      <c r="F243" s="249"/>
      <c r="G243" s="249">
        <f>H243/5</f>
        <v>762787.23423999979</v>
      </c>
      <c r="H243" s="250">
        <f>SUM(H12:H242)</f>
        <v>3813936.1711999988</v>
      </c>
      <c r="I243" s="222"/>
      <c r="J243" s="151"/>
      <c r="K243" s="223"/>
      <c r="L243" s="224"/>
      <c r="M243" s="224"/>
      <c r="N243" s="224"/>
      <c r="O243" s="224"/>
      <c r="P243" s="225"/>
      <c r="Q243" s="151"/>
    </row>
    <row r="244" spans="1:17" ht="15" customHeight="1">
      <c r="A244" s="251"/>
      <c r="B244" s="219" t="s">
        <v>483</v>
      </c>
      <c r="C244" s="219"/>
      <c r="D244" s="328">
        <v>0.16</v>
      </c>
      <c r="E244" s="220"/>
      <c r="F244" s="221"/>
      <c r="G244" s="221">
        <f>H244/5</f>
        <v>122045.95747839997</v>
      </c>
      <c r="H244" s="252">
        <f>D244*H243</f>
        <v>610229.78739199985</v>
      </c>
      <c r="I244" s="222"/>
      <c r="J244" s="151"/>
      <c r="K244" s="223"/>
      <c r="L244" s="224"/>
      <c r="M244" s="224"/>
      <c r="N244" s="224"/>
      <c r="O244" s="224"/>
      <c r="P244" s="225"/>
      <c r="Q244" s="151"/>
    </row>
    <row r="245" spans="1:17">
      <c r="A245" s="251"/>
      <c r="B245" s="219"/>
      <c r="C245" s="219"/>
      <c r="D245" s="218"/>
      <c r="E245" s="220"/>
      <c r="F245" s="221"/>
      <c r="G245" s="221"/>
      <c r="H245" s="252"/>
      <c r="I245" s="222"/>
      <c r="J245" s="151"/>
      <c r="K245" s="223"/>
      <c r="L245" s="224"/>
      <c r="M245" s="224"/>
      <c r="N245" s="224"/>
      <c r="O245" s="224"/>
      <c r="P245" s="225"/>
      <c r="Q245" s="151"/>
    </row>
    <row r="246" spans="1:17">
      <c r="A246" s="251"/>
      <c r="B246" s="253" t="s">
        <v>484</v>
      </c>
      <c r="C246" s="253"/>
      <c r="D246" s="218"/>
      <c r="E246" s="220"/>
      <c r="F246" s="221"/>
      <c r="G246" s="221">
        <f>H246/5</f>
        <v>884833.19171839976</v>
      </c>
      <c r="H246" s="254">
        <f>SUM(H243:H244)</f>
        <v>4424165.9585919986</v>
      </c>
      <c r="I246" s="222"/>
      <c r="J246" s="151"/>
      <c r="K246" s="223"/>
      <c r="L246" s="224"/>
      <c r="M246" s="224"/>
      <c r="N246" s="224"/>
      <c r="O246" s="224"/>
      <c r="P246" s="225"/>
      <c r="Q246" s="151"/>
    </row>
    <row r="247" spans="1:17">
      <c r="A247" s="251"/>
      <c r="B247" s="255" t="s">
        <v>485</v>
      </c>
      <c r="C247" s="255"/>
      <c r="D247" s="327">
        <v>0.21</v>
      </c>
      <c r="E247" s="256"/>
      <c r="F247" s="257"/>
      <c r="G247" s="257">
        <f>H247/5</f>
        <v>185814.97026086395</v>
      </c>
      <c r="H247" s="258">
        <f>D247*H246</f>
        <v>929074.85130431969</v>
      </c>
      <c r="I247" s="222"/>
      <c r="J247" s="151"/>
      <c r="K247" s="223"/>
      <c r="L247" s="224"/>
      <c r="M247" s="224"/>
      <c r="N247" s="224"/>
      <c r="O247" s="224"/>
      <c r="P247" s="225"/>
      <c r="Q247" s="151"/>
    </row>
    <row r="248" spans="1:17">
      <c r="A248" s="251"/>
      <c r="B248" s="219"/>
      <c r="C248" s="219"/>
      <c r="D248" s="218"/>
      <c r="E248" s="220"/>
      <c r="F248" s="221"/>
      <c r="G248" s="221"/>
      <c r="H248" s="259"/>
      <c r="I248" s="222"/>
      <c r="J248" s="151"/>
      <c r="K248" s="223"/>
      <c r="L248" s="224"/>
      <c r="M248" s="224"/>
      <c r="N248" s="224"/>
      <c r="O248" s="224"/>
      <c r="P248" s="225"/>
      <c r="Q248" s="151"/>
    </row>
    <row r="249" spans="1:17">
      <c r="A249" s="251"/>
      <c r="B249" s="260" t="s">
        <v>486</v>
      </c>
      <c r="C249" s="260"/>
      <c r="D249" s="218"/>
      <c r="E249" s="220"/>
      <c r="F249" s="221"/>
      <c r="G249" s="261">
        <f>H249/5</f>
        <v>1070648.1619792636</v>
      </c>
      <c r="H249" s="262">
        <f>SUM(H246:H247)</f>
        <v>5353240.8098963182</v>
      </c>
      <c r="I249" s="222"/>
      <c r="J249" s="151"/>
      <c r="K249" s="223"/>
      <c r="L249" s="224"/>
      <c r="M249" s="224"/>
      <c r="N249" s="224"/>
      <c r="O249" s="224"/>
      <c r="P249" s="225"/>
      <c r="Q249" s="151"/>
    </row>
    <row r="250" spans="1:17" ht="15.75" thickBot="1">
      <c r="A250" s="263"/>
      <c r="B250" s="264"/>
      <c r="C250" s="264"/>
      <c r="D250" s="265"/>
      <c r="E250" s="266"/>
      <c r="F250" s="267"/>
      <c r="G250" s="268"/>
      <c r="H250" s="269"/>
      <c r="I250" s="222"/>
      <c r="J250" s="225"/>
      <c r="K250" s="270"/>
      <c r="L250" s="271"/>
      <c r="M250" s="271"/>
      <c r="N250" s="271"/>
      <c r="O250" s="271"/>
      <c r="P250" s="225"/>
      <c r="Q250" s="151"/>
    </row>
    <row r="251" spans="1:17">
      <c r="A251" s="218"/>
      <c r="B251" s="219"/>
      <c r="C251" s="219"/>
      <c r="D251" s="218"/>
      <c r="E251" s="220"/>
      <c r="F251" s="221"/>
      <c r="G251" s="221"/>
      <c r="H251" s="221"/>
      <c r="I251" s="222"/>
      <c r="J251" s="151"/>
      <c r="K251" s="223"/>
      <c r="L251" s="224"/>
      <c r="M251" s="224"/>
      <c r="N251" s="224"/>
      <c r="O251" s="224"/>
      <c r="P251" s="225"/>
      <c r="Q251" s="151"/>
    </row>
    <row r="252" spans="1:17">
      <c r="A252" s="218"/>
      <c r="B252" s="219" t="s">
        <v>487</v>
      </c>
      <c r="C252" s="219"/>
      <c r="D252" s="218"/>
      <c r="E252" s="220"/>
      <c r="F252" s="221"/>
      <c r="G252" s="221">
        <f>H252/5</f>
        <v>606544.22281199985</v>
      </c>
      <c r="H252" s="221">
        <f>SUM(H12:H15)*(1+$D$244)*(1+$D$247)</f>
        <v>3032721.1140599991</v>
      </c>
      <c r="I252" s="222"/>
      <c r="J252" s="151"/>
      <c r="K252" s="223"/>
      <c r="L252" s="224"/>
      <c r="M252" s="224"/>
      <c r="N252" s="224"/>
      <c r="O252" s="224"/>
      <c r="P252" s="225"/>
      <c r="Q252" s="151"/>
    </row>
    <row r="253" spans="1:17">
      <c r="A253" s="218"/>
      <c r="B253" s="219" t="s">
        <v>488</v>
      </c>
      <c r="C253" s="219"/>
      <c r="D253" s="218"/>
      <c r="E253" s="220"/>
      <c r="F253" s="221"/>
      <c r="G253" s="221">
        <f>H253/5</f>
        <v>464103.93916726403</v>
      </c>
      <c r="H253" s="221">
        <f>SUM(H17:H239)*(1+$D$244)*(1+$D$247)</f>
        <v>2320519.6958363201</v>
      </c>
      <c r="I253" s="222"/>
      <c r="J253" s="151"/>
      <c r="K253" s="223"/>
      <c r="L253" s="224"/>
      <c r="M253" s="224"/>
      <c r="N253" s="224"/>
      <c r="O253" s="224"/>
      <c r="P253" s="225"/>
      <c r="Q253" s="151"/>
    </row>
  </sheetData>
  <mergeCells count="172">
    <mergeCell ref="I37:J37"/>
    <mergeCell ref="I38:J38"/>
    <mergeCell ref="I39:J39"/>
    <mergeCell ref="I24:J24"/>
    <mergeCell ref="I25:J25"/>
    <mergeCell ref="A1:P1"/>
    <mergeCell ref="E3:F3"/>
    <mergeCell ref="E4:F4"/>
    <mergeCell ref="I5:O5"/>
    <mergeCell ref="I34:J34"/>
    <mergeCell ref="I35:J35"/>
    <mergeCell ref="I36:J36"/>
    <mergeCell ref="I46:J46"/>
    <mergeCell ref="I47:J47"/>
    <mergeCell ref="I48:J48"/>
    <mergeCell ref="I49:J49"/>
    <mergeCell ref="I50:J50"/>
    <mergeCell ref="I51:J51"/>
    <mergeCell ref="I40:J40"/>
    <mergeCell ref="I41:J41"/>
    <mergeCell ref="I42:J42"/>
    <mergeCell ref="I43:J43"/>
    <mergeCell ref="I44:J44"/>
    <mergeCell ref="I45:J45"/>
    <mergeCell ref="I62:J62"/>
    <mergeCell ref="I63:J63"/>
    <mergeCell ref="I64:J64"/>
    <mergeCell ref="I65:J65"/>
    <mergeCell ref="I66:J66"/>
    <mergeCell ref="I67:J67"/>
    <mergeCell ref="I52:J52"/>
    <mergeCell ref="I53:J53"/>
    <mergeCell ref="I58:J58"/>
    <mergeCell ref="I59:J59"/>
    <mergeCell ref="I60:J60"/>
    <mergeCell ref="I61:J61"/>
    <mergeCell ref="I94:J94"/>
    <mergeCell ref="I95:J95"/>
    <mergeCell ref="I110:J110"/>
    <mergeCell ref="I77:J77"/>
    <mergeCell ref="I78:J78"/>
    <mergeCell ref="I83:J83"/>
    <mergeCell ref="I93:J93"/>
    <mergeCell ref="I70:J70"/>
    <mergeCell ref="I71:J71"/>
    <mergeCell ref="I72:J72"/>
    <mergeCell ref="I76:J76"/>
    <mergeCell ref="I117:J117"/>
    <mergeCell ref="I118:J118"/>
    <mergeCell ref="I119:J119"/>
    <mergeCell ref="I120:J120"/>
    <mergeCell ref="I121:J121"/>
    <mergeCell ref="I122:J122"/>
    <mergeCell ref="I111:J111"/>
    <mergeCell ref="I112:J112"/>
    <mergeCell ref="I113:J113"/>
    <mergeCell ref="I114:J114"/>
    <mergeCell ref="I115:J115"/>
    <mergeCell ref="I116:J116"/>
    <mergeCell ref="I131:J131"/>
    <mergeCell ref="I132:J132"/>
    <mergeCell ref="I133:J133"/>
    <mergeCell ref="I134:J134"/>
    <mergeCell ref="I135:J135"/>
    <mergeCell ref="I136:J136"/>
    <mergeCell ref="I123:J123"/>
    <mergeCell ref="I127:J127"/>
    <mergeCell ref="I128:J128"/>
    <mergeCell ref="I129:J129"/>
    <mergeCell ref="I130:J130"/>
    <mergeCell ref="I126:J126"/>
    <mergeCell ref="I143:J143"/>
    <mergeCell ref="I144:J144"/>
    <mergeCell ref="I145:J145"/>
    <mergeCell ref="I146:J146"/>
    <mergeCell ref="I147:J147"/>
    <mergeCell ref="I148:J148"/>
    <mergeCell ref="I137:J137"/>
    <mergeCell ref="I138:J138"/>
    <mergeCell ref="I139:J139"/>
    <mergeCell ref="I140:J140"/>
    <mergeCell ref="I141:J141"/>
    <mergeCell ref="I142:J142"/>
    <mergeCell ref="I156:J156"/>
    <mergeCell ref="I157:J157"/>
    <mergeCell ref="I160:J160"/>
    <mergeCell ref="I161:J161"/>
    <mergeCell ref="I162:J162"/>
    <mergeCell ref="I149:J149"/>
    <mergeCell ref="I150:J150"/>
    <mergeCell ref="I153:J153"/>
    <mergeCell ref="I154:J154"/>
    <mergeCell ref="I152:J152"/>
    <mergeCell ref="I169:J169"/>
    <mergeCell ref="I170:J170"/>
    <mergeCell ref="I171:J171"/>
    <mergeCell ref="I172:J172"/>
    <mergeCell ref="I173:J173"/>
    <mergeCell ref="I163:J163"/>
    <mergeCell ref="I164:J164"/>
    <mergeCell ref="I165:J165"/>
    <mergeCell ref="I166:J166"/>
    <mergeCell ref="I167:J167"/>
    <mergeCell ref="I168:J168"/>
    <mergeCell ref="I183:J183"/>
    <mergeCell ref="I184:J184"/>
    <mergeCell ref="I185:J185"/>
    <mergeCell ref="I186:J186"/>
    <mergeCell ref="I187:J187"/>
    <mergeCell ref="I188:J188"/>
    <mergeCell ref="I176:J176"/>
    <mergeCell ref="I178:J178"/>
    <mergeCell ref="I179:J179"/>
    <mergeCell ref="I180:J180"/>
    <mergeCell ref="I181:J181"/>
    <mergeCell ref="I182:J182"/>
    <mergeCell ref="I198:J198"/>
    <mergeCell ref="I199:J199"/>
    <mergeCell ref="I200:J200"/>
    <mergeCell ref="I201:J201"/>
    <mergeCell ref="I189:J189"/>
    <mergeCell ref="I190:J190"/>
    <mergeCell ref="I191:J191"/>
    <mergeCell ref="I192:J192"/>
    <mergeCell ref="I193:J193"/>
    <mergeCell ref="I194:J194"/>
    <mergeCell ref="I208:J208"/>
    <mergeCell ref="I209:J209"/>
    <mergeCell ref="I210:J210"/>
    <mergeCell ref="I211:J211"/>
    <mergeCell ref="I212:J212"/>
    <mergeCell ref="I213:J213"/>
    <mergeCell ref="I202:J202"/>
    <mergeCell ref="I203:J203"/>
    <mergeCell ref="I204:J204"/>
    <mergeCell ref="I205:J205"/>
    <mergeCell ref="I206:J206"/>
    <mergeCell ref="I207:J207"/>
    <mergeCell ref="I222:J222"/>
    <mergeCell ref="I223:J223"/>
    <mergeCell ref="I224:J224"/>
    <mergeCell ref="I225:J225"/>
    <mergeCell ref="I214:J214"/>
    <mergeCell ref="I215:J215"/>
    <mergeCell ref="I216:J216"/>
    <mergeCell ref="I217:J217"/>
    <mergeCell ref="I218:J218"/>
    <mergeCell ref="I219:J219"/>
    <mergeCell ref="I233:J233"/>
    <mergeCell ref="I235:O235"/>
    <mergeCell ref="I177:J177"/>
    <mergeCell ref="I159:J159"/>
    <mergeCell ref="I175:J175"/>
    <mergeCell ref="I196:O196"/>
    <mergeCell ref="I197:J197"/>
    <mergeCell ref="I232:J232"/>
    <mergeCell ref="I57:J57"/>
    <mergeCell ref="I69:J69"/>
    <mergeCell ref="I75:J75"/>
    <mergeCell ref="I82:J82"/>
    <mergeCell ref="I92:J92"/>
    <mergeCell ref="I100:J100"/>
    <mergeCell ref="I105:J105"/>
    <mergeCell ref="I109:J109"/>
    <mergeCell ref="I226:J226"/>
    <mergeCell ref="I227:J227"/>
    <mergeCell ref="I228:J228"/>
    <mergeCell ref="I229:J229"/>
    <mergeCell ref="I230:J230"/>
    <mergeCell ref="I231:J231"/>
    <mergeCell ref="I220:J220"/>
    <mergeCell ref="I221:J22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topLeftCell="E1" zoomScale="85" zoomScaleNormal="85" workbookViewId="0">
      <pane ySplit="5" topLeftCell="A6" activePane="bottomLeft" state="frozen"/>
      <selection activeCell="D259" sqref="D259"/>
      <selection pane="bottomLeft" activeCell="J7" sqref="J7"/>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2.85546875" style="6" customWidth="1"/>
    <col min="12" max="12" width="18.85546875" style="7" bestFit="1" customWidth="1"/>
    <col min="13" max="13" width="12.5703125" style="7" customWidth="1"/>
    <col min="14" max="14" width="9.42578125" style="7" bestFit="1" customWidth="1"/>
    <col min="15" max="15" width="16.5703125" style="7" customWidth="1"/>
    <col min="16" max="16" width="48.85546875" style="8" customWidth="1"/>
    <col min="17" max="16384" width="9.140625" style="3"/>
  </cols>
  <sheetData>
    <row r="1" spans="1:17" ht="32.25" customHeight="1" thickBot="1">
      <c r="A1" s="583" t="s">
        <v>519</v>
      </c>
      <c r="B1" s="584"/>
      <c r="C1" s="584"/>
      <c r="D1" s="584"/>
      <c r="E1" s="584"/>
      <c r="F1" s="584"/>
      <c r="G1" s="584"/>
      <c r="H1" s="584"/>
      <c r="I1" s="584"/>
      <c r="J1" s="584"/>
      <c r="K1" s="584"/>
      <c r="L1" s="584"/>
      <c r="M1" s="584"/>
      <c r="N1" s="584"/>
      <c r="O1" s="584"/>
      <c r="P1" s="585"/>
    </row>
    <row r="2" spans="1:17" s="12" customFormat="1" ht="24.75" customHeight="1" thickBo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thickBot="1">
      <c r="A3" s="308" t="s">
        <v>4</v>
      </c>
      <c r="B3" s="309" t="s">
        <v>5</v>
      </c>
      <c r="C3" s="289">
        <v>99</v>
      </c>
      <c r="D3" s="290">
        <f>C4*C3</f>
        <v>297</v>
      </c>
      <c r="E3" s="578" t="s">
        <v>6</v>
      </c>
      <c r="F3" s="579"/>
      <c r="G3" s="291">
        <v>9</v>
      </c>
      <c r="H3" s="292">
        <f>G3*G4</f>
        <v>81</v>
      </c>
      <c r="I3" s="293"/>
      <c r="J3" s="293"/>
      <c r="K3" s="294"/>
      <c r="L3" s="294"/>
      <c r="M3" s="294"/>
      <c r="N3" s="294"/>
      <c r="O3" s="294"/>
      <c r="P3" s="294"/>
      <c r="Q3" s="295"/>
    </row>
    <row r="4" spans="1:17"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17" s="5" customFormat="1" ht="46.5" customHeight="1">
      <c r="A5" s="61" t="s">
        <v>10</v>
      </c>
      <c r="B5" s="62" t="s">
        <v>11</v>
      </c>
      <c r="C5" s="63"/>
      <c r="D5" s="35" t="s">
        <v>12</v>
      </c>
      <c r="E5" s="36" t="s">
        <v>13</v>
      </c>
      <c r="F5" s="37" t="s">
        <v>14</v>
      </c>
      <c r="G5" s="37" t="s">
        <v>15</v>
      </c>
      <c r="H5" s="37" t="s">
        <v>16</v>
      </c>
      <c r="I5" s="563" t="s">
        <v>17</v>
      </c>
      <c r="J5" s="564"/>
      <c r="K5" s="564"/>
      <c r="L5" s="564"/>
      <c r="M5" s="564"/>
      <c r="N5" s="564"/>
      <c r="O5" s="564"/>
      <c r="P5" s="38" t="s">
        <v>18</v>
      </c>
      <c r="Q5" s="301"/>
    </row>
    <row r="6" spans="1:17" ht="34.9"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s="22" customFormat="1" ht="11.25">
      <c r="A7" s="501"/>
      <c r="B7" s="501"/>
      <c r="C7" s="501"/>
      <c r="D7" s="501"/>
      <c r="E7" s="501"/>
      <c r="F7" s="501"/>
      <c r="G7" s="501"/>
      <c r="H7" s="501"/>
      <c r="I7" s="501"/>
      <c r="J7" s="501"/>
      <c r="K7" s="322">
        <v>2.5</v>
      </c>
      <c r="L7" s="501" t="s">
        <v>22</v>
      </c>
      <c r="M7" s="501"/>
      <c r="N7" s="501"/>
      <c r="O7" s="501"/>
      <c r="P7" s="281"/>
      <c r="Q7" s="502"/>
    </row>
    <row r="8" spans="1:17" s="22" customFormat="1" ht="11.25">
      <c r="A8" s="503"/>
      <c r="B8" s="503"/>
      <c r="C8" s="503"/>
      <c r="D8" s="503"/>
      <c r="E8" s="503"/>
      <c r="F8" s="503"/>
      <c r="G8" s="503"/>
      <c r="H8" s="503"/>
      <c r="I8" s="503"/>
      <c r="J8" s="503"/>
      <c r="K8" s="322">
        <v>1</v>
      </c>
      <c r="L8" s="503" t="s">
        <v>23</v>
      </c>
      <c r="M8" s="503"/>
      <c r="N8" s="503"/>
      <c r="O8" s="503"/>
      <c r="P8" s="281"/>
      <c r="Q8" s="502"/>
    </row>
    <row r="9" spans="1:17" customFormat="1" ht="17.25" customHeight="1">
      <c r="A9" s="272"/>
      <c r="B9" s="272"/>
      <c r="C9" s="272"/>
      <c r="D9" s="272"/>
      <c r="E9" s="272"/>
      <c r="F9" s="272"/>
      <c r="G9" s="272"/>
      <c r="H9" s="272"/>
      <c r="I9" s="272"/>
      <c r="J9" s="272"/>
      <c r="K9" s="318">
        <f>($K$7*2)+($K$8*2)+1+1</f>
        <v>9</v>
      </c>
      <c r="L9" s="272" t="str">
        <f>Rekenblad!L9</f>
        <v>man in de binding</v>
      </c>
      <c r="M9" s="273">
        <f>Rekenblad!M9</f>
        <v>116.03999999999999</v>
      </c>
      <c r="N9" s="272" t="str">
        <f>Rekenblad!N9</f>
        <v>/man/week</v>
      </c>
      <c r="O9" s="273"/>
      <c r="P9" s="112"/>
      <c r="Q9" s="310"/>
    </row>
    <row r="10" spans="1:17" customFormat="1" ht="17.25" customHeight="1">
      <c r="A10" s="112"/>
      <c r="B10" s="112"/>
      <c r="C10" s="112"/>
      <c r="D10" s="112"/>
      <c r="E10" s="112"/>
      <c r="F10" s="112"/>
      <c r="G10" s="112"/>
      <c r="H10" s="112"/>
      <c r="I10" s="112"/>
      <c r="J10" s="112"/>
      <c r="K10" s="319">
        <f>K9</f>
        <v>9</v>
      </c>
      <c r="L10" s="112" t="str">
        <f>Rekenblad!L10</f>
        <v>Telefoon abonnement</v>
      </c>
      <c r="M10" s="113">
        <f>Rekenblad!M10</f>
        <v>60</v>
      </c>
      <c r="N10" s="112" t="str">
        <f>Rekenblad!N10</f>
        <v>/maand</v>
      </c>
      <c r="O10" s="113"/>
      <c r="P10" s="112"/>
      <c r="Q10" s="310"/>
    </row>
    <row r="11" spans="1:17" ht="35.450000000000003" customHeight="1">
      <c r="A11" s="78" t="s">
        <v>24</v>
      </c>
      <c r="B11" s="79" t="s">
        <v>25</v>
      </c>
      <c r="C11" s="80" t="s">
        <v>26</v>
      </c>
      <c r="D11" s="68" t="s">
        <v>27</v>
      </c>
      <c r="E11" s="69">
        <v>60</v>
      </c>
      <c r="F11" s="70">
        <f>O11</f>
        <v>5065.5599999999995</v>
      </c>
      <c r="G11" s="81">
        <f>H11/5</f>
        <v>60786.719999999994</v>
      </c>
      <c r="H11" s="82">
        <f>F11*E11</f>
        <v>303933.59999999998</v>
      </c>
      <c r="I11" s="274" t="s">
        <v>28</v>
      </c>
      <c r="J11" s="275" t="s">
        <v>29</v>
      </c>
      <c r="K11" s="319"/>
      <c r="L11" s="112"/>
      <c r="M11" s="86"/>
      <c r="N11" s="112"/>
      <c r="O11" s="113">
        <f>K9*(M9*(52/12))+K10*M10</f>
        <v>5065.5599999999995</v>
      </c>
      <c r="P11" s="276" t="s">
        <v>506</v>
      </c>
      <c r="Q11" s="151"/>
    </row>
    <row r="12" spans="1:17" s="20" customFormat="1">
      <c r="A12" s="90" t="s">
        <v>31</v>
      </c>
      <c r="B12" s="91" t="s">
        <v>32</v>
      </c>
      <c r="C12" s="92" t="s">
        <v>33</v>
      </c>
      <c r="D12" s="93" t="s">
        <v>27</v>
      </c>
      <c r="E12" s="94">
        <v>60</v>
      </c>
      <c r="F12" s="95">
        <v>10000</v>
      </c>
      <c r="G12" s="96">
        <f>F12*12</f>
        <v>120000</v>
      </c>
      <c r="H12" s="97"/>
      <c r="I12" s="98"/>
      <c r="J12" s="99"/>
      <c r="K12" s="319"/>
      <c r="L12" s="112"/>
      <c r="M12" s="113"/>
      <c r="N12" s="112"/>
      <c r="O12" s="113"/>
      <c r="P12" s="99"/>
      <c r="Q12" s="302"/>
    </row>
    <row r="13" spans="1:17" ht="67.5">
      <c r="A13" s="78" t="s">
        <v>34</v>
      </c>
      <c r="B13" s="79" t="s">
        <v>35</v>
      </c>
      <c r="C13" s="80" t="s">
        <v>26</v>
      </c>
      <c r="D13" s="68" t="s">
        <v>27</v>
      </c>
      <c r="E13" s="69">
        <v>60</v>
      </c>
      <c r="F13" s="70">
        <f>O13</f>
        <v>7934.8499999999985</v>
      </c>
      <c r="G13" s="81">
        <f>H13/5</f>
        <v>95218.199999999983</v>
      </c>
      <c r="H13" s="82">
        <f>F13*E13</f>
        <v>476090.99999999988</v>
      </c>
      <c r="I13" s="76" t="s">
        <v>36</v>
      </c>
      <c r="J13" s="84" t="s">
        <v>37</v>
      </c>
      <c r="K13" s="325">
        <f>Rekenblad!K13</f>
        <v>3.75</v>
      </c>
      <c r="L13" s="324" t="s">
        <v>38</v>
      </c>
      <c r="M13" s="500">
        <f>K7*(F16+F17)+K8*F18</f>
        <v>2115.9599999999996</v>
      </c>
      <c r="N13" s="324" t="s">
        <v>39</v>
      </c>
      <c r="O13" s="113">
        <f>(M13*K13)</f>
        <v>7934.8499999999985</v>
      </c>
      <c r="P13" s="103" t="s">
        <v>40</v>
      </c>
      <c r="Q13" s="151"/>
    </row>
    <row r="14" spans="1:17" ht="69.599999999999994" customHeight="1">
      <c r="A14" s="104" t="s">
        <v>41</v>
      </c>
      <c r="B14" s="105" t="s">
        <v>42</v>
      </c>
      <c r="C14" s="106" t="s">
        <v>26</v>
      </c>
      <c r="D14" s="107" t="s">
        <v>27</v>
      </c>
      <c r="E14" s="108">
        <v>60</v>
      </c>
      <c r="F14" s="109">
        <f>O14</f>
        <v>1700</v>
      </c>
      <c r="G14" s="81">
        <f>H14/5</f>
        <v>20400</v>
      </c>
      <c r="H14" s="82">
        <f>F14*E14</f>
        <v>102000</v>
      </c>
      <c r="I14" s="83" t="s">
        <v>43</v>
      </c>
      <c r="J14" s="111" t="s">
        <v>44</v>
      </c>
      <c r="K14" s="320">
        <v>20</v>
      </c>
      <c r="L14" s="112" t="s">
        <v>8</v>
      </c>
      <c r="M14" s="113">
        <v>85</v>
      </c>
      <c r="N14" s="112" t="s">
        <v>8</v>
      </c>
      <c r="O14" s="113">
        <f>M14*K14</f>
        <v>1700</v>
      </c>
      <c r="P14" s="282" t="s">
        <v>510</v>
      </c>
      <c r="Q14" s="151"/>
    </row>
    <row r="15" spans="1:17" ht="33.75">
      <c r="A15" s="64">
        <v>2</v>
      </c>
      <c r="B15" s="115" t="s">
        <v>46</v>
      </c>
      <c r="C15" s="115"/>
      <c r="D15" s="38" t="s">
        <v>12</v>
      </c>
      <c r="E15" s="47" t="s">
        <v>13</v>
      </c>
      <c r="F15" s="48" t="s">
        <v>14</v>
      </c>
      <c r="G15" s="48" t="s">
        <v>15</v>
      </c>
      <c r="H15" s="48" t="s">
        <v>16</v>
      </c>
      <c r="I15" s="38" t="s">
        <v>17</v>
      </c>
      <c r="J15" s="49" t="s">
        <v>47</v>
      </c>
      <c r="K15" s="37" t="s">
        <v>48</v>
      </c>
      <c r="L15" s="50" t="s">
        <v>49</v>
      </c>
      <c r="M15" s="58" t="s">
        <v>50</v>
      </c>
      <c r="N15" s="58"/>
      <c r="O15" s="59"/>
      <c r="P15" s="49" t="s">
        <v>18</v>
      </c>
      <c r="Q15" s="151"/>
    </row>
    <row r="16" spans="1:17" ht="96" customHeight="1">
      <c r="A16" s="78" t="s">
        <v>51</v>
      </c>
      <c r="B16" s="116" t="s">
        <v>52</v>
      </c>
      <c r="C16" s="75" t="s">
        <v>53</v>
      </c>
      <c r="D16" s="107" t="s">
        <v>8</v>
      </c>
      <c r="E16" s="117">
        <f>D3</f>
        <v>297</v>
      </c>
      <c r="F16" s="118">
        <f>Rekenblad!F16</f>
        <v>530.56499999999994</v>
      </c>
      <c r="G16" s="118">
        <f>E16*F16</f>
        <v>157577.80499999999</v>
      </c>
      <c r="H16" s="109">
        <f>A4*G16</f>
        <v>787889.02499999991</v>
      </c>
      <c r="I16" s="76" t="s">
        <v>54</v>
      </c>
      <c r="J16" s="76" t="s">
        <v>55</v>
      </c>
      <c r="K16" s="119">
        <v>100</v>
      </c>
      <c r="L16" s="120">
        <v>500</v>
      </c>
      <c r="M16" s="278">
        <v>3</v>
      </c>
      <c r="N16" s="278"/>
      <c r="O16" s="76"/>
      <c r="P16" s="77"/>
      <c r="Q16" s="151"/>
    </row>
    <row r="17" spans="1:17" ht="96" customHeight="1">
      <c r="A17" s="78" t="s">
        <v>51</v>
      </c>
      <c r="B17" s="116" t="s">
        <v>56</v>
      </c>
      <c r="C17" s="75" t="s">
        <v>57</v>
      </c>
      <c r="D17" s="107" t="s">
        <v>8</v>
      </c>
      <c r="E17" s="108"/>
      <c r="F17" s="118">
        <f>Rekenblad!F17</f>
        <v>225.58499999999998</v>
      </c>
      <c r="G17" s="118"/>
      <c r="H17" s="109"/>
      <c r="I17" s="76" t="s">
        <v>58</v>
      </c>
      <c r="J17" s="76"/>
      <c r="K17" s="119"/>
      <c r="L17" s="120"/>
      <c r="M17" s="121"/>
      <c r="N17" s="121"/>
      <c r="O17" s="75"/>
      <c r="P17" s="77"/>
      <c r="Q17" s="151"/>
    </row>
    <row r="18" spans="1:17" ht="71.25" customHeight="1">
      <c r="A18" s="104" t="s">
        <v>59</v>
      </c>
      <c r="B18" s="116" t="s">
        <v>60</v>
      </c>
      <c r="C18" s="75" t="s">
        <v>53</v>
      </c>
      <c r="D18" s="107" t="s">
        <v>8</v>
      </c>
      <c r="E18" s="30">
        <f>H3</f>
        <v>81</v>
      </c>
      <c r="F18" s="118">
        <f>Rekenblad!F18</f>
        <v>225.58499999999998</v>
      </c>
      <c r="G18" s="118">
        <f>F18*E18</f>
        <v>18272.384999999998</v>
      </c>
      <c r="H18" s="109">
        <f>A4*G18</f>
        <v>91361.924999999988</v>
      </c>
      <c r="I18" s="76" t="s">
        <v>61</v>
      </c>
      <c r="J18" s="76" t="s">
        <v>62</v>
      </c>
      <c r="K18" s="122">
        <v>10</v>
      </c>
      <c r="L18" s="122">
        <v>50</v>
      </c>
      <c r="M18" s="279">
        <v>4</v>
      </c>
      <c r="N18" s="279"/>
      <c r="O18" s="124"/>
      <c r="P18" s="77"/>
      <c r="Q18" s="151"/>
    </row>
    <row r="19" spans="1:17" s="19" customFormat="1" ht="47.25" customHeight="1">
      <c r="A19" s="125" t="s">
        <v>63</v>
      </c>
      <c r="B19" s="126" t="s">
        <v>64</v>
      </c>
      <c r="C19" s="127" t="s">
        <v>33</v>
      </c>
      <c r="D19" s="127" t="s">
        <v>8</v>
      </c>
      <c r="E19" s="128">
        <f>E16</f>
        <v>297</v>
      </c>
      <c r="F19" s="130">
        <f>Rekenblad!F19</f>
        <v>424</v>
      </c>
      <c r="G19" s="130">
        <f t="shared" ref="G19:G22" si="0">F19*E19</f>
        <v>125928</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30">
        <f>Rekenblad!F20</f>
        <v>689</v>
      </c>
      <c r="G20" s="130">
        <f t="shared" si="0"/>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30">
        <f>Rekenblad!F21</f>
        <v>2031.6666666666702</v>
      </c>
      <c r="G21" s="130">
        <f t="shared" si="0"/>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30">
        <f>Rekenblad!F22</f>
        <v>3445</v>
      </c>
      <c r="G22" s="130">
        <f t="shared" si="0"/>
        <v>0</v>
      </c>
      <c r="H22" s="139"/>
      <c r="I22" s="132"/>
      <c r="J22" s="133"/>
      <c r="K22" s="134"/>
      <c r="L22" s="135"/>
      <c r="M22" s="136"/>
      <c r="N22" s="136"/>
      <c r="O22" s="137"/>
      <c r="P22" s="138"/>
      <c r="Q22" s="303"/>
    </row>
    <row r="23" spans="1:17" ht="59.25" customHeight="1">
      <c r="A23" s="64">
        <v>3</v>
      </c>
      <c r="B23" s="65" t="s">
        <v>71</v>
      </c>
      <c r="C23" s="140"/>
      <c r="D23" s="51" t="s">
        <v>12</v>
      </c>
      <c r="E23" s="52" t="s">
        <v>13</v>
      </c>
      <c r="F23" s="60" t="str">
        <f>Rekenblad!F23</f>
        <v>bedrag per eenheid (excl. btw)</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18">
        <f>Rekenblad!F24</f>
        <v>0</v>
      </c>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420</v>
      </c>
      <c r="F25" s="118">
        <f>Rekenblad!F25</f>
        <v>55.650000000000006</v>
      </c>
      <c r="G25" s="145" t="s">
        <v>77</v>
      </c>
      <c r="H25" s="145">
        <f>E25*F25</f>
        <v>23373.000000000004</v>
      </c>
      <c r="I25" s="280">
        <f>Rekenblad!I25</f>
        <v>0.66666666666666663</v>
      </c>
      <c r="J25" s="151"/>
      <c r="K25" s="118"/>
      <c r="L25" s="146"/>
      <c r="M25" s="146"/>
      <c r="N25" s="146"/>
      <c r="O25" s="146"/>
      <c r="P25" s="147"/>
      <c r="Q25" s="151"/>
    </row>
    <row r="26" spans="1:17" ht="30" customHeight="1">
      <c r="A26" s="143"/>
      <c r="B26" s="148" t="s">
        <v>78</v>
      </c>
      <c r="C26" s="149" t="s">
        <v>76</v>
      </c>
      <c r="D26" s="143" t="s">
        <v>8</v>
      </c>
      <c r="E26" s="108">
        <f>((1/3)*($D$3+$H$3)*$A$4)*I26</f>
        <v>105</v>
      </c>
      <c r="F26" s="118">
        <f>Rekenblad!F26</f>
        <v>68.900000000000006</v>
      </c>
      <c r="G26" s="145" t="s">
        <v>77</v>
      </c>
      <c r="H26" s="145">
        <f t="shared" ref="H26:H30" si="1">E26*F26</f>
        <v>7234.5000000000009</v>
      </c>
      <c r="I26" s="280">
        <f>Rekenblad!I26</f>
        <v>0.16666666666666666</v>
      </c>
      <c r="J26" s="152"/>
      <c r="K26" s="118"/>
      <c r="L26" s="146"/>
      <c r="M26" s="146"/>
      <c r="N26" s="146"/>
      <c r="O26" s="146"/>
      <c r="P26" s="147"/>
      <c r="Q26" s="151"/>
    </row>
    <row r="27" spans="1:17" ht="30" customHeight="1">
      <c r="A27" s="143"/>
      <c r="B27" s="148" t="s">
        <v>79</v>
      </c>
      <c r="C27" s="149" t="s">
        <v>76</v>
      </c>
      <c r="D27" s="143" t="s">
        <v>8</v>
      </c>
      <c r="E27" s="108">
        <f>((1/3)*($D$3+$H$3)*$A$4)*I27</f>
        <v>52.5</v>
      </c>
      <c r="F27" s="118">
        <f>Rekenblad!F27</f>
        <v>79.5</v>
      </c>
      <c r="G27" s="145" t="s">
        <v>77</v>
      </c>
      <c r="H27" s="145">
        <f t="shared" si="1"/>
        <v>4173.75</v>
      </c>
      <c r="I27" s="280">
        <f>Rekenblad!I27</f>
        <v>8.3333333333333329E-2</v>
      </c>
      <c r="J27" s="152"/>
      <c r="K27" s="118"/>
      <c r="L27" s="146"/>
      <c r="M27" s="146"/>
      <c r="N27" s="146"/>
      <c r="O27" s="146"/>
      <c r="P27" s="147"/>
      <c r="Q27" s="151"/>
    </row>
    <row r="28" spans="1:17" ht="30" customHeight="1">
      <c r="A28" s="143"/>
      <c r="B28" s="148" t="s">
        <v>80</v>
      </c>
      <c r="C28" s="149" t="s">
        <v>76</v>
      </c>
      <c r="D28" s="143" t="s">
        <v>8</v>
      </c>
      <c r="E28" s="108">
        <f>((1/3)*($D$3+$H$3)*$A$4)*I28</f>
        <v>52.5</v>
      </c>
      <c r="F28" s="118">
        <f>Rekenblad!F28</f>
        <v>100.7</v>
      </c>
      <c r="G28" s="145" t="s">
        <v>77</v>
      </c>
      <c r="H28" s="145">
        <f t="shared" si="1"/>
        <v>5286.75</v>
      </c>
      <c r="I28" s="280">
        <f>Rekenblad!I28</f>
        <v>8.3333333333333329E-2</v>
      </c>
      <c r="J28" s="152"/>
      <c r="K28" s="118"/>
      <c r="L28" s="146"/>
      <c r="M28" s="146"/>
      <c r="N28" s="146"/>
      <c r="O28" s="146"/>
      <c r="P28" s="147"/>
      <c r="Q28" s="151"/>
    </row>
    <row r="29" spans="1:17" ht="30" customHeight="1">
      <c r="A29" s="143"/>
      <c r="B29" s="148" t="s">
        <v>81</v>
      </c>
      <c r="C29" s="149" t="s">
        <v>33</v>
      </c>
      <c r="D29" s="143" t="s">
        <v>8</v>
      </c>
      <c r="E29" s="108">
        <f>Rekenblad!E29</f>
        <v>0</v>
      </c>
      <c r="F29" s="118">
        <f>Rekenblad!F29</f>
        <v>76.850000000000009</v>
      </c>
      <c r="G29" s="145" t="s">
        <v>77</v>
      </c>
      <c r="H29" s="145">
        <f t="shared" si="1"/>
        <v>0</v>
      </c>
      <c r="I29" s="153"/>
      <c r="J29" s="152"/>
      <c r="K29" s="118"/>
      <c r="L29" s="146"/>
      <c r="M29" s="146"/>
      <c r="N29" s="146"/>
      <c r="O29" s="146"/>
      <c r="P29" s="147"/>
      <c r="Q29" s="151"/>
    </row>
    <row r="30" spans="1:17" ht="30" customHeight="1">
      <c r="A30" s="143"/>
      <c r="B30" s="148" t="s">
        <v>82</v>
      </c>
      <c r="C30" s="149" t="s">
        <v>57</v>
      </c>
      <c r="D30" s="143" t="s">
        <v>8</v>
      </c>
      <c r="E30" s="108">
        <f>Rekenblad!E30</f>
        <v>0</v>
      </c>
      <c r="F30" s="118">
        <f>Rekenblad!F30</f>
        <v>113.102</v>
      </c>
      <c r="G30" s="145" t="s">
        <v>77</v>
      </c>
      <c r="H30" s="145">
        <f t="shared" si="1"/>
        <v>0</v>
      </c>
      <c r="I30" s="153"/>
      <c r="J30" s="152"/>
      <c r="K30" s="118"/>
      <c r="L30" s="146"/>
      <c r="M30" s="146"/>
      <c r="N30" s="146"/>
      <c r="O30" s="146"/>
      <c r="P30" s="147"/>
      <c r="Q30" s="151"/>
    </row>
    <row r="31" spans="1:17" ht="30" customHeight="1">
      <c r="A31" s="143"/>
      <c r="B31" s="148"/>
      <c r="C31" s="149"/>
      <c r="D31" s="143"/>
      <c r="E31" s="108"/>
      <c r="F31" s="118"/>
      <c r="G31" s="145"/>
      <c r="H31" s="145"/>
      <c r="I31" s="153"/>
      <c r="J31" s="152"/>
      <c r="K31" s="118"/>
      <c r="L31" s="146"/>
      <c r="M31" s="146"/>
      <c r="N31" s="146"/>
      <c r="O31" s="146"/>
      <c r="P31" s="147"/>
      <c r="Q31" s="151"/>
    </row>
    <row r="32" spans="1:17" ht="30" customHeight="1">
      <c r="A32" s="141" t="s">
        <v>83</v>
      </c>
      <c r="B32" s="142" t="s">
        <v>84</v>
      </c>
      <c r="C32" s="65"/>
      <c r="D32" s="64"/>
      <c r="E32" s="108"/>
      <c r="F32" s="118"/>
      <c r="G32" s="145"/>
      <c r="H32" s="145"/>
      <c r="I32" s="153"/>
      <c r="J32" s="155"/>
      <c r="K32" s="118"/>
      <c r="L32" s="146"/>
      <c r="M32" s="146"/>
      <c r="N32" s="146"/>
      <c r="O32" s="146"/>
      <c r="P32" s="147"/>
      <c r="Q32" s="151"/>
    </row>
    <row r="33" spans="1:17" ht="30" customHeight="1">
      <c r="A33" s="143"/>
      <c r="B33" s="148" t="s">
        <v>75</v>
      </c>
      <c r="C33" s="149" t="s">
        <v>76</v>
      </c>
      <c r="D33" s="143" t="s">
        <v>8</v>
      </c>
      <c r="E33" s="108">
        <f>Rekenblad!E33</f>
        <v>0</v>
      </c>
      <c r="F33" s="118">
        <f>Rekenblad!F33</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f>Rekenblad!E34</f>
        <v>0</v>
      </c>
      <c r="F34" s="118">
        <f>Rekenblad!F34</f>
        <v>63.6</v>
      </c>
      <c r="G34" s="145"/>
      <c r="H34" s="145">
        <f t="shared" ref="H34:H41" si="2">F34*E34</f>
        <v>0</v>
      </c>
      <c r="I34" s="569"/>
      <c r="J34" s="573"/>
      <c r="K34" s="118"/>
      <c r="L34" s="146"/>
      <c r="M34" s="146"/>
      <c r="N34" s="146"/>
      <c r="O34" s="146"/>
      <c r="P34" s="147"/>
      <c r="Q34" s="151"/>
    </row>
    <row r="35" spans="1:17" ht="30" customHeight="1">
      <c r="A35" s="143"/>
      <c r="B35" s="148" t="s">
        <v>79</v>
      </c>
      <c r="C35" s="149" t="s">
        <v>76</v>
      </c>
      <c r="D35" s="143" t="s">
        <v>8</v>
      </c>
      <c r="E35" s="108">
        <f>Rekenblad!E35</f>
        <v>0</v>
      </c>
      <c r="F35" s="118">
        <f>Rekenblad!F35</f>
        <v>74.2</v>
      </c>
      <c r="G35" s="145"/>
      <c r="H35" s="145">
        <f t="shared" si="2"/>
        <v>0</v>
      </c>
      <c r="I35" s="569"/>
      <c r="J35" s="573"/>
      <c r="K35" s="118"/>
      <c r="L35" s="146"/>
      <c r="M35" s="146"/>
      <c r="N35" s="146"/>
      <c r="O35" s="146"/>
      <c r="P35" s="147"/>
      <c r="Q35" s="151"/>
    </row>
    <row r="36" spans="1:17" ht="30" customHeight="1">
      <c r="A36" s="143"/>
      <c r="B36" s="148" t="s">
        <v>80</v>
      </c>
      <c r="C36" s="149" t="s">
        <v>76</v>
      </c>
      <c r="D36" s="143" t="s">
        <v>8</v>
      </c>
      <c r="E36" s="108">
        <f>Rekenblad!E36</f>
        <v>0</v>
      </c>
      <c r="F36" s="118">
        <f>Rekenblad!F36</f>
        <v>84.800000000000011</v>
      </c>
      <c r="G36" s="145"/>
      <c r="H36" s="145">
        <f t="shared" si="2"/>
        <v>0</v>
      </c>
      <c r="I36" s="569"/>
      <c r="J36" s="573"/>
      <c r="K36" s="118"/>
      <c r="L36" s="146"/>
      <c r="M36" s="146"/>
      <c r="N36" s="146"/>
      <c r="O36" s="146"/>
      <c r="P36" s="147"/>
      <c r="Q36" s="151"/>
    </row>
    <row r="37" spans="1:17" ht="30" customHeight="1">
      <c r="A37" s="141" t="s">
        <v>85</v>
      </c>
      <c r="B37" s="156" t="s">
        <v>86</v>
      </c>
      <c r="C37" s="141"/>
      <c r="D37" s="64"/>
      <c r="E37" s="108"/>
      <c r="F37" s="118"/>
      <c r="G37" s="145"/>
      <c r="H37" s="145">
        <f t="shared" si="2"/>
        <v>0</v>
      </c>
      <c r="I37" s="569"/>
      <c r="J37" s="573"/>
      <c r="K37" s="118"/>
      <c r="L37" s="146"/>
      <c r="M37" s="146"/>
      <c r="N37" s="146"/>
      <c r="O37" s="146"/>
      <c r="P37" s="147"/>
      <c r="Q37" s="151"/>
    </row>
    <row r="38" spans="1:17" ht="30" customHeight="1">
      <c r="A38" s="143"/>
      <c r="B38" s="157" t="s">
        <v>75</v>
      </c>
      <c r="C38" s="143" t="s">
        <v>76</v>
      </c>
      <c r="D38" s="143" t="s">
        <v>8</v>
      </c>
      <c r="E38" s="108">
        <f>Rekenblad!E38</f>
        <v>0</v>
      </c>
      <c r="F38" s="118">
        <f>Rekenblad!F38</f>
        <v>50.88</v>
      </c>
      <c r="G38" s="145"/>
      <c r="H38" s="145">
        <f t="shared" si="2"/>
        <v>0</v>
      </c>
      <c r="I38" s="569"/>
      <c r="J38" s="573"/>
      <c r="K38" s="118"/>
      <c r="L38" s="146"/>
      <c r="M38" s="146"/>
      <c r="N38" s="146"/>
      <c r="O38" s="146"/>
      <c r="P38" s="147"/>
      <c r="Q38" s="151"/>
    </row>
    <row r="39" spans="1:17" ht="30" customHeight="1">
      <c r="A39" s="143"/>
      <c r="B39" s="157" t="s">
        <v>78</v>
      </c>
      <c r="C39" s="143" t="s">
        <v>76</v>
      </c>
      <c r="D39" s="143" t="s">
        <v>8</v>
      </c>
      <c r="E39" s="108">
        <f>Rekenblad!E39</f>
        <v>0</v>
      </c>
      <c r="F39" s="118">
        <f>Rekenblad!F39</f>
        <v>58.300000000000004</v>
      </c>
      <c r="G39" s="145"/>
      <c r="H39" s="145">
        <f t="shared" si="2"/>
        <v>0</v>
      </c>
      <c r="I39" s="569"/>
      <c r="J39" s="573"/>
      <c r="K39" s="118"/>
      <c r="L39" s="146"/>
      <c r="M39" s="146"/>
      <c r="N39" s="146"/>
      <c r="O39" s="146"/>
      <c r="P39" s="147"/>
      <c r="Q39" s="151"/>
    </row>
    <row r="40" spans="1:17" ht="30" customHeight="1">
      <c r="A40" s="143"/>
      <c r="B40" s="157" t="s">
        <v>79</v>
      </c>
      <c r="C40" s="143" t="s">
        <v>76</v>
      </c>
      <c r="D40" s="143" t="s">
        <v>8</v>
      </c>
      <c r="E40" s="108">
        <f>Rekenblad!E40</f>
        <v>0</v>
      </c>
      <c r="F40" s="118">
        <f>Rekenblad!F40</f>
        <v>68.900000000000006</v>
      </c>
      <c r="G40" s="145"/>
      <c r="H40" s="145">
        <f t="shared" si="2"/>
        <v>0</v>
      </c>
      <c r="I40" s="569"/>
      <c r="J40" s="573"/>
      <c r="K40" s="118"/>
      <c r="L40" s="146"/>
      <c r="M40" s="146"/>
      <c r="N40" s="146"/>
      <c r="O40" s="146"/>
      <c r="P40" s="147"/>
      <c r="Q40" s="151"/>
    </row>
    <row r="41" spans="1:17" ht="30" customHeight="1">
      <c r="A41" s="143"/>
      <c r="B41" s="157" t="s">
        <v>80</v>
      </c>
      <c r="C41" s="143" t="s">
        <v>76</v>
      </c>
      <c r="D41" s="143" t="s">
        <v>8</v>
      </c>
      <c r="E41" s="108">
        <f>Rekenblad!E41</f>
        <v>0</v>
      </c>
      <c r="F41" s="118">
        <f>Rekenblad!F41</f>
        <v>79.5</v>
      </c>
      <c r="G41" s="145"/>
      <c r="H41" s="145">
        <f t="shared" si="2"/>
        <v>0</v>
      </c>
      <c r="I41" s="569"/>
      <c r="J41" s="573"/>
      <c r="K41" s="118"/>
      <c r="L41" s="146"/>
      <c r="M41" s="146"/>
      <c r="N41" s="146"/>
      <c r="O41" s="146"/>
      <c r="P41" s="147"/>
      <c r="Q41" s="151"/>
    </row>
    <row r="42" spans="1:17" ht="30" customHeight="1">
      <c r="A42" s="141" t="s">
        <v>87</v>
      </c>
      <c r="B42" s="142" t="s">
        <v>88</v>
      </c>
      <c r="C42" s="65"/>
      <c r="D42" s="64"/>
      <c r="E42" s="108"/>
      <c r="F42" s="118"/>
      <c r="G42" s="145"/>
      <c r="H42" s="145"/>
      <c r="I42" s="569"/>
      <c r="J42" s="573"/>
      <c r="K42" s="118"/>
      <c r="L42" s="146"/>
      <c r="M42" s="146"/>
      <c r="N42" s="146"/>
      <c r="O42" s="146"/>
      <c r="P42" s="147"/>
      <c r="Q42" s="151"/>
    </row>
    <row r="43" spans="1:17" ht="30" customHeight="1">
      <c r="A43" s="143"/>
      <c r="B43" s="148" t="s">
        <v>75</v>
      </c>
      <c r="C43" s="149" t="s">
        <v>76</v>
      </c>
      <c r="D43" s="143" t="s">
        <v>8</v>
      </c>
      <c r="E43" s="108">
        <f>Rekenblad!E43</f>
        <v>0</v>
      </c>
      <c r="F43" s="118">
        <f>Rekenblad!F43</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f>Rekenblad!E44</f>
        <v>0</v>
      </c>
      <c r="F44" s="118">
        <f>Rekenblad!F44</f>
        <v>53</v>
      </c>
      <c r="G44" s="145"/>
      <c r="H44" s="145">
        <f t="shared" ref="H44:H46" si="3">E44*F44</f>
        <v>0</v>
      </c>
      <c r="I44" s="569"/>
      <c r="J44" s="573"/>
      <c r="K44" s="118"/>
      <c r="L44" s="146"/>
      <c r="M44" s="146"/>
      <c r="N44" s="146"/>
      <c r="O44" s="146"/>
      <c r="P44" s="147"/>
      <c r="Q44" s="151"/>
    </row>
    <row r="45" spans="1:17" ht="30" customHeight="1">
      <c r="A45" s="143"/>
      <c r="B45" s="148" t="s">
        <v>79</v>
      </c>
      <c r="C45" s="149" t="s">
        <v>76</v>
      </c>
      <c r="D45" s="143" t="s">
        <v>8</v>
      </c>
      <c r="E45" s="108">
        <f>Rekenblad!E45</f>
        <v>0</v>
      </c>
      <c r="F45" s="118">
        <f>Rekenblad!F45</f>
        <v>63.6</v>
      </c>
      <c r="G45" s="145"/>
      <c r="H45" s="145">
        <f t="shared" si="3"/>
        <v>0</v>
      </c>
      <c r="I45" s="569"/>
      <c r="J45" s="573"/>
      <c r="K45" s="118"/>
      <c r="L45" s="146"/>
      <c r="M45" s="146"/>
      <c r="N45" s="146"/>
      <c r="O45" s="146"/>
      <c r="P45" s="147"/>
      <c r="Q45" s="151"/>
    </row>
    <row r="46" spans="1:17" ht="30" customHeight="1">
      <c r="A46" s="143"/>
      <c r="B46" s="148" t="s">
        <v>80</v>
      </c>
      <c r="C46" s="149" t="s">
        <v>76</v>
      </c>
      <c r="D46" s="143" t="s">
        <v>8</v>
      </c>
      <c r="E46" s="108">
        <f>Rekenblad!E46</f>
        <v>0</v>
      </c>
      <c r="F46" s="118">
        <f>Rekenblad!F46</f>
        <v>79.5</v>
      </c>
      <c r="G46" s="145"/>
      <c r="H46" s="145">
        <f t="shared" si="3"/>
        <v>0</v>
      </c>
      <c r="I46" s="569"/>
      <c r="J46" s="573"/>
      <c r="K46" s="118"/>
      <c r="L46" s="146"/>
      <c r="M46" s="146"/>
      <c r="N46" s="146"/>
      <c r="O46" s="146"/>
      <c r="P46" s="147"/>
      <c r="Q46" s="151"/>
    </row>
    <row r="47" spans="1:17" ht="30" customHeight="1">
      <c r="A47" s="143"/>
      <c r="B47" s="148" t="s">
        <v>89</v>
      </c>
      <c r="C47" s="149" t="s">
        <v>33</v>
      </c>
      <c r="D47" s="143" t="s">
        <v>8</v>
      </c>
      <c r="E47" s="108">
        <f>Rekenblad!E47</f>
        <v>16</v>
      </c>
      <c r="F47" s="118">
        <f>Rekenblad!F47</f>
        <v>111.83000000000001</v>
      </c>
      <c r="G47" s="118"/>
      <c r="H47" s="118">
        <f>E47*F47</f>
        <v>1789.2800000000002</v>
      </c>
      <c r="I47" s="569" t="s">
        <v>90</v>
      </c>
      <c r="J47" s="573"/>
      <c r="K47" s="118"/>
      <c r="L47" s="146"/>
      <c r="M47" s="146"/>
      <c r="N47" s="146"/>
      <c r="O47" s="146"/>
      <c r="P47" s="147"/>
      <c r="Q47" s="151"/>
    </row>
    <row r="48" spans="1:17" ht="30" customHeight="1">
      <c r="A48" s="143"/>
      <c r="B48" s="148" t="s">
        <v>91</v>
      </c>
      <c r="C48" s="149" t="s">
        <v>33</v>
      </c>
      <c r="D48" s="143" t="s">
        <v>8</v>
      </c>
      <c r="E48" s="108">
        <f>Rekenblad!E48</f>
        <v>2</v>
      </c>
      <c r="F48" s="118">
        <f>Rekenblad!F48</f>
        <v>97.52000000000001</v>
      </c>
      <c r="G48" s="118"/>
      <c r="H48" s="118">
        <f t="shared" ref="H48:H60" si="4">E48*F48</f>
        <v>195.04000000000002</v>
      </c>
      <c r="I48" s="569" t="s">
        <v>92</v>
      </c>
      <c r="J48" s="573"/>
      <c r="K48" s="118"/>
      <c r="L48" s="146"/>
      <c r="M48" s="146"/>
      <c r="N48" s="146"/>
      <c r="O48" s="146"/>
      <c r="P48" s="147"/>
      <c r="Q48" s="151"/>
    </row>
    <row r="49" spans="1:17" ht="30" customHeight="1">
      <c r="A49" s="143"/>
      <c r="B49" s="148" t="s">
        <v>93</v>
      </c>
      <c r="C49" s="149" t="s">
        <v>33</v>
      </c>
      <c r="D49" s="143" t="s">
        <v>8</v>
      </c>
      <c r="E49" s="108">
        <f>Rekenblad!E49</f>
        <v>40</v>
      </c>
      <c r="F49" s="118">
        <f>Rekenblad!F49</f>
        <v>68.37</v>
      </c>
      <c r="G49" s="118"/>
      <c r="H49" s="118">
        <f t="shared" si="4"/>
        <v>2734.8</v>
      </c>
      <c r="I49" s="569" t="s">
        <v>94</v>
      </c>
      <c r="J49" s="573"/>
      <c r="K49" s="118"/>
      <c r="L49" s="146"/>
      <c r="M49" s="146"/>
      <c r="N49" s="146"/>
      <c r="O49" s="146"/>
      <c r="P49" s="147"/>
      <c r="Q49" s="151"/>
    </row>
    <row r="50" spans="1:17" ht="30" customHeight="1">
      <c r="A50" s="143"/>
      <c r="B50" s="148" t="s">
        <v>95</v>
      </c>
      <c r="C50" s="149" t="s">
        <v>33</v>
      </c>
      <c r="D50" s="143" t="s">
        <v>8</v>
      </c>
      <c r="E50" s="108">
        <f>Rekenblad!E50</f>
        <v>2</v>
      </c>
      <c r="F50" s="118">
        <f>Rekenblad!F50</f>
        <v>68.37</v>
      </c>
      <c r="G50" s="118"/>
      <c r="H50" s="118">
        <f t="shared" si="4"/>
        <v>136.74</v>
      </c>
      <c r="I50" s="569" t="s">
        <v>92</v>
      </c>
      <c r="J50" s="573"/>
      <c r="K50" s="118"/>
      <c r="L50" s="146"/>
      <c r="M50" s="146"/>
      <c r="N50" s="146"/>
      <c r="O50" s="146"/>
      <c r="P50" s="147"/>
      <c r="Q50" s="151"/>
    </row>
    <row r="51" spans="1:17" ht="30" customHeight="1">
      <c r="A51" s="143"/>
      <c r="B51" s="148" t="s">
        <v>96</v>
      </c>
      <c r="C51" s="149" t="s">
        <v>33</v>
      </c>
      <c r="D51" s="143" t="s">
        <v>8</v>
      </c>
      <c r="E51" s="108">
        <f>Rekenblad!E51</f>
        <v>2</v>
      </c>
      <c r="F51" s="118">
        <f>Rekenblad!F51</f>
        <v>82.68</v>
      </c>
      <c r="G51" s="118"/>
      <c r="H51" s="118">
        <f t="shared" si="4"/>
        <v>165.36</v>
      </c>
      <c r="I51" s="569" t="s">
        <v>92</v>
      </c>
      <c r="J51" s="573"/>
      <c r="K51" s="118"/>
      <c r="L51" s="146"/>
      <c r="M51" s="146"/>
      <c r="N51" s="146"/>
      <c r="O51" s="146"/>
      <c r="P51" s="147"/>
      <c r="Q51" s="151"/>
    </row>
    <row r="52" spans="1:17" ht="30" customHeight="1">
      <c r="A52" s="143"/>
      <c r="B52" s="157" t="s">
        <v>97</v>
      </c>
      <c r="C52" s="160" t="s">
        <v>33</v>
      </c>
      <c r="D52" s="143" t="s">
        <v>8</v>
      </c>
      <c r="E52" s="108">
        <f>Rekenblad!E52</f>
        <v>40</v>
      </c>
      <c r="F52" s="118">
        <f>Rekenblad!F52</f>
        <v>100.17</v>
      </c>
      <c r="G52" s="118"/>
      <c r="H52" s="118">
        <f t="shared" si="4"/>
        <v>4006.8</v>
      </c>
      <c r="I52" s="569" t="s">
        <v>94</v>
      </c>
      <c r="J52" s="573"/>
      <c r="K52" s="161"/>
      <c r="L52" s="162"/>
      <c r="M52" s="162"/>
      <c r="N52" s="162"/>
      <c r="O52" s="162"/>
      <c r="P52" s="163"/>
      <c r="Q52" s="151"/>
    </row>
    <row r="53" spans="1:17" ht="30" customHeight="1">
      <c r="A53" s="143"/>
      <c r="B53" s="157" t="s">
        <v>98</v>
      </c>
      <c r="C53" s="160" t="s">
        <v>57</v>
      </c>
      <c r="D53" s="143" t="s">
        <v>8</v>
      </c>
      <c r="E53" s="108">
        <f>Rekenblad!E53</f>
        <v>5</v>
      </c>
      <c r="F53" s="118">
        <f>Rekenblad!F53</f>
        <v>113.102</v>
      </c>
      <c r="G53" s="118"/>
      <c r="H53" s="118">
        <f t="shared" si="4"/>
        <v>565.51</v>
      </c>
      <c r="I53" s="153" t="s">
        <v>99</v>
      </c>
      <c r="J53" s="155"/>
      <c r="K53" s="161"/>
      <c r="L53" s="162"/>
      <c r="M53" s="162"/>
      <c r="N53" s="162"/>
      <c r="O53" s="162"/>
      <c r="P53" s="163"/>
      <c r="Q53" s="151"/>
    </row>
    <row r="54" spans="1:17" ht="30" customHeight="1">
      <c r="A54" s="143"/>
      <c r="B54" s="157" t="s">
        <v>100</v>
      </c>
      <c r="C54" s="160" t="s">
        <v>101</v>
      </c>
      <c r="D54" s="143" t="s">
        <v>8</v>
      </c>
      <c r="E54" s="108">
        <f>Rekenblad!E54</f>
        <v>0</v>
      </c>
      <c r="F54" s="118">
        <f>Rekenblad!F54</f>
        <v>42.400000000000006</v>
      </c>
      <c r="G54" s="145"/>
      <c r="H54" s="118">
        <f t="shared" si="4"/>
        <v>0</v>
      </c>
      <c r="I54" s="153"/>
      <c r="J54" s="155"/>
      <c r="K54" s="161"/>
      <c r="L54" s="162"/>
      <c r="M54" s="162"/>
      <c r="N54" s="162"/>
      <c r="O54" s="162"/>
      <c r="P54" s="163"/>
      <c r="Q54" s="151"/>
    </row>
    <row r="55" spans="1:17" ht="30" customHeight="1">
      <c r="A55" s="143"/>
      <c r="B55" s="157"/>
      <c r="C55" s="160"/>
      <c r="D55" s="143"/>
      <c r="E55" s="108"/>
      <c r="F55" s="118"/>
      <c r="G55" s="145"/>
      <c r="H55" s="145"/>
      <c r="I55" s="153"/>
      <c r="J55" s="155"/>
      <c r="K55" s="161"/>
      <c r="L55" s="162"/>
      <c r="M55" s="162"/>
      <c r="N55" s="162"/>
      <c r="O55" s="162"/>
      <c r="P55" s="163"/>
      <c r="Q55" s="151"/>
    </row>
    <row r="56" spans="1:17" ht="30" customHeight="1">
      <c r="A56" s="64" t="s">
        <v>102</v>
      </c>
      <c r="B56" s="156" t="s">
        <v>103</v>
      </c>
      <c r="C56" s="141"/>
      <c r="D56" s="64"/>
      <c r="E56" s="108"/>
      <c r="F56" s="118"/>
      <c r="G56" s="145"/>
      <c r="H56" s="145"/>
      <c r="I56" s="569"/>
      <c r="J56" s="573"/>
      <c r="K56" s="118"/>
      <c r="L56" s="146"/>
      <c r="M56" s="146"/>
      <c r="N56" s="146"/>
      <c r="O56" s="146"/>
      <c r="P56" s="147"/>
      <c r="Q56" s="151"/>
    </row>
    <row r="57" spans="1:17" ht="30" customHeight="1">
      <c r="A57" s="143"/>
      <c r="B57" s="157" t="s">
        <v>75</v>
      </c>
      <c r="C57" s="143" t="s">
        <v>76</v>
      </c>
      <c r="D57" s="143" t="s">
        <v>8</v>
      </c>
      <c r="E57" s="108">
        <f>Rekenblad!E57</f>
        <v>0</v>
      </c>
      <c r="F57" s="118">
        <f>Rekenblad!F57</f>
        <v>47.7</v>
      </c>
      <c r="G57" s="145"/>
      <c r="H57" s="145">
        <f t="shared" si="4"/>
        <v>0</v>
      </c>
      <c r="I57" s="569"/>
      <c r="J57" s="573"/>
      <c r="K57" s="118"/>
      <c r="L57" s="146"/>
      <c r="M57" s="146"/>
      <c r="N57" s="146"/>
      <c r="O57" s="146"/>
      <c r="P57" s="147"/>
      <c r="Q57" s="151"/>
    </row>
    <row r="58" spans="1:17" ht="30" customHeight="1">
      <c r="A58" s="143"/>
      <c r="B58" s="157" t="s">
        <v>78</v>
      </c>
      <c r="C58" s="143" t="s">
        <v>76</v>
      </c>
      <c r="D58" s="143" t="s">
        <v>8</v>
      </c>
      <c r="E58" s="108">
        <f>Rekenblad!E58</f>
        <v>0</v>
      </c>
      <c r="F58" s="118">
        <f>Rekenblad!F58</f>
        <v>58.300000000000004</v>
      </c>
      <c r="G58" s="145"/>
      <c r="H58" s="145">
        <f t="shared" si="4"/>
        <v>0</v>
      </c>
      <c r="I58" s="569"/>
      <c r="J58" s="573"/>
      <c r="K58" s="118"/>
      <c r="L58" s="146"/>
      <c r="M58" s="146"/>
      <c r="N58" s="146"/>
      <c r="O58" s="146"/>
      <c r="P58" s="147"/>
      <c r="Q58" s="151"/>
    </row>
    <row r="59" spans="1:17" ht="30" customHeight="1">
      <c r="A59" s="143"/>
      <c r="B59" s="157" t="s">
        <v>79</v>
      </c>
      <c r="C59" s="143" t="s">
        <v>76</v>
      </c>
      <c r="D59" s="143" t="s">
        <v>8</v>
      </c>
      <c r="E59" s="108">
        <f>Rekenblad!E59</f>
        <v>0</v>
      </c>
      <c r="F59" s="118">
        <f>Rekenblad!F59</f>
        <v>68.900000000000006</v>
      </c>
      <c r="G59" s="145"/>
      <c r="H59" s="145">
        <f t="shared" si="4"/>
        <v>0</v>
      </c>
      <c r="I59" s="569"/>
      <c r="J59" s="573"/>
      <c r="K59" s="118"/>
      <c r="L59" s="146"/>
      <c r="M59" s="146"/>
      <c r="N59" s="146"/>
      <c r="O59" s="146"/>
      <c r="P59" s="147"/>
      <c r="Q59" s="151"/>
    </row>
    <row r="60" spans="1:17" ht="30" customHeight="1">
      <c r="A60" s="143"/>
      <c r="B60" s="157" t="s">
        <v>80</v>
      </c>
      <c r="C60" s="143" t="s">
        <v>76</v>
      </c>
      <c r="D60" s="143" t="s">
        <v>8</v>
      </c>
      <c r="E60" s="108">
        <f>Rekenblad!E60</f>
        <v>0</v>
      </c>
      <c r="F60" s="118">
        <f>Rekenblad!F60</f>
        <v>95.4</v>
      </c>
      <c r="G60" s="145"/>
      <c r="H60" s="145">
        <f t="shared" si="4"/>
        <v>0</v>
      </c>
      <c r="I60" s="569"/>
      <c r="J60" s="573"/>
      <c r="K60" s="118"/>
      <c r="L60" s="146"/>
      <c r="M60" s="146"/>
      <c r="N60" s="146"/>
      <c r="O60" s="146"/>
      <c r="P60" s="147"/>
      <c r="Q60" s="151"/>
    </row>
    <row r="61" spans="1:17" ht="30" customHeight="1">
      <c r="A61" s="143"/>
      <c r="B61" s="157"/>
      <c r="C61" s="143"/>
      <c r="D61" s="143"/>
      <c r="E61" s="108"/>
      <c r="F61" s="118"/>
      <c r="G61" s="145"/>
      <c r="H61" s="145"/>
      <c r="I61" s="569"/>
      <c r="J61" s="573"/>
      <c r="K61" s="161"/>
      <c r="L61" s="162"/>
      <c r="M61" s="162"/>
      <c r="N61" s="162"/>
      <c r="O61" s="162"/>
      <c r="P61" s="163"/>
      <c r="Q61" s="151"/>
    </row>
    <row r="62" spans="1:17" ht="30" customHeight="1">
      <c r="A62" s="64" t="s">
        <v>104</v>
      </c>
      <c r="B62" s="65" t="s">
        <v>105</v>
      </c>
      <c r="C62" s="164"/>
      <c r="D62" s="35" t="s">
        <v>12</v>
      </c>
      <c r="E62" s="57" t="s">
        <v>13</v>
      </c>
      <c r="F62" s="60" t="str">
        <f>Rekenblad!F62</f>
        <v>bedrag per eenheid (excl. btw)</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f>Rekenblad!E63</f>
        <v>20</v>
      </c>
      <c r="F63" s="118">
        <f>Rekenblad!F63</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f>Rekenblad!E64</f>
        <v>0</v>
      </c>
      <c r="F64" s="118">
        <f>Rekenblad!F64</f>
        <v>238.5</v>
      </c>
      <c r="G64" s="145"/>
      <c r="H64" s="145">
        <f t="shared" ref="H64:H67" si="5">E64*F64</f>
        <v>0</v>
      </c>
      <c r="I64" s="569"/>
      <c r="J64" s="573"/>
      <c r="K64" s="118"/>
      <c r="L64" s="146"/>
      <c r="M64" s="146"/>
      <c r="N64" s="146"/>
      <c r="O64" s="146"/>
      <c r="P64" s="147"/>
      <c r="Q64" s="151"/>
    </row>
    <row r="65" spans="1:17" ht="30" customHeight="1">
      <c r="A65" s="143"/>
      <c r="B65" s="148" t="s">
        <v>79</v>
      </c>
      <c r="C65" s="149" t="s">
        <v>26</v>
      </c>
      <c r="D65" s="143" t="s">
        <v>8</v>
      </c>
      <c r="E65" s="108">
        <f>Rekenblad!E65</f>
        <v>0</v>
      </c>
      <c r="F65" s="118">
        <f>Rekenblad!F65</f>
        <v>1166</v>
      </c>
      <c r="G65" s="145"/>
      <c r="H65" s="145">
        <f t="shared" si="5"/>
        <v>0</v>
      </c>
      <c r="I65" s="569"/>
      <c r="J65" s="573"/>
      <c r="K65" s="118"/>
      <c r="L65" s="146"/>
      <c r="M65" s="146"/>
      <c r="N65" s="146"/>
      <c r="O65" s="146"/>
      <c r="P65" s="147"/>
      <c r="Q65" s="151"/>
    </row>
    <row r="66" spans="1:17" ht="30" customHeight="1">
      <c r="A66" s="143"/>
      <c r="B66" s="148" t="s">
        <v>80</v>
      </c>
      <c r="C66" s="149" t="s">
        <v>26</v>
      </c>
      <c r="D66" s="143" t="s">
        <v>8</v>
      </c>
      <c r="E66" s="108">
        <f>Rekenblad!E66</f>
        <v>0</v>
      </c>
      <c r="F66" s="118">
        <f>Rekenblad!F66</f>
        <v>344.5</v>
      </c>
      <c r="G66" s="145"/>
      <c r="H66" s="145">
        <f t="shared" si="5"/>
        <v>0</v>
      </c>
      <c r="I66" s="569"/>
      <c r="J66" s="573"/>
      <c r="K66" s="118"/>
      <c r="L66" s="146"/>
      <c r="M66" s="146"/>
      <c r="N66" s="146"/>
      <c r="O66" s="146"/>
      <c r="P66" s="147"/>
      <c r="Q66" s="151"/>
    </row>
    <row r="67" spans="1:17" ht="30" customHeight="1">
      <c r="A67" s="143"/>
      <c r="B67" s="148" t="s">
        <v>107</v>
      </c>
      <c r="C67" s="149" t="s">
        <v>57</v>
      </c>
      <c r="D67" s="143" t="s">
        <v>8</v>
      </c>
      <c r="E67" s="108">
        <f>Rekenblad!E67</f>
        <v>0</v>
      </c>
      <c r="F67" s="118">
        <f>Rekenblad!F67</f>
        <v>339.20000000000005</v>
      </c>
      <c r="G67" s="145"/>
      <c r="H67" s="145">
        <f t="shared" si="5"/>
        <v>0</v>
      </c>
      <c r="I67" s="153"/>
      <c r="J67" s="155"/>
      <c r="K67" s="118"/>
      <c r="L67" s="146"/>
      <c r="M67" s="146"/>
      <c r="N67" s="146"/>
      <c r="O67" s="146"/>
      <c r="P67" s="147"/>
      <c r="Q67" s="151"/>
    </row>
    <row r="68" spans="1:17" ht="30" customHeight="1">
      <c r="A68" s="143"/>
      <c r="B68" s="148"/>
      <c r="C68" s="149"/>
      <c r="D68" s="143"/>
      <c r="E68" s="108"/>
      <c r="F68" s="118"/>
      <c r="G68" s="145"/>
      <c r="H68" s="145"/>
      <c r="I68" s="569"/>
      <c r="J68" s="573"/>
      <c r="K68" s="118"/>
      <c r="L68" s="146"/>
      <c r="M68" s="146"/>
      <c r="N68" s="146"/>
      <c r="O68" s="146"/>
      <c r="P68" s="147"/>
      <c r="Q68" s="151"/>
    </row>
    <row r="69" spans="1:17" ht="30" customHeight="1">
      <c r="A69" s="165">
        <v>4</v>
      </c>
      <c r="B69" s="166" t="s">
        <v>108</v>
      </c>
      <c r="C69" s="166"/>
      <c r="D69" s="51" t="s">
        <v>12</v>
      </c>
      <c r="E69" s="52" t="s">
        <v>13</v>
      </c>
      <c r="F69" s="60" t="str">
        <f>Rekenblad!F69</f>
        <v>bedrag per eenheid (excl. btw)</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Rekenblad!E70</f>
        <v>40</v>
      </c>
      <c r="F70" s="118">
        <f>Rekenblad!F70</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Rekenblad!E71</f>
        <v>40</v>
      </c>
      <c r="F71" s="118">
        <f>Rekenblad!F71</f>
        <v>220.64400000000001</v>
      </c>
      <c r="G71" s="109"/>
      <c r="H71" s="167">
        <f t="shared" ref="H71:H76" si="6">E71*F71</f>
        <v>8825.76</v>
      </c>
      <c r="I71" s="569" t="s">
        <v>114</v>
      </c>
      <c r="J71" s="573"/>
      <c r="K71" s="118"/>
      <c r="L71" s="146"/>
      <c r="M71" s="146"/>
      <c r="N71" s="146"/>
      <c r="O71" s="146"/>
      <c r="P71" s="77"/>
      <c r="Q71" s="151"/>
    </row>
    <row r="72" spans="1:17" ht="30" customHeight="1">
      <c r="A72" s="78" t="s">
        <v>115</v>
      </c>
      <c r="B72" s="170" t="s">
        <v>116</v>
      </c>
      <c r="C72" s="89" t="s">
        <v>117</v>
      </c>
      <c r="D72" s="171" t="s">
        <v>118</v>
      </c>
      <c r="E72" s="108">
        <f>Rekenblad!E72</f>
        <v>0</v>
      </c>
      <c r="F72" s="118">
        <f>Rekenblad!F72</f>
        <v>39.75</v>
      </c>
      <c r="G72" s="109"/>
      <c r="H72" s="167">
        <f t="shared" si="6"/>
        <v>0</v>
      </c>
      <c r="I72" s="153"/>
      <c r="J72" s="152"/>
      <c r="K72" s="161"/>
      <c r="L72" s="162"/>
      <c r="M72" s="162"/>
      <c r="N72" s="162"/>
      <c r="O72" s="162"/>
      <c r="P72" s="163"/>
      <c r="Q72" s="151"/>
    </row>
    <row r="73" spans="1:17" ht="30" customHeight="1">
      <c r="A73" s="78" t="s">
        <v>119</v>
      </c>
      <c r="B73" s="170" t="s">
        <v>120</v>
      </c>
      <c r="C73" s="89" t="s">
        <v>117</v>
      </c>
      <c r="D73" s="171" t="s">
        <v>118</v>
      </c>
      <c r="E73" s="108">
        <f>Rekenblad!E73</f>
        <v>0</v>
      </c>
      <c r="F73" s="118">
        <f>Rekenblad!F73</f>
        <v>39.75</v>
      </c>
      <c r="G73" s="109"/>
      <c r="H73" s="167">
        <f t="shared" si="6"/>
        <v>0</v>
      </c>
      <c r="I73" s="153"/>
      <c r="J73" s="152"/>
      <c r="K73" s="161"/>
      <c r="L73" s="162"/>
      <c r="M73" s="162"/>
      <c r="N73" s="162"/>
      <c r="O73" s="162"/>
      <c r="P73" s="163"/>
      <c r="Q73" s="151"/>
    </row>
    <row r="74" spans="1:17" ht="30" customHeight="1">
      <c r="A74" s="78" t="s">
        <v>121</v>
      </c>
      <c r="B74" s="116" t="s">
        <v>122</v>
      </c>
      <c r="C74" s="75" t="s">
        <v>26</v>
      </c>
      <c r="D74" s="107" t="s">
        <v>8</v>
      </c>
      <c r="E74" s="108">
        <f>Rekenblad!E74</f>
        <v>40</v>
      </c>
      <c r="F74" s="118">
        <f>Rekenblad!F74</f>
        <v>82.987400000000008</v>
      </c>
      <c r="G74" s="109"/>
      <c r="H74" s="167">
        <f t="shared" si="6"/>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Rekenblad!E75</f>
        <v>40</v>
      </c>
      <c r="F75" s="118">
        <f>Rekenblad!F75</f>
        <v>147.55199999999999</v>
      </c>
      <c r="G75" s="109"/>
      <c r="H75" s="167">
        <f t="shared" si="6"/>
        <v>5902.08</v>
      </c>
      <c r="I75" s="569" t="s">
        <v>127</v>
      </c>
      <c r="J75" s="573"/>
      <c r="K75" s="168"/>
      <c r="L75" s="169"/>
      <c r="M75" s="169"/>
      <c r="N75" s="169"/>
      <c r="O75" s="169"/>
      <c r="P75" s="77"/>
      <c r="Q75" s="151"/>
    </row>
    <row r="76" spans="1:17" ht="30" customHeight="1">
      <c r="A76" s="171" t="s">
        <v>128</v>
      </c>
      <c r="B76" s="116" t="s">
        <v>129</v>
      </c>
      <c r="C76" s="75"/>
      <c r="D76" s="171" t="s">
        <v>126</v>
      </c>
      <c r="E76" s="108">
        <f>Rekenblad!E76</f>
        <v>0</v>
      </c>
      <c r="F76" s="118">
        <f>Rekenblad!F76</f>
        <v>190.8</v>
      </c>
      <c r="G76" s="109"/>
      <c r="H76" s="167">
        <f t="shared" si="6"/>
        <v>0</v>
      </c>
      <c r="I76" s="567"/>
      <c r="J76" s="567"/>
      <c r="K76" s="168"/>
      <c r="L76" s="169"/>
      <c r="M76" s="169"/>
      <c r="N76" s="169"/>
      <c r="O76" s="169"/>
      <c r="P76" s="77"/>
      <c r="Q76" s="151"/>
    </row>
    <row r="77" spans="1:17" ht="30" customHeight="1">
      <c r="A77" s="171" t="s">
        <v>130</v>
      </c>
      <c r="B77" s="116" t="s">
        <v>131</v>
      </c>
      <c r="C77" s="75"/>
      <c r="D77" s="171" t="s">
        <v>126</v>
      </c>
      <c r="E77" s="108">
        <f>Rekenblad!E77</f>
        <v>5</v>
      </c>
      <c r="F77" s="118">
        <f>Rekenblad!F77</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f>Rekenblad!E78</f>
        <v>0</v>
      </c>
      <c r="F78" s="118">
        <f>Rekenblad!F78</f>
        <v>68.900000000000006</v>
      </c>
      <c r="G78" s="109"/>
      <c r="H78" s="167">
        <f t="shared" ref="H78:H80" si="7">F78*E78</f>
        <v>0</v>
      </c>
      <c r="I78" s="76"/>
      <c r="J78" s="89"/>
      <c r="K78" s="161"/>
      <c r="L78" s="162"/>
      <c r="M78" s="162"/>
      <c r="N78" s="162"/>
      <c r="O78" s="162"/>
      <c r="P78" s="163"/>
      <c r="Q78" s="151"/>
    </row>
    <row r="79" spans="1:17" ht="30" customHeight="1">
      <c r="A79" s="171" t="s">
        <v>135</v>
      </c>
      <c r="B79" s="89" t="s">
        <v>136</v>
      </c>
      <c r="C79" s="89" t="s">
        <v>117</v>
      </c>
      <c r="D79" s="171" t="s">
        <v>118</v>
      </c>
      <c r="E79" s="108">
        <f>Rekenblad!E79</f>
        <v>0</v>
      </c>
      <c r="F79" s="118">
        <f>Rekenblad!F79</f>
        <v>196.10000000000002</v>
      </c>
      <c r="G79" s="109"/>
      <c r="H79" s="167">
        <f t="shared" si="7"/>
        <v>0</v>
      </c>
      <c r="I79" s="76"/>
      <c r="J79" s="89"/>
      <c r="K79" s="161"/>
      <c r="L79" s="162"/>
      <c r="M79" s="162"/>
      <c r="N79" s="162"/>
      <c r="O79" s="162"/>
      <c r="P79" s="163"/>
      <c r="Q79" s="151"/>
    </row>
    <row r="80" spans="1:17" ht="30" customHeight="1">
      <c r="A80" s="171" t="s">
        <v>137</v>
      </c>
      <c r="B80" s="89" t="s">
        <v>138</v>
      </c>
      <c r="C80" s="89" t="s">
        <v>117</v>
      </c>
      <c r="D80" s="171" t="s">
        <v>139</v>
      </c>
      <c r="E80" s="108">
        <f>Rekenblad!E80</f>
        <v>0</v>
      </c>
      <c r="F80" s="118">
        <f>Rekenblad!F80</f>
        <v>174.9</v>
      </c>
      <c r="G80" s="118"/>
      <c r="H80" s="167">
        <f t="shared" si="7"/>
        <v>0</v>
      </c>
      <c r="I80" s="173"/>
      <c r="J80" s="75"/>
      <c r="K80" s="37"/>
      <c r="L80" s="50"/>
      <c r="M80" s="50"/>
      <c r="N80" s="50"/>
      <c r="O80" s="50"/>
      <c r="P80" s="49"/>
      <c r="Q80" s="151"/>
    </row>
    <row r="81" spans="1:17" ht="30" customHeight="1">
      <c r="A81" s="171" t="s">
        <v>140</v>
      </c>
      <c r="B81" s="174" t="s">
        <v>141</v>
      </c>
      <c r="C81" s="107" t="s">
        <v>26</v>
      </c>
      <c r="D81" s="107" t="s">
        <v>8</v>
      </c>
      <c r="E81" s="108">
        <f>Rekenblad!E81</f>
        <v>40</v>
      </c>
      <c r="F81" s="118">
        <f>Rekenblad!F81</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Rekenblad!E82</f>
        <v>40</v>
      </c>
      <c r="F82" s="118">
        <f>Rekenblad!F82</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f>Rekenblad!E83</f>
        <v>0</v>
      </c>
      <c r="F83" s="118">
        <f>Rekenblad!F83</f>
        <v>0</v>
      </c>
      <c r="G83" s="109"/>
      <c r="H83" s="167">
        <f t="shared" ref="H83:H89" si="8">SUM(E83*F83)</f>
        <v>0</v>
      </c>
      <c r="I83" s="76"/>
      <c r="J83" s="89"/>
      <c r="K83" s="161"/>
      <c r="L83" s="162"/>
      <c r="M83" s="162"/>
      <c r="N83" s="162"/>
      <c r="O83" s="162"/>
      <c r="P83" s="163"/>
      <c r="Q83" s="151"/>
    </row>
    <row r="84" spans="1:17" ht="30" customHeight="1">
      <c r="A84" s="171" t="s">
        <v>148</v>
      </c>
      <c r="B84" s="89" t="s">
        <v>149</v>
      </c>
      <c r="C84" s="89" t="s">
        <v>117</v>
      </c>
      <c r="D84" s="171" t="s">
        <v>118</v>
      </c>
      <c r="E84" s="108">
        <f>Rekenblad!E84</f>
        <v>0</v>
      </c>
      <c r="F84" s="118">
        <f>Rekenblad!F84</f>
        <v>0</v>
      </c>
      <c r="G84" s="109"/>
      <c r="H84" s="167">
        <f t="shared" si="8"/>
        <v>0</v>
      </c>
      <c r="I84" s="175"/>
      <c r="J84" s="176"/>
      <c r="K84" s="161"/>
      <c r="L84" s="162"/>
      <c r="M84" s="162"/>
      <c r="N84" s="162"/>
      <c r="O84" s="162"/>
      <c r="P84" s="163"/>
      <c r="Q84" s="151"/>
    </row>
    <row r="85" spans="1:17" ht="30" customHeight="1">
      <c r="A85" s="171" t="s">
        <v>150</v>
      </c>
      <c r="B85" s="89" t="s">
        <v>151</v>
      </c>
      <c r="C85" s="89" t="s">
        <v>117</v>
      </c>
      <c r="D85" s="171" t="s">
        <v>118</v>
      </c>
      <c r="E85" s="108">
        <f>Rekenblad!E85</f>
        <v>0</v>
      </c>
      <c r="F85" s="118">
        <f>Rekenblad!F85</f>
        <v>174.9</v>
      </c>
      <c r="G85" s="109"/>
      <c r="H85" s="167">
        <f t="shared" si="8"/>
        <v>0</v>
      </c>
      <c r="I85" s="153"/>
      <c r="J85" s="152"/>
      <c r="K85" s="161"/>
      <c r="L85" s="162"/>
      <c r="M85" s="162"/>
      <c r="N85" s="162"/>
      <c r="O85" s="162"/>
      <c r="P85" s="163"/>
      <c r="Q85" s="151"/>
    </row>
    <row r="86" spans="1:17" ht="30" customHeight="1">
      <c r="A86" s="171" t="s">
        <v>152</v>
      </c>
      <c r="B86" s="170" t="s">
        <v>153</v>
      </c>
      <c r="C86" s="89" t="s">
        <v>117</v>
      </c>
      <c r="D86" s="171" t="s">
        <v>118</v>
      </c>
      <c r="E86" s="108">
        <f>Rekenblad!E86</f>
        <v>0</v>
      </c>
      <c r="F86" s="118">
        <f>Rekenblad!F86</f>
        <v>156.35</v>
      </c>
      <c r="G86" s="109"/>
      <c r="H86" s="167">
        <f t="shared" si="8"/>
        <v>0</v>
      </c>
      <c r="I86" s="153"/>
      <c r="J86" s="152"/>
      <c r="K86" s="161"/>
      <c r="L86" s="162"/>
      <c r="M86" s="162"/>
      <c r="N86" s="162"/>
      <c r="O86" s="162"/>
      <c r="P86" s="163"/>
      <c r="Q86" s="151"/>
    </row>
    <row r="87" spans="1:17" ht="30" customHeight="1">
      <c r="A87" s="171" t="s">
        <v>154</v>
      </c>
      <c r="B87" s="170" t="s">
        <v>153</v>
      </c>
      <c r="C87" s="89" t="s">
        <v>117</v>
      </c>
      <c r="D87" s="171" t="s">
        <v>118</v>
      </c>
      <c r="E87" s="108">
        <f>Rekenblad!E87</f>
        <v>0</v>
      </c>
      <c r="F87" s="118">
        <f>Rekenblad!F87</f>
        <v>234.52500000000001</v>
      </c>
      <c r="G87" s="109"/>
      <c r="H87" s="167">
        <f t="shared" si="8"/>
        <v>0</v>
      </c>
      <c r="I87" s="153"/>
      <c r="J87" s="152"/>
      <c r="K87" s="161"/>
      <c r="L87" s="162"/>
      <c r="M87" s="162"/>
      <c r="N87" s="162"/>
      <c r="O87" s="162"/>
      <c r="P87" s="163"/>
      <c r="Q87" s="151"/>
    </row>
    <row r="88" spans="1:17" ht="30" customHeight="1">
      <c r="A88" s="171" t="s">
        <v>155</v>
      </c>
      <c r="B88" s="170" t="s">
        <v>153</v>
      </c>
      <c r="C88" s="89" t="s">
        <v>117</v>
      </c>
      <c r="D88" s="171" t="s">
        <v>118</v>
      </c>
      <c r="E88" s="108">
        <f>Rekenblad!E88</f>
        <v>0</v>
      </c>
      <c r="F88" s="118">
        <f>Rekenblad!F88</f>
        <v>340.71600000000001</v>
      </c>
      <c r="G88" s="109"/>
      <c r="H88" s="167">
        <f t="shared" si="8"/>
        <v>0</v>
      </c>
      <c r="I88" s="153"/>
      <c r="J88" s="152"/>
      <c r="K88" s="161"/>
      <c r="L88" s="162"/>
      <c r="M88" s="162"/>
      <c r="N88" s="162"/>
      <c r="O88" s="162"/>
      <c r="P88" s="163"/>
      <c r="Q88" s="151"/>
    </row>
    <row r="89" spans="1:17" ht="30" customHeight="1">
      <c r="A89" s="171" t="s">
        <v>156</v>
      </c>
      <c r="B89" s="170" t="s">
        <v>153</v>
      </c>
      <c r="C89" s="89" t="s">
        <v>117</v>
      </c>
      <c r="D89" s="171" t="s">
        <v>118</v>
      </c>
      <c r="E89" s="108">
        <f>Rekenblad!E89</f>
        <v>0</v>
      </c>
      <c r="F89" s="118">
        <f>Rekenblad!F89</f>
        <v>312.7</v>
      </c>
      <c r="G89" s="109"/>
      <c r="H89" s="167">
        <f t="shared" si="8"/>
        <v>0</v>
      </c>
      <c r="I89" s="153"/>
      <c r="J89" s="152"/>
      <c r="K89" s="161"/>
      <c r="L89" s="162"/>
      <c r="M89" s="162"/>
      <c r="N89" s="162"/>
      <c r="O89" s="162"/>
      <c r="P89" s="163"/>
      <c r="Q89" s="151"/>
    </row>
    <row r="90" spans="1:17" ht="30" customHeight="1">
      <c r="A90" s="177"/>
      <c r="B90" s="174"/>
      <c r="C90" s="178"/>
      <c r="D90" s="178"/>
      <c r="E90" s="108"/>
      <c r="F90" s="118"/>
      <c r="G90" s="181"/>
      <c r="H90" s="182"/>
      <c r="I90" s="153"/>
      <c r="J90" s="152"/>
      <c r="K90" s="161"/>
      <c r="L90" s="162"/>
      <c r="M90" s="162"/>
      <c r="N90" s="162"/>
      <c r="O90" s="162"/>
      <c r="P90" s="163"/>
      <c r="Q90" s="151"/>
    </row>
    <row r="91" spans="1:17" ht="30" customHeight="1">
      <c r="A91" s="165">
        <v>5</v>
      </c>
      <c r="B91" s="115" t="s">
        <v>157</v>
      </c>
      <c r="C91" s="166"/>
      <c r="D91" s="51" t="s">
        <v>12</v>
      </c>
      <c r="E91" s="52" t="s">
        <v>13</v>
      </c>
      <c r="F91" s="60" t="str">
        <f>Rekenblad!F91</f>
        <v>bedrag per eenheid (excl. btw)</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08">
        <f>Rekenblad!E92</f>
        <v>0</v>
      </c>
      <c r="F92" s="118">
        <f>Rekenblad!F92</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Rekenblad!E93</f>
        <v>40</v>
      </c>
      <c r="F93" s="118">
        <f>Rekenblad!F93</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Rekenblad!E94</f>
        <v>40</v>
      </c>
      <c r="F94" s="118">
        <f>Rekenblad!F94</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f>Rekenblad!E95</f>
        <v>0</v>
      </c>
      <c r="F95" s="118">
        <f>Rekenblad!F95</f>
        <v>0</v>
      </c>
      <c r="G95" s="109"/>
      <c r="H95" s="167">
        <f t="shared" ref="H95:H98" si="9">E95*5</f>
        <v>0</v>
      </c>
      <c r="I95" s="76"/>
      <c r="J95" s="89"/>
      <c r="K95" s="161"/>
      <c r="L95" s="162"/>
      <c r="M95" s="162"/>
      <c r="N95" s="162"/>
      <c r="O95" s="162"/>
      <c r="P95" s="163"/>
      <c r="Q95" s="151"/>
    </row>
    <row r="96" spans="1:17" ht="30" customHeight="1">
      <c r="A96" s="171" t="s">
        <v>168</v>
      </c>
      <c r="B96" s="170" t="s">
        <v>169</v>
      </c>
      <c r="C96" s="89" t="s">
        <v>117</v>
      </c>
      <c r="D96" s="171" t="s">
        <v>118</v>
      </c>
      <c r="E96" s="108">
        <f>Rekenblad!E96</f>
        <v>0</v>
      </c>
      <c r="F96" s="118">
        <f>Rekenblad!F96</f>
        <v>0</v>
      </c>
      <c r="G96" s="109"/>
      <c r="H96" s="167">
        <f t="shared" si="9"/>
        <v>0</v>
      </c>
      <c r="I96" s="76"/>
      <c r="J96" s="89"/>
      <c r="K96" s="161"/>
      <c r="L96" s="162"/>
      <c r="M96" s="162"/>
      <c r="N96" s="162"/>
      <c r="O96" s="162"/>
      <c r="P96" s="163"/>
      <c r="Q96" s="151"/>
    </row>
    <row r="97" spans="1:17" ht="30" customHeight="1">
      <c r="A97" s="171" t="s">
        <v>170</v>
      </c>
      <c r="B97" s="170" t="s">
        <v>171</v>
      </c>
      <c r="C97" s="89" t="s">
        <v>117</v>
      </c>
      <c r="D97" s="171" t="s">
        <v>118</v>
      </c>
      <c r="E97" s="108">
        <f>Rekenblad!E97</f>
        <v>0</v>
      </c>
      <c r="F97" s="118">
        <f>Rekenblad!F97</f>
        <v>0</v>
      </c>
      <c r="G97" s="109"/>
      <c r="H97" s="167">
        <f t="shared" si="9"/>
        <v>0</v>
      </c>
      <c r="I97" s="76"/>
      <c r="J97" s="89"/>
      <c r="K97" s="161"/>
      <c r="L97" s="162"/>
      <c r="M97" s="162"/>
      <c r="N97" s="162"/>
      <c r="O97" s="162"/>
      <c r="P97" s="163"/>
      <c r="Q97" s="151"/>
    </row>
    <row r="98" spans="1:17" ht="30" customHeight="1">
      <c r="A98" s="171" t="s">
        <v>172</v>
      </c>
      <c r="B98" s="170" t="s">
        <v>173</v>
      </c>
      <c r="C98" s="89" t="s">
        <v>117</v>
      </c>
      <c r="D98" s="171" t="s">
        <v>118</v>
      </c>
      <c r="E98" s="108">
        <f>Rekenblad!E98</f>
        <v>0</v>
      </c>
      <c r="F98" s="118">
        <f>Rekenblad!F98</f>
        <v>0</v>
      </c>
      <c r="G98" s="109"/>
      <c r="H98" s="167">
        <f t="shared" si="9"/>
        <v>0</v>
      </c>
      <c r="I98" s="76"/>
      <c r="J98" s="89"/>
      <c r="K98" s="161"/>
      <c r="L98" s="162"/>
      <c r="M98" s="162"/>
      <c r="N98" s="162"/>
      <c r="O98" s="162"/>
      <c r="P98" s="163"/>
      <c r="Q98" s="151"/>
    </row>
    <row r="99" spans="1:17" ht="30" customHeight="1">
      <c r="A99" s="171" t="s">
        <v>174</v>
      </c>
      <c r="B99" s="116" t="s">
        <v>175</v>
      </c>
      <c r="C99" s="75" t="s">
        <v>57</v>
      </c>
      <c r="D99" s="107" t="s">
        <v>8</v>
      </c>
      <c r="E99" s="108">
        <f>Rekenblad!E99</f>
        <v>24</v>
      </c>
      <c r="F99" s="118">
        <f>Rekenblad!F99</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f>Rekenblad!E100</f>
        <v>0</v>
      </c>
      <c r="F100" s="118">
        <f>Rekenblad!F100</f>
        <v>36.887999999999998</v>
      </c>
      <c r="G100" s="109"/>
      <c r="H100" s="167">
        <f t="shared" ref="H100:H102" si="10">E100*5</f>
        <v>0</v>
      </c>
      <c r="I100" s="76"/>
      <c r="J100" s="89"/>
      <c r="K100" s="161"/>
      <c r="L100" s="162"/>
      <c r="M100" s="162"/>
      <c r="N100" s="162"/>
      <c r="O100" s="162"/>
      <c r="P100" s="163"/>
      <c r="Q100" s="151"/>
    </row>
    <row r="101" spans="1:17" ht="30" customHeight="1">
      <c r="A101" s="171" t="s">
        <v>179</v>
      </c>
      <c r="B101" s="89" t="s">
        <v>180</v>
      </c>
      <c r="C101" s="89" t="s">
        <v>117</v>
      </c>
      <c r="D101" s="171" t="s">
        <v>118</v>
      </c>
      <c r="E101" s="108">
        <f>Rekenblad!E101</f>
        <v>0</v>
      </c>
      <c r="F101" s="118">
        <f>Rekenblad!F101</f>
        <v>185.5</v>
      </c>
      <c r="G101" s="118"/>
      <c r="H101" s="167">
        <f t="shared" si="10"/>
        <v>0</v>
      </c>
      <c r="I101" s="173"/>
      <c r="J101" s="75"/>
      <c r="K101" s="183"/>
      <c r="L101" s="184"/>
      <c r="M101" s="184"/>
      <c r="N101" s="184"/>
      <c r="O101" s="184"/>
      <c r="P101" s="185"/>
      <c r="Q101" s="151"/>
    </row>
    <row r="102" spans="1:17" ht="30" customHeight="1">
      <c r="A102" s="186" t="s">
        <v>181</v>
      </c>
      <c r="B102" s="187" t="s">
        <v>182</v>
      </c>
      <c r="C102" s="188" t="s">
        <v>117</v>
      </c>
      <c r="D102" s="186" t="s">
        <v>118</v>
      </c>
      <c r="E102" s="108">
        <f>Rekenblad!E102</f>
        <v>0</v>
      </c>
      <c r="F102" s="118">
        <f>Rekenblad!F102</f>
        <v>0</v>
      </c>
      <c r="G102" s="189"/>
      <c r="H102" s="167">
        <f t="shared" si="10"/>
        <v>0</v>
      </c>
      <c r="I102" s="190"/>
      <c r="J102" s="191"/>
      <c r="K102" s="183"/>
      <c r="L102" s="184"/>
      <c r="M102" s="184"/>
      <c r="N102" s="184"/>
      <c r="O102" s="184"/>
      <c r="P102" s="185"/>
      <c r="Q102" s="151"/>
    </row>
    <row r="103" spans="1:17" ht="30" customHeight="1">
      <c r="A103" s="171"/>
      <c r="B103" s="116"/>
      <c r="C103" s="75"/>
      <c r="D103" s="107"/>
      <c r="E103" s="108"/>
      <c r="F103" s="118"/>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60" t="str">
        <f>Rekenblad!F104</f>
        <v>bedrag per eenheid (excl. btw)</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f>Rekenblad!E105</f>
        <v>0</v>
      </c>
      <c r="F105" s="118">
        <f>Rekenblad!F105</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f>Rekenblad!E106</f>
        <v>16</v>
      </c>
      <c r="F106" s="118">
        <f>Rekenblad!F106</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f>Rekenblad!E107</f>
        <v>8</v>
      </c>
      <c r="F107" s="118">
        <f>Rekenblad!F107</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Rekenblad!E108</f>
        <v>40</v>
      </c>
      <c r="F108" s="118">
        <f>Rekenblad!F108</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9</v>
      </c>
      <c r="F109" s="118">
        <f>Rekenblad!F109</f>
        <v>74.2</v>
      </c>
      <c r="G109" s="118"/>
      <c r="H109" s="195">
        <f t="shared" ref="H109:H120" si="11">SUM(E109*F109)</f>
        <v>667.80000000000007</v>
      </c>
      <c r="I109" s="569" t="s">
        <v>197</v>
      </c>
      <c r="J109" s="570"/>
      <c r="K109" s="161"/>
      <c r="L109" s="162"/>
      <c r="M109" s="162"/>
      <c r="N109" s="162"/>
      <c r="O109" s="162"/>
      <c r="P109" s="163"/>
      <c r="Q109" s="151"/>
    </row>
    <row r="110" spans="1:17" ht="30" customHeight="1">
      <c r="A110" s="104" t="s">
        <v>198</v>
      </c>
      <c r="B110" s="170" t="s">
        <v>199</v>
      </c>
      <c r="C110" s="171" t="s">
        <v>76</v>
      </c>
      <c r="D110" s="171" t="s">
        <v>8</v>
      </c>
      <c r="E110" s="108">
        <f>Rekenblad!E110</f>
        <v>0</v>
      </c>
      <c r="F110" s="118">
        <f>Rekenblad!F110</f>
        <v>286.2</v>
      </c>
      <c r="G110" s="118"/>
      <c r="H110" s="167">
        <f t="shared" si="11"/>
        <v>0</v>
      </c>
      <c r="I110" s="567"/>
      <c r="J110" s="568"/>
      <c r="K110" s="161"/>
      <c r="L110" s="162"/>
      <c r="M110" s="162"/>
      <c r="N110" s="162"/>
      <c r="O110" s="162"/>
      <c r="P110" s="163"/>
      <c r="Q110" s="151"/>
    </row>
    <row r="111" spans="1:17" ht="30" customHeight="1">
      <c r="A111" s="104" t="s">
        <v>200</v>
      </c>
      <c r="B111" s="170" t="s">
        <v>201</v>
      </c>
      <c r="C111" s="171" t="s">
        <v>76</v>
      </c>
      <c r="D111" s="171" t="s">
        <v>8</v>
      </c>
      <c r="E111" s="108">
        <f>Rekenblad!E111</f>
        <v>0</v>
      </c>
      <c r="F111" s="118">
        <f>Rekenblad!F111</f>
        <v>296.8</v>
      </c>
      <c r="G111" s="118"/>
      <c r="H111" s="167">
        <f t="shared" si="11"/>
        <v>0</v>
      </c>
      <c r="I111" s="567"/>
      <c r="J111" s="568"/>
      <c r="K111" s="161"/>
      <c r="L111" s="162"/>
      <c r="M111" s="162"/>
      <c r="N111" s="162"/>
      <c r="O111" s="162"/>
      <c r="P111" s="163"/>
      <c r="Q111" s="151"/>
    </row>
    <row r="112" spans="1:17" ht="30" customHeight="1">
      <c r="A112" s="104" t="s">
        <v>202</v>
      </c>
      <c r="B112" s="170" t="s">
        <v>203</v>
      </c>
      <c r="C112" s="171" t="s">
        <v>57</v>
      </c>
      <c r="D112" s="171" t="s">
        <v>8</v>
      </c>
      <c r="E112" s="108">
        <f>Rekenblad!E112</f>
        <v>0</v>
      </c>
      <c r="F112" s="118">
        <f>Rekenblad!F112</f>
        <v>307.40000000000003</v>
      </c>
      <c r="G112" s="118"/>
      <c r="H112" s="167">
        <f t="shared" si="11"/>
        <v>0</v>
      </c>
      <c r="I112" s="567"/>
      <c r="J112" s="568"/>
      <c r="K112" s="161"/>
      <c r="L112" s="162"/>
      <c r="M112" s="162"/>
      <c r="N112" s="162"/>
      <c r="O112" s="162"/>
      <c r="P112" s="163"/>
      <c r="Q112" s="151"/>
    </row>
    <row r="113" spans="1:17" ht="30" customHeight="1">
      <c r="A113" s="104" t="s">
        <v>204</v>
      </c>
      <c r="B113" s="89" t="s">
        <v>205</v>
      </c>
      <c r="C113" s="89" t="s">
        <v>117</v>
      </c>
      <c r="D113" s="171" t="s">
        <v>118</v>
      </c>
      <c r="E113" s="108">
        <f>Rekenblad!E113</f>
        <v>0</v>
      </c>
      <c r="F113" s="118">
        <f>Rekenblad!F113</f>
        <v>47.7</v>
      </c>
      <c r="G113" s="118"/>
      <c r="H113" s="197">
        <f t="shared" si="11"/>
        <v>0</v>
      </c>
      <c r="I113" s="567"/>
      <c r="J113" s="568"/>
      <c r="K113" s="183"/>
      <c r="L113" s="184"/>
      <c r="M113" s="184"/>
      <c r="N113" s="184"/>
      <c r="O113" s="184"/>
      <c r="P113" s="185"/>
      <c r="Q113" s="151"/>
    </row>
    <row r="114" spans="1:17" ht="30" customHeight="1">
      <c r="A114" s="104" t="s">
        <v>206</v>
      </c>
      <c r="B114" s="170" t="s">
        <v>207</v>
      </c>
      <c r="C114" s="171" t="s">
        <v>57</v>
      </c>
      <c r="D114" s="171" t="s">
        <v>8</v>
      </c>
      <c r="E114" s="108">
        <f>Rekenblad!E114</f>
        <v>0</v>
      </c>
      <c r="F114" s="118">
        <f>Rekenblad!F114</f>
        <v>19.080000000000002</v>
      </c>
      <c r="G114" s="118"/>
      <c r="H114" s="167">
        <f t="shared" si="11"/>
        <v>0</v>
      </c>
      <c r="I114" s="567"/>
      <c r="J114" s="568"/>
      <c r="K114" s="161"/>
      <c r="L114" s="162"/>
      <c r="M114" s="162"/>
      <c r="N114" s="162"/>
      <c r="O114" s="162"/>
      <c r="P114" s="163"/>
      <c r="Q114" s="151"/>
    </row>
    <row r="115" spans="1:17" ht="30" customHeight="1">
      <c r="A115" s="104" t="s">
        <v>208</v>
      </c>
      <c r="B115" s="89" t="s">
        <v>209</v>
      </c>
      <c r="C115" s="89" t="s">
        <v>117</v>
      </c>
      <c r="D115" s="171" t="s">
        <v>118</v>
      </c>
      <c r="E115" s="196">
        <f>G3</f>
        <v>9</v>
      </c>
      <c r="F115" s="118">
        <f>Rekenblad!F115</f>
        <v>101.23</v>
      </c>
      <c r="G115" s="118"/>
      <c r="H115" s="198">
        <f t="shared" si="11"/>
        <v>911.07</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f>Rekenblad!E116</f>
        <v>0</v>
      </c>
      <c r="F116" s="118">
        <f>Rekenblad!F116</f>
        <v>66.25</v>
      </c>
      <c r="G116" s="118"/>
      <c r="H116" s="197">
        <f t="shared" si="11"/>
        <v>0</v>
      </c>
      <c r="I116" s="567"/>
      <c r="J116" s="568"/>
      <c r="K116" s="183"/>
      <c r="L116" s="184"/>
      <c r="M116" s="184"/>
      <c r="N116" s="184"/>
      <c r="O116" s="184"/>
      <c r="P116" s="185"/>
      <c r="Q116" s="151"/>
    </row>
    <row r="117" spans="1:17" ht="30" customHeight="1">
      <c r="A117" s="104" t="s">
        <v>212</v>
      </c>
      <c r="B117" s="89" t="s">
        <v>213</v>
      </c>
      <c r="C117" s="89" t="s">
        <v>117</v>
      </c>
      <c r="D117" s="171" t="s">
        <v>118</v>
      </c>
      <c r="E117" s="108">
        <f>Rekenblad!E117</f>
        <v>0</v>
      </c>
      <c r="F117" s="118">
        <f>Rekenblad!F117</f>
        <v>0</v>
      </c>
      <c r="G117" s="118"/>
      <c r="H117" s="197">
        <f t="shared" si="11"/>
        <v>0</v>
      </c>
      <c r="I117" s="567"/>
      <c r="J117" s="568"/>
      <c r="K117" s="183"/>
      <c r="L117" s="184"/>
      <c r="M117" s="184"/>
      <c r="N117" s="184"/>
      <c r="O117" s="184"/>
      <c r="P117" s="185"/>
      <c r="Q117" s="151"/>
    </row>
    <row r="118" spans="1:17" ht="30" customHeight="1">
      <c r="A118" s="104" t="s">
        <v>214</v>
      </c>
      <c r="B118" s="170" t="s">
        <v>215</v>
      </c>
      <c r="C118" s="89" t="s">
        <v>117</v>
      </c>
      <c r="D118" s="171" t="s">
        <v>118</v>
      </c>
      <c r="E118" s="108">
        <f>Rekenblad!E118</f>
        <v>0</v>
      </c>
      <c r="F118" s="118">
        <f>Rekenblad!F118</f>
        <v>0</v>
      </c>
      <c r="G118" s="118"/>
      <c r="H118" s="197">
        <f t="shared" si="11"/>
        <v>0</v>
      </c>
      <c r="I118" s="567"/>
      <c r="J118" s="568"/>
      <c r="K118" s="183"/>
      <c r="L118" s="184"/>
      <c r="M118" s="184"/>
      <c r="N118" s="184"/>
      <c r="O118" s="184"/>
      <c r="P118" s="185"/>
      <c r="Q118" s="151"/>
    </row>
    <row r="119" spans="1:17" ht="30" customHeight="1">
      <c r="A119" s="104" t="s">
        <v>216</v>
      </c>
      <c r="B119" s="170" t="s">
        <v>217</v>
      </c>
      <c r="C119" s="89" t="s">
        <v>117</v>
      </c>
      <c r="D119" s="171" t="s">
        <v>218</v>
      </c>
      <c r="E119" s="108">
        <f>Rekenblad!E119</f>
        <v>0</v>
      </c>
      <c r="F119" s="118">
        <f>Rekenblad!F119</f>
        <v>13.25</v>
      </c>
      <c r="G119" s="118"/>
      <c r="H119" s="197">
        <f t="shared" si="11"/>
        <v>0</v>
      </c>
      <c r="I119" s="567"/>
      <c r="J119" s="568"/>
      <c r="K119" s="183"/>
      <c r="L119" s="184"/>
      <c r="M119" s="184"/>
      <c r="N119" s="184"/>
      <c r="O119" s="184"/>
      <c r="P119" s="185"/>
      <c r="Q119" s="151"/>
    </row>
    <row r="120" spans="1:17" ht="30" customHeight="1">
      <c r="A120" s="104" t="s">
        <v>219</v>
      </c>
      <c r="B120" s="89" t="s">
        <v>220</v>
      </c>
      <c r="C120" s="89" t="s">
        <v>117</v>
      </c>
      <c r="D120" s="171" t="s">
        <v>118</v>
      </c>
      <c r="E120" s="108">
        <f>Rekenblad!E120</f>
        <v>0</v>
      </c>
      <c r="F120" s="118">
        <f>Rekenblad!F120</f>
        <v>0</v>
      </c>
      <c r="G120" s="118"/>
      <c r="H120" s="197">
        <f t="shared" si="11"/>
        <v>0</v>
      </c>
      <c r="I120" s="567"/>
      <c r="J120" s="568"/>
      <c r="K120" s="183"/>
      <c r="L120" s="184"/>
      <c r="M120" s="184"/>
      <c r="N120" s="184"/>
      <c r="O120" s="184"/>
      <c r="P120" s="185"/>
      <c r="Q120" s="151"/>
    </row>
    <row r="121" spans="1:17" ht="30" customHeight="1">
      <c r="A121" s="143"/>
      <c r="B121" s="149"/>
      <c r="C121" s="149"/>
      <c r="D121" s="143"/>
      <c r="E121" s="108"/>
      <c r="F121" s="118"/>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60" t="str">
        <f>Rekenblad!F122</f>
        <v>bedrag per eenheid (excl. btw)</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f>Rekenblad!E123</f>
        <v>0</v>
      </c>
      <c r="F123" s="118">
        <f>Rekenblad!F123</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f>Rekenblad!E124</f>
        <v>0</v>
      </c>
      <c r="F124" s="118">
        <f>Rekenblad!F124</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Rekenblad!E125</f>
        <v>200</v>
      </c>
      <c r="F125" s="118">
        <f>Rekenblad!F125</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Rekenblad!E126</f>
        <v>200</v>
      </c>
      <c r="F126" s="118">
        <f>Rekenblad!F126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f>Rekenblad!E127</f>
        <v>0</v>
      </c>
      <c r="F127" s="118">
        <f>Rekenblad!F127</f>
        <v>609.5</v>
      </c>
      <c r="G127" s="109"/>
      <c r="H127" s="167">
        <f t="shared" ref="H127:H136" si="12">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f>Rekenblad!E128</f>
        <v>0</v>
      </c>
      <c r="F128" s="118">
        <f>Rekenblad!F128</f>
        <v>676.28000000000009</v>
      </c>
      <c r="G128" s="109"/>
      <c r="H128" s="167">
        <f t="shared" si="12"/>
        <v>0</v>
      </c>
      <c r="I128" s="569"/>
      <c r="J128" s="570"/>
      <c r="K128" s="118"/>
      <c r="L128" s="146"/>
      <c r="M128" s="146"/>
      <c r="N128" s="146"/>
      <c r="O128" s="146"/>
      <c r="P128" s="147"/>
      <c r="Q128" s="151"/>
    </row>
    <row r="129" spans="1:17" ht="30" customHeight="1">
      <c r="A129" s="171" t="s">
        <v>236</v>
      </c>
      <c r="B129" s="89" t="s">
        <v>237</v>
      </c>
      <c r="C129" s="89" t="s">
        <v>117</v>
      </c>
      <c r="D129" s="171" t="s">
        <v>118</v>
      </c>
      <c r="E129" s="108">
        <f>Rekenblad!E129</f>
        <v>0</v>
      </c>
      <c r="F129" s="118">
        <f>Rekenblad!F129</f>
        <v>318</v>
      </c>
      <c r="G129" s="118"/>
      <c r="H129" s="167">
        <f t="shared" si="12"/>
        <v>0</v>
      </c>
      <c r="I129" s="569"/>
      <c r="J129" s="570"/>
      <c r="K129" s="183"/>
      <c r="L129" s="184"/>
      <c r="M129" s="184"/>
      <c r="N129" s="184"/>
      <c r="O129" s="184"/>
      <c r="P129" s="185"/>
      <c r="Q129" s="151"/>
    </row>
    <row r="130" spans="1:17" ht="30" customHeight="1">
      <c r="A130" s="171" t="s">
        <v>238</v>
      </c>
      <c r="B130" s="89" t="s">
        <v>239</v>
      </c>
      <c r="C130" s="89" t="s">
        <v>117</v>
      </c>
      <c r="D130" s="171" t="s">
        <v>118</v>
      </c>
      <c r="E130" s="108">
        <f>Rekenblad!E130</f>
        <v>0</v>
      </c>
      <c r="F130" s="118">
        <f>Rekenblad!F130</f>
        <v>0</v>
      </c>
      <c r="G130" s="118"/>
      <c r="H130" s="167">
        <f t="shared" si="12"/>
        <v>0</v>
      </c>
      <c r="I130" s="569"/>
      <c r="J130" s="570"/>
      <c r="K130" s="183"/>
      <c r="L130" s="184"/>
      <c r="M130" s="184"/>
      <c r="N130" s="184"/>
      <c r="O130" s="184"/>
      <c r="P130" s="185"/>
      <c r="Q130" s="151"/>
    </row>
    <row r="131" spans="1:17" ht="30" customHeight="1">
      <c r="A131" s="171" t="s">
        <v>240</v>
      </c>
      <c r="B131" s="89" t="s">
        <v>241</v>
      </c>
      <c r="C131" s="89" t="s">
        <v>117</v>
      </c>
      <c r="D131" s="171" t="s">
        <v>118</v>
      </c>
      <c r="E131" s="108">
        <f>Rekenblad!E131</f>
        <v>0</v>
      </c>
      <c r="F131" s="118">
        <f>Rekenblad!F131</f>
        <v>206.70000000000002</v>
      </c>
      <c r="G131" s="118"/>
      <c r="H131" s="167">
        <f t="shared" si="12"/>
        <v>0</v>
      </c>
      <c r="I131" s="569"/>
      <c r="J131" s="570"/>
      <c r="K131" s="183"/>
      <c r="L131" s="184"/>
      <c r="M131" s="184"/>
      <c r="N131" s="184"/>
      <c r="O131" s="184"/>
      <c r="P131" s="185"/>
      <c r="Q131" s="151"/>
    </row>
    <row r="132" spans="1:17" ht="30" customHeight="1">
      <c r="A132" s="171" t="s">
        <v>242</v>
      </c>
      <c r="B132" s="89" t="s">
        <v>243</v>
      </c>
      <c r="C132" s="89" t="s">
        <v>117</v>
      </c>
      <c r="D132" s="171" t="s">
        <v>118</v>
      </c>
      <c r="E132" s="108">
        <f>Rekenblad!E132</f>
        <v>0</v>
      </c>
      <c r="F132" s="118">
        <f>Rekenblad!F132</f>
        <v>0</v>
      </c>
      <c r="G132" s="118"/>
      <c r="H132" s="167">
        <f t="shared" si="12"/>
        <v>0</v>
      </c>
      <c r="I132" s="569"/>
      <c r="J132" s="570"/>
      <c r="K132" s="183"/>
      <c r="L132" s="184"/>
      <c r="M132" s="184"/>
      <c r="N132" s="184"/>
      <c r="O132" s="184"/>
      <c r="P132" s="185"/>
      <c r="Q132" s="151"/>
    </row>
    <row r="133" spans="1:17" ht="30" customHeight="1">
      <c r="A133" s="171" t="s">
        <v>244</v>
      </c>
      <c r="B133" s="174" t="s">
        <v>245</v>
      </c>
      <c r="C133" s="107" t="s">
        <v>57</v>
      </c>
      <c r="D133" s="107" t="s">
        <v>8</v>
      </c>
      <c r="E133" s="108">
        <f>Rekenblad!E133</f>
        <v>0</v>
      </c>
      <c r="F133" s="118">
        <f>Rekenblad!F133</f>
        <v>212.952</v>
      </c>
      <c r="G133" s="109"/>
      <c r="H133" s="167">
        <f t="shared" si="12"/>
        <v>0</v>
      </c>
      <c r="I133" s="569"/>
      <c r="J133" s="570"/>
      <c r="K133" s="118"/>
      <c r="L133" s="146"/>
      <c r="M133" s="146"/>
      <c r="N133" s="146"/>
      <c r="O133" s="146"/>
      <c r="P133" s="147"/>
      <c r="Q133" s="151"/>
    </row>
    <row r="134" spans="1:17" ht="30" customHeight="1">
      <c r="A134" s="171" t="s">
        <v>246</v>
      </c>
      <c r="B134" s="202" t="s">
        <v>247</v>
      </c>
      <c r="C134" s="203" t="s">
        <v>57</v>
      </c>
      <c r="D134" s="178" t="s">
        <v>8</v>
      </c>
      <c r="E134" s="108">
        <f>Rekenblad!E134</f>
        <v>0</v>
      </c>
      <c r="F134" s="118">
        <f>Rekenblad!F134</f>
        <v>270.3</v>
      </c>
      <c r="G134" s="206"/>
      <c r="H134" s="167">
        <f t="shared" si="12"/>
        <v>0</v>
      </c>
      <c r="I134" s="569"/>
      <c r="J134" s="570"/>
      <c r="K134" s="118"/>
      <c r="L134" s="146"/>
      <c r="M134" s="146"/>
      <c r="N134" s="146"/>
      <c r="O134" s="146"/>
      <c r="P134" s="147"/>
      <c r="Q134" s="151"/>
    </row>
    <row r="135" spans="1:17" ht="30" customHeight="1">
      <c r="A135" s="171" t="s">
        <v>248</v>
      </c>
      <c r="B135" s="174" t="s">
        <v>249</v>
      </c>
      <c r="C135" s="107" t="s">
        <v>57</v>
      </c>
      <c r="D135" s="107" t="s">
        <v>8</v>
      </c>
      <c r="E135" s="108">
        <f>Rekenblad!E135</f>
        <v>0</v>
      </c>
      <c r="F135" s="118">
        <f>Rekenblad!F135</f>
        <v>872.38</v>
      </c>
      <c r="G135" s="109"/>
      <c r="H135" s="167">
        <f t="shared" si="12"/>
        <v>0</v>
      </c>
      <c r="I135" s="569"/>
      <c r="J135" s="570"/>
      <c r="K135" s="207"/>
      <c r="L135" s="146"/>
      <c r="M135" s="146"/>
      <c r="N135" s="146"/>
      <c r="O135" s="146"/>
      <c r="P135" s="147"/>
      <c r="Q135" s="151"/>
    </row>
    <row r="136" spans="1:17" ht="30" customHeight="1">
      <c r="A136" s="171" t="s">
        <v>250</v>
      </c>
      <c r="B136" s="89" t="s">
        <v>251</v>
      </c>
      <c r="C136" s="89" t="s">
        <v>117</v>
      </c>
      <c r="D136" s="171" t="s">
        <v>118</v>
      </c>
      <c r="E136" s="108">
        <f>Rekenblad!E136</f>
        <v>0</v>
      </c>
      <c r="F136" s="118">
        <f>Rekenblad!F136</f>
        <v>0</v>
      </c>
      <c r="G136" s="118"/>
      <c r="H136" s="167">
        <f t="shared" si="12"/>
        <v>0</v>
      </c>
      <c r="I136" s="569"/>
      <c r="J136" s="570"/>
      <c r="K136" s="208"/>
      <c r="L136" s="184"/>
      <c r="M136" s="184"/>
      <c r="N136" s="184"/>
      <c r="O136" s="184"/>
      <c r="P136" s="185"/>
      <c r="Q136" s="151"/>
    </row>
    <row r="137" spans="1:17" ht="30" customHeight="1">
      <c r="A137" s="171" t="s">
        <v>252</v>
      </c>
      <c r="B137" s="116" t="s">
        <v>253</v>
      </c>
      <c r="C137" s="75" t="s">
        <v>76</v>
      </c>
      <c r="D137" s="107" t="s">
        <v>8</v>
      </c>
      <c r="E137" s="108">
        <f>Rekenblad!E137</f>
        <v>64</v>
      </c>
      <c r="F137" s="118">
        <f>Rekenblad!F137</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f>Rekenblad!E138</f>
        <v>0</v>
      </c>
      <c r="F138" s="118">
        <f>Rekenblad!F138</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f>Rekenblad!E139</f>
        <v>0</v>
      </c>
      <c r="F139" s="118">
        <f>Rekenblad!F139</f>
        <v>795</v>
      </c>
      <c r="G139" s="118"/>
      <c r="H139" s="109">
        <f t="shared" ref="H139:H149" si="13">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f>Rekenblad!E140</f>
        <v>0</v>
      </c>
      <c r="F140" s="118">
        <f>Rekenblad!F140</f>
        <v>206.70000000000002</v>
      </c>
      <c r="G140" s="118"/>
      <c r="H140" s="109">
        <f t="shared" si="13"/>
        <v>0</v>
      </c>
      <c r="I140" s="567"/>
      <c r="J140" s="567"/>
      <c r="K140" s="210"/>
      <c r="L140" s="211"/>
      <c r="M140" s="211"/>
      <c r="N140" s="211"/>
      <c r="O140" s="211"/>
      <c r="P140" s="74"/>
      <c r="Q140" s="151"/>
    </row>
    <row r="141" spans="1:17" ht="30" customHeight="1">
      <c r="A141" s="171" t="s">
        <v>262</v>
      </c>
      <c r="B141" s="116" t="s">
        <v>263</v>
      </c>
      <c r="C141" s="75" t="s">
        <v>57</v>
      </c>
      <c r="D141" s="107" t="s">
        <v>8</v>
      </c>
      <c r="E141" s="108">
        <f>Rekenblad!E141</f>
        <v>0</v>
      </c>
      <c r="F141" s="118">
        <f>Rekenblad!F141</f>
        <v>291.5</v>
      </c>
      <c r="G141" s="118"/>
      <c r="H141" s="109">
        <f t="shared" si="13"/>
        <v>0</v>
      </c>
      <c r="I141" s="567"/>
      <c r="J141" s="567"/>
      <c r="K141" s="210"/>
      <c r="L141" s="211"/>
      <c r="M141" s="211"/>
      <c r="N141" s="211"/>
      <c r="O141" s="211"/>
      <c r="P141" s="74"/>
      <c r="Q141" s="151"/>
    </row>
    <row r="142" spans="1:17" ht="30" customHeight="1">
      <c r="A142" s="171" t="s">
        <v>264</v>
      </c>
      <c r="B142" s="116" t="s">
        <v>265</v>
      </c>
      <c r="C142" s="75" t="s">
        <v>57</v>
      </c>
      <c r="D142" s="107" t="s">
        <v>8</v>
      </c>
      <c r="E142" s="108">
        <f>Rekenblad!E142</f>
        <v>0</v>
      </c>
      <c r="F142" s="118">
        <f>Rekenblad!F142</f>
        <v>312.7</v>
      </c>
      <c r="G142" s="118"/>
      <c r="H142" s="109">
        <f t="shared" si="13"/>
        <v>0</v>
      </c>
      <c r="I142" s="567"/>
      <c r="J142" s="567"/>
      <c r="K142" s="210"/>
      <c r="L142" s="211"/>
      <c r="M142" s="211"/>
      <c r="N142" s="211"/>
      <c r="O142" s="211"/>
      <c r="P142" s="74"/>
      <c r="Q142" s="151"/>
    </row>
    <row r="143" spans="1:17" ht="30" customHeight="1">
      <c r="A143" s="171" t="s">
        <v>266</v>
      </c>
      <c r="B143" s="89" t="s">
        <v>267</v>
      </c>
      <c r="C143" s="89" t="s">
        <v>117</v>
      </c>
      <c r="D143" s="171" t="s">
        <v>118</v>
      </c>
      <c r="E143" s="108">
        <f>Rekenblad!E143</f>
        <v>0</v>
      </c>
      <c r="F143" s="118">
        <f>Rekenblad!F143</f>
        <v>243.8</v>
      </c>
      <c r="G143" s="118"/>
      <c r="H143" s="109">
        <f t="shared" si="13"/>
        <v>0</v>
      </c>
      <c r="I143" s="567"/>
      <c r="J143" s="567"/>
      <c r="K143" s="208"/>
      <c r="L143" s="184"/>
      <c r="M143" s="184"/>
      <c r="N143" s="184"/>
      <c r="O143" s="184"/>
      <c r="P143" s="185"/>
      <c r="Q143" s="151"/>
    </row>
    <row r="144" spans="1:17" ht="30" customHeight="1">
      <c r="A144" s="171" t="s">
        <v>268</v>
      </c>
      <c r="B144" s="89" t="s">
        <v>269</v>
      </c>
      <c r="C144" s="89" t="s">
        <v>117</v>
      </c>
      <c r="D144" s="171" t="s">
        <v>118</v>
      </c>
      <c r="E144" s="108">
        <f>Rekenblad!E144</f>
        <v>0</v>
      </c>
      <c r="F144" s="118">
        <f>Rekenblad!F144</f>
        <v>0</v>
      </c>
      <c r="G144" s="118"/>
      <c r="H144" s="109">
        <f t="shared" si="13"/>
        <v>0</v>
      </c>
      <c r="I144" s="567"/>
      <c r="J144" s="567"/>
      <c r="K144" s="208"/>
      <c r="L144" s="184"/>
      <c r="M144" s="184"/>
      <c r="N144" s="184"/>
      <c r="O144" s="184"/>
      <c r="P144" s="185"/>
      <c r="Q144" s="151"/>
    </row>
    <row r="145" spans="1:17" ht="30" customHeight="1">
      <c r="A145" s="171" t="s">
        <v>270</v>
      </c>
      <c r="B145" s="89" t="s">
        <v>271</v>
      </c>
      <c r="C145" s="89" t="s">
        <v>117</v>
      </c>
      <c r="D145" s="171" t="s">
        <v>118</v>
      </c>
      <c r="E145" s="108">
        <f>Rekenblad!E145</f>
        <v>0</v>
      </c>
      <c r="F145" s="118">
        <f>Rekenblad!F145</f>
        <v>0</v>
      </c>
      <c r="G145" s="118"/>
      <c r="H145" s="109">
        <f t="shared" si="13"/>
        <v>0</v>
      </c>
      <c r="I145" s="567"/>
      <c r="J145" s="567"/>
      <c r="K145" s="208"/>
      <c r="L145" s="184"/>
      <c r="M145" s="184"/>
      <c r="N145" s="184"/>
      <c r="O145" s="184"/>
      <c r="P145" s="185"/>
      <c r="Q145" s="151"/>
    </row>
    <row r="146" spans="1:17" ht="30" customHeight="1">
      <c r="A146" s="171" t="s">
        <v>272</v>
      </c>
      <c r="B146" s="89" t="s">
        <v>273</v>
      </c>
      <c r="C146" s="89" t="s">
        <v>117</v>
      </c>
      <c r="D146" s="171" t="s">
        <v>118</v>
      </c>
      <c r="E146" s="108">
        <f>Rekenblad!E146</f>
        <v>0</v>
      </c>
      <c r="F146" s="118">
        <f>Rekenblad!F146</f>
        <v>0</v>
      </c>
      <c r="G146" s="118"/>
      <c r="H146" s="109">
        <f t="shared" si="13"/>
        <v>0</v>
      </c>
      <c r="I146" s="567"/>
      <c r="J146" s="567"/>
      <c r="K146" s="208"/>
      <c r="L146" s="184"/>
      <c r="M146" s="184"/>
      <c r="N146" s="184"/>
      <c r="O146" s="184"/>
      <c r="P146" s="185"/>
      <c r="Q146" s="151"/>
    </row>
    <row r="147" spans="1:17" ht="30" customHeight="1">
      <c r="A147" s="171" t="s">
        <v>274</v>
      </c>
      <c r="B147" s="89" t="s">
        <v>275</v>
      </c>
      <c r="C147" s="89" t="s">
        <v>117</v>
      </c>
      <c r="D147" s="171" t="s">
        <v>118</v>
      </c>
      <c r="E147" s="108">
        <f>Rekenblad!E147</f>
        <v>0</v>
      </c>
      <c r="F147" s="118">
        <f>Rekenblad!F147</f>
        <v>58.300000000000004</v>
      </c>
      <c r="G147" s="118"/>
      <c r="H147" s="109">
        <f t="shared" si="13"/>
        <v>0</v>
      </c>
      <c r="I147" s="567"/>
      <c r="J147" s="567"/>
      <c r="K147" s="208"/>
      <c r="L147" s="184"/>
      <c r="M147" s="184"/>
      <c r="N147" s="184"/>
      <c r="O147" s="184"/>
      <c r="P147" s="185"/>
      <c r="Q147" s="151"/>
    </row>
    <row r="148" spans="1:17" ht="30" customHeight="1">
      <c r="A148" s="171" t="s">
        <v>276</v>
      </c>
      <c r="B148" s="89" t="s">
        <v>277</v>
      </c>
      <c r="C148" s="89" t="s">
        <v>117</v>
      </c>
      <c r="D148" s="171" t="s">
        <v>118</v>
      </c>
      <c r="E148" s="108">
        <f>Rekenblad!E148</f>
        <v>0</v>
      </c>
      <c r="F148" s="118">
        <f>Rekenblad!F148</f>
        <v>0</v>
      </c>
      <c r="G148" s="118"/>
      <c r="H148" s="109">
        <f t="shared" si="13"/>
        <v>0</v>
      </c>
      <c r="I148" s="567"/>
      <c r="J148" s="567"/>
      <c r="K148" s="208"/>
      <c r="L148" s="184"/>
      <c r="M148" s="184"/>
      <c r="N148" s="184"/>
      <c r="O148" s="184"/>
      <c r="P148" s="185"/>
      <c r="Q148" s="151"/>
    </row>
    <row r="149" spans="1:17" ht="30" customHeight="1">
      <c r="A149" s="171" t="s">
        <v>278</v>
      </c>
      <c r="B149" s="89" t="s">
        <v>279</v>
      </c>
      <c r="C149" s="89" t="s">
        <v>117</v>
      </c>
      <c r="D149" s="171" t="s">
        <v>118</v>
      </c>
      <c r="E149" s="108">
        <f>Rekenblad!E149</f>
        <v>0</v>
      </c>
      <c r="F149" s="118">
        <f>Rekenblad!F149</f>
        <v>0</v>
      </c>
      <c r="G149" s="118"/>
      <c r="H149" s="109">
        <f t="shared" si="13"/>
        <v>0</v>
      </c>
      <c r="I149" s="567"/>
      <c r="J149" s="567"/>
      <c r="K149" s="208"/>
      <c r="L149" s="184"/>
      <c r="M149" s="184"/>
      <c r="N149" s="184"/>
      <c r="O149" s="184"/>
      <c r="P149" s="185"/>
      <c r="Q149" s="151"/>
    </row>
    <row r="150" spans="1:17" ht="30" customHeight="1">
      <c r="A150" s="212"/>
      <c r="B150" s="151"/>
      <c r="C150" s="151"/>
      <c r="D150" s="213"/>
      <c r="E150" s="108"/>
      <c r="F150" s="118"/>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60" t="str">
        <f>Rekenblad!F151</f>
        <v>bedrag per eenheid (excl. btw)</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f>Rekenblad!E152</f>
        <v>0</v>
      </c>
      <c r="F152" s="118">
        <f>Rekenblad!F152</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Rekenblad!E153</f>
        <v>5</v>
      </c>
      <c r="F153" s="118">
        <f>Rekenblad!F153</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f>Rekenblad!E154</f>
        <v>0</v>
      </c>
      <c r="F154" s="118">
        <f>Rekenblad!F154</f>
        <v>397.5</v>
      </c>
      <c r="G154" s="109"/>
      <c r="H154" s="167"/>
      <c r="I154" s="153"/>
      <c r="J154" s="152"/>
      <c r="K154" s="118"/>
      <c r="L154" s="146"/>
      <c r="M154" s="146"/>
      <c r="N154" s="146"/>
      <c r="O154" s="146"/>
      <c r="P154" s="147"/>
      <c r="Q154" s="151"/>
    </row>
    <row r="155" spans="1:17" ht="30" customHeight="1">
      <c r="A155" s="171"/>
      <c r="B155" s="116"/>
      <c r="C155" s="75"/>
      <c r="D155" s="171"/>
      <c r="E155" s="108">
        <f>Rekenblad!E155</f>
        <v>0</v>
      </c>
      <c r="F155" s="118">
        <f>Rekenblad!F155</f>
        <v>0</v>
      </c>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60" t="str">
        <f>Rekenblad!F156</f>
        <v>bedrag per eenheid (excl. btw)</v>
      </c>
      <c r="G156" s="48" t="s">
        <v>15</v>
      </c>
      <c r="H156" s="48" t="s">
        <v>16</v>
      </c>
      <c r="I156" s="571" t="s">
        <v>17</v>
      </c>
      <c r="J156" s="571"/>
      <c r="K156" s="37"/>
      <c r="L156" s="50"/>
      <c r="M156" s="50"/>
      <c r="N156" s="50"/>
      <c r="O156" s="50"/>
      <c r="P156" s="49" t="s">
        <v>18</v>
      </c>
      <c r="Q156" s="151"/>
    </row>
    <row r="157" spans="1:17">
      <c r="A157" s="218"/>
      <c r="B157" s="219"/>
      <c r="C157" s="219"/>
      <c r="D157" s="218"/>
      <c r="E157" s="220"/>
      <c r="F157" s="118">
        <f>Rekenblad!F157</f>
        <v>0</v>
      </c>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45</v>
      </c>
      <c r="F158" s="118">
        <f>Rekenblad!F158</f>
        <v>23.32</v>
      </c>
      <c r="G158" s="109"/>
      <c r="H158" s="167">
        <f>E158*F158</f>
        <v>1049.4000000000001</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f>Rekenblad!E159</f>
        <v>0</v>
      </c>
      <c r="F159" s="118">
        <f>Rekenblad!F159</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Rekenblad!E160</f>
        <v>10</v>
      </c>
      <c r="F160" s="118">
        <f>Rekenblad!F160</f>
        <v>276.44800000000004</v>
      </c>
      <c r="G160" s="109"/>
      <c r="H160" s="167">
        <f t="shared" ref="H160:H193" si="14">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45</v>
      </c>
      <c r="F161" s="118">
        <f>Rekenblad!F161</f>
        <v>201.4</v>
      </c>
      <c r="G161" s="109"/>
      <c r="H161" s="167">
        <f t="shared" si="14"/>
        <v>9063</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f>Rekenblad!E162</f>
        <v>0</v>
      </c>
      <c r="F162" s="118">
        <f>Rekenblad!F162</f>
        <v>154.44200000000001</v>
      </c>
      <c r="G162" s="109"/>
      <c r="H162" s="167">
        <f t="shared" si="14"/>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45</v>
      </c>
      <c r="F163" s="118">
        <f>Rekenblad!F163</f>
        <v>66.25</v>
      </c>
      <c r="G163" s="118"/>
      <c r="H163" s="168">
        <f t="shared" si="14"/>
        <v>2981.25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f>Rekenblad!E164</f>
        <v>0</v>
      </c>
      <c r="F164" s="118">
        <f>Rekenblad!F164</f>
        <v>180.20000000000002</v>
      </c>
      <c r="G164" s="118"/>
      <c r="H164" s="197">
        <f t="shared" si="14"/>
        <v>0</v>
      </c>
      <c r="I164" s="569"/>
      <c r="J164" s="570"/>
      <c r="K164" s="183"/>
      <c r="L164" s="184"/>
      <c r="M164" s="184"/>
      <c r="N164" s="184"/>
      <c r="O164" s="184"/>
      <c r="P164" s="185"/>
      <c r="Q164" s="151"/>
    </row>
    <row r="165" spans="1:17" ht="30" customHeight="1">
      <c r="A165" s="171" t="s">
        <v>311</v>
      </c>
      <c r="B165" s="174" t="s">
        <v>312</v>
      </c>
      <c r="C165" s="107" t="s">
        <v>33</v>
      </c>
      <c r="D165" s="107" t="s">
        <v>313</v>
      </c>
      <c r="E165" s="108">
        <f>Rekenblad!E165</f>
        <v>0</v>
      </c>
      <c r="F165" s="118">
        <f>Rekenblad!F165</f>
        <v>180.20000000000002</v>
      </c>
      <c r="G165" s="109"/>
      <c r="H165" s="167">
        <f t="shared" si="14"/>
        <v>0</v>
      </c>
      <c r="I165" s="569"/>
      <c r="J165" s="570"/>
      <c r="K165" s="118"/>
      <c r="L165" s="146"/>
      <c r="M165" s="146"/>
      <c r="N165" s="146"/>
      <c r="O165" s="146"/>
      <c r="P165" s="147"/>
      <c r="Q165" s="151"/>
    </row>
    <row r="166" spans="1:17" ht="30" customHeight="1">
      <c r="A166" s="171" t="s">
        <v>314</v>
      </c>
      <c r="B166" s="174" t="s">
        <v>315</v>
      </c>
      <c r="C166" s="107" t="s">
        <v>57</v>
      </c>
      <c r="D166" s="107" t="s">
        <v>316</v>
      </c>
      <c r="E166" s="108">
        <f>Rekenblad!E166</f>
        <v>0</v>
      </c>
      <c r="F166" s="118">
        <f>Rekenblad!F166</f>
        <v>1679.0400000000002</v>
      </c>
      <c r="G166" s="109"/>
      <c r="H166" s="167">
        <f t="shared" si="14"/>
        <v>0</v>
      </c>
      <c r="I166" s="569"/>
      <c r="J166" s="570"/>
      <c r="K166" s="118"/>
      <c r="L166" s="146"/>
      <c r="M166" s="146"/>
      <c r="N166" s="146"/>
      <c r="O166" s="146"/>
      <c r="P166" s="147"/>
      <c r="Q166" s="151"/>
    </row>
    <row r="167" spans="1:17" ht="30" customHeight="1">
      <c r="A167" s="171" t="s">
        <v>317</v>
      </c>
      <c r="B167" s="89" t="s">
        <v>318</v>
      </c>
      <c r="C167" s="89" t="s">
        <v>117</v>
      </c>
      <c r="D167" s="171" t="s">
        <v>118</v>
      </c>
      <c r="E167" s="108">
        <f>Rekenblad!E167</f>
        <v>0</v>
      </c>
      <c r="F167" s="118">
        <f>Rekenblad!F167</f>
        <v>10.865</v>
      </c>
      <c r="G167" s="118"/>
      <c r="H167" s="197">
        <f t="shared" si="14"/>
        <v>0</v>
      </c>
      <c r="I167" s="569"/>
      <c r="J167" s="570"/>
      <c r="K167" s="183"/>
      <c r="L167" s="184"/>
      <c r="M167" s="184"/>
      <c r="N167" s="184"/>
      <c r="O167" s="184"/>
      <c r="P167" s="185"/>
      <c r="Q167" s="151"/>
    </row>
    <row r="168" spans="1:17" ht="30" customHeight="1">
      <c r="A168" s="171" t="s">
        <v>319</v>
      </c>
      <c r="B168" s="174" t="s">
        <v>320</v>
      </c>
      <c r="C168" s="107" t="s">
        <v>57</v>
      </c>
      <c r="D168" s="107" t="s">
        <v>316</v>
      </c>
      <c r="E168" s="108">
        <f>Rekenblad!E168</f>
        <v>0</v>
      </c>
      <c r="F168" s="118">
        <f>Rekenblad!F168</f>
        <v>1007.424</v>
      </c>
      <c r="G168" s="109"/>
      <c r="H168" s="167">
        <f t="shared" si="14"/>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f>Rekenblad!E169</f>
        <v>0</v>
      </c>
      <c r="F169" s="118">
        <f>Rekenblad!F169</f>
        <v>13.515000000000001</v>
      </c>
      <c r="G169" s="118"/>
      <c r="H169" s="197">
        <f t="shared" si="14"/>
        <v>0</v>
      </c>
      <c r="I169" s="569"/>
      <c r="J169" s="570"/>
      <c r="K169" s="183"/>
      <c r="L169" s="184"/>
      <c r="M169" s="184"/>
      <c r="N169" s="184"/>
      <c r="O169" s="184"/>
      <c r="P169" s="185"/>
      <c r="Q169" s="151"/>
    </row>
    <row r="170" spans="1:17" ht="30" customHeight="1">
      <c r="A170" s="171" t="s">
        <v>324</v>
      </c>
      <c r="B170" s="174" t="s">
        <v>325</v>
      </c>
      <c r="C170" s="107"/>
      <c r="D170" s="107" t="s">
        <v>326</v>
      </c>
      <c r="E170" s="196">
        <f>$G$3*$A$4</f>
        <v>45</v>
      </c>
      <c r="F170" s="118">
        <f>Rekenblad!F170</f>
        <v>74.2</v>
      </c>
      <c r="G170" s="109"/>
      <c r="H170" s="167">
        <f t="shared" si="14"/>
        <v>3339</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f>Rekenblad!E171</f>
        <v>0</v>
      </c>
      <c r="F171" s="118">
        <f>Rekenblad!F171</f>
        <v>283.23200000000003</v>
      </c>
      <c r="G171" s="109"/>
      <c r="H171" s="167">
        <f t="shared" si="14"/>
        <v>0</v>
      </c>
      <c r="I171" s="569"/>
      <c r="J171" s="570"/>
      <c r="K171" s="118"/>
      <c r="L171" s="146"/>
      <c r="M171" s="146"/>
      <c r="N171" s="146"/>
      <c r="O171" s="146"/>
      <c r="P171" s="147"/>
      <c r="Q171" s="151"/>
    </row>
    <row r="172" spans="1:17" ht="30" customHeight="1">
      <c r="A172" s="171" t="s">
        <v>330</v>
      </c>
      <c r="B172" s="89" t="s">
        <v>331</v>
      </c>
      <c r="C172" s="89" t="s">
        <v>117</v>
      </c>
      <c r="D172" s="171" t="s">
        <v>118</v>
      </c>
      <c r="E172" s="108">
        <f>Rekenblad!E172</f>
        <v>0</v>
      </c>
      <c r="F172" s="118">
        <f>Rekenblad!F172</f>
        <v>95.4</v>
      </c>
      <c r="G172" s="118"/>
      <c r="H172" s="197">
        <f t="shared" si="14"/>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45</v>
      </c>
      <c r="F173" s="118">
        <f>Rekenblad!F173</f>
        <v>33.814</v>
      </c>
      <c r="G173" s="109"/>
      <c r="H173" s="167">
        <f t="shared" si="14"/>
        <v>1521.63</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45</v>
      </c>
      <c r="F174" s="118">
        <f>Rekenblad!F174</f>
        <v>46.11</v>
      </c>
      <c r="G174" s="109"/>
      <c r="H174" s="167">
        <f t="shared" si="14"/>
        <v>2074.9499999999998</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45</v>
      </c>
      <c r="F175" s="118">
        <f>Rekenblad!F175</f>
        <v>461.1</v>
      </c>
      <c r="G175" s="109"/>
      <c r="H175" s="167">
        <f t="shared" si="14"/>
        <v>20749.5</v>
      </c>
      <c r="I175" s="569" t="s">
        <v>343</v>
      </c>
      <c r="J175" s="570"/>
      <c r="K175" s="118"/>
      <c r="L175" s="146"/>
      <c r="M175" s="146"/>
      <c r="N175" s="146"/>
      <c r="O175" s="146"/>
      <c r="P175" s="147"/>
      <c r="Q175" s="151"/>
    </row>
    <row r="176" spans="1:17" ht="30" customHeight="1">
      <c r="A176" s="171" t="s">
        <v>344</v>
      </c>
      <c r="B176" s="116" t="s">
        <v>345</v>
      </c>
      <c r="C176" s="75" t="s">
        <v>26</v>
      </c>
      <c r="D176" s="171" t="s">
        <v>291</v>
      </c>
      <c r="E176" s="108">
        <f>Rekenblad!E176</f>
        <v>0</v>
      </c>
      <c r="F176" s="118">
        <f>Rekenblad!F176</f>
        <v>954</v>
      </c>
      <c r="G176" s="109"/>
      <c r="H176" s="167">
        <f t="shared" ref="H176" si="15">SUM(E176*F176)</f>
        <v>0</v>
      </c>
      <c r="I176" s="569" t="s">
        <v>346</v>
      </c>
      <c r="J176" s="570"/>
      <c r="K176" s="118"/>
      <c r="L176" s="146"/>
      <c r="M176" s="146"/>
      <c r="N176" s="146"/>
      <c r="O176" s="146"/>
      <c r="P176" s="147"/>
      <c r="Q176" s="151"/>
    </row>
    <row r="177" spans="1:17" ht="30" customHeight="1">
      <c r="A177" s="171" t="s">
        <v>347</v>
      </c>
      <c r="B177" s="116" t="s">
        <v>348</v>
      </c>
      <c r="C177" s="75" t="s">
        <v>57</v>
      </c>
      <c r="D177" s="107" t="s">
        <v>291</v>
      </c>
      <c r="E177" s="108">
        <f>Rekenblad!E178</f>
        <v>50</v>
      </c>
      <c r="F177" s="118">
        <f>Rekenblad!F178</f>
        <v>20.352</v>
      </c>
      <c r="G177" s="109"/>
      <c r="H177" s="167">
        <f t="shared" si="14"/>
        <v>1017.6</v>
      </c>
      <c r="I177" s="569" t="s">
        <v>349</v>
      </c>
      <c r="J177" s="570"/>
      <c r="K177" s="118"/>
      <c r="L177" s="146"/>
      <c r="M177" s="146"/>
      <c r="N177" s="146"/>
      <c r="O177" s="146"/>
      <c r="P177" s="147"/>
      <c r="Q177" s="151"/>
    </row>
    <row r="178" spans="1:17" ht="30" customHeight="1">
      <c r="A178" s="171" t="s">
        <v>350</v>
      </c>
      <c r="B178" s="116" t="s">
        <v>351</v>
      </c>
      <c r="C178" s="75" t="s">
        <v>57</v>
      </c>
      <c r="D178" s="107" t="s">
        <v>257</v>
      </c>
      <c r="E178" s="108">
        <f>Rekenblad!E179</f>
        <v>0</v>
      </c>
      <c r="F178" s="118">
        <f>Rekenblad!F179</f>
        <v>59.466000000000001</v>
      </c>
      <c r="G178" s="109"/>
      <c r="H178" s="167">
        <f t="shared" si="14"/>
        <v>0</v>
      </c>
      <c r="I178" s="569"/>
      <c r="J178" s="570"/>
      <c r="K178" s="118"/>
      <c r="L178" s="146"/>
      <c r="M178" s="146"/>
      <c r="N178" s="146"/>
      <c r="O178" s="146"/>
      <c r="P178" s="147"/>
      <c r="Q178" s="151"/>
    </row>
    <row r="179" spans="1:17" ht="30" customHeight="1">
      <c r="A179" s="171" t="s">
        <v>352</v>
      </c>
      <c r="B179" s="89" t="s">
        <v>353</v>
      </c>
      <c r="C179" s="89" t="s">
        <v>117</v>
      </c>
      <c r="D179" s="171" t="s">
        <v>118</v>
      </c>
      <c r="E179" s="108">
        <f>Rekenblad!E180</f>
        <v>0</v>
      </c>
      <c r="F179" s="118">
        <f>Rekenblad!F180</f>
        <v>0</v>
      </c>
      <c r="G179" s="118"/>
      <c r="H179" s="197">
        <f t="shared" si="14"/>
        <v>0</v>
      </c>
      <c r="I179" s="569"/>
      <c r="J179" s="570"/>
      <c r="K179" s="183"/>
      <c r="L179" s="184"/>
      <c r="M179" s="184"/>
      <c r="N179" s="184"/>
      <c r="O179" s="184"/>
      <c r="P179" s="185"/>
      <c r="Q179" s="151"/>
    </row>
    <row r="180" spans="1:17" ht="30" customHeight="1">
      <c r="A180" s="171" t="s">
        <v>354</v>
      </c>
      <c r="B180" s="89" t="s">
        <v>355</v>
      </c>
      <c r="C180" s="89" t="s">
        <v>117</v>
      </c>
      <c r="D180" s="171" t="s">
        <v>356</v>
      </c>
      <c r="E180" s="108">
        <f>Rekenblad!E181</f>
        <v>0</v>
      </c>
      <c r="F180" s="118">
        <f>Rekenblad!F181</f>
        <v>53</v>
      </c>
      <c r="G180" s="109"/>
      <c r="H180" s="167">
        <f t="shared" si="14"/>
        <v>0</v>
      </c>
      <c r="I180" s="569"/>
      <c r="J180" s="570"/>
      <c r="K180" s="118"/>
      <c r="L180" s="146"/>
      <c r="M180" s="146"/>
      <c r="N180" s="146"/>
      <c r="O180" s="146"/>
      <c r="P180" s="147"/>
      <c r="Q180" s="151"/>
    </row>
    <row r="181" spans="1:17" ht="30" customHeight="1">
      <c r="A181" s="171" t="s">
        <v>357</v>
      </c>
      <c r="B181" s="89" t="s">
        <v>358</v>
      </c>
      <c r="C181" s="89" t="s">
        <v>117</v>
      </c>
      <c r="D181" s="171" t="s">
        <v>359</v>
      </c>
      <c r="E181" s="108">
        <f>Rekenblad!E182</f>
        <v>0</v>
      </c>
      <c r="F181" s="118">
        <f>Rekenblad!F182</f>
        <v>1.7489999999999999</v>
      </c>
      <c r="G181" s="109"/>
      <c r="H181" s="167">
        <f t="shared" si="14"/>
        <v>0</v>
      </c>
      <c r="I181" s="569"/>
      <c r="J181" s="570"/>
      <c r="K181" s="118"/>
      <c r="L181" s="146"/>
      <c r="M181" s="146"/>
      <c r="N181" s="146"/>
      <c r="O181" s="146"/>
      <c r="P181" s="147"/>
      <c r="Q181" s="151"/>
    </row>
    <row r="182" spans="1:17" ht="30" customHeight="1">
      <c r="A182" s="171" t="s">
        <v>360</v>
      </c>
      <c r="B182" s="89" t="s">
        <v>361</v>
      </c>
      <c r="C182" s="89" t="s">
        <v>117</v>
      </c>
      <c r="D182" s="171" t="s">
        <v>362</v>
      </c>
      <c r="E182" s="108">
        <f>Rekenblad!E183</f>
        <v>0</v>
      </c>
      <c r="F182" s="118">
        <f>Rekenblad!F183</f>
        <v>58.300000000000004</v>
      </c>
      <c r="G182" s="109"/>
      <c r="H182" s="167">
        <f t="shared" si="14"/>
        <v>0</v>
      </c>
      <c r="I182" s="569"/>
      <c r="J182" s="570"/>
      <c r="K182" s="118"/>
      <c r="L182" s="146"/>
      <c r="M182" s="146"/>
      <c r="N182" s="146"/>
      <c r="O182" s="146"/>
      <c r="P182" s="147"/>
      <c r="Q182" s="151"/>
    </row>
    <row r="183" spans="1:17" ht="30" customHeight="1">
      <c r="A183" s="171" t="s">
        <v>363</v>
      </c>
      <c r="B183" s="89" t="s">
        <v>364</v>
      </c>
      <c r="C183" s="89" t="s">
        <v>117</v>
      </c>
      <c r="D183" s="171" t="s">
        <v>304</v>
      </c>
      <c r="E183" s="196">
        <f>$G$3*$A$4</f>
        <v>45</v>
      </c>
      <c r="F183" s="118">
        <f>Rekenblad!F184</f>
        <v>331.78000000000003</v>
      </c>
      <c r="G183" s="109"/>
      <c r="H183" s="167">
        <f t="shared" si="14"/>
        <v>14930.100000000002</v>
      </c>
      <c r="I183" s="569" t="s">
        <v>365</v>
      </c>
      <c r="J183" s="570"/>
      <c r="K183" s="118"/>
      <c r="L183" s="146"/>
      <c r="M183" s="146"/>
      <c r="N183" s="146"/>
      <c r="O183" s="146"/>
      <c r="P183" s="147"/>
      <c r="Q183" s="151"/>
    </row>
    <row r="184" spans="1:17" ht="30" customHeight="1">
      <c r="A184" s="171" t="s">
        <v>366</v>
      </c>
      <c r="B184" s="89" t="s">
        <v>367</v>
      </c>
      <c r="C184" s="89" t="s">
        <v>117</v>
      </c>
      <c r="D184" s="171" t="s">
        <v>362</v>
      </c>
      <c r="E184" s="108">
        <f>Rekenblad!E185</f>
        <v>0</v>
      </c>
      <c r="F184" s="118">
        <f>Rekenblad!F185</f>
        <v>0</v>
      </c>
      <c r="G184" s="109"/>
      <c r="H184" s="167">
        <f t="shared" si="14"/>
        <v>0</v>
      </c>
      <c r="I184" s="567"/>
      <c r="J184" s="568"/>
      <c r="K184" s="118"/>
      <c r="L184" s="146"/>
      <c r="M184" s="146"/>
      <c r="N184" s="146"/>
      <c r="O184" s="146"/>
      <c r="P184" s="147"/>
      <c r="Q184" s="151"/>
    </row>
    <row r="185" spans="1:17" ht="30" customHeight="1">
      <c r="A185" s="171" t="s">
        <v>368</v>
      </c>
      <c r="B185" s="89" t="s">
        <v>369</v>
      </c>
      <c r="C185" s="89" t="s">
        <v>117</v>
      </c>
      <c r="D185" s="171" t="s">
        <v>370</v>
      </c>
      <c r="E185" s="108">
        <f>Rekenblad!E186</f>
        <v>0</v>
      </c>
      <c r="F185" s="118">
        <f>Rekenblad!F186</f>
        <v>0</v>
      </c>
      <c r="G185" s="109"/>
      <c r="H185" s="167">
        <f t="shared" si="14"/>
        <v>0</v>
      </c>
      <c r="I185" s="567"/>
      <c r="J185" s="568"/>
      <c r="K185" s="161"/>
      <c r="L185" s="162"/>
      <c r="M185" s="162"/>
      <c r="N185" s="162"/>
      <c r="O185" s="162"/>
      <c r="P185" s="163"/>
      <c r="Q185" s="151"/>
    </row>
    <row r="186" spans="1:17" ht="30" customHeight="1">
      <c r="A186" s="171" t="s">
        <v>371</v>
      </c>
      <c r="B186" s="89" t="s">
        <v>372</v>
      </c>
      <c r="C186" s="89" t="s">
        <v>117</v>
      </c>
      <c r="D186" s="171" t="s">
        <v>304</v>
      </c>
      <c r="E186" s="196">
        <f>$G$3*$A$4</f>
        <v>45</v>
      </c>
      <c r="F186" s="118">
        <f>Rekenblad!F187</f>
        <v>312.7</v>
      </c>
      <c r="G186" s="109"/>
      <c r="H186" s="167">
        <f t="shared" si="14"/>
        <v>14071.5</v>
      </c>
      <c r="I186" s="567" t="s">
        <v>365</v>
      </c>
      <c r="J186" s="568"/>
      <c r="K186" s="161"/>
      <c r="L186" s="162"/>
      <c r="M186" s="162"/>
      <c r="N186" s="162"/>
      <c r="O186" s="162"/>
      <c r="P186" s="163"/>
      <c r="Q186" s="151"/>
    </row>
    <row r="187" spans="1:17" ht="30" customHeight="1">
      <c r="A187" s="171" t="s">
        <v>373</v>
      </c>
      <c r="B187" s="116" t="s">
        <v>374</v>
      </c>
      <c r="C187" s="75" t="s">
        <v>101</v>
      </c>
      <c r="D187" s="107" t="s">
        <v>359</v>
      </c>
      <c r="E187" s="108">
        <f>Rekenblad!E188</f>
        <v>0</v>
      </c>
      <c r="F187" s="118">
        <f>Rekenblad!F188</f>
        <v>1.06</v>
      </c>
      <c r="G187" s="109"/>
      <c r="H187" s="167">
        <f t="shared" si="14"/>
        <v>0</v>
      </c>
      <c r="I187" s="567"/>
      <c r="J187" s="568"/>
      <c r="K187" s="118"/>
      <c r="L187" s="146"/>
      <c r="M187" s="146"/>
      <c r="N187" s="146"/>
      <c r="O187" s="146"/>
      <c r="P187" s="147"/>
      <c r="Q187" s="151"/>
    </row>
    <row r="188" spans="1:17" ht="30" customHeight="1">
      <c r="A188" s="171" t="s">
        <v>375</v>
      </c>
      <c r="B188" s="116" t="s">
        <v>374</v>
      </c>
      <c r="C188" s="75" t="s">
        <v>57</v>
      </c>
      <c r="D188" s="107" t="s">
        <v>376</v>
      </c>
      <c r="E188" s="196">
        <f>$G$3*$A$4*3</f>
        <v>135</v>
      </c>
      <c r="F188" s="118">
        <f>Rekenblad!F189</f>
        <v>118.72</v>
      </c>
      <c r="G188" s="109"/>
      <c r="H188" s="167">
        <f>E188*F188</f>
        <v>16027.2</v>
      </c>
      <c r="I188" s="567" t="s">
        <v>377</v>
      </c>
      <c r="J188" s="568"/>
      <c r="K188" s="118"/>
      <c r="L188" s="146"/>
      <c r="M188" s="146"/>
      <c r="N188" s="146"/>
      <c r="O188" s="146"/>
      <c r="P188" s="147"/>
      <c r="Q188" s="151"/>
    </row>
    <row r="189" spans="1:17" ht="30" customHeight="1">
      <c r="A189" s="171" t="s">
        <v>378</v>
      </c>
      <c r="B189" s="116" t="s">
        <v>379</v>
      </c>
      <c r="C189" s="75" t="s">
        <v>33</v>
      </c>
      <c r="D189" s="107" t="s">
        <v>359</v>
      </c>
      <c r="E189" s="108">
        <f>Rekenblad!E190</f>
        <v>0</v>
      </c>
      <c r="F189" s="118">
        <f>Rekenblad!F190</f>
        <v>0.84800000000000009</v>
      </c>
      <c r="G189" s="109"/>
      <c r="H189" s="167">
        <f t="shared" si="14"/>
        <v>0</v>
      </c>
      <c r="I189" s="567"/>
      <c r="J189" s="568"/>
      <c r="K189" s="118"/>
      <c r="L189" s="146"/>
      <c r="M189" s="146"/>
      <c r="N189" s="146"/>
      <c r="O189" s="146"/>
      <c r="P189" s="147"/>
      <c r="Q189" s="151"/>
    </row>
    <row r="190" spans="1:17" ht="30" customHeight="1">
      <c r="A190" s="171" t="s">
        <v>380</v>
      </c>
      <c r="B190" s="116" t="s">
        <v>381</v>
      </c>
      <c r="C190" s="75" t="s">
        <v>33</v>
      </c>
      <c r="D190" s="107" t="s">
        <v>359</v>
      </c>
      <c r="E190" s="108">
        <f>Rekenblad!E191</f>
        <v>0</v>
      </c>
      <c r="F190" s="118">
        <f>Rekenblad!F191</f>
        <v>1.3250000000000002</v>
      </c>
      <c r="G190" s="109"/>
      <c r="H190" s="167">
        <f t="shared" si="14"/>
        <v>0</v>
      </c>
      <c r="I190" s="567"/>
      <c r="J190" s="568"/>
      <c r="K190" s="118"/>
      <c r="L190" s="146"/>
      <c r="M190" s="146"/>
      <c r="N190" s="146"/>
      <c r="O190" s="146"/>
      <c r="P190" s="147"/>
      <c r="Q190" s="151"/>
    </row>
    <row r="191" spans="1:17" ht="30" customHeight="1">
      <c r="A191" s="171" t="s">
        <v>382</v>
      </c>
      <c r="B191" s="116" t="s">
        <v>383</v>
      </c>
      <c r="C191" s="75" t="s">
        <v>33</v>
      </c>
      <c r="D191" s="107" t="s">
        <v>384</v>
      </c>
      <c r="E191" s="108">
        <f>Rekenblad!E192</f>
        <v>0</v>
      </c>
      <c r="F191" s="118">
        <f>Rekenblad!F192</f>
        <v>172.78</v>
      </c>
      <c r="G191" s="109"/>
      <c r="H191" s="167">
        <f t="shared" si="14"/>
        <v>0</v>
      </c>
      <c r="I191" s="567"/>
      <c r="J191" s="568"/>
      <c r="K191" s="118"/>
      <c r="L191" s="146"/>
      <c r="M191" s="146"/>
      <c r="N191" s="146"/>
      <c r="O191" s="146"/>
      <c r="P191" s="147"/>
      <c r="Q191" s="151"/>
    </row>
    <row r="192" spans="1:17" ht="30" customHeight="1">
      <c r="A192" s="171" t="s">
        <v>385</v>
      </c>
      <c r="B192" s="116" t="s">
        <v>386</v>
      </c>
      <c r="C192" s="75" t="s">
        <v>57</v>
      </c>
      <c r="D192" s="107" t="s">
        <v>387</v>
      </c>
      <c r="E192" s="108">
        <f>Rekenblad!E193</f>
        <v>0</v>
      </c>
      <c r="F192" s="118">
        <f>Rekenblad!F193</f>
        <v>689</v>
      </c>
      <c r="G192" s="109"/>
      <c r="H192" s="167">
        <f t="shared" si="14"/>
        <v>0</v>
      </c>
      <c r="I192" s="567"/>
      <c r="J192" s="568"/>
      <c r="K192" s="118"/>
      <c r="L192" s="146"/>
      <c r="M192" s="146"/>
      <c r="N192" s="146"/>
      <c r="O192" s="146"/>
      <c r="P192" s="147"/>
      <c r="Q192" s="151"/>
    </row>
    <row r="193" spans="1:17" ht="30" customHeight="1">
      <c r="A193" s="171" t="s">
        <v>388</v>
      </c>
      <c r="B193" s="116" t="s">
        <v>389</v>
      </c>
      <c r="C193" s="75" t="s">
        <v>57</v>
      </c>
      <c r="D193" s="107" t="s">
        <v>387</v>
      </c>
      <c r="E193" s="108">
        <f>Rekenblad!E194</f>
        <v>0</v>
      </c>
      <c r="F193" s="118">
        <f>Rekenblad!F194</f>
        <v>371</v>
      </c>
      <c r="G193" s="109"/>
      <c r="H193" s="167">
        <f t="shared" si="14"/>
        <v>0</v>
      </c>
      <c r="I193" s="567"/>
      <c r="J193" s="568"/>
      <c r="K193" s="118"/>
      <c r="L193" s="146"/>
      <c r="M193" s="146"/>
      <c r="N193" s="146"/>
      <c r="O193" s="146"/>
      <c r="P193" s="147"/>
      <c r="Q193" s="151"/>
    </row>
    <row r="194" spans="1:17" ht="30" customHeight="1">
      <c r="A194" s="226"/>
      <c r="B194" s="227"/>
      <c r="C194" s="228"/>
      <c r="D194" s="229"/>
      <c r="E194" s="179"/>
      <c r="F194" s="118"/>
      <c r="G194" s="230"/>
      <c r="H194" s="230"/>
      <c r="I194" s="231"/>
      <c r="J194" s="232"/>
      <c r="K194" s="233"/>
      <c r="L194" s="234"/>
      <c r="M194" s="234"/>
      <c r="N194" s="234"/>
      <c r="O194" s="234"/>
      <c r="P194" s="163"/>
      <c r="Q194" s="151"/>
    </row>
    <row r="195" spans="1:17" s="5" customFormat="1" ht="65.25" customHeight="1">
      <c r="A195" s="235">
        <v>10</v>
      </c>
      <c r="B195" s="236" t="s">
        <v>390</v>
      </c>
      <c r="C195" s="115"/>
      <c r="D195" s="38" t="s">
        <v>12</v>
      </c>
      <c r="E195" s="47" t="s">
        <v>13</v>
      </c>
      <c r="F195" s="60" t="str">
        <f>Rekenblad!F196</f>
        <v>bedrag per eenheid (excl. btw)</v>
      </c>
      <c r="G195" s="37" t="s">
        <v>15</v>
      </c>
      <c r="H195" s="37" t="s">
        <v>16</v>
      </c>
      <c r="I195" s="563" t="s">
        <v>17</v>
      </c>
      <c r="J195" s="564"/>
      <c r="K195" s="564"/>
      <c r="L195" s="564"/>
      <c r="M195" s="564"/>
      <c r="N195" s="564"/>
      <c r="O195" s="564"/>
      <c r="P195" s="38" t="s">
        <v>18</v>
      </c>
      <c r="Q195" s="301"/>
    </row>
    <row r="196" spans="1:17" ht="30" customHeight="1">
      <c r="A196" s="171" t="s">
        <v>391</v>
      </c>
      <c r="B196" s="89" t="s">
        <v>392</v>
      </c>
      <c r="C196" s="89" t="s">
        <v>117</v>
      </c>
      <c r="D196" s="171" t="s">
        <v>393</v>
      </c>
      <c r="E196" s="108">
        <f>Rekenblad!E197</f>
        <v>0</v>
      </c>
      <c r="F196" s="118">
        <f>Rekenblad!F197</f>
        <v>7.7485999999999997</v>
      </c>
      <c r="G196" s="198"/>
      <c r="H196" s="198">
        <f>1*G196</f>
        <v>0</v>
      </c>
      <c r="I196" s="565"/>
      <c r="J196" s="562"/>
      <c r="K196" s="161"/>
      <c r="L196" s="162"/>
      <c r="M196" s="162"/>
      <c r="N196" s="162"/>
      <c r="O196" s="162"/>
      <c r="P196" s="163"/>
      <c r="Q196" s="151"/>
    </row>
    <row r="197" spans="1:17" ht="30" customHeight="1">
      <c r="A197" s="171" t="s">
        <v>394</v>
      </c>
      <c r="B197" s="89" t="s">
        <v>395</v>
      </c>
      <c r="C197" s="89" t="s">
        <v>117</v>
      </c>
      <c r="D197" s="171" t="s">
        <v>393</v>
      </c>
      <c r="E197" s="108">
        <f>Rekenblad!E198</f>
        <v>0</v>
      </c>
      <c r="F197" s="118">
        <f>Rekenblad!F198</f>
        <v>7.7380000000000004</v>
      </c>
      <c r="G197" s="198"/>
      <c r="H197" s="198">
        <f t="shared" ref="H197:H221" si="16">1*G197</f>
        <v>0</v>
      </c>
      <c r="I197" s="565"/>
      <c r="J197" s="562"/>
      <c r="K197" s="161"/>
      <c r="L197" s="162"/>
      <c r="M197" s="162"/>
      <c r="N197" s="162"/>
      <c r="O197" s="162"/>
      <c r="P197" s="163"/>
      <c r="Q197" s="151"/>
    </row>
    <row r="198" spans="1:17" ht="30" customHeight="1">
      <c r="A198" s="171" t="s">
        <v>396</v>
      </c>
      <c r="B198" s="89" t="s">
        <v>397</v>
      </c>
      <c r="C198" s="89" t="s">
        <v>117</v>
      </c>
      <c r="D198" s="171" t="s">
        <v>398</v>
      </c>
      <c r="E198" s="108">
        <f>Rekenblad!E199</f>
        <v>0</v>
      </c>
      <c r="F198" s="118">
        <f>Rekenblad!F199</f>
        <v>58.300000000000004</v>
      </c>
      <c r="G198" s="198"/>
      <c r="H198" s="198">
        <f t="shared" si="16"/>
        <v>0</v>
      </c>
      <c r="I198" s="565"/>
      <c r="J198" s="562"/>
      <c r="K198" s="161"/>
      <c r="L198" s="162"/>
      <c r="M198" s="162"/>
      <c r="N198" s="162"/>
      <c r="O198" s="162"/>
      <c r="P198" s="163"/>
      <c r="Q198" s="151"/>
    </row>
    <row r="199" spans="1:17" ht="30" customHeight="1">
      <c r="A199" s="171" t="s">
        <v>399</v>
      </c>
      <c r="B199" s="89" t="s">
        <v>400</v>
      </c>
      <c r="C199" s="89" t="s">
        <v>117</v>
      </c>
      <c r="D199" s="171" t="s">
        <v>401</v>
      </c>
      <c r="E199" s="108">
        <f>Rekenblad!E200</f>
        <v>0</v>
      </c>
      <c r="F199" s="118">
        <f>Rekenblad!F200</f>
        <v>14.31</v>
      </c>
      <c r="G199" s="198"/>
      <c r="H199" s="198">
        <f t="shared" si="16"/>
        <v>0</v>
      </c>
      <c r="I199" s="565"/>
      <c r="J199" s="562"/>
      <c r="K199" s="161"/>
      <c r="L199" s="162"/>
      <c r="M199" s="162"/>
      <c r="N199" s="162"/>
      <c r="O199" s="162"/>
      <c r="P199" s="163"/>
      <c r="Q199" s="151"/>
    </row>
    <row r="200" spans="1:17" ht="30" customHeight="1">
      <c r="A200" s="171" t="s">
        <v>402</v>
      </c>
      <c r="B200" s="89" t="s">
        <v>403</v>
      </c>
      <c r="C200" s="89" t="s">
        <v>117</v>
      </c>
      <c r="D200" s="171" t="s">
        <v>401</v>
      </c>
      <c r="E200" s="108">
        <f>Rekenblad!E201</f>
        <v>0</v>
      </c>
      <c r="F200" s="118">
        <f>Rekenblad!F201</f>
        <v>14.31</v>
      </c>
      <c r="G200" s="198"/>
      <c r="H200" s="198">
        <f t="shared" si="16"/>
        <v>0</v>
      </c>
      <c r="I200" s="565"/>
      <c r="J200" s="562"/>
      <c r="K200" s="161"/>
      <c r="L200" s="162"/>
      <c r="M200" s="162"/>
      <c r="N200" s="162"/>
      <c r="O200" s="162"/>
      <c r="P200" s="163"/>
      <c r="Q200" s="151"/>
    </row>
    <row r="201" spans="1:17" ht="30" customHeight="1">
      <c r="A201" s="171" t="s">
        <v>404</v>
      </c>
      <c r="B201" s="89" t="s">
        <v>405</v>
      </c>
      <c r="C201" s="89" t="s">
        <v>117</v>
      </c>
      <c r="D201" s="171" t="s">
        <v>401</v>
      </c>
      <c r="E201" s="108">
        <f>Rekenblad!E202</f>
        <v>0</v>
      </c>
      <c r="F201" s="118">
        <f>Rekenblad!F202</f>
        <v>14.31</v>
      </c>
      <c r="G201" s="198"/>
      <c r="H201" s="198">
        <f t="shared" si="16"/>
        <v>0</v>
      </c>
      <c r="I201" s="565"/>
      <c r="J201" s="562"/>
      <c r="K201" s="161"/>
      <c r="L201" s="162"/>
      <c r="M201" s="162"/>
      <c r="N201" s="162"/>
      <c r="O201" s="162"/>
      <c r="P201" s="163"/>
      <c r="Q201" s="151"/>
    </row>
    <row r="202" spans="1:17" ht="30" customHeight="1">
      <c r="A202" s="171" t="s">
        <v>406</v>
      </c>
      <c r="B202" s="89" t="s">
        <v>407</v>
      </c>
      <c r="C202" s="89" t="s">
        <v>117</v>
      </c>
      <c r="D202" s="171" t="s">
        <v>401</v>
      </c>
      <c r="E202" s="108">
        <f>Rekenblad!E203</f>
        <v>0</v>
      </c>
      <c r="F202" s="118">
        <f>Rekenblad!F203</f>
        <v>14.31</v>
      </c>
      <c r="G202" s="198"/>
      <c r="H202" s="198">
        <f t="shared" si="16"/>
        <v>0</v>
      </c>
      <c r="I202" s="565"/>
      <c r="J202" s="562"/>
      <c r="K202" s="161"/>
      <c r="L202" s="162"/>
      <c r="M202" s="162"/>
      <c r="N202" s="162"/>
      <c r="O202" s="162"/>
      <c r="P202" s="163"/>
      <c r="Q202" s="151"/>
    </row>
    <row r="203" spans="1:17" ht="30" customHeight="1">
      <c r="A203" s="171" t="s">
        <v>408</v>
      </c>
      <c r="B203" s="89" t="s">
        <v>409</v>
      </c>
      <c r="C203" s="89" t="s">
        <v>117</v>
      </c>
      <c r="D203" s="171" t="s">
        <v>401</v>
      </c>
      <c r="E203" s="108">
        <f>Rekenblad!E204</f>
        <v>0</v>
      </c>
      <c r="F203" s="118">
        <f>Rekenblad!F204</f>
        <v>14.31</v>
      </c>
      <c r="G203" s="198"/>
      <c r="H203" s="198">
        <f t="shared" si="16"/>
        <v>0</v>
      </c>
      <c r="I203" s="565"/>
      <c r="J203" s="562"/>
      <c r="K203" s="161"/>
      <c r="L203" s="162"/>
      <c r="M203" s="162"/>
      <c r="N203" s="162"/>
      <c r="O203" s="162"/>
      <c r="P203" s="163"/>
      <c r="Q203" s="151"/>
    </row>
    <row r="204" spans="1:17" ht="30" customHeight="1">
      <c r="A204" s="171" t="s">
        <v>410</v>
      </c>
      <c r="B204" s="89" t="s">
        <v>411</v>
      </c>
      <c r="C204" s="89" t="s">
        <v>117</v>
      </c>
      <c r="D204" s="171" t="s">
        <v>401</v>
      </c>
      <c r="E204" s="108">
        <f>Rekenblad!E205</f>
        <v>0</v>
      </c>
      <c r="F204" s="118">
        <f>Rekenblad!F205</f>
        <v>14.31</v>
      </c>
      <c r="G204" s="198"/>
      <c r="H204" s="198">
        <f t="shared" si="16"/>
        <v>0</v>
      </c>
      <c r="I204" s="565"/>
      <c r="J204" s="562"/>
      <c r="K204" s="161"/>
      <c r="L204" s="162"/>
      <c r="M204" s="162"/>
      <c r="N204" s="162"/>
      <c r="O204" s="162"/>
      <c r="P204" s="163"/>
      <c r="Q204" s="151"/>
    </row>
    <row r="205" spans="1:17" ht="30" customHeight="1">
      <c r="A205" s="171" t="s">
        <v>412</v>
      </c>
      <c r="B205" s="89" t="s">
        <v>413</v>
      </c>
      <c r="C205" s="89" t="s">
        <v>117</v>
      </c>
      <c r="D205" s="171" t="s">
        <v>414</v>
      </c>
      <c r="E205" s="108">
        <f>Rekenblad!E206</f>
        <v>0</v>
      </c>
      <c r="F205" s="118">
        <f>Rekenblad!F206</f>
        <v>90.100000000000009</v>
      </c>
      <c r="G205" s="198"/>
      <c r="H205" s="198">
        <f t="shared" si="16"/>
        <v>0</v>
      </c>
      <c r="I205" s="565"/>
      <c r="J205" s="562"/>
      <c r="K205" s="161"/>
      <c r="L205" s="162"/>
      <c r="M205" s="162"/>
      <c r="N205" s="162"/>
      <c r="O205" s="162"/>
      <c r="P205" s="163"/>
      <c r="Q205" s="151"/>
    </row>
    <row r="206" spans="1:17" ht="30" customHeight="1">
      <c r="A206" s="171" t="s">
        <v>415</v>
      </c>
      <c r="B206" s="89" t="s">
        <v>416</v>
      </c>
      <c r="C206" s="89" t="s">
        <v>117</v>
      </c>
      <c r="D206" s="171" t="s">
        <v>401</v>
      </c>
      <c r="E206" s="108">
        <f>Rekenblad!E207</f>
        <v>0</v>
      </c>
      <c r="F206" s="118">
        <f>Rekenblad!F207</f>
        <v>14.31</v>
      </c>
      <c r="G206" s="198"/>
      <c r="H206" s="198">
        <f t="shared" si="16"/>
        <v>0</v>
      </c>
      <c r="I206" s="565"/>
      <c r="J206" s="562"/>
      <c r="K206" s="161"/>
      <c r="L206" s="162"/>
      <c r="M206" s="162"/>
      <c r="N206" s="162"/>
      <c r="O206" s="162"/>
      <c r="P206" s="163"/>
      <c r="Q206" s="151"/>
    </row>
    <row r="207" spans="1:17" ht="30" customHeight="1">
      <c r="A207" s="171" t="s">
        <v>417</v>
      </c>
      <c r="B207" s="89" t="s">
        <v>418</v>
      </c>
      <c r="C207" s="89" t="s">
        <v>117</v>
      </c>
      <c r="D207" s="171" t="s">
        <v>401</v>
      </c>
      <c r="E207" s="108">
        <f>Rekenblad!E208</f>
        <v>0</v>
      </c>
      <c r="F207" s="118">
        <f>Rekenblad!F208</f>
        <v>2.6500000000000004</v>
      </c>
      <c r="G207" s="198"/>
      <c r="H207" s="198">
        <f t="shared" si="16"/>
        <v>0</v>
      </c>
      <c r="I207" s="565"/>
      <c r="J207" s="562"/>
      <c r="K207" s="161"/>
      <c r="L207" s="162"/>
      <c r="M207" s="162"/>
      <c r="N207" s="162"/>
      <c r="O207" s="162"/>
      <c r="P207" s="163"/>
      <c r="Q207" s="151"/>
    </row>
    <row r="208" spans="1:17" ht="30" customHeight="1">
      <c r="A208" s="171" t="s">
        <v>419</v>
      </c>
      <c r="B208" s="89" t="s">
        <v>420</v>
      </c>
      <c r="C208" s="89" t="s">
        <v>117</v>
      </c>
      <c r="D208" s="171" t="s">
        <v>304</v>
      </c>
      <c r="E208" s="108">
        <f>Rekenblad!E209</f>
        <v>0</v>
      </c>
      <c r="F208" s="118">
        <f>Rekenblad!F209</f>
        <v>14.84</v>
      </c>
      <c r="G208" s="198"/>
      <c r="H208" s="198">
        <f t="shared" si="16"/>
        <v>0</v>
      </c>
      <c r="I208" s="565"/>
      <c r="J208" s="562"/>
      <c r="K208" s="161"/>
      <c r="L208" s="162"/>
      <c r="M208" s="162"/>
      <c r="N208" s="162"/>
      <c r="O208" s="162"/>
      <c r="P208" s="163"/>
      <c r="Q208" s="151"/>
    </row>
    <row r="209" spans="1:17" ht="30" customHeight="1">
      <c r="A209" s="171" t="s">
        <v>421</v>
      </c>
      <c r="B209" s="89" t="s">
        <v>422</v>
      </c>
      <c r="C209" s="89" t="s">
        <v>117</v>
      </c>
      <c r="D209" s="171" t="s">
        <v>401</v>
      </c>
      <c r="E209" s="108">
        <f>Rekenblad!E210</f>
        <v>0</v>
      </c>
      <c r="F209" s="118">
        <f>Rekenblad!F210</f>
        <v>15.158000000000001</v>
      </c>
      <c r="G209" s="198"/>
      <c r="H209" s="198">
        <f t="shared" si="16"/>
        <v>0</v>
      </c>
      <c r="I209" s="565"/>
      <c r="J209" s="562"/>
      <c r="K209" s="161"/>
      <c r="L209" s="162"/>
      <c r="M209" s="162"/>
      <c r="N209" s="162"/>
      <c r="O209" s="162"/>
      <c r="P209" s="163"/>
      <c r="Q209" s="151"/>
    </row>
    <row r="210" spans="1:17" ht="30" customHeight="1">
      <c r="A210" s="171" t="s">
        <v>423</v>
      </c>
      <c r="B210" s="89" t="s">
        <v>424</v>
      </c>
      <c r="C210" s="89" t="s">
        <v>117</v>
      </c>
      <c r="D210" s="171" t="s">
        <v>304</v>
      </c>
      <c r="E210" s="108">
        <f>Rekenblad!E211</f>
        <v>0</v>
      </c>
      <c r="F210" s="118">
        <f>Rekenblad!F211</f>
        <v>90.100000000000009</v>
      </c>
      <c r="G210" s="198"/>
      <c r="H210" s="198">
        <f t="shared" si="16"/>
        <v>0</v>
      </c>
      <c r="I210" s="565"/>
      <c r="J210" s="562"/>
      <c r="K210" s="161"/>
      <c r="L210" s="162"/>
      <c r="M210" s="162"/>
      <c r="N210" s="162"/>
      <c r="O210" s="162"/>
      <c r="P210" s="163"/>
      <c r="Q210" s="151"/>
    </row>
    <row r="211" spans="1:17" ht="30" customHeight="1">
      <c r="A211" s="171" t="s">
        <v>425</v>
      </c>
      <c r="B211" s="89" t="s">
        <v>426</v>
      </c>
      <c r="C211" s="89" t="s">
        <v>117</v>
      </c>
      <c r="D211" s="171" t="s">
        <v>427</v>
      </c>
      <c r="E211" s="108">
        <f>Rekenblad!E212</f>
        <v>0</v>
      </c>
      <c r="F211" s="118">
        <f>Rekenblad!F212</f>
        <v>106</v>
      </c>
      <c r="G211" s="198"/>
      <c r="H211" s="198">
        <f t="shared" si="16"/>
        <v>0</v>
      </c>
      <c r="I211" s="565"/>
      <c r="J211" s="562"/>
      <c r="K211" s="161"/>
      <c r="L211" s="162"/>
      <c r="M211" s="162"/>
      <c r="N211" s="162"/>
      <c r="O211" s="162"/>
      <c r="P211" s="163"/>
      <c r="Q211" s="151"/>
    </row>
    <row r="212" spans="1:17" ht="30" customHeight="1">
      <c r="A212" s="171" t="s">
        <v>428</v>
      </c>
      <c r="B212" s="89" t="s">
        <v>429</v>
      </c>
      <c r="C212" s="89" t="s">
        <v>117</v>
      </c>
      <c r="D212" s="171" t="s">
        <v>304</v>
      </c>
      <c r="E212" s="108">
        <f>Rekenblad!E213</f>
        <v>0</v>
      </c>
      <c r="F212" s="118">
        <f>Rekenblad!F213</f>
        <v>0</v>
      </c>
      <c r="G212" s="198"/>
      <c r="H212" s="198">
        <f t="shared" si="16"/>
        <v>0</v>
      </c>
      <c r="I212" s="565"/>
      <c r="J212" s="562"/>
      <c r="K212" s="161"/>
      <c r="L212" s="162"/>
      <c r="M212" s="162"/>
      <c r="N212" s="162"/>
      <c r="O212" s="162"/>
      <c r="P212" s="163"/>
      <c r="Q212" s="151"/>
    </row>
    <row r="213" spans="1:17" ht="30" customHeight="1">
      <c r="A213" s="171" t="s">
        <v>430</v>
      </c>
      <c r="B213" s="89" t="s">
        <v>431</v>
      </c>
      <c r="C213" s="89" t="s">
        <v>117</v>
      </c>
      <c r="D213" s="171" t="s">
        <v>432</v>
      </c>
      <c r="E213" s="108">
        <f>Rekenblad!E214</f>
        <v>0</v>
      </c>
      <c r="F213" s="118">
        <f>Rekenblad!F214</f>
        <v>24.380000000000003</v>
      </c>
      <c r="G213" s="198"/>
      <c r="H213" s="198">
        <f t="shared" si="16"/>
        <v>0</v>
      </c>
      <c r="I213" s="565"/>
      <c r="J213" s="562"/>
      <c r="K213" s="161"/>
      <c r="L213" s="162"/>
      <c r="M213" s="162"/>
      <c r="N213" s="162"/>
      <c r="O213" s="162"/>
      <c r="P213" s="163"/>
      <c r="Q213" s="151"/>
    </row>
    <row r="214" spans="1:17" ht="30" customHeight="1">
      <c r="A214" s="171" t="s">
        <v>433</v>
      </c>
      <c r="B214" s="89" t="s">
        <v>434</v>
      </c>
      <c r="C214" s="89" t="s">
        <v>117</v>
      </c>
      <c r="D214" s="171" t="s">
        <v>435</v>
      </c>
      <c r="E214" s="108">
        <f>Rekenblad!E215</f>
        <v>0</v>
      </c>
      <c r="F214" s="118">
        <f>Rekenblad!F215</f>
        <v>121.9</v>
      </c>
      <c r="G214" s="198"/>
      <c r="H214" s="198">
        <f t="shared" si="16"/>
        <v>0</v>
      </c>
      <c r="I214" s="565"/>
      <c r="J214" s="562"/>
      <c r="K214" s="161"/>
      <c r="L214" s="162"/>
      <c r="M214" s="162"/>
      <c r="N214" s="162"/>
      <c r="O214" s="162"/>
      <c r="P214" s="163"/>
      <c r="Q214" s="151"/>
    </row>
    <row r="215" spans="1:17" ht="30" customHeight="1">
      <c r="A215" s="171" t="s">
        <v>436</v>
      </c>
      <c r="B215" s="76" t="s">
        <v>437</v>
      </c>
      <c r="C215" s="89" t="s">
        <v>117</v>
      </c>
      <c r="D215" s="171" t="s">
        <v>438</v>
      </c>
      <c r="E215" s="108">
        <f>Rekenblad!E216</f>
        <v>0</v>
      </c>
      <c r="F215" s="118">
        <f>Rekenblad!F216</f>
        <v>0</v>
      </c>
      <c r="G215" s="198"/>
      <c r="H215" s="198">
        <f t="shared" si="16"/>
        <v>0</v>
      </c>
      <c r="I215" s="565"/>
      <c r="J215" s="562"/>
      <c r="K215" s="161"/>
      <c r="L215" s="162"/>
      <c r="M215" s="162"/>
      <c r="N215" s="162"/>
      <c r="O215" s="162"/>
      <c r="P215" s="163"/>
      <c r="Q215" s="151"/>
    </row>
    <row r="216" spans="1:17" ht="30" customHeight="1">
      <c r="A216" s="171" t="s">
        <v>439</v>
      </c>
      <c r="B216" s="89" t="s">
        <v>440</v>
      </c>
      <c r="C216" s="89" t="s">
        <v>117</v>
      </c>
      <c r="D216" s="171" t="s">
        <v>304</v>
      </c>
      <c r="E216" s="108">
        <f>Rekenblad!E217</f>
        <v>0</v>
      </c>
      <c r="F216" s="118">
        <f>Rekenblad!F217</f>
        <v>0</v>
      </c>
      <c r="G216" s="198"/>
      <c r="H216" s="198">
        <f t="shared" si="16"/>
        <v>0</v>
      </c>
      <c r="I216" s="565"/>
      <c r="J216" s="562"/>
      <c r="K216" s="161"/>
      <c r="L216" s="162"/>
      <c r="M216" s="162"/>
      <c r="N216" s="162"/>
      <c r="O216" s="162"/>
      <c r="P216" s="163"/>
      <c r="Q216" s="151"/>
    </row>
    <row r="217" spans="1:17" ht="30" customHeight="1">
      <c r="A217" s="171" t="s">
        <v>441</v>
      </c>
      <c r="B217" s="89" t="s">
        <v>442</v>
      </c>
      <c r="C217" s="89" t="s">
        <v>117</v>
      </c>
      <c r="D217" s="171" t="s">
        <v>304</v>
      </c>
      <c r="E217" s="108">
        <f>Rekenblad!E218</f>
        <v>0</v>
      </c>
      <c r="F217" s="118">
        <f>Rekenblad!F218</f>
        <v>3.71</v>
      </c>
      <c r="G217" s="198"/>
      <c r="H217" s="198">
        <f t="shared" si="16"/>
        <v>0</v>
      </c>
      <c r="I217" s="565"/>
      <c r="J217" s="562"/>
      <c r="K217" s="161"/>
      <c r="L217" s="162"/>
      <c r="M217" s="162"/>
      <c r="N217" s="162"/>
      <c r="O217" s="162"/>
      <c r="P217" s="163"/>
      <c r="Q217" s="151"/>
    </row>
    <row r="218" spans="1:17" ht="30" customHeight="1">
      <c r="A218" s="171" t="s">
        <v>443</v>
      </c>
      <c r="B218" s="89" t="s">
        <v>444</v>
      </c>
      <c r="C218" s="89" t="s">
        <v>117</v>
      </c>
      <c r="D218" s="171" t="s">
        <v>304</v>
      </c>
      <c r="E218" s="108">
        <f>Rekenblad!E219</f>
        <v>0</v>
      </c>
      <c r="F218" s="118">
        <f>Rekenblad!F219</f>
        <v>21.200000000000003</v>
      </c>
      <c r="G218" s="198"/>
      <c r="H218" s="198">
        <f t="shared" si="16"/>
        <v>0</v>
      </c>
      <c r="I218" s="565"/>
      <c r="J218" s="562"/>
      <c r="K218" s="161"/>
      <c r="L218" s="162"/>
      <c r="M218" s="162"/>
      <c r="N218" s="162"/>
      <c r="O218" s="162"/>
      <c r="P218" s="163"/>
      <c r="Q218" s="151"/>
    </row>
    <row r="219" spans="1:17" ht="30" customHeight="1">
      <c r="A219" s="171" t="s">
        <v>445</v>
      </c>
      <c r="B219" s="89" t="s">
        <v>446</v>
      </c>
      <c r="C219" s="89" t="s">
        <v>117</v>
      </c>
      <c r="D219" s="171" t="s">
        <v>139</v>
      </c>
      <c r="E219" s="108">
        <f>Rekenblad!E220</f>
        <v>0</v>
      </c>
      <c r="F219" s="118">
        <f>Rekenblad!F220</f>
        <v>47.7</v>
      </c>
      <c r="G219" s="109"/>
      <c r="H219" s="198">
        <f t="shared" si="16"/>
        <v>0</v>
      </c>
      <c r="I219" s="565"/>
      <c r="J219" s="562"/>
      <c r="K219" s="118"/>
      <c r="L219" s="146"/>
      <c r="M219" s="146"/>
      <c r="N219" s="146"/>
      <c r="O219" s="146"/>
      <c r="P219" s="147"/>
      <c r="Q219" s="151"/>
    </row>
    <row r="220" spans="1:17" ht="30" customHeight="1">
      <c r="A220" s="171" t="s">
        <v>447</v>
      </c>
      <c r="B220" s="89" t="s">
        <v>448</v>
      </c>
      <c r="C220" s="89" t="s">
        <v>117</v>
      </c>
      <c r="D220" s="171" t="s">
        <v>304</v>
      </c>
      <c r="E220" s="108">
        <f>Rekenblad!E221</f>
        <v>0</v>
      </c>
      <c r="F220" s="118">
        <f>Rekenblad!F221</f>
        <v>47.7</v>
      </c>
      <c r="G220" s="109"/>
      <c r="H220" s="198">
        <f t="shared" si="16"/>
        <v>0</v>
      </c>
      <c r="I220" s="565"/>
      <c r="J220" s="562"/>
      <c r="K220" s="118"/>
      <c r="L220" s="146"/>
      <c r="M220" s="146"/>
      <c r="N220" s="146"/>
      <c r="O220" s="146"/>
      <c r="P220" s="147"/>
      <c r="Q220" s="151"/>
    </row>
    <row r="221" spans="1:17" ht="30" customHeight="1">
      <c r="A221" s="171" t="s">
        <v>449</v>
      </c>
      <c r="B221" s="89" t="s">
        <v>450</v>
      </c>
      <c r="C221" s="89" t="s">
        <v>117</v>
      </c>
      <c r="D221" s="171" t="s">
        <v>304</v>
      </c>
      <c r="E221" s="108">
        <f>Rekenblad!E222</f>
        <v>0</v>
      </c>
      <c r="F221" s="118">
        <f>Rekenblad!F222</f>
        <v>26.5</v>
      </c>
      <c r="G221" s="109"/>
      <c r="H221" s="198">
        <f t="shared" si="16"/>
        <v>0</v>
      </c>
      <c r="I221" s="565"/>
      <c r="J221" s="562"/>
      <c r="K221" s="118"/>
      <c r="L221" s="146"/>
      <c r="M221" s="146"/>
      <c r="N221" s="146"/>
      <c r="O221" s="146"/>
      <c r="P221" s="147"/>
      <c r="Q221" s="151"/>
    </row>
    <row r="222" spans="1:17" ht="30" customHeight="1">
      <c r="A222" s="218"/>
      <c r="B222" s="151"/>
      <c r="C222" s="151"/>
      <c r="D222" s="213"/>
      <c r="E222" s="179"/>
      <c r="F222" s="118"/>
      <c r="G222" s="109"/>
      <c r="H222" s="237"/>
      <c r="I222" s="565"/>
      <c r="J222" s="562"/>
      <c r="K222" s="161"/>
      <c r="L222" s="162"/>
      <c r="M222" s="162"/>
      <c r="N222" s="162"/>
      <c r="O222" s="162"/>
      <c r="P222" s="163"/>
      <c r="Q222" s="151"/>
    </row>
    <row r="223" spans="1:17" ht="30" customHeight="1">
      <c r="A223" s="141">
        <v>11</v>
      </c>
      <c r="B223" s="65" t="s">
        <v>451</v>
      </c>
      <c r="C223" s="65"/>
      <c r="D223" s="38" t="s">
        <v>12</v>
      </c>
      <c r="E223" s="47" t="s">
        <v>13</v>
      </c>
      <c r="F223" s="60" t="str">
        <f>Rekenblad!F224</f>
        <v>bedrag per eenheid (excl. btw)</v>
      </c>
      <c r="G223" s="53" t="s">
        <v>15</v>
      </c>
      <c r="H223" s="48" t="s">
        <v>16</v>
      </c>
      <c r="I223" s="563" t="s">
        <v>17</v>
      </c>
      <c r="J223" s="566"/>
      <c r="K223" s="37"/>
      <c r="L223" s="50"/>
      <c r="M223" s="50"/>
      <c r="N223" s="50"/>
      <c r="O223" s="50"/>
      <c r="P223" s="49" t="s">
        <v>18</v>
      </c>
      <c r="Q223" s="151"/>
    </row>
    <row r="224" spans="1:17" ht="30" customHeight="1">
      <c r="A224" s="171" t="s">
        <v>452</v>
      </c>
      <c r="B224" s="116" t="s">
        <v>453</v>
      </c>
      <c r="C224" s="75" t="s">
        <v>33</v>
      </c>
      <c r="D224" s="238" t="s">
        <v>8</v>
      </c>
      <c r="E224" s="108">
        <f>Rekenblad!E225</f>
        <v>4</v>
      </c>
      <c r="F224" s="118">
        <f>Rekenblad!F225</f>
        <v>76.850000000000009</v>
      </c>
      <c r="G224" s="198">
        <f>E224*F224</f>
        <v>307.40000000000003</v>
      </c>
      <c r="H224" s="198">
        <f>1*G224</f>
        <v>307.40000000000003</v>
      </c>
      <c r="I224" s="561" t="s">
        <v>454</v>
      </c>
      <c r="J224" s="562"/>
      <c r="K224" s="183"/>
      <c r="L224" s="184"/>
      <c r="M224" s="184"/>
      <c r="N224" s="184"/>
      <c r="O224" s="184"/>
      <c r="P224" s="185"/>
      <c r="Q224" s="151"/>
    </row>
    <row r="225" spans="1:17" ht="30" customHeight="1">
      <c r="A225" s="171" t="s">
        <v>455</v>
      </c>
      <c r="B225" s="116" t="s">
        <v>453</v>
      </c>
      <c r="C225" s="75" t="s">
        <v>33</v>
      </c>
      <c r="D225" s="238" t="s">
        <v>8</v>
      </c>
      <c r="E225" s="108">
        <f>Rekenblad!E226</f>
        <v>4</v>
      </c>
      <c r="F225" s="118">
        <f>Rekenblad!F226</f>
        <v>63.6</v>
      </c>
      <c r="G225" s="198">
        <f t="shared" ref="G225:G232" si="17">E225*F225</f>
        <v>254.4</v>
      </c>
      <c r="H225" s="198">
        <f t="shared" ref="H225:H232" si="18">1*G225</f>
        <v>254.4</v>
      </c>
      <c r="I225" s="561"/>
      <c r="J225" s="562"/>
      <c r="K225" s="183"/>
      <c r="L225" s="184"/>
      <c r="M225" s="184"/>
      <c r="N225" s="184"/>
      <c r="O225" s="184"/>
      <c r="P225" s="185"/>
      <c r="Q225" s="151"/>
    </row>
    <row r="226" spans="1:17" ht="30" customHeight="1">
      <c r="A226" s="171" t="s">
        <v>456</v>
      </c>
      <c r="B226" s="116" t="s">
        <v>453</v>
      </c>
      <c r="C226" s="75" t="s">
        <v>33</v>
      </c>
      <c r="D226" s="238" t="s">
        <v>8</v>
      </c>
      <c r="E226" s="108">
        <f>Rekenblad!E227</f>
        <v>4</v>
      </c>
      <c r="F226" s="118">
        <f>Rekenblad!F227</f>
        <v>63.6</v>
      </c>
      <c r="G226" s="198">
        <f t="shared" si="17"/>
        <v>254.4</v>
      </c>
      <c r="H226" s="198">
        <f t="shared" si="18"/>
        <v>254.4</v>
      </c>
      <c r="I226" s="561"/>
      <c r="J226" s="562"/>
      <c r="K226" s="183"/>
      <c r="L226" s="184"/>
      <c r="M226" s="184"/>
      <c r="N226" s="184"/>
      <c r="O226" s="184"/>
      <c r="P226" s="185"/>
      <c r="Q226" s="151"/>
    </row>
    <row r="227" spans="1:17" ht="30" customHeight="1">
      <c r="A227" s="171" t="s">
        <v>457</v>
      </c>
      <c r="B227" s="116" t="s">
        <v>458</v>
      </c>
      <c r="C227" s="75" t="s">
        <v>33</v>
      </c>
      <c r="D227" s="238" t="s">
        <v>8</v>
      </c>
      <c r="E227" s="108">
        <f>Rekenblad!E228</f>
        <v>8</v>
      </c>
      <c r="F227" s="118">
        <f>Rekenblad!F228</f>
        <v>115.01</v>
      </c>
      <c r="G227" s="198">
        <f t="shared" si="17"/>
        <v>920.08</v>
      </c>
      <c r="H227" s="198">
        <f t="shared" si="18"/>
        <v>920.08</v>
      </c>
      <c r="I227" s="561"/>
      <c r="J227" s="562"/>
      <c r="K227" s="183"/>
      <c r="L227" s="184"/>
      <c r="M227" s="184"/>
      <c r="N227" s="184"/>
      <c r="O227" s="184"/>
      <c r="P227" s="185"/>
      <c r="Q227" s="151"/>
    </row>
    <row r="228" spans="1:17" ht="30" customHeight="1">
      <c r="A228" s="171" t="s">
        <v>459</v>
      </c>
      <c r="B228" s="174" t="s">
        <v>460</v>
      </c>
      <c r="C228" s="107" t="s">
        <v>33</v>
      </c>
      <c r="D228" s="107" t="s">
        <v>8</v>
      </c>
      <c r="E228" s="108">
        <f>Rekenblad!E229</f>
        <v>8</v>
      </c>
      <c r="F228" s="118">
        <f>Rekenblad!F229</f>
        <v>79.5</v>
      </c>
      <c r="G228" s="198">
        <f t="shared" si="17"/>
        <v>636</v>
      </c>
      <c r="H228" s="198">
        <f t="shared" si="18"/>
        <v>636</v>
      </c>
      <c r="I228" s="561"/>
      <c r="J228" s="562"/>
      <c r="K228" s="161"/>
      <c r="L228" s="162"/>
      <c r="M228" s="162"/>
      <c r="N228" s="162"/>
      <c r="O228" s="162"/>
      <c r="P228" s="163"/>
      <c r="Q228" s="151"/>
    </row>
    <row r="229" spans="1:17" ht="30" customHeight="1">
      <c r="A229" s="171" t="s">
        <v>461</v>
      </c>
      <c r="B229" s="174" t="s">
        <v>462</v>
      </c>
      <c r="C229" s="107" t="s">
        <v>53</v>
      </c>
      <c r="D229" s="107" t="s">
        <v>463</v>
      </c>
      <c r="E229" s="108">
        <f>Rekenblad!E230</f>
        <v>1</v>
      </c>
      <c r="F229" s="118">
        <f>Rekenblad!F230</f>
        <v>530</v>
      </c>
      <c r="G229" s="198">
        <f t="shared" si="17"/>
        <v>530</v>
      </c>
      <c r="H229" s="198">
        <f t="shared" si="18"/>
        <v>530</v>
      </c>
      <c r="I229" s="561"/>
      <c r="J229" s="562"/>
      <c r="K229" s="118"/>
      <c r="L229" s="146"/>
      <c r="M229" s="146"/>
      <c r="N229" s="146"/>
      <c r="O229" s="146"/>
      <c r="P229" s="147"/>
      <c r="Q229" s="151"/>
    </row>
    <row r="230" spans="1:17" ht="30" customHeight="1">
      <c r="A230" s="171" t="s">
        <v>464</v>
      </c>
      <c r="B230" s="89" t="s">
        <v>465</v>
      </c>
      <c r="C230" s="89" t="s">
        <v>101</v>
      </c>
      <c r="D230" s="171"/>
      <c r="E230" s="108">
        <f>Rekenblad!E231</f>
        <v>0</v>
      </c>
      <c r="F230" s="118">
        <f>Rekenblad!F231</f>
        <v>81.62</v>
      </c>
      <c r="G230" s="118">
        <f t="shared" si="17"/>
        <v>0</v>
      </c>
      <c r="H230" s="197">
        <f t="shared" si="18"/>
        <v>0</v>
      </c>
      <c r="I230" s="561"/>
      <c r="J230" s="562"/>
      <c r="K230" s="183"/>
      <c r="L230" s="184"/>
      <c r="M230" s="184"/>
      <c r="N230" s="184"/>
      <c r="O230" s="184"/>
      <c r="P230" s="185"/>
      <c r="Q230" s="151"/>
    </row>
    <row r="231" spans="1:17" ht="30" customHeight="1">
      <c r="A231" s="171" t="s">
        <v>466</v>
      </c>
      <c r="B231" s="89" t="s">
        <v>467</v>
      </c>
      <c r="C231" s="89" t="s">
        <v>101</v>
      </c>
      <c r="D231" s="171"/>
      <c r="E231" s="108">
        <f>Rekenblad!E232</f>
        <v>0</v>
      </c>
      <c r="F231" s="118">
        <f>Rekenblad!F232</f>
        <v>51.982399999999998</v>
      </c>
      <c r="G231" s="118">
        <f t="shared" si="17"/>
        <v>0</v>
      </c>
      <c r="H231" s="197">
        <f t="shared" si="18"/>
        <v>0</v>
      </c>
      <c r="I231" s="561"/>
      <c r="J231" s="562"/>
      <c r="K231" s="183"/>
      <c r="L231" s="184"/>
      <c r="M231" s="184"/>
      <c r="N231" s="184"/>
      <c r="O231" s="184"/>
      <c r="P231" s="185"/>
      <c r="Q231" s="151"/>
    </row>
    <row r="232" spans="1:17" ht="30" customHeight="1">
      <c r="A232" s="171" t="s">
        <v>468</v>
      </c>
      <c r="B232" s="174" t="s">
        <v>469</v>
      </c>
      <c r="C232" s="107" t="s">
        <v>33</v>
      </c>
      <c r="D232" s="107" t="s">
        <v>470</v>
      </c>
      <c r="E232" s="108">
        <f>Rekenblad!E233</f>
        <v>12</v>
      </c>
      <c r="F232" s="118">
        <f>Rekenblad!F233</f>
        <v>63.6</v>
      </c>
      <c r="G232" s="198">
        <f t="shared" si="17"/>
        <v>763.2</v>
      </c>
      <c r="H232" s="198">
        <f t="shared" si="18"/>
        <v>763.2</v>
      </c>
      <c r="I232" s="561" t="s">
        <v>471</v>
      </c>
      <c r="J232" s="562"/>
      <c r="K232" s="161"/>
      <c r="L232" s="162"/>
      <c r="M232" s="162"/>
      <c r="N232" s="162"/>
      <c r="O232" s="162"/>
      <c r="P232" s="163"/>
      <c r="Q232" s="151"/>
    </row>
    <row r="233" spans="1:17" ht="30" customHeight="1">
      <c r="A233" s="171"/>
      <c r="B233" s="89"/>
      <c r="C233" s="89"/>
      <c r="D233" s="171"/>
      <c r="E233" s="108"/>
      <c r="F233" s="118"/>
      <c r="G233" s="109"/>
      <c r="H233" s="167"/>
      <c r="I233" s="231"/>
      <c r="J233" s="232"/>
      <c r="K233" s="240"/>
      <c r="L233" s="241"/>
      <c r="M233" s="241"/>
      <c r="N233" s="241"/>
      <c r="O233" s="241"/>
      <c r="P233" s="147"/>
      <c r="Q233" s="151"/>
    </row>
    <row r="234" spans="1:17" s="5" customFormat="1" ht="65.25" customHeight="1">
      <c r="A234" s="61" t="s">
        <v>10</v>
      </c>
      <c r="B234" s="62" t="s">
        <v>11</v>
      </c>
      <c r="C234" s="63"/>
      <c r="D234" s="35" t="s">
        <v>12</v>
      </c>
      <c r="E234" s="36" t="s">
        <v>13</v>
      </c>
      <c r="F234" s="60" t="str">
        <f>Rekenblad!F235</f>
        <v>bedrag per eenheid (excl. btw)</v>
      </c>
      <c r="G234" s="37" t="s">
        <v>15</v>
      </c>
      <c r="H234" s="37" t="s">
        <v>16</v>
      </c>
      <c r="I234" s="563" t="s">
        <v>17</v>
      </c>
      <c r="J234" s="564"/>
      <c r="K234" s="564"/>
      <c r="L234" s="564"/>
      <c r="M234" s="564"/>
      <c r="N234" s="564"/>
      <c r="O234" s="564"/>
      <c r="P234" s="38" t="s">
        <v>18</v>
      </c>
      <c r="Q234" s="301"/>
    </row>
    <row r="235" spans="1:17">
      <c r="A235" s="218"/>
      <c r="B235" s="219"/>
      <c r="C235" s="219"/>
      <c r="D235" s="218"/>
      <c r="E235" s="220"/>
      <c r="F235" s="118">
        <f>Rekenblad!F236</f>
        <v>0</v>
      </c>
      <c r="G235" s="221"/>
      <c r="H235" s="221"/>
      <c r="I235" s="222"/>
      <c r="J235" s="151"/>
      <c r="K235" s="223"/>
      <c r="L235" s="224"/>
      <c r="M235" s="224"/>
      <c r="N235" s="224"/>
      <c r="O235" s="224"/>
      <c r="P235" s="225"/>
      <c r="Q235" s="151"/>
    </row>
    <row r="236" spans="1:17" ht="30" customHeight="1">
      <c r="A236" s="171" t="s">
        <v>472</v>
      </c>
      <c r="B236" s="116" t="s">
        <v>473</v>
      </c>
      <c r="C236" s="75"/>
      <c r="D236" s="107" t="s">
        <v>474</v>
      </c>
      <c r="E236" s="108">
        <f>Rekenblad!E237</f>
        <v>5</v>
      </c>
      <c r="F236" s="118">
        <f>Rekenblad!F237</f>
        <v>1060</v>
      </c>
      <c r="G236" s="109"/>
      <c r="H236" s="167">
        <f t="shared" ref="H236:H237" si="19">SUM(E236*F236)</f>
        <v>5300</v>
      </c>
      <c r="I236" s="76"/>
      <c r="J236" s="89"/>
      <c r="K236" s="118"/>
      <c r="L236" s="146"/>
      <c r="M236" s="146"/>
      <c r="N236" s="146"/>
      <c r="O236" s="146"/>
      <c r="P236" s="147"/>
      <c r="Q236" s="151"/>
    </row>
    <row r="237" spans="1:17" ht="30" customHeight="1">
      <c r="A237" s="171" t="s">
        <v>475</v>
      </c>
      <c r="B237" s="116" t="s">
        <v>476</v>
      </c>
      <c r="C237" s="75"/>
      <c r="D237" s="171" t="s">
        <v>477</v>
      </c>
      <c r="E237" s="108">
        <f>Rekenblad!E238</f>
        <v>5</v>
      </c>
      <c r="F237" s="118">
        <f>Rekenblad!F238</f>
        <v>21200</v>
      </c>
      <c r="G237" s="109"/>
      <c r="H237" s="167">
        <f t="shared" si="19"/>
        <v>106000</v>
      </c>
      <c r="I237" s="76"/>
      <c r="J237" s="89"/>
      <c r="K237" s="118"/>
      <c r="L237" s="146"/>
      <c r="M237" s="146"/>
      <c r="N237" s="146"/>
      <c r="O237" s="146"/>
      <c r="P237" s="147"/>
      <c r="Q237" s="151"/>
    </row>
    <row r="238" spans="1:17" ht="30" customHeight="1">
      <c r="A238" s="171" t="s">
        <v>478</v>
      </c>
      <c r="B238" s="116" t="s">
        <v>479</v>
      </c>
      <c r="C238" s="75"/>
      <c r="D238" s="107" t="s">
        <v>477</v>
      </c>
      <c r="E238" s="108">
        <f>Rekenblad!E239</f>
        <v>5</v>
      </c>
      <c r="F238" s="118">
        <f>Rekenblad!F239</f>
        <v>21200</v>
      </c>
      <c r="G238" s="109"/>
      <c r="H238" s="167">
        <f>E238*F238</f>
        <v>106000</v>
      </c>
      <c r="I238" s="76"/>
      <c r="J238" s="89"/>
      <c r="K238" s="118"/>
      <c r="L238" s="146"/>
      <c r="M238" s="146"/>
      <c r="N238" s="146"/>
      <c r="O238" s="146"/>
      <c r="P238" s="147"/>
      <c r="Q238" s="151"/>
    </row>
    <row r="239" spans="1:17">
      <c r="A239" s="218"/>
      <c r="B239" s="219"/>
      <c r="C239" s="219"/>
      <c r="D239" s="218"/>
      <c r="E239" s="220"/>
      <c r="F239" s="221"/>
      <c r="G239" s="221"/>
      <c r="H239" s="221">
        <v>0</v>
      </c>
      <c r="I239" s="222"/>
      <c r="J239" s="151"/>
      <c r="K239" s="223"/>
      <c r="L239" s="224"/>
      <c r="M239" s="224"/>
      <c r="N239" s="224"/>
      <c r="O239" s="224"/>
      <c r="P239" s="225"/>
      <c r="Q239" s="151"/>
    </row>
    <row r="240" spans="1:17">
      <c r="A240" s="242"/>
      <c r="B240" s="219"/>
      <c r="C240" s="219"/>
      <c r="D240" s="218"/>
      <c r="E240" s="220"/>
      <c r="F240" s="221"/>
      <c r="G240" s="221"/>
      <c r="H240" s="243"/>
      <c r="I240" s="222"/>
      <c r="J240" s="151"/>
      <c r="K240" s="223"/>
      <c r="L240" s="224"/>
      <c r="M240" s="224"/>
      <c r="N240" s="224"/>
      <c r="O240" s="224"/>
      <c r="P240" s="225"/>
      <c r="Q240" s="151"/>
    </row>
    <row r="241" spans="1:17" ht="15" customHeight="1" thickBot="1">
      <c r="A241" s="218"/>
      <c r="B241" s="219"/>
      <c r="C241" s="219"/>
      <c r="D241" s="244"/>
      <c r="E241" s="220"/>
      <c r="F241" s="221"/>
      <c r="G241" s="329" t="s">
        <v>480</v>
      </c>
      <c r="H241" s="330" t="s">
        <v>481</v>
      </c>
      <c r="I241" s="222"/>
      <c r="J241" s="151"/>
      <c r="K241" s="223"/>
      <c r="L241" s="224"/>
      <c r="M241" s="224"/>
      <c r="N241" s="224"/>
      <c r="O241" s="224"/>
      <c r="P241" s="225"/>
      <c r="Q241" s="151"/>
    </row>
    <row r="242" spans="1:17" ht="15" customHeight="1">
      <c r="A242" s="245"/>
      <c r="B242" s="246" t="s">
        <v>482</v>
      </c>
      <c r="C242" s="246"/>
      <c r="D242" s="247"/>
      <c r="E242" s="248"/>
      <c r="F242" s="249"/>
      <c r="G242" s="249">
        <f>H242/5</f>
        <v>459609.35424000007</v>
      </c>
      <c r="H242" s="250">
        <f>SUM(H11:H241)</f>
        <v>2298046.7712000003</v>
      </c>
      <c r="I242" s="222"/>
      <c r="J242" s="151"/>
      <c r="K242" s="223"/>
      <c r="L242" s="224"/>
      <c r="M242" s="224"/>
      <c r="N242" s="224"/>
      <c r="O242" s="224"/>
      <c r="P242" s="225"/>
      <c r="Q242" s="151"/>
    </row>
    <row r="243" spans="1:17" ht="15" customHeight="1">
      <c r="A243" s="251"/>
      <c r="B243" s="219" t="s">
        <v>483</v>
      </c>
      <c r="C243" s="219"/>
      <c r="D243" s="328">
        <v>0.16</v>
      </c>
      <c r="E243" s="220"/>
      <c r="F243" s="221"/>
      <c r="G243" s="221">
        <f>H243/5</f>
        <v>73537.496678400013</v>
      </c>
      <c r="H243" s="252">
        <f>D243*H242</f>
        <v>367687.48339200008</v>
      </c>
      <c r="I243" s="222"/>
      <c r="J243" s="151"/>
      <c r="K243" s="223"/>
      <c r="L243" s="224"/>
      <c r="M243" s="224"/>
      <c r="N243" s="224"/>
      <c r="O243" s="224"/>
      <c r="P243" s="225"/>
      <c r="Q243" s="151"/>
    </row>
    <row r="244" spans="1:17">
      <c r="A244" s="251"/>
      <c r="B244" s="219"/>
      <c r="C244" s="219"/>
      <c r="D244" s="218"/>
      <c r="E244" s="220"/>
      <c r="F244" s="221"/>
      <c r="G244" s="221"/>
      <c r="H244" s="252"/>
      <c r="I244" s="222"/>
      <c r="J244" s="151"/>
      <c r="K244" s="223"/>
      <c r="L244" s="224"/>
      <c r="M244" s="224"/>
      <c r="N244" s="224"/>
      <c r="O244" s="224"/>
      <c r="P244" s="225"/>
      <c r="Q244" s="151"/>
    </row>
    <row r="245" spans="1:17">
      <c r="A245" s="251"/>
      <c r="B245" s="253" t="s">
        <v>484</v>
      </c>
      <c r="C245" s="253"/>
      <c r="D245" s="218"/>
      <c r="E245" s="220"/>
      <c r="F245" s="221"/>
      <c r="G245" s="221">
        <f>H245/5</f>
        <v>533146.8509184001</v>
      </c>
      <c r="H245" s="254">
        <f>SUM(H242:H243)</f>
        <v>2665734.2545920005</v>
      </c>
      <c r="I245" s="222"/>
      <c r="J245" s="151"/>
      <c r="K245" s="223"/>
      <c r="L245" s="224"/>
      <c r="M245" s="224"/>
      <c r="N245" s="224"/>
      <c r="O245" s="224"/>
      <c r="P245" s="225"/>
      <c r="Q245" s="151"/>
    </row>
    <row r="246" spans="1:17">
      <c r="A246" s="251"/>
      <c r="B246" s="255" t="s">
        <v>485</v>
      </c>
      <c r="C246" s="255"/>
      <c r="D246" s="327">
        <v>0.21</v>
      </c>
      <c r="E246" s="256"/>
      <c r="F246" s="257"/>
      <c r="G246" s="257">
        <f>H246/5</f>
        <v>111960.83869286401</v>
      </c>
      <c r="H246" s="258">
        <f>D246*H245</f>
        <v>559804.19346432004</v>
      </c>
      <c r="I246" s="222"/>
      <c r="J246" s="151"/>
      <c r="K246" s="223"/>
      <c r="L246" s="224"/>
      <c r="M246" s="224"/>
      <c r="N246" s="224"/>
      <c r="O246" s="224"/>
      <c r="P246" s="225"/>
      <c r="Q246" s="151"/>
    </row>
    <row r="247" spans="1:17">
      <c r="A247" s="251"/>
      <c r="B247" s="219"/>
      <c r="C247" s="219"/>
      <c r="D247" s="218"/>
      <c r="E247" s="220"/>
      <c r="F247" s="221"/>
      <c r="G247" s="221"/>
      <c r="H247" s="259"/>
      <c r="I247" s="222"/>
      <c r="J247" s="151"/>
      <c r="K247" s="223"/>
      <c r="L247" s="224"/>
      <c r="M247" s="224"/>
      <c r="N247" s="224"/>
      <c r="O247" s="224"/>
      <c r="P247" s="225"/>
      <c r="Q247" s="151"/>
    </row>
    <row r="248" spans="1:17">
      <c r="A248" s="251"/>
      <c r="B248" s="260" t="s">
        <v>486</v>
      </c>
      <c r="C248" s="260"/>
      <c r="D248" s="218"/>
      <c r="E248" s="220"/>
      <c r="F248" s="221"/>
      <c r="G248" s="261">
        <f>H248/5</f>
        <v>645107.68961126416</v>
      </c>
      <c r="H248" s="262">
        <f>SUM(H245:H246)</f>
        <v>3225538.4480563207</v>
      </c>
      <c r="I248" s="222"/>
      <c r="J248" s="151"/>
      <c r="K248" s="223"/>
      <c r="L248" s="224"/>
      <c r="M248" s="224"/>
      <c r="N248" s="224"/>
      <c r="O248" s="224"/>
      <c r="P248" s="225"/>
      <c r="Q248" s="151"/>
    </row>
    <row r="249" spans="1:17" ht="15.75" thickBot="1">
      <c r="A249" s="263"/>
      <c r="B249" s="264"/>
      <c r="C249" s="264"/>
      <c r="D249" s="265"/>
      <c r="E249" s="266"/>
      <c r="F249" s="267"/>
      <c r="G249" s="268"/>
      <c r="H249" s="269"/>
      <c r="I249" s="222"/>
      <c r="J249" s="225"/>
      <c r="K249" s="270"/>
      <c r="L249" s="271"/>
      <c r="M249" s="271"/>
      <c r="N249" s="271"/>
      <c r="O249" s="271"/>
      <c r="P249" s="225"/>
      <c r="Q249" s="151"/>
    </row>
    <row r="250" spans="1:17">
      <c r="A250" s="218"/>
      <c r="B250" s="219"/>
      <c r="C250" s="219"/>
      <c r="D250" s="218"/>
      <c r="E250" s="220"/>
      <c r="F250" s="221"/>
      <c r="G250" s="221"/>
      <c r="H250" s="221"/>
      <c r="I250" s="222"/>
      <c r="J250" s="151"/>
      <c r="K250" s="223"/>
      <c r="L250" s="224"/>
      <c r="M250" s="224"/>
      <c r="N250" s="224"/>
      <c r="O250" s="224"/>
      <c r="P250" s="225"/>
      <c r="Q250" s="151"/>
    </row>
    <row r="251" spans="1:17">
      <c r="A251" s="218"/>
      <c r="B251" s="219" t="s">
        <v>487</v>
      </c>
      <c r="C251" s="219"/>
      <c r="D251" s="218"/>
      <c r="E251" s="220"/>
      <c r="F251" s="221"/>
      <c r="G251" s="221">
        <f>H251/5</f>
        <v>247601.94571199996</v>
      </c>
      <c r="H251" s="221">
        <f>SUM(H11:H14)*(1+$D$243)*(1+$D$246)</f>
        <v>1238009.7285599997</v>
      </c>
      <c r="I251" s="222"/>
      <c r="J251" s="151"/>
      <c r="K251" s="223"/>
      <c r="L251" s="224"/>
      <c r="M251" s="224"/>
      <c r="N251" s="224"/>
      <c r="O251" s="224"/>
      <c r="P251" s="225"/>
      <c r="Q251" s="151"/>
    </row>
    <row r="252" spans="1:17">
      <c r="A252" s="218"/>
      <c r="B252" s="219" t="s">
        <v>488</v>
      </c>
      <c r="C252" s="219"/>
      <c r="D252" s="218"/>
      <c r="E252" s="220"/>
      <c r="F252" s="221"/>
      <c r="G252" s="221">
        <f>H252/5</f>
        <v>397505.74389926385</v>
      </c>
      <c r="H252" s="221">
        <f>SUM(H16:H238)*(1+$D$243)*(1+$D$246)</f>
        <v>1987528.7194963193</v>
      </c>
      <c r="I252" s="222"/>
      <c r="J252" s="151"/>
      <c r="K252" s="223"/>
      <c r="L252" s="224"/>
      <c r="M252" s="224"/>
      <c r="N252" s="224"/>
      <c r="O252" s="224"/>
      <c r="P252" s="225"/>
      <c r="Q252" s="151"/>
    </row>
  </sheetData>
  <mergeCells count="172">
    <mergeCell ref="I36:J36"/>
    <mergeCell ref="I37:J37"/>
    <mergeCell ref="I38:J38"/>
    <mergeCell ref="I23:J23"/>
    <mergeCell ref="I24:J24"/>
    <mergeCell ref="A1:P1"/>
    <mergeCell ref="E3:F3"/>
    <mergeCell ref="E4:F4"/>
    <mergeCell ref="I5:O5"/>
    <mergeCell ref="I33:J33"/>
    <mergeCell ref="I34:J34"/>
    <mergeCell ref="I35:J35"/>
    <mergeCell ref="I45:J45"/>
    <mergeCell ref="I46:J46"/>
    <mergeCell ref="I47:J47"/>
    <mergeCell ref="I48:J48"/>
    <mergeCell ref="I49:J49"/>
    <mergeCell ref="I50:J50"/>
    <mergeCell ref="I39:J39"/>
    <mergeCell ref="I40:J40"/>
    <mergeCell ref="I41:J41"/>
    <mergeCell ref="I42:J42"/>
    <mergeCell ref="I43:J43"/>
    <mergeCell ref="I44:J44"/>
    <mergeCell ref="I61:J61"/>
    <mergeCell ref="I62:J62"/>
    <mergeCell ref="I63:J63"/>
    <mergeCell ref="I64:J64"/>
    <mergeCell ref="I65:J65"/>
    <mergeCell ref="I66:J66"/>
    <mergeCell ref="I51:J51"/>
    <mergeCell ref="I52:J52"/>
    <mergeCell ref="I57:J57"/>
    <mergeCell ref="I58:J58"/>
    <mergeCell ref="I59:J59"/>
    <mergeCell ref="I60:J60"/>
    <mergeCell ref="I93:J93"/>
    <mergeCell ref="I94:J94"/>
    <mergeCell ref="I109:J109"/>
    <mergeCell ref="I76:J76"/>
    <mergeCell ref="I77:J77"/>
    <mergeCell ref="I82:J82"/>
    <mergeCell ref="I92:J92"/>
    <mergeCell ref="I69:J69"/>
    <mergeCell ref="I70:J70"/>
    <mergeCell ref="I71:J71"/>
    <mergeCell ref="I75:J75"/>
    <mergeCell ref="I116:J116"/>
    <mergeCell ref="I117:J117"/>
    <mergeCell ref="I118:J118"/>
    <mergeCell ref="I119:J119"/>
    <mergeCell ref="I120:J120"/>
    <mergeCell ref="I121:J121"/>
    <mergeCell ref="I110:J110"/>
    <mergeCell ref="I111:J111"/>
    <mergeCell ref="I112:J112"/>
    <mergeCell ref="I113:J113"/>
    <mergeCell ref="I114:J114"/>
    <mergeCell ref="I115:J115"/>
    <mergeCell ref="I130:J130"/>
    <mergeCell ref="I131:J131"/>
    <mergeCell ref="I132:J132"/>
    <mergeCell ref="I133:J133"/>
    <mergeCell ref="I134:J134"/>
    <mergeCell ref="I135:J135"/>
    <mergeCell ref="I122:J122"/>
    <mergeCell ref="I126:J126"/>
    <mergeCell ref="I127:J127"/>
    <mergeCell ref="I128:J128"/>
    <mergeCell ref="I129:J129"/>
    <mergeCell ref="I125:J125"/>
    <mergeCell ref="I142:J142"/>
    <mergeCell ref="I143:J143"/>
    <mergeCell ref="I144:J144"/>
    <mergeCell ref="I145:J145"/>
    <mergeCell ref="I146:J146"/>
    <mergeCell ref="I147:J147"/>
    <mergeCell ref="I136:J136"/>
    <mergeCell ref="I137:J137"/>
    <mergeCell ref="I138:J138"/>
    <mergeCell ref="I139:J139"/>
    <mergeCell ref="I140:J140"/>
    <mergeCell ref="I141:J141"/>
    <mergeCell ref="I155:J155"/>
    <mergeCell ref="I156:J156"/>
    <mergeCell ref="I159:J159"/>
    <mergeCell ref="I160:J160"/>
    <mergeCell ref="I161:J161"/>
    <mergeCell ref="I148:J148"/>
    <mergeCell ref="I149:J149"/>
    <mergeCell ref="I152:J152"/>
    <mergeCell ref="I153:J153"/>
    <mergeCell ref="I151:J151"/>
    <mergeCell ref="I168:J168"/>
    <mergeCell ref="I169:J169"/>
    <mergeCell ref="I170:J170"/>
    <mergeCell ref="I171:J171"/>
    <mergeCell ref="I172:J172"/>
    <mergeCell ref="I162:J162"/>
    <mergeCell ref="I163:J163"/>
    <mergeCell ref="I164:J164"/>
    <mergeCell ref="I165:J165"/>
    <mergeCell ref="I166:J166"/>
    <mergeCell ref="I167:J167"/>
    <mergeCell ref="I182:J182"/>
    <mergeCell ref="I183:J183"/>
    <mergeCell ref="I184:J184"/>
    <mergeCell ref="I185:J185"/>
    <mergeCell ref="I186:J186"/>
    <mergeCell ref="I187:J187"/>
    <mergeCell ref="I175:J175"/>
    <mergeCell ref="I177:J177"/>
    <mergeCell ref="I178:J178"/>
    <mergeCell ref="I179:J179"/>
    <mergeCell ref="I180:J180"/>
    <mergeCell ref="I181:J181"/>
    <mergeCell ref="I197:J197"/>
    <mergeCell ref="I198:J198"/>
    <mergeCell ref="I199:J199"/>
    <mergeCell ref="I200:J200"/>
    <mergeCell ref="I188:J188"/>
    <mergeCell ref="I189:J189"/>
    <mergeCell ref="I190:J190"/>
    <mergeCell ref="I191:J191"/>
    <mergeCell ref="I192:J192"/>
    <mergeCell ref="I193:J193"/>
    <mergeCell ref="I207:J207"/>
    <mergeCell ref="I208:J208"/>
    <mergeCell ref="I209:J209"/>
    <mergeCell ref="I210:J210"/>
    <mergeCell ref="I211:J211"/>
    <mergeCell ref="I212:J212"/>
    <mergeCell ref="I201:J201"/>
    <mergeCell ref="I202:J202"/>
    <mergeCell ref="I203:J203"/>
    <mergeCell ref="I204:J204"/>
    <mergeCell ref="I205:J205"/>
    <mergeCell ref="I206:J206"/>
    <mergeCell ref="I221:J221"/>
    <mergeCell ref="I222:J222"/>
    <mergeCell ref="I223:J223"/>
    <mergeCell ref="I224:J224"/>
    <mergeCell ref="I213:J213"/>
    <mergeCell ref="I214:J214"/>
    <mergeCell ref="I215:J215"/>
    <mergeCell ref="I216:J216"/>
    <mergeCell ref="I217:J217"/>
    <mergeCell ref="I218:J218"/>
    <mergeCell ref="I232:J232"/>
    <mergeCell ref="I234:O234"/>
    <mergeCell ref="I176:J176"/>
    <mergeCell ref="I158:J158"/>
    <mergeCell ref="I174:J174"/>
    <mergeCell ref="I195:O195"/>
    <mergeCell ref="I196:J196"/>
    <mergeCell ref="I231:J231"/>
    <mergeCell ref="I56:J56"/>
    <mergeCell ref="I68:J68"/>
    <mergeCell ref="I74:J74"/>
    <mergeCell ref="I81:J81"/>
    <mergeCell ref="I91:J91"/>
    <mergeCell ref="I99:J99"/>
    <mergeCell ref="I104:J104"/>
    <mergeCell ref="I108:J108"/>
    <mergeCell ref="I225:J225"/>
    <mergeCell ref="I226:J226"/>
    <mergeCell ref="I227:J227"/>
    <mergeCell ref="I228:J228"/>
    <mergeCell ref="I229:J229"/>
    <mergeCell ref="I230:J230"/>
    <mergeCell ref="I219:J219"/>
    <mergeCell ref="I220:J2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2"/>
  <sheetViews>
    <sheetView zoomScale="85" zoomScaleNormal="85" workbookViewId="0">
      <pane ySplit="5" topLeftCell="A6" activePane="bottomLeft" state="frozen"/>
      <selection activeCell="H253" sqref="H253"/>
      <selection pane="bottomLeft" activeCell="G4" sqref="G4"/>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3.7109375" style="6" customWidth="1"/>
    <col min="12" max="12" width="19" style="7" bestFit="1" customWidth="1"/>
    <col min="13" max="13" width="12.5703125" style="7" customWidth="1"/>
    <col min="14" max="14" width="9.5703125" style="7" bestFit="1" customWidth="1"/>
    <col min="15" max="15" width="16.5703125" style="7" customWidth="1"/>
    <col min="16" max="16" width="48.85546875" style="8" customWidth="1"/>
    <col min="17" max="16384" width="9.140625" style="3"/>
  </cols>
  <sheetData>
    <row r="1" spans="1:17" ht="32.25" customHeight="1" thickBot="1">
      <c r="A1" s="583" t="s">
        <v>520</v>
      </c>
      <c r="B1" s="584"/>
      <c r="C1" s="584"/>
      <c r="D1" s="584"/>
      <c r="E1" s="584"/>
      <c r="F1" s="584"/>
      <c r="G1" s="584"/>
      <c r="H1" s="584"/>
      <c r="I1" s="584"/>
      <c r="J1" s="584"/>
      <c r="K1" s="584"/>
      <c r="L1" s="584"/>
      <c r="M1" s="584"/>
      <c r="N1" s="584"/>
      <c r="O1" s="584"/>
      <c r="P1" s="585"/>
    </row>
    <row r="2" spans="1:17" s="12" customFormat="1" ht="24.75" customHeight="1" thickBot="1">
      <c r="A2" s="304"/>
      <c r="B2" s="305"/>
      <c r="C2" s="285" t="s">
        <v>1</v>
      </c>
      <c r="D2" s="285" t="s">
        <v>2</v>
      </c>
      <c r="E2" s="285"/>
      <c r="F2" s="285"/>
      <c r="G2" s="285" t="s">
        <v>3</v>
      </c>
      <c r="H2" s="286" t="s">
        <v>2</v>
      </c>
      <c r="I2" s="306"/>
      <c r="J2" s="306"/>
      <c r="K2" s="306"/>
      <c r="L2" s="306"/>
      <c r="M2" s="306"/>
      <c r="N2" s="306"/>
      <c r="O2" s="306"/>
      <c r="P2" s="307"/>
      <c r="Q2" s="218"/>
    </row>
    <row r="3" spans="1:17" s="10" customFormat="1" ht="35.25" customHeight="1" thickBot="1">
      <c r="A3" s="308" t="s">
        <v>4</v>
      </c>
      <c r="B3" s="309" t="s">
        <v>5</v>
      </c>
      <c r="C3" s="289">
        <v>100</v>
      </c>
      <c r="D3" s="290">
        <f>C4*C3</f>
        <v>300</v>
      </c>
      <c r="E3" s="578" t="s">
        <v>6</v>
      </c>
      <c r="F3" s="579"/>
      <c r="G3" s="291">
        <v>10</v>
      </c>
      <c r="H3" s="292">
        <f>G3*G4</f>
        <v>90</v>
      </c>
      <c r="I3" s="293"/>
      <c r="J3" s="293"/>
      <c r="K3" s="294"/>
      <c r="L3" s="294"/>
      <c r="M3" s="294"/>
      <c r="N3" s="294"/>
      <c r="O3" s="294"/>
      <c r="P3" s="294"/>
      <c r="Q3" s="295"/>
    </row>
    <row r="4" spans="1:17"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17" s="5" customFormat="1" ht="46.5" customHeight="1">
      <c r="A5" s="61" t="s">
        <v>10</v>
      </c>
      <c r="B5" s="62" t="s">
        <v>11</v>
      </c>
      <c r="C5" s="63"/>
      <c r="D5" s="35" t="s">
        <v>12</v>
      </c>
      <c r="E5" s="36" t="s">
        <v>13</v>
      </c>
      <c r="F5" s="37" t="s">
        <v>14</v>
      </c>
      <c r="G5" s="37" t="s">
        <v>15</v>
      </c>
      <c r="H5" s="37" t="s">
        <v>16</v>
      </c>
      <c r="I5" s="563" t="s">
        <v>17</v>
      </c>
      <c r="J5" s="564"/>
      <c r="K5" s="564"/>
      <c r="L5" s="564"/>
      <c r="M5" s="564"/>
      <c r="N5" s="564"/>
      <c r="O5" s="564"/>
      <c r="P5" s="38" t="s">
        <v>18</v>
      </c>
      <c r="Q5" s="301"/>
    </row>
    <row r="6" spans="1:17" ht="34.9" customHeight="1">
      <c r="A6" s="64">
        <v>1</v>
      </c>
      <c r="B6" s="65" t="s">
        <v>19</v>
      </c>
      <c r="C6" s="65"/>
      <c r="D6" s="38"/>
      <c r="E6" s="39"/>
      <c r="F6" s="40"/>
      <c r="G6" s="40"/>
      <c r="H6" s="41"/>
      <c r="I6" s="38" t="s">
        <v>20</v>
      </c>
      <c r="J6" s="42"/>
      <c r="K6" s="48" t="str">
        <f>Rekenblad!K6</f>
        <v>aantal</v>
      </c>
      <c r="L6" s="48" t="str">
        <f>Rekenblad!L6</f>
        <v>eenheid</v>
      </c>
      <c r="M6" s="48" t="str">
        <f>Rekenblad!M6</f>
        <v>kosten</v>
      </c>
      <c r="N6" s="48" t="str">
        <f>Rekenblad!N6</f>
        <v>per</v>
      </c>
      <c r="O6" s="48" t="s">
        <v>21</v>
      </c>
      <c r="P6" s="42"/>
      <c r="Q6" s="151"/>
    </row>
    <row r="7" spans="1:17" s="22" customFormat="1" ht="11.25">
      <c r="A7" s="501"/>
      <c r="B7" s="501"/>
      <c r="C7" s="501"/>
      <c r="D7" s="501"/>
      <c r="E7" s="501"/>
      <c r="F7" s="501"/>
      <c r="G7" s="501"/>
      <c r="H7" s="501"/>
      <c r="I7" s="501"/>
      <c r="J7" s="501"/>
      <c r="K7" s="322">
        <v>3.5</v>
      </c>
      <c r="L7" s="501" t="s">
        <v>22</v>
      </c>
      <c r="M7" s="501"/>
      <c r="N7" s="501"/>
      <c r="O7" s="501"/>
      <c r="P7" s="501"/>
      <c r="Q7" s="502"/>
    </row>
    <row r="8" spans="1:17" s="22" customFormat="1" ht="11.25">
      <c r="A8" s="503"/>
      <c r="B8" s="503"/>
      <c r="C8" s="503"/>
      <c r="D8" s="503"/>
      <c r="E8" s="503"/>
      <c r="F8" s="503"/>
      <c r="G8" s="503"/>
      <c r="H8" s="503"/>
      <c r="I8" s="503"/>
      <c r="J8" s="503"/>
      <c r="K8" s="322">
        <v>1</v>
      </c>
      <c r="L8" s="503" t="s">
        <v>23</v>
      </c>
      <c r="M8" s="503"/>
      <c r="N8" s="503"/>
      <c r="O8" s="503"/>
      <c r="P8" s="501"/>
      <c r="Q8" s="502"/>
    </row>
    <row r="9" spans="1:17" customFormat="1" ht="17.25" customHeight="1">
      <c r="A9" s="272"/>
      <c r="B9" s="272"/>
      <c r="C9" s="272"/>
      <c r="D9" s="272"/>
      <c r="E9" s="272"/>
      <c r="F9" s="272"/>
      <c r="G9" s="272"/>
      <c r="H9" s="272"/>
      <c r="I9" s="272"/>
      <c r="J9" s="272"/>
      <c r="K9" s="318">
        <f>($K$7*2)+($K$8*2)+1+1</f>
        <v>11</v>
      </c>
      <c r="L9" s="272" t="str">
        <f>Rekenblad!L9</f>
        <v>man in de binding</v>
      </c>
      <c r="M9" s="273">
        <f>Rekenblad!M9</f>
        <v>116.03999999999999</v>
      </c>
      <c r="N9" s="272" t="str">
        <f>Rekenblad!N9</f>
        <v>/man/week</v>
      </c>
      <c r="O9" s="273"/>
      <c r="P9" s="112"/>
      <c r="Q9" s="310"/>
    </row>
    <row r="10" spans="1:17" customFormat="1" ht="17.25" customHeight="1">
      <c r="A10" s="112"/>
      <c r="B10" s="112"/>
      <c r="C10" s="112"/>
      <c r="D10" s="112"/>
      <c r="E10" s="112"/>
      <c r="F10" s="112"/>
      <c r="G10" s="112"/>
      <c r="H10" s="112"/>
      <c r="I10" s="112"/>
      <c r="J10" s="112"/>
      <c r="K10" s="319">
        <f>K9</f>
        <v>11</v>
      </c>
      <c r="L10" s="112" t="str">
        <f>Rekenblad!L10</f>
        <v>Telefoon abonnement</v>
      </c>
      <c r="M10" s="113">
        <f>Rekenblad!M10</f>
        <v>60</v>
      </c>
      <c r="N10" s="112" t="str">
        <f>Rekenblad!N10</f>
        <v>/maand</v>
      </c>
      <c r="O10" s="113"/>
      <c r="P10" s="112"/>
      <c r="Q10" s="310"/>
    </row>
    <row r="11" spans="1:17" ht="35.450000000000003" customHeight="1">
      <c r="A11" s="78" t="s">
        <v>24</v>
      </c>
      <c r="B11" s="79" t="s">
        <v>25</v>
      </c>
      <c r="C11" s="80" t="s">
        <v>26</v>
      </c>
      <c r="D11" s="68" t="s">
        <v>27</v>
      </c>
      <c r="E11" s="69">
        <v>60</v>
      </c>
      <c r="F11" s="70">
        <f>O11</f>
        <v>6191.2399999999989</v>
      </c>
      <c r="G11" s="81">
        <f>H11/5</f>
        <v>74294.879999999976</v>
      </c>
      <c r="H11" s="82">
        <f>F11*E11</f>
        <v>371474.39999999991</v>
      </c>
      <c r="I11" s="274" t="s">
        <v>28</v>
      </c>
      <c r="J11" s="275" t="s">
        <v>29</v>
      </c>
      <c r="K11" s="319"/>
      <c r="L11" s="112"/>
      <c r="M11" s="86"/>
      <c r="N11" s="112"/>
      <c r="O11" s="113">
        <f>K9*(M9*(52/12))+K10*M10</f>
        <v>6191.2399999999989</v>
      </c>
      <c r="P11" s="276" t="s">
        <v>521</v>
      </c>
      <c r="Q11" s="151"/>
    </row>
    <row r="12" spans="1:17" s="20" customFormat="1">
      <c r="A12" s="90" t="s">
        <v>31</v>
      </c>
      <c r="B12" s="91" t="s">
        <v>32</v>
      </c>
      <c r="C12" s="92" t="s">
        <v>33</v>
      </c>
      <c r="D12" s="93" t="s">
        <v>27</v>
      </c>
      <c r="E12" s="94">
        <v>60</v>
      </c>
      <c r="F12" s="95">
        <v>10000</v>
      </c>
      <c r="G12" s="96">
        <f>F12*12</f>
        <v>120000</v>
      </c>
      <c r="H12" s="97"/>
      <c r="I12" s="98"/>
      <c r="J12" s="99"/>
      <c r="K12" s="319"/>
      <c r="L12" s="112"/>
      <c r="M12" s="113"/>
      <c r="N12" s="112"/>
      <c r="O12" s="113"/>
      <c r="P12" s="99"/>
      <c r="Q12" s="302"/>
    </row>
    <row r="13" spans="1:17" ht="67.5">
      <c r="A13" s="78" t="s">
        <v>34</v>
      </c>
      <c r="B13" s="79" t="s">
        <v>35</v>
      </c>
      <c r="C13" s="80" t="s">
        <v>26</v>
      </c>
      <c r="D13" s="68" t="s">
        <v>27</v>
      </c>
      <c r="E13" s="69">
        <v>60</v>
      </c>
      <c r="F13" s="70">
        <f>O13</f>
        <v>10770.412499999999</v>
      </c>
      <c r="G13" s="81">
        <f>H13/5</f>
        <v>129244.94999999998</v>
      </c>
      <c r="H13" s="82">
        <f>F13*E13</f>
        <v>646224.74999999988</v>
      </c>
      <c r="I13" s="76" t="s">
        <v>36</v>
      </c>
      <c r="J13" s="84" t="s">
        <v>37</v>
      </c>
      <c r="K13" s="325">
        <f>Rekenblad!K13</f>
        <v>3.75</v>
      </c>
      <c r="L13" s="324" t="s">
        <v>38</v>
      </c>
      <c r="M13" s="500">
        <f>K7*(F16+F17)+K8*F18</f>
        <v>2872.1099999999997</v>
      </c>
      <c r="N13" s="324" t="s">
        <v>39</v>
      </c>
      <c r="O13" s="113">
        <f>(M13*K13)</f>
        <v>10770.412499999999</v>
      </c>
      <c r="P13" s="103" t="s">
        <v>40</v>
      </c>
      <c r="Q13" s="151"/>
    </row>
    <row r="14" spans="1:17" ht="69.599999999999994" customHeight="1">
      <c r="A14" s="104" t="s">
        <v>41</v>
      </c>
      <c r="B14" s="105" t="s">
        <v>42</v>
      </c>
      <c r="C14" s="106" t="s">
        <v>26</v>
      </c>
      <c r="D14" s="107" t="s">
        <v>27</v>
      </c>
      <c r="E14" s="108">
        <v>60</v>
      </c>
      <c r="F14" s="109">
        <f>O14</f>
        <v>1360</v>
      </c>
      <c r="G14" s="81">
        <f>H14/5</f>
        <v>16320</v>
      </c>
      <c r="H14" s="82">
        <f>F14*E14</f>
        <v>81600</v>
      </c>
      <c r="I14" s="83" t="s">
        <v>43</v>
      </c>
      <c r="J14" s="111" t="s">
        <v>44</v>
      </c>
      <c r="K14" s="320">
        <v>16</v>
      </c>
      <c r="L14" s="112" t="s">
        <v>8</v>
      </c>
      <c r="M14" s="113">
        <v>85</v>
      </c>
      <c r="N14" s="112" t="s">
        <v>8</v>
      </c>
      <c r="O14" s="113">
        <f>M14*K14</f>
        <v>1360</v>
      </c>
      <c r="P14" s="277" t="s">
        <v>522</v>
      </c>
      <c r="Q14" s="151"/>
    </row>
    <row r="15" spans="1:17" ht="33.75">
      <c r="A15" s="64">
        <v>2</v>
      </c>
      <c r="B15" s="115" t="s">
        <v>46</v>
      </c>
      <c r="C15" s="115"/>
      <c r="D15" s="38" t="s">
        <v>12</v>
      </c>
      <c r="E15" s="47" t="s">
        <v>13</v>
      </c>
      <c r="F15" s="48" t="s">
        <v>14</v>
      </c>
      <c r="G15" s="48" t="s">
        <v>15</v>
      </c>
      <c r="H15" s="48" t="s">
        <v>16</v>
      </c>
      <c r="I15" s="38" t="s">
        <v>17</v>
      </c>
      <c r="J15" s="49" t="s">
        <v>47</v>
      </c>
      <c r="K15" s="37" t="s">
        <v>48</v>
      </c>
      <c r="L15" s="50" t="s">
        <v>49</v>
      </c>
      <c r="M15" s="58" t="s">
        <v>50</v>
      </c>
      <c r="N15" s="58"/>
      <c r="O15" s="59"/>
      <c r="P15" s="49" t="s">
        <v>18</v>
      </c>
      <c r="Q15" s="151"/>
    </row>
    <row r="16" spans="1:17" ht="96" customHeight="1">
      <c r="A16" s="78" t="s">
        <v>51</v>
      </c>
      <c r="B16" s="116" t="s">
        <v>52</v>
      </c>
      <c r="C16" s="75" t="s">
        <v>53</v>
      </c>
      <c r="D16" s="107" t="s">
        <v>8</v>
      </c>
      <c r="E16" s="117">
        <f>D3</f>
        <v>300</v>
      </c>
      <c r="F16" s="118">
        <f>Rekenblad!F16</f>
        <v>530.56499999999994</v>
      </c>
      <c r="G16" s="118">
        <f>E16*F16</f>
        <v>159169.49999999997</v>
      </c>
      <c r="H16" s="109">
        <f>A4*G16</f>
        <v>795847.49999999988</v>
      </c>
      <c r="I16" s="76" t="s">
        <v>54</v>
      </c>
      <c r="J16" s="76" t="s">
        <v>55</v>
      </c>
      <c r="K16" s="119">
        <v>100</v>
      </c>
      <c r="L16" s="120">
        <v>500</v>
      </c>
      <c r="M16" s="278">
        <v>3</v>
      </c>
      <c r="N16" s="278"/>
      <c r="O16" s="76"/>
      <c r="P16" s="77"/>
      <c r="Q16" s="151"/>
    </row>
    <row r="17" spans="1:17" ht="96" customHeight="1">
      <c r="A17" s="78" t="s">
        <v>51</v>
      </c>
      <c r="B17" s="116" t="s">
        <v>56</v>
      </c>
      <c r="C17" s="75" t="s">
        <v>57</v>
      </c>
      <c r="D17" s="107" t="s">
        <v>8</v>
      </c>
      <c r="E17" s="108"/>
      <c r="F17" s="118">
        <f>Rekenblad!F17</f>
        <v>225.58499999999998</v>
      </c>
      <c r="G17" s="118"/>
      <c r="H17" s="109"/>
      <c r="I17" s="76" t="s">
        <v>58</v>
      </c>
      <c r="J17" s="76"/>
      <c r="K17" s="119"/>
      <c r="L17" s="120"/>
      <c r="M17" s="121"/>
      <c r="N17" s="121"/>
      <c r="O17" s="75"/>
      <c r="P17" s="77"/>
      <c r="Q17" s="151"/>
    </row>
    <row r="18" spans="1:17" ht="71.25" customHeight="1">
      <c r="A18" s="104" t="s">
        <v>59</v>
      </c>
      <c r="B18" s="116" t="s">
        <v>60</v>
      </c>
      <c r="C18" s="75" t="s">
        <v>53</v>
      </c>
      <c r="D18" s="107" t="s">
        <v>8</v>
      </c>
      <c r="E18" s="30">
        <f>H3</f>
        <v>90</v>
      </c>
      <c r="F18" s="118">
        <f>Rekenblad!F18</f>
        <v>225.58499999999998</v>
      </c>
      <c r="G18" s="118">
        <f>F18*E18</f>
        <v>20302.649999999998</v>
      </c>
      <c r="H18" s="109">
        <f>A4*G18</f>
        <v>101513.24999999999</v>
      </c>
      <c r="I18" s="76" t="s">
        <v>61</v>
      </c>
      <c r="J18" s="76" t="s">
        <v>62</v>
      </c>
      <c r="K18" s="122">
        <v>10</v>
      </c>
      <c r="L18" s="122">
        <v>50</v>
      </c>
      <c r="M18" s="279">
        <v>4</v>
      </c>
      <c r="N18" s="279"/>
      <c r="O18" s="124"/>
      <c r="P18" s="77"/>
      <c r="Q18" s="151"/>
    </row>
    <row r="19" spans="1:17" s="19" customFormat="1" ht="47.25" customHeight="1">
      <c r="A19" s="125" t="s">
        <v>63</v>
      </c>
      <c r="B19" s="126" t="s">
        <v>64</v>
      </c>
      <c r="C19" s="127" t="s">
        <v>33</v>
      </c>
      <c r="D19" s="127" t="s">
        <v>8</v>
      </c>
      <c r="E19" s="128">
        <f>E16</f>
        <v>300</v>
      </c>
      <c r="F19" s="130">
        <f>Rekenblad!F19</f>
        <v>424</v>
      </c>
      <c r="G19" s="130">
        <f t="shared" ref="G19:G22" si="0">F19*E19</f>
        <v>127200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30">
        <f>Rekenblad!F20</f>
        <v>689</v>
      </c>
      <c r="G20" s="130">
        <f t="shared" si="0"/>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30">
        <f>Rekenblad!F21</f>
        <v>2031.6666666666702</v>
      </c>
      <c r="G21" s="130">
        <f t="shared" si="0"/>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30">
        <f>Rekenblad!F22</f>
        <v>3445</v>
      </c>
      <c r="G22" s="130">
        <f t="shared" si="0"/>
        <v>0</v>
      </c>
      <c r="H22" s="139"/>
      <c r="I22" s="132"/>
      <c r="J22" s="133"/>
      <c r="K22" s="134"/>
      <c r="L22" s="135"/>
      <c r="M22" s="136"/>
      <c r="N22" s="136"/>
      <c r="O22" s="137"/>
      <c r="P22" s="138"/>
      <c r="Q22" s="303"/>
    </row>
    <row r="23" spans="1:17" ht="59.25" customHeight="1">
      <c r="A23" s="64">
        <v>3</v>
      </c>
      <c r="B23" s="65" t="s">
        <v>71</v>
      </c>
      <c r="C23" s="140"/>
      <c r="D23" s="51" t="s">
        <v>12</v>
      </c>
      <c r="E23" s="52" t="s">
        <v>13</v>
      </c>
      <c r="F23" s="60" t="str">
        <f>Rekenblad!F23</f>
        <v>bedrag per eenheid (excl. btw)</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18">
        <f>Rekenblad!F24</f>
        <v>0</v>
      </c>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433.33333333333331</v>
      </c>
      <c r="F25" s="118">
        <f>Rekenblad!F25</f>
        <v>55.650000000000006</v>
      </c>
      <c r="G25" s="145" t="s">
        <v>77</v>
      </c>
      <c r="H25" s="145">
        <f>E25*F25</f>
        <v>24115</v>
      </c>
      <c r="I25" s="280">
        <f>Rekenblad!I25</f>
        <v>0.66666666666666663</v>
      </c>
      <c r="J25" s="151"/>
      <c r="K25" s="118"/>
      <c r="L25" s="146"/>
      <c r="M25" s="146"/>
      <c r="N25" s="146"/>
      <c r="O25" s="146"/>
      <c r="P25" s="147"/>
      <c r="Q25" s="151"/>
    </row>
    <row r="26" spans="1:17" ht="30" customHeight="1">
      <c r="A26" s="143"/>
      <c r="B26" s="148" t="s">
        <v>78</v>
      </c>
      <c r="C26" s="149" t="s">
        <v>76</v>
      </c>
      <c r="D26" s="143" t="s">
        <v>8</v>
      </c>
      <c r="E26" s="108">
        <f>((1/3)*($D$3+$H$3)*$A$4)*I26</f>
        <v>108.33333333333333</v>
      </c>
      <c r="F26" s="118">
        <f>Rekenblad!F26</f>
        <v>68.900000000000006</v>
      </c>
      <c r="G26" s="145" t="s">
        <v>77</v>
      </c>
      <c r="H26" s="145">
        <f t="shared" ref="H26:H30" si="1">E26*F26</f>
        <v>7464.166666666667</v>
      </c>
      <c r="I26" s="280">
        <f>Rekenblad!I26</f>
        <v>0.16666666666666666</v>
      </c>
      <c r="J26" s="152"/>
      <c r="K26" s="118"/>
      <c r="L26" s="146"/>
      <c r="M26" s="146"/>
      <c r="N26" s="146"/>
      <c r="O26" s="146"/>
      <c r="P26" s="147"/>
      <c r="Q26" s="151"/>
    </row>
    <row r="27" spans="1:17" ht="30" customHeight="1">
      <c r="A27" s="143"/>
      <c r="B27" s="148" t="s">
        <v>79</v>
      </c>
      <c r="C27" s="149" t="s">
        <v>76</v>
      </c>
      <c r="D27" s="143" t="s">
        <v>8</v>
      </c>
      <c r="E27" s="108">
        <f>((1/3)*($D$3+$H$3)*$A$4)*I27</f>
        <v>54.166666666666664</v>
      </c>
      <c r="F27" s="118">
        <f>Rekenblad!F27</f>
        <v>79.5</v>
      </c>
      <c r="G27" s="145" t="s">
        <v>77</v>
      </c>
      <c r="H27" s="145">
        <f t="shared" si="1"/>
        <v>4306.25</v>
      </c>
      <c r="I27" s="280">
        <f>Rekenblad!I27</f>
        <v>8.3333333333333329E-2</v>
      </c>
      <c r="J27" s="152"/>
      <c r="K27" s="118"/>
      <c r="L27" s="146"/>
      <c r="M27" s="146"/>
      <c r="N27" s="146"/>
      <c r="O27" s="146"/>
      <c r="P27" s="147"/>
      <c r="Q27" s="151"/>
    </row>
    <row r="28" spans="1:17" ht="30" customHeight="1">
      <c r="A28" s="143"/>
      <c r="B28" s="148" t="s">
        <v>80</v>
      </c>
      <c r="C28" s="149" t="s">
        <v>76</v>
      </c>
      <c r="D28" s="143" t="s">
        <v>8</v>
      </c>
      <c r="E28" s="108">
        <f>((1/3)*($D$3+$H$3)*$A$4)*I28</f>
        <v>54.166666666666664</v>
      </c>
      <c r="F28" s="118">
        <f>Rekenblad!F28</f>
        <v>100.7</v>
      </c>
      <c r="G28" s="145" t="s">
        <v>77</v>
      </c>
      <c r="H28" s="145">
        <f t="shared" si="1"/>
        <v>5454.583333333333</v>
      </c>
      <c r="I28" s="280">
        <f>Rekenblad!I28</f>
        <v>8.3333333333333329E-2</v>
      </c>
      <c r="J28" s="152"/>
      <c r="K28" s="118"/>
      <c r="L28" s="146"/>
      <c r="M28" s="146"/>
      <c r="N28" s="146"/>
      <c r="O28" s="146"/>
      <c r="P28" s="147"/>
      <c r="Q28" s="151"/>
    </row>
    <row r="29" spans="1:17" ht="30" customHeight="1">
      <c r="A29" s="143"/>
      <c r="B29" s="148" t="s">
        <v>81</v>
      </c>
      <c r="C29" s="149" t="s">
        <v>33</v>
      </c>
      <c r="D29" s="143" t="s">
        <v>8</v>
      </c>
      <c r="E29" s="108">
        <f>Rekenblad!E29</f>
        <v>0</v>
      </c>
      <c r="F29" s="118">
        <f>Rekenblad!F29</f>
        <v>76.850000000000009</v>
      </c>
      <c r="G29" s="145" t="s">
        <v>77</v>
      </c>
      <c r="H29" s="145">
        <f t="shared" si="1"/>
        <v>0</v>
      </c>
      <c r="I29" s="153"/>
      <c r="J29" s="152"/>
      <c r="K29" s="118"/>
      <c r="L29" s="146"/>
      <c r="M29" s="146"/>
      <c r="N29" s="146"/>
      <c r="O29" s="146"/>
      <c r="P29" s="147"/>
      <c r="Q29" s="151"/>
    </row>
    <row r="30" spans="1:17" ht="30" customHeight="1">
      <c r="A30" s="143"/>
      <c r="B30" s="148" t="s">
        <v>82</v>
      </c>
      <c r="C30" s="149" t="s">
        <v>57</v>
      </c>
      <c r="D30" s="143" t="s">
        <v>8</v>
      </c>
      <c r="E30" s="108">
        <f>Rekenblad!E30</f>
        <v>0</v>
      </c>
      <c r="F30" s="118">
        <f>Rekenblad!F30</f>
        <v>113.102</v>
      </c>
      <c r="G30" s="145" t="s">
        <v>77</v>
      </c>
      <c r="H30" s="145">
        <f t="shared" si="1"/>
        <v>0</v>
      </c>
      <c r="I30" s="153"/>
      <c r="J30" s="152"/>
      <c r="K30" s="118"/>
      <c r="L30" s="146"/>
      <c r="M30" s="146"/>
      <c r="N30" s="146"/>
      <c r="O30" s="146"/>
      <c r="P30" s="147"/>
      <c r="Q30" s="151"/>
    </row>
    <row r="31" spans="1:17" ht="30" customHeight="1">
      <c r="A31" s="143"/>
      <c r="B31" s="148"/>
      <c r="C31" s="149"/>
      <c r="D31" s="143"/>
      <c r="E31" s="108"/>
      <c r="F31" s="118"/>
      <c r="G31" s="145"/>
      <c r="H31" s="145"/>
      <c r="I31" s="153"/>
      <c r="J31" s="152"/>
      <c r="K31" s="118"/>
      <c r="L31" s="146"/>
      <c r="M31" s="146"/>
      <c r="N31" s="146"/>
      <c r="O31" s="146"/>
      <c r="P31" s="147"/>
      <c r="Q31" s="151"/>
    </row>
    <row r="32" spans="1:17" ht="30" customHeight="1">
      <c r="A32" s="141" t="s">
        <v>83</v>
      </c>
      <c r="B32" s="142" t="s">
        <v>84</v>
      </c>
      <c r="C32" s="65"/>
      <c r="D32" s="64"/>
      <c r="E32" s="108"/>
      <c r="F32" s="118"/>
      <c r="G32" s="145"/>
      <c r="H32" s="145"/>
      <c r="I32" s="153"/>
      <c r="J32" s="155"/>
      <c r="K32" s="118"/>
      <c r="L32" s="146"/>
      <c r="M32" s="146"/>
      <c r="N32" s="146"/>
      <c r="O32" s="146"/>
      <c r="P32" s="147"/>
      <c r="Q32" s="151"/>
    </row>
    <row r="33" spans="1:17" ht="30" customHeight="1">
      <c r="A33" s="143"/>
      <c r="B33" s="148" t="s">
        <v>75</v>
      </c>
      <c r="C33" s="149" t="s">
        <v>76</v>
      </c>
      <c r="D33" s="143" t="s">
        <v>8</v>
      </c>
      <c r="E33" s="108">
        <f>Rekenblad!E33</f>
        <v>0</v>
      </c>
      <c r="F33" s="118">
        <f>Rekenblad!F33</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f>Rekenblad!E34</f>
        <v>0</v>
      </c>
      <c r="F34" s="118">
        <f>Rekenblad!F34</f>
        <v>63.6</v>
      </c>
      <c r="G34" s="145"/>
      <c r="H34" s="145">
        <f t="shared" ref="H34:H41" si="2">F34*E34</f>
        <v>0</v>
      </c>
      <c r="I34" s="569"/>
      <c r="J34" s="573"/>
      <c r="K34" s="118"/>
      <c r="L34" s="146"/>
      <c r="M34" s="146"/>
      <c r="N34" s="146"/>
      <c r="O34" s="146"/>
      <c r="P34" s="147"/>
      <c r="Q34" s="151"/>
    </row>
    <row r="35" spans="1:17" ht="30" customHeight="1">
      <c r="A35" s="143"/>
      <c r="B35" s="148" t="s">
        <v>79</v>
      </c>
      <c r="C35" s="149" t="s">
        <v>76</v>
      </c>
      <c r="D35" s="143" t="s">
        <v>8</v>
      </c>
      <c r="E35" s="108">
        <f>Rekenblad!E35</f>
        <v>0</v>
      </c>
      <c r="F35" s="118">
        <f>Rekenblad!F35</f>
        <v>74.2</v>
      </c>
      <c r="G35" s="145"/>
      <c r="H35" s="145">
        <f t="shared" si="2"/>
        <v>0</v>
      </c>
      <c r="I35" s="569"/>
      <c r="J35" s="573"/>
      <c r="K35" s="118"/>
      <c r="L35" s="146"/>
      <c r="M35" s="146"/>
      <c r="N35" s="146"/>
      <c r="O35" s="146"/>
      <c r="P35" s="147"/>
      <c r="Q35" s="151"/>
    </row>
    <row r="36" spans="1:17" ht="30" customHeight="1">
      <c r="A36" s="143"/>
      <c r="B36" s="148" t="s">
        <v>80</v>
      </c>
      <c r="C36" s="149" t="s">
        <v>76</v>
      </c>
      <c r="D36" s="143" t="s">
        <v>8</v>
      </c>
      <c r="E36" s="108">
        <f>Rekenblad!E36</f>
        <v>0</v>
      </c>
      <c r="F36" s="118">
        <f>Rekenblad!F36</f>
        <v>84.800000000000011</v>
      </c>
      <c r="G36" s="145"/>
      <c r="H36" s="145">
        <f t="shared" si="2"/>
        <v>0</v>
      </c>
      <c r="I36" s="569"/>
      <c r="J36" s="573"/>
      <c r="K36" s="118"/>
      <c r="L36" s="146"/>
      <c r="M36" s="146"/>
      <c r="N36" s="146"/>
      <c r="O36" s="146"/>
      <c r="P36" s="147"/>
      <c r="Q36" s="151"/>
    </row>
    <row r="37" spans="1:17" ht="30" customHeight="1">
      <c r="A37" s="141" t="s">
        <v>85</v>
      </c>
      <c r="B37" s="156" t="s">
        <v>86</v>
      </c>
      <c r="C37" s="141"/>
      <c r="D37" s="64"/>
      <c r="E37" s="108"/>
      <c r="F37" s="118"/>
      <c r="G37" s="145"/>
      <c r="H37" s="145">
        <f t="shared" si="2"/>
        <v>0</v>
      </c>
      <c r="I37" s="569"/>
      <c r="J37" s="573"/>
      <c r="K37" s="118"/>
      <c r="L37" s="146"/>
      <c r="M37" s="146"/>
      <c r="N37" s="146"/>
      <c r="O37" s="146"/>
      <c r="P37" s="147"/>
      <c r="Q37" s="151"/>
    </row>
    <row r="38" spans="1:17" ht="30" customHeight="1">
      <c r="A38" s="143"/>
      <c r="B38" s="157" t="s">
        <v>75</v>
      </c>
      <c r="C38" s="143" t="s">
        <v>76</v>
      </c>
      <c r="D38" s="143" t="s">
        <v>8</v>
      </c>
      <c r="E38" s="108">
        <f>Rekenblad!E38</f>
        <v>0</v>
      </c>
      <c r="F38" s="118">
        <f>Rekenblad!F38</f>
        <v>50.88</v>
      </c>
      <c r="G38" s="145"/>
      <c r="H38" s="145">
        <f t="shared" si="2"/>
        <v>0</v>
      </c>
      <c r="I38" s="569"/>
      <c r="J38" s="573"/>
      <c r="K38" s="118"/>
      <c r="L38" s="146"/>
      <c r="M38" s="146"/>
      <c r="N38" s="146"/>
      <c r="O38" s="146"/>
      <c r="P38" s="147"/>
      <c r="Q38" s="151"/>
    </row>
    <row r="39" spans="1:17" ht="30" customHeight="1">
      <c r="A39" s="143"/>
      <c r="B39" s="157" t="s">
        <v>78</v>
      </c>
      <c r="C39" s="143" t="s">
        <v>76</v>
      </c>
      <c r="D39" s="143" t="s">
        <v>8</v>
      </c>
      <c r="E39" s="108">
        <f>Rekenblad!E39</f>
        <v>0</v>
      </c>
      <c r="F39" s="118">
        <f>Rekenblad!F39</f>
        <v>58.300000000000004</v>
      </c>
      <c r="G39" s="145"/>
      <c r="H39" s="145">
        <f t="shared" si="2"/>
        <v>0</v>
      </c>
      <c r="I39" s="569"/>
      <c r="J39" s="573"/>
      <c r="K39" s="118"/>
      <c r="L39" s="146"/>
      <c r="M39" s="146"/>
      <c r="N39" s="146"/>
      <c r="O39" s="146"/>
      <c r="P39" s="147"/>
      <c r="Q39" s="151"/>
    </row>
    <row r="40" spans="1:17" ht="30" customHeight="1">
      <c r="A40" s="143"/>
      <c r="B40" s="157" t="s">
        <v>79</v>
      </c>
      <c r="C40" s="143" t="s">
        <v>76</v>
      </c>
      <c r="D40" s="143" t="s">
        <v>8</v>
      </c>
      <c r="E40" s="108">
        <f>Rekenblad!E40</f>
        <v>0</v>
      </c>
      <c r="F40" s="118">
        <f>Rekenblad!F40</f>
        <v>68.900000000000006</v>
      </c>
      <c r="G40" s="145"/>
      <c r="H40" s="145">
        <f t="shared" si="2"/>
        <v>0</v>
      </c>
      <c r="I40" s="569"/>
      <c r="J40" s="573"/>
      <c r="K40" s="118"/>
      <c r="L40" s="146"/>
      <c r="M40" s="146"/>
      <c r="N40" s="146"/>
      <c r="O40" s="146"/>
      <c r="P40" s="147"/>
      <c r="Q40" s="151"/>
    </row>
    <row r="41" spans="1:17" ht="30" customHeight="1">
      <c r="A41" s="143"/>
      <c r="B41" s="157" t="s">
        <v>80</v>
      </c>
      <c r="C41" s="143" t="s">
        <v>76</v>
      </c>
      <c r="D41" s="143" t="s">
        <v>8</v>
      </c>
      <c r="E41" s="108">
        <f>Rekenblad!E41</f>
        <v>0</v>
      </c>
      <c r="F41" s="118">
        <f>Rekenblad!F41</f>
        <v>79.5</v>
      </c>
      <c r="G41" s="145"/>
      <c r="H41" s="145">
        <f t="shared" si="2"/>
        <v>0</v>
      </c>
      <c r="I41" s="569"/>
      <c r="J41" s="573"/>
      <c r="K41" s="118"/>
      <c r="L41" s="146"/>
      <c r="M41" s="146"/>
      <c r="N41" s="146"/>
      <c r="O41" s="146"/>
      <c r="P41" s="147"/>
      <c r="Q41" s="151"/>
    </row>
    <row r="42" spans="1:17" ht="30" customHeight="1">
      <c r="A42" s="141" t="s">
        <v>87</v>
      </c>
      <c r="B42" s="142" t="s">
        <v>88</v>
      </c>
      <c r="C42" s="65"/>
      <c r="D42" s="64"/>
      <c r="E42" s="108"/>
      <c r="F42" s="118"/>
      <c r="G42" s="145"/>
      <c r="H42" s="145"/>
      <c r="I42" s="569"/>
      <c r="J42" s="573"/>
      <c r="K42" s="118"/>
      <c r="L42" s="146"/>
      <c r="M42" s="146"/>
      <c r="N42" s="146"/>
      <c r="O42" s="146"/>
      <c r="P42" s="147"/>
      <c r="Q42" s="151"/>
    </row>
    <row r="43" spans="1:17" ht="30" customHeight="1">
      <c r="A43" s="143"/>
      <c r="B43" s="148" t="s">
        <v>75</v>
      </c>
      <c r="C43" s="149" t="s">
        <v>76</v>
      </c>
      <c r="D43" s="143" t="s">
        <v>8</v>
      </c>
      <c r="E43" s="108">
        <f>Rekenblad!E43</f>
        <v>0</v>
      </c>
      <c r="F43" s="118">
        <f>Rekenblad!F43</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f>Rekenblad!E44</f>
        <v>0</v>
      </c>
      <c r="F44" s="118">
        <f>Rekenblad!F44</f>
        <v>53</v>
      </c>
      <c r="G44" s="145"/>
      <c r="H44" s="145">
        <f t="shared" ref="H44:H46" si="3">E44*F44</f>
        <v>0</v>
      </c>
      <c r="I44" s="569"/>
      <c r="J44" s="573"/>
      <c r="K44" s="118"/>
      <c r="L44" s="146"/>
      <c r="M44" s="146"/>
      <c r="N44" s="146"/>
      <c r="O44" s="146"/>
      <c r="P44" s="147"/>
      <c r="Q44" s="151"/>
    </row>
    <row r="45" spans="1:17" ht="30" customHeight="1">
      <c r="A45" s="143"/>
      <c r="B45" s="148" t="s">
        <v>79</v>
      </c>
      <c r="C45" s="149" t="s">
        <v>76</v>
      </c>
      <c r="D45" s="143" t="s">
        <v>8</v>
      </c>
      <c r="E45" s="108">
        <f>Rekenblad!E45</f>
        <v>0</v>
      </c>
      <c r="F45" s="118">
        <f>Rekenblad!F45</f>
        <v>63.6</v>
      </c>
      <c r="G45" s="145"/>
      <c r="H45" s="145">
        <f t="shared" si="3"/>
        <v>0</v>
      </c>
      <c r="I45" s="569"/>
      <c r="J45" s="573"/>
      <c r="K45" s="118"/>
      <c r="L45" s="146"/>
      <c r="M45" s="146"/>
      <c r="N45" s="146"/>
      <c r="O45" s="146"/>
      <c r="P45" s="147"/>
      <c r="Q45" s="151"/>
    </row>
    <row r="46" spans="1:17" ht="30" customHeight="1">
      <c r="A46" s="143"/>
      <c r="B46" s="148" t="s">
        <v>80</v>
      </c>
      <c r="C46" s="149" t="s">
        <v>76</v>
      </c>
      <c r="D46" s="143" t="s">
        <v>8</v>
      </c>
      <c r="E46" s="108">
        <f>Rekenblad!E46</f>
        <v>0</v>
      </c>
      <c r="F46" s="118">
        <f>Rekenblad!F46</f>
        <v>79.5</v>
      </c>
      <c r="G46" s="145"/>
      <c r="H46" s="145">
        <f t="shared" si="3"/>
        <v>0</v>
      </c>
      <c r="I46" s="569"/>
      <c r="J46" s="573"/>
      <c r="K46" s="118"/>
      <c r="L46" s="146"/>
      <c r="M46" s="146"/>
      <c r="N46" s="146"/>
      <c r="O46" s="146"/>
      <c r="P46" s="147"/>
      <c r="Q46" s="151"/>
    </row>
    <row r="47" spans="1:17" ht="30" customHeight="1">
      <c r="A47" s="143"/>
      <c r="B47" s="148" t="s">
        <v>89</v>
      </c>
      <c r="C47" s="149" t="s">
        <v>33</v>
      </c>
      <c r="D47" s="143" t="s">
        <v>8</v>
      </c>
      <c r="E47" s="108">
        <f>Rekenblad!E47</f>
        <v>16</v>
      </c>
      <c r="F47" s="118">
        <f>Rekenblad!F47</f>
        <v>111.83000000000001</v>
      </c>
      <c r="G47" s="118"/>
      <c r="H47" s="118">
        <f>E47*F47</f>
        <v>1789.2800000000002</v>
      </c>
      <c r="I47" s="569" t="s">
        <v>90</v>
      </c>
      <c r="J47" s="573"/>
      <c r="K47" s="118"/>
      <c r="L47" s="146"/>
      <c r="M47" s="146"/>
      <c r="N47" s="146"/>
      <c r="O47" s="146"/>
      <c r="P47" s="147"/>
      <c r="Q47" s="151"/>
    </row>
    <row r="48" spans="1:17" ht="30" customHeight="1">
      <c r="A48" s="143"/>
      <c r="B48" s="148" t="s">
        <v>91</v>
      </c>
      <c r="C48" s="149" t="s">
        <v>33</v>
      </c>
      <c r="D48" s="143" t="s">
        <v>8</v>
      </c>
      <c r="E48" s="108">
        <f>Rekenblad!E48</f>
        <v>2</v>
      </c>
      <c r="F48" s="118">
        <f>Rekenblad!F48</f>
        <v>97.52000000000001</v>
      </c>
      <c r="G48" s="118"/>
      <c r="H48" s="118">
        <f t="shared" ref="H48:H60" si="4">E48*F48</f>
        <v>195.04000000000002</v>
      </c>
      <c r="I48" s="569" t="s">
        <v>92</v>
      </c>
      <c r="J48" s="573"/>
      <c r="K48" s="118"/>
      <c r="L48" s="146"/>
      <c r="M48" s="146"/>
      <c r="N48" s="146"/>
      <c r="O48" s="146"/>
      <c r="P48" s="147"/>
      <c r="Q48" s="151"/>
    </row>
    <row r="49" spans="1:17" ht="30" customHeight="1">
      <c r="A49" s="143"/>
      <c r="B49" s="148" t="s">
        <v>93</v>
      </c>
      <c r="C49" s="149" t="s">
        <v>33</v>
      </c>
      <c r="D49" s="143" t="s">
        <v>8</v>
      </c>
      <c r="E49" s="108">
        <f>Rekenblad!E49</f>
        <v>40</v>
      </c>
      <c r="F49" s="118">
        <f>Rekenblad!F49</f>
        <v>68.37</v>
      </c>
      <c r="G49" s="118"/>
      <c r="H49" s="118">
        <f t="shared" si="4"/>
        <v>2734.8</v>
      </c>
      <c r="I49" s="569" t="s">
        <v>94</v>
      </c>
      <c r="J49" s="573"/>
      <c r="K49" s="118"/>
      <c r="L49" s="146"/>
      <c r="M49" s="146"/>
      <c r="N49" s="146"/>
      <c r="O49" s="146"/>
      <c r="P49" s="147"/>
      <c r="Q49" s="151"/>
    </row>
    <row r="50" spans="1:17" ht="30" customHeight="1">
      <c r="A50" s="143"/>
      <c r="B50" s="148" t="s">
        <v>95</v>
      </c>
      <c r="C50" s="149" t="s">
        <v>33</v>
      </c>
      <c r="D50" s="143" t="s">
        <v>8</v>
      </c>
      <c r="E50" s="108">
        <f>Rekenblad!E50</f>
        <v>2</v>
      </c>
      <c r="F50" s="118">
        <f>Rekenblad!F50</f>
        <v>68.37</v>
      </c>
      <c r="G50" s="118"/>
      <c r="H50" s="118">
        <f t="shared" si="4"/>
        <v>136.74</v>
      </c>
      <c r="I50" s="569" t="s">
        <v>92</v>
      </c>
      <c r="J50" s="573"/>
      <c r="K50" s="118"/>
      <c r="L50" s="146"/>
      <c r="M50" s="146"/>
      <c r="N50" s="146"/>
      <c r="O50" s="146"/>
      <c r="P50" s="147"/>
      <c r="Q50" s="151"/>
    </row>
    <row r="51" spans="1:17" ht="30" customHeight="1">
      <c r="A51" s="143"/>
      <c r="B51" s="148" t="s">
        <v>96</v>
      </c>
      <c r="C51" s="149" t="s">
        <v>33</v>
      </c>
      <c r="D51" s="143" t="s">
        <v>8</v>
      </c>
      <c r="E51" s="108">
        <f>Rekenblad!E51</f>
        <v>2</v>
      </c>
      <c r="F51" s="118">
        <f>Rekenblad!F51</f>
        <v>82.68</v>
      </c>
      <c r="G51" s="118"/>
      <c r="H51" s="118">
        <f t="shared" si="4"/>
        <v>165.36</v>
      </c>
      <c r="I51" s="569" t="s">
        <v>92</v>
      </c>
      <c r="J51" s="573"/>
      <c r="K51" s="118"/>
      <c r="L51" s="146"/>
      <c r="M51" s="146"/>
      <c r="N51" s="146"/>
      <c r="O51" s="146"/>
      <c r="P51" s="147"/>
      <c r="Q51" s="151"/>
    </row>
    <row r="52" spans="1:17" ht="30" customHeight="1">
      <c r="A52" s="143"/>
      <c r="B52" s="157" t="s">
        <v>97</v>
      </c>
      <c r="C52" s="160" t="s">
        <v>33</v>
      </c>
      <c r="D52" s="143" t="s">
        <v>8</v>
      </c>
      <c r="E52" s="108">
        <f>Rekenblad!E52</f>
        <v>40</v>
      </c>
      <c r="F52" s="118">
        <f>Rekenblad!F52</f>
        <v>100.17</v>
      </c>
      <c r="G52" s="118"/>
      <c r="H52" s="118">
        <f t="shared" si="4"/>
        <v>4006.8</v>
      </c>
      <c r="I52" s="569" t="s">
        <v>94</v>
      </c>
      <c r="J52" s="573"/>
      <c r="K52" s="161"/>
      <c r="L52" s="162"/>
      <c r="M52" s="162"/>
      <c r="N52" s="162"/>
      <c r="O52" s="162"/>
      <c r="P52" s="163"/>
      <c r="Q52" s="151"/>
    </row>
    <row r="53" spans="1:17" ht="30" customHeight="1">
      <c r="A53" s="143"/>
      <c r="B53" s="157" t="s">
        <v>98</v>
      </c>
      <c r="C53" s="160" t="s">
        <v>57</v>
      </c>
      <c r="D53" s="143" t="s">
        <v>8</v>
      </c>
      <c r="E53" s="108">
        <f>Rekenblad!E53</f>
        <v>5</v>
      </c>
      <c r="F53" s="118">
        <f>Rekenblad!F53</f>
        <v>113.102</v>
      </c>
      <c r="G53" s="118"/>
      <c r="H53" s="118">
        <f t="shared" si="4"/>
        <v>565.51</v>
      </c>
      <c r="I53" s="153" t="s">
        <v>99</v>
      </c>
      <c r="J53" s="155"/>
      <c r="K53" s="161"/>
      <c r="L53" s="162"/>
      <c r="M53" s="162"/>
      <c r="N53" s="162"/>
      <c r="O53" s="162"/>
      <c r="P53" s="163"/>
      <c r="Q53" s="151"/>
    </row>
    <row r="54" spans="1:17" ht="30" customHeight="1">
      <c r="A54" s="143"/>
      <c r="B54" s="157" t="s">
        <v>100</v>
      </c>
      <c r="C54" s="160" t="s">
        <v>101</v>
      </c>
      <c r="D54" s="143" t="s">
        <v>8</v>
      </c>
      <c r="E54" s="108">
        <f>Rekenblad!E54</f>
        <v>0</v>
      </c>
      <c r="F54" s="118">
        <f>Rekenblad!F54</f>
        <v>42.400000000000006</v>
      </c>
      <c r="G54" s="145"/>
      <c r="H54" s="118">
        <f t="shared" si="4"/>
        <v>0</v>
      </c>
      <c r="I54" s="153"/>
      <c r="J54" s="155"/>
      <c r="K54" s="161"/>
      <c r="L54" s="162"/>
      <c r="M54" s="162"/>
      <c r="N54" s="162"/>
      <c r="O54" s="162"/>
      <c r="P54" s="163"/>
      <c r="Q54" s="151"/>
    </row>
    <row r="55" spans="1:17" ht="30" customHeight="1">
      <c r="A55" s="143"/>
      <c r="B55" s="157"/>
      <c r="C55" s="160"/>
      <c r="D55" s="143"/>
      <c r="E55" s="108"/>
      <c r="F55" s="118"/>
      <c r="G55" s="145"/>
      <c r="H55" s="145"/>
      <c r="I55" s="153"/>
      <c r="J55" s="155"/>
      <c r="K55" s="161"/>
      <c r="L55" s="162"/>
      <c r="M55" s="162"/>
      <c r="N55" s="162"/>
      <c r="O55" s="162"/>
      <c r="P55" s="163"/>
      <c r="Q55" s="151"/>
    </row>
    <row r="56" spans="1:17" ht="30" customHeight="1">
      <c r="A56" s="64" t="s">
        <v>102</v>
      </c>
      <c r="B56" s="156" t="s">
        <v>103</v>
      </c>
      <c r="C56" s="141"/>
      <c r="D56" s="64"/>
      <c r="E56" s="108"/>
      <c r="F56" s="118"/>
      <c r="G56" s="145"/>
      <c r="H56" s="145"/>
      <c r="I56" s="569"/>
      <c r="J56" s="573"/>
      <c r="K56" s="118"/>
      <c r="L56" s="146"/>
      <c r="M56" s="146"/>
      <c r="N56" s="146"/>
      <c r="O56" s="146"/>
      <c r="P56" s="147"/>
      <c r="Q56" s="151"/>
    </row>
    <row r="57" spans="1:17" ht="30" customHeight="1">
      <c r="A57" s="143"/>
      <c r="B57" s="157" t="s">
        <v>75</v>
      </c>
      <c r="C57" s="143" t="s">
        <v>76</v>
      </c>
      <c r="D57" s="143" t="s">
        <v>8</v>
      </c>
      <c r="E57" s="108">
        <f>Rekenblad!E57</f>
        <v>0</v>
      </c>
      <c r="F57" s="118">
        <f>Rekenblad!F57</f>
        <v>47.7</v>
      </c>
      <c r="G57" s="145"/>
      <c r="H57" s="145">
        <f t="shared" si="4"/>
        <v>0</v>
      </c>
      <c r="I57" s="569"/>
      <c r="J57" s="573"/>
      <c r="K57" s="118"/>
      <c r="L57" s="146"/>
      <c r="M57" s="146"/>
      <c r="N57" s="146"/>
      <c r="O57" s="146"/>
      <c r="P57" s="147"/>
      <c r="Q57" s="151"/>
    </row>
    <row r="58" spans="1:17" ht="30" customHeight="1">
      <c r="A58" s="143"/>
      <c r="B58" s="157" t="s">
        <v>78</v>
      </c>
      <c r="C58" s="143" t="s">
        <v>76</v>
      </c>
      <c r="D58" s="143" t="s">
        <v>8</v>
      </c>
      <c r="E58" s="108">
        <f>Rekenblad!E58</f>
        <v>0</v>
      </c>
      <c r="F58" s="118">
        <f>Rekenblad!F58</f>
        <v>58.300000000000004</v>
      </c>
      <c r="G58" s="145"/>
      <c r="H58" s="145">
        <f t="shared" si="4"/>
        <v>0</v>
      </c>
      <c r="I58" s="569"/>
      <c r="J58" s="573"/>
      <c r="K58" s="118"/>
      <c r="L58" s="146"/>
      <c r="M58" s="146"/>
      <c r="N58" s="146"/>
      <c r="O58" s="146"/>
      <c r="P58" s="147"/>
      <c r="Q58" s="151"/>
    </row>
    <row r="59" spans="1:17" ht="30" customHeight="1">
      <c r="A59" s="143"/>
      <c r="B59" s="157" t="s">
        <v>79</v>
      </c>
      <c r="C59" s="143" t="s">
        <v>76</v>
      </c>
      <c r="D59" s="143" t="s">
        <v>8</v>
      </c>
      <c r="E59" s="108">
        <f>Rekenblad!E59</f>
        <v>0</v>
      </c>
      <c r="F59" s="118">
        <f>Rekenblad!F59</f>
        <v>68.900000000000006</v>
      </c>
      <c r="G59" s="145"/>
      <c r="H59" s="145">
        <f t="shared" si="4"/>
        <v>0</v>
      </c>
      <c r="I59" s="569"/>
      <c r="J59" s="573"/>
      <c r="K59" s="118"/>
      <c r="L59" s="146"/>
      <c r="M59" s="146"/>
      <c r="N59" s="146"/>
      <c r="O59" s="146"/>
      <c r="P59" s="147"/>
      <c r="Q59" s="151"/>
    </row>
    <row r="60" spans="1:17" ht="30" customHeight="1">
      <c r="A60" s="143"/>
      <c r="B60" s="157" t="s">
        <v>80</v>
      </c>
      <c r="C60" s="143" t="s">
        <v>76</v>
      </c>
      <c r="D60" s="143" t="s">
        <v>8</v>
      </c>
      <c r="E60" s="108">
        <f>Rekenblad!E60</f>
        <v>0</v>
      </c>
      <c r="F60" s="118">
        <f>Rekenblad!F60</f>
        <v>95.4</v>
      </c>
      <c r="G60" s="145"/>
      <c r="H60" s="145">
        <f t="shared" si="4"/>
        <v>0</v>
      </c>
      <c r="I60" s="569"/>
      <c r="J60" s="573"/>
      <c r="K60" s="118"/>
      <c r="L60" s="146"/>
      <c r="M60" s="146"/>
      <c r="N60" s="146"/>
      <c r="O60" s="146"/>
      <c r="P60" s="147"/>
      <c r="Q60" s="151"/>
    </row>
    <row r="61" spans="1:17" ht="30" customHeight="1">
      <c r="A61" s="143"/>
      <c r="B61" s="157"/>
      <c r="C61" s="143"/>
      <c r="D61" s="143"/>
      <c r="E61" s="108"/>
      <c r="F61" s="118"/>
      <c r="G61" s="145"/>
      <c r="H61" s="145"/>
      <c r="I61" s="569"/>
      <c r="J61" s="573"/>
      <c r="K61" s="161"/>
      <c r="L61" s="162"/>
      <c r="M61" s="162"/>
      <c r="N61" s="162"/>
      <c r="O61" s="162"/>
      <c r="P61" s="163"/>
      <c r="Q61" s="151"/>
    </row>
    <row r="62" spans="1:17" ht="30" customHeight="1">
      <c r="A62" s="64" t="s">
        <v>104</v>
      </c>
      <c r="B62" s="65" t="s">
        <v>105</v>
      </c>
      <c r="C62" s="164"/>
      <c r="D62" s="35" t="s">
        <v>12</v>
      </c>
      <c r="E62" s="57" t="s">
        <v>13</v>
      </c>
      <c r="F62" s="60" t="str">
        <f>Rekenblad!F62</f>
        <v>bedrag per eenheid (excl. btw)</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f>Rekenblad!E63</f>
        <v>20</v>
      </c>
      <c r="F63" s="118">
        <f>Rekenblad!F63</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f>Rekenblad!E64</f>
        <v>0</v>
      </c>
      <c r="F64" s="118">
        <f>Rekenblad!F64</f>
        <v>238.5</v>
      </c>
      <c r="G64" s="145"/>
      <c r="H64" s="145">
        <f t="shared" ref="H64:H67" si="5">E64*F64</f>
        <v>0</v>
      </c>
      <c r="I64" s="569"/>
      <c r="J64" s="573"/>
      <c r="K64" s="118"/>
      <c r="L64" s="146"/>
      <c r="M64" s="146"/>
      <c r="N64" s="146"/>
      <c r="O64" s="146"/>
      <c r="P64" s="147"/>
      <c r="Q64" s="151"/>
    </row>
    <row r="65" spans="1:17" ht="30" customHeight="1">
      <c r="A65" s="143"/>
      <c r="B65" s="148" t="s">
        <v>79</v>
      </c>
      <c r="C65" s="149" t="s">
        <v>26</v>
      </c>
      <c r="D65" s="143" t="s">
        <v>8</v>
      </c>
      <c r="E65" s="108">
        <f>Rekenblad!E65</f>
        <v>0</v>
      </c>
      <c r="F65" s="118">
        <f>Rekenblad!F65</f>
        <v>1166</v>
      </c>
      <c r="G65" s="145"/>
      <c r="H65" s="145">
        <f t="shared" si="5"/>
        <v>0</v>
      </c>
      <c r="I65" s="569"/>
      <c r="J65" s="573"/>
      <c r="K65" s="118"/>
      <c r="L65" s="146"/>
      <c r="M65" s="146"/>
      <c r="N65" s="146"/>
      <c r="O65" s="146"/>
      <c r="P65" s="147"/>
      <c r="Q65" s="151"/>
    </row>
    <row r="66" spans="1:17" ht="30" customHeight="1">
      <c r="A66" s="143"/>
      <c r="B66" s="148" t="s">
        <v>80</v>
      </c>
      <c r="C66" s="149" t="s">
        <v>26</v>
      </c>
      <c r="D66" s="143" t="s">
        <v>8</v>
      </c>
      <c r="E66" s="108">
        <f>Rekenblad!E66</f>
        <v>0</v>
      </c>
      <c r="F66" s="118">
        <f>Rekenblad!F66</f>
        <v>344.5</v>
      </c>
      <c r="G66" s="145"/>
      <c r="H66" s="145">
        <f t="shared" si="5"/>
        <v>0</v>
      </c>
      <c r="I66" s="569"/>
      <c r="J66" s="573"/>
      <c r="K66" s="118"/>
      <c r="L66" s="146"/>
      <c r="M66" s="146"/>
      <c r="N66" s="146"/>
      <c r="O66" s="146"/>
      <c r="P66" s="147"/>
      <c r="Q66" s="151"/>
    </row>
    <row r="67" spans="1:17" ht="30" customHeight="1">
      <c r="A67" s="143"/>
      <c r="B67" s="148" t="s">
        <v>107</v>
      </c>
      <c r="C67" s="149" t="s">
        <v>57</v>
      </c>
      <c r="D67" s="143" t="s">
        <v>8</v>
      </c>
      <c r="E67" s="108">
        <f>Rekenblad!E67</f>
        <v>0</v>
      </c>
      <c r="F67" s="118">
        <f>Rekenblad!F67</f>
        <v>339.20000000000005</v>
      </c>
      <c r="G67" s="145"/>
      <c r="H67" s="145">
        <f t="shared" si="5"/>
        <v>0</v>
      </c>
      <c r="I67" s="153"/>
      <c r="J67" s="155"/>
      <c r="K67" s="118"/>
      <c r="L67" s="146"/>
      <c r="M67" s="146"/>
      <c r="N67" s="146"/>
      <c r="O67" s="146"/>
      <c r="P67" s="147"/>
      <c r="Q67" s="151"/>
    </row>
    <row r="68" spans="1:17" ht="30" customHeight="1">
      <c r="A68" s="143"/>
      <c r="B68" s="148"/>
      <c r="C68" s="149"/>
      <c r="D68" s="143"/>
      <c r="E68" s="108"/>
      <c r="F68" s="118"/>
      <c r="G68" s="145"/>
      <c r="H68" s="145"/>
      <c r="I68" s="569"/>
      <c r="J68" s="573"/>
      <c r="K68" s="118"/>
      <c r="L68" s="146"/>
      <c r="M68" s="146"/>
      <c r="N68" s="146"/>
      <c r="O68" s="146"/>
      <c r="P68" s="147"/>
      <c r="Q68" s="151"/>
    </row>
    <row r="69" spans="1:17" ht="30" customHeight="1">
      <c r="A69" s="165">
        <v>4</v>
      </c>
      <c r="B69" s="166" t="s">
        <v>108</v>
      </c>
      <c r="C69" s="166"/>
      <c r="D69" s="51" t="s">
        <v>12</v>
      </c>
      <c r="E69" s="52" t="s">
        <v>13</v>
      </c>
      <c r="F69" s="60" t="str">
        <f>Rekenblad!F69</f>
        <v>bedrag per eenheid (excl. btw)</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Rekenblad!E70</f>
        <v>40</v>
      </c>
      <c r="F70" s="118">
        <f>Rekenblad!F70</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Rekenblad!E71</f>
        <v>40</v>
      </c>
      <c r="F71" s="118">
        <f>Rekenblad!F71</f>
        <v>220.64400000000001</v>
      </c>
      <c r="G71" s="109"/>
      <c r="H71" s="167">
        <f t="shared" ref="H71:H76" si="6">E71*F71</f>
        <v>8825.76</v>
      </c>
      <c r="I71" s="569" t="s">
        <v>114</v>
      </c>
      <c r="J71" s="573"/>
      <c r="K71" s="118"/>
      <c r="L71" s="146"/>
      <c r="M71" s="146"/>
      <c r="N71" s="146"/>
      <c r="O71" s="146"/>
      <c r="P71" s="77"/>
      <c r="Q71" s="151"/>
    </row>
    <row r="72" spans="1:17" ht="30" customHeight="1">
      <c r="A72" s="78" t="s">
        <v>115</v>
      </c>
      <c r="B72" s="170" t="s">
        <v>116</v>
      </c>
      <c r="C72" s="89" t="s">
        <v>117</v>
      </c>
      <c r="D72" s="171" t="s">
        <v>118</v>
      </c>
      <c r="E72" s="108">
        <f>Rekenblad!E72</f>
        <v>0</v>
      </c>
      <c r="F72" s="118">
        <f>Rekenblad!F72</f>
        <v>39.75</v>
      </c>
      <c r="G72" s="109"/>
      <c r="H72" s="167">
        <f t="shared" si="6"/>
        <v>0</v>
      </c>
      <c r="I72" s="153"/>
      <c r="J72" s="152"/>
      <c r="K72" s="161"/>
      <c r="L72" s="162"/>
      <c r="M72" s="162"/>
      <c r="N72" s="162"/>
      <c r="O72" s="162"/>
      <c r="P72" s="163"/>
      <c r="Q72" s="151"/>
    </row>
    <row r="73" spans="1:17" ht="30" customHeight="1">
      <c r="A73" s="78" t="s">
        <v>119</v>
      </c>
      <c r="B73" s="170" t="s">
        <v>120</v>
      </c>
      <c r="C73" s="89" t="s">
        <v>117</v>
      </c>
      <c r="D73" s="171" t="s">
        <v>118</v>
      </c>
      <c r="E73" s="108">
        <f>Rekenblad!E73</f>
        <v>0</v>
      </c>
      <c r="F73" s="118">
        <f>Rekenblad!F73</f>
        <v>39.75</v>
      </c>
      <c r="G73" s="109"/>
      <c r="H73" s="167">
        <f t="shared" si="6"/>
        <v>0</v>
      </c>
      <c r="I73" s="153"/>
      <c r="J73" s="152"/>
      <c r="K73" s="161"/>
      <c r="L73" s="162"/>
      <c r="M73" s="162"/>
      <c r="N73" s="162"/>
      <c r="O73" s="162"/>
      <c r="P73" s="163"/>
      <c r="Q73" s="151"/>
    </row>
    <row r="74" spans="1:17" ht="30" customHeight="1">
      <c r="A74" s="78" t="s">
        <v>121</v>
      </c>
      <c r="B74" s="116" t="s">
        <v>122</v>
      </c>
      <c r="C74" s="75" t="s">
        <v>26</v>
      </c>
      <c r="D74" s="107" t="s">
        <v>8</v>
      </c>
      <c r="E74" s="108">
        <f>Rekenblad!E74</f>
        <v>40</v>
      </c>
      <c r="F74" s="118">
        <f>Rekenblad!F74</f>
        <v>82.987400000000008</v>
      </c>
      <c r="G74" s="109"/>
      <c r="H74" s="167">
        <f t="shared" si="6"/>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Rekenblad!E75</f>
        <v>40</v>
      </c>
      <c r="F75" s="118">
        <f>Rekenblad!F75</f>
        <v>147.55199999999999</v>
      </c>
      <c r="G75" s="109"/>
      <c r="H75" s="167">
        <f t="shared" si="6"/>
        <v>5902.08</v>
      </c>
      <c r="I75" s="569" t="s">
        <v>127</v>
      </c>
      <c r="J75" s="573"/>
      <c r="K75" s="168"/>
      <c r="L75" s="169"/>
      <c r="M75" s="169"/>
      <c r="N75" s="169"/>
      <c r="O75" s="169"/>
      <c r="P75" s="77"/>
      <c r="Q75" s="151"/>
    </row>
    <row r="76" spans="1:17" ht="30" customHeight="1">
      <c r="A76" s="171" t="s">
        <v>128</v>
      </c>
      <c r="B76" s="116" t="s">
        <v>129</v>
      </c>
      <c r="C76" s="75"/>
      <c r="D76" s="171" t="s">
        <v>126</v>
      </c>
      <c r="E76" s="108">
        <f>Rekenblad!E76</f>
        <v>0</v>
      </c>
      <c r="F76" s="118">
        <f>Rekenblad!F76</f>
        <v>190.8</v>
      </c>
      <c r="G76" s="109"/>
      <c r="H76" s="167">
        <f t="shared" si="6"/>
        <v>0</v>
      </c>
      <c r="I76" s="567"/>
      <c r="J76" s="567"/>
      <c r="K76" s="168"/>
      <c r="L76" s="169"/>
      <c r="M76" s="169"/>
      <c r="N76" s="169"/>
      <c r="O76" s="169"/>
      <c r="P76" s="77"/>
      <c r="Q76" s="151"/>
    </row>
    <row r="77" spans="1:17" ht="30" customHeight="1">
      <c r="A77" s="171" t="s">
        <v>130</v>
      </c>
      <c r="B77" s="116" t="s">
        <v>131</v>
      </c>
      <c r="C77" s="75"/>
      <c r="D77" s="171" t="s">
        <v>126</v>
      </c>
      <c r="E77" s="108">
        <f>Rekenblad!E77</f>
        <v>5</v>
      </c>
      <c r="F77" s="118">
        <f>Rekenblad!F77</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f>Rekenblad!E78</f>
        <v>0</v>
      </c>
      <c r="F78" s="118">
        <f>Rekenblad!F78</f>
        <v>68.900000000000006</v>
      </c>
      <c r="G78" s="109"/>
      <c r="H78" s="167">
        <f t="shared" ref="H78:H80" si="7">F78*E78</f>
        <v>0</v>
      </c>
      <c r="I78" s="76"/>
      <c r="J78" s="89"/>
      <c r="K78" s="161"/>
      <c r="L78" s="162"/>
      <c r="M78" s="162"/>
      <c r="N78" s="162"/>
      <c r="O78" s="162"/>
      <c r="P78" s="163"/>
      <c r="Q78" s="151"/>
    </row>
    <row r="79" spans="1:17" ht="30" customHeight="1">
      <c r="A79" s="171" t="s">
        <v>135</v>
      </c>
      <c r="B79" s="89" t="s">
        <v>136</v>
      </c>
      <c r="C79" s="89" t="s">
        <v>117</v>
      </c>
      <c r="D79" s="171" t="s">
        <v>118</v>
      </c>
      <c r="E79" s="108">
        <f>Rekenblad!E79</f>
        <v>0</v>
      </c>
      <c r="F79" s="118">
        <f>Rekenblad!F79</f>
        <v>196.10000000000002</v>
      </c>
      <c r="G79" s="109"/>
      <c r="H79" s="167">
        <f t="shared" si="7"/>
        <v>0</v>
      </c>
      <c r="I79" s="76"/>
      <c r="J79" s="89"/>
      <c r="K79" s="161"/>
      <c r="L79" s="162"/>
      <c r="M79" s="162"/>
      <c r="N79" s="162"/>
      <c r="O79" s="162"/>
      <c r="P79" s="163"/>
      <c r="Q79" s="151"/>
    </row>
    <row r="80" spans="1:17" ht="30" customHeight="1">
      <c r="A80" s="171" t="s">
        <v>137</v>
      </c>
      <c r="B80" s="89" t="s">
        <v>138</v>
      </c>
      <c r="C80" s="89" t="s">
        <v>117</v>
      </c>
      <c r="D80" s="171" t="s">
        <v>139</v>
      </c>
      <c r="E80" s="108">
        <f>Rekenblad!E80</f>
        <v>0</v>
      </c>
      <c r="F80" s="118">
        <f>Rekenblad!F80</f>
        <v>174.9</v>
      </c>
      <c r="G80" s="118"/>
      <c r="H80" s="167">
        <f t="shared" si="7"/>
        <v>0</v>
      </c>
      <c r="I80" s="173"/>
      <c r="J80" s="75"/>
      <c r="K80" s="37"/>
      <c r="L80" s="50"/>
      <c r="M80" s="50"/>
      <c r="N80" s="50"/>
      <c r="O80" s="50"/>
      <c r="P80" s="49"/>
      <c r="Q80" s="151"/>
    </row>
    <row r="81" spans="1:17" ht="30" customHeight="1">
      <c r="A81" s="171" t="s">
        <v>140</v>
      </c>
      <c r="B81" s="174" t="s">
        <v>141</v>
      </c>
      <c r="C81" s="107" t="s">
        <v>26</v>
      </c>
      <c r="D81" s="107" t="s">
        <v>8</v>
      </c>
      <c r="E81" s="108">
        <f>Rekenblad!E81</f>
        <v>40</v>
      </c>
      <c r="F81" s="118">
        <f>Rekenblad!F81</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Rekenblad!E82</f>
        <v>40</v>
      </c>
      <c r="F82" s="118">
        <f>Rekenblad!F82</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f>Rekenblad!E83</f>
        <v>0</v>
      </c>
      <c r="F83" s="118">
        <f>Rekenblad!F83</f>
        <v>0</v>
      </c>
      <c r="G83" s="109"/>
      <c r="H83" s="167">
        <f t="shared" ref="H83:H89" si="8">SUM(E83*F83)</f>
        <v>0</v>
      </c>
      <c r="I83" s="76"/>
      <c r="J83" s="89"/>
      <c r="K83" s="161"/>
      <c r="L83" s="162"/>
      <c r="M83" s="162"/>
      <c r="N83" s="162"/>
      <c r="O83" s="162"/>
      <c r="P83" s="163"/>
      <c r="Q83" s="151"/>
    </row>
    <row r="84" spans="1:17" ht="30" customHeight="1">
      <c r="A84" s="171" t="s">
        <v>148</v>
      </c>
      <c r="B84" s="89" t="s">
        <v>149</v>
      </c>
      <c r="C84" s="89" t="s">
        <v>117</v>
      </c>
      <c r="D84" s="171" t="s">
        <v>118</v>
      </c>
      <c r="E84" s="108">
        <f>Rekenblad!E84</f>
        <v>0</v>
      </c>
      <c r="F84" s="118">
        <f>Rekenblad!F84</f>
        <v>0</v>
      </c>
      <c r="G84" s="109"/>
      <c r="H84" s="167">
        <f t="shared" si="8"/>
        <v>0</v>
      </c>
      <c r="I84" s="175"/>
      <c r="J84" s="176"/>
      <c r="K84" s="161"/>
      <c r="L84" s="162"/>
      <c r="M84" s="162"/>
      <c r="N84" s="162"/>
      <c r="O84" s="162"/>
      <c r="P84" s="163"/>
      <c r="Q84" s="151"/>
    </row>
    <row r="85" spans="1:17" ht="30" customHeight="1">
      <c r="A85" s="171" t="s">
        <v>150</v>
      </c>
      <c r="B85" s="89" t="s">
        <v>151</v>
      </c>
      <c r="C85" s="89" t="s">
        <v>117</v>
      </c>
      <c r="D85" s="171" t="s">
        <v>118</v>
      </c>
      <c r="E85" s="108">
        <f>Rekenblad!E85</f>
        <v>0</v>
      </c>
      <c r="F85" s="118">
        <f>Rekenblad!F85</f>
        <v>174.9</v>
      </c>
      <c r="G85" s="109"/>
      <c r="H85" s="167">
        <f t="shared" si="8"/>
        <v>0</v>
      </c>
      <c r="I85" s="153"/>
      <c r="J85" s="152"/>
      <c r="K85" s="161"/>
      <c r="L85" s="162"/>
      <c r="M85" s="162"/>
      <c r="N85" s="162"/>
      <c r="O85" s="162"/>
      <c r="P85" s="163"/>
      <c r="Q85" s="151"/>
    </row>
    <row r="86" spans="1:17" ht="30" customHeight="1">
      <c r="A86" s="171" t="s">
        <v>152</v>
      </c>
      <c r="B86" s="170" t="s">
        <v>153</v>
      </c>
      <c r="C86" s="89" t="s">
        <v>117</v>
      </c>
      <c r="D86" s="171" t="s">
        <v>118</v>
      </c>
      <c r="E86" s="108">
        <f>Rekenblad!E86</f>
        <v>0</v>
      </c>
      <c r="F86" s="118">
        <f>Rekenblad!F86</f>
        <v>156.35</v>
      </c>
      <c r="G86" s="109"/>
      <c r="H86" s="167">
        <f t="shared" si="8"/>
        <v>0</v>
      </c>
      <c r="I86" s="153"/>
      <c r="J86" s="152"/>
      <c r="K86" s="161"/>
      <c r="L86" s="162"/>
      <c r="M86" s="162"/>
      <c r="N86" s="162"/>
      <c r="O86" s="162"/>
      <c r="P86" s="163"/>
      <c r="Q86" s="151"/>
    </row>
    <row r="87" spans="1:17" ht="30" customHeight="1">
      <c r="A87" s="171" t="s">
        <v>154</v>
      </c>
      <c r="B87" s="170" t="s">
        <v>153</v>
      </c>
      <c r="C87" s="89" t="s">
        <v>117</v>
      </c>
      <c r="D87" s="171" t="s">
        <v>118</v>
      </c>
      <c r="E87" s="108">
        <f>Rekenblad!E87</f>
        <v>0</v>
      </c>
      <c r="F87" s="118">
        <f>Rekenblad!F87</f>
        <v>234.52500000000001</v>
      </c>
      <c r="G87" s="109"/>
      <c r="H87" s="167">
        <f t="shared" si="8"/>
        <v>0</v>
      </c>
      <c r="I87" s="153"/>
      <c r="J87" s="152"/>
      <c r="K87" s="161"/>
      <c r="L87" s="162"/>
      <c r="M87" s="162"/>
      <c r="N87" s="162"/>
      <c r="O87" s="162"/>
      <c r="P87" s="163"/>
      <c r="Q87" s="151"/>
    </row>
    <row r="88" spans="1:17" ht="30" customHeight="1">
      <c r="A88" s="171" t="s">
        <v>155</v>
      </c>
      <c r="B88" s="170" t="s">
        <v>153</v>
      </c>
      <c r="C88" s="89" t="s">
        <v>117</v>
      </c>
      <c r="D88" s="171" t="s">
        <v>118</v>
      </c>
      <c r="E88" s="108">
        <f>Rekenblad!E88</f>
        <v>0</v>
      </c>
      <c r="F88" s="118">
        <f>Rekenblad!F88</f>
        <v>340.71600000000001</v>
      </c>
      <c r="G88" s="109"/>
      <c r="H88" s="167">
        <f t="shared" si="8"/>
        <v>0</v>
      </c>
      <c r="I88" s="153"/>
      <c r="J88" s="152"/>
      <c r="K88" s="161"/>
      <c r="L88" s="162"/>
      <c r="M88" s="162"/>
      <c r="N88" s="162"/>
      <c r="O88" s="162"/>
      <c r="P88" s="163"/>
      <c r="Q88" s="151"/>
    </row>
    <row r="89" spans="1:17" ht="30" customHeight="1">
      <c r="A89" s="171" t="s">
        <v>156</v>
      </c>
      <c r="B89" s="170" t="s">
        <v>153</v>
      </c>
      <c r="C89" s="89" t="s">
        <v>117</v>
      </c>
      <c r="D89" s="171" t="s">
        <v>118</v>
      </c>
      <c r="E89" s="108">
        <f>Rekenblad!E89</f>
        <v>0</v>
      </c>
      <c r="F89" s="118">
        <f>Rekenblad!F89</f>
        <v>312.7</v>
      </c>
      <c r="G89" s="109"/>
      <c r="H89" s="167">
        <f t="shared" si="8"/>
        <v>0</v>
      </c>
      <c r="I89" s="153"/>
      <c r="J89" s="152"/>
      <c r="K89" s="161"/>
      <c r="L89" s="162"/>
      <c r="M89" s="162"/>
      <c r="N89" s="162"/>
      <c r="O89" s="162"/>
      <c r="P89" s="163"/>
      <c r="Q89" s="151"/>
    </row>
    <row r="90" spans="1:17" ht="30" customHeight="1">
      <c r="A90" s="177"/>
      <c r="B90" s="174"/>
      <c r="C90" s="178"/>
      <c r="D90" s="178"/>
      <c r="E90" s="108"/>
      <c r="F90" s="118"/>
      <c r="G90" s="181"/>
      <c r="H90" s="182"/>
      <c r="I90" s="153"/>
      <c r="J90" s="152"/>
      <c r="K90" s="161"/>
      <c r="L90" s="162"/>
      <c r="M90" s="162"/>
      <c r="N90" s="162"/>
      <c r="O90" s="162"/>
      <c r="P90" s="163"/>
      <c r="Q90" s="151"/>
    </row>
    <row r="91" spans="1:17" ht="30" customHeight="1">
      <c r="A91" s="165">
        <v>5</v>
      </c>
      <c r="B91" s="115" t="s">
        <v>157</v>
      </c>
      <c r="C91" s="166"/>
      <c r="D91" s="51" t="s">
        <v>12</v>
      </c>
      <c r="E91" s="52" t="s">
        <v>13</v>
      </c>
      <c r="F91" s="60" t="str">
        <f>Rekenblad!F91</f>
        <v>bedrag per eenheid (excl. btw)</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08">
        <f>Rekenblad!E92</f>
        <v>0</v>
      </c>
      <c r="F92" s="118">
        <f>Rekenblad!F92</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Rekenblad!E93</f>
        <v>40</v>
      </c>
      <c r="F93" s="118">
        <f>Rekenblad!F93</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Rekenblad!E94</f>
        <v>40</v>
      </c>
      <c r="F94" s="118">
        <f>Rekenblad!F94</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f>Rekenblad!E95</f>
        <v>0</v>
      </c>
      <c r="F95" s="118">
        <f>Rekenblad!F95</f>
        <v>0</v>
      </c>
      <c r="G95" s="109"/>
      <c r="H95" s="167">
        <f t="shared" ref="H95:H98" si="9">E95*5</f>
        <v>0</v>
      </c>
      <c r="I95" s="76"/>
      <c r="J95" s="89"/>
      <c r="K95" s="161"/>
      <c r="L95" s="162"/>
      <c r="M95" s="162"/>
      <c r="N95" s="162"/>
      <c r="O95" s="162"/>
      <c r="P95" s="163"/>
      <c r="Q95" s="151"/>
    </row>
    <row r="96" spans="1:17" ht="30" customHeight="1">
      <c r="A96" s="171" t="s">
        <v>168</v>
      </c>
      <c r="B96" s="170" t="s">
        <v>169</v>
      </c>
      <c r="C96" s="89" t="s">
        <v>117</v>
      </c>
      <c r="D96" s="171" t="s">
        <v>118</v>
      </c>
      <c r="E96" s="108">
        <f>Rekenblad!E96</f>
        <v>0</v>
      </c>
      <c r="F96" s="118">
        <f>Rekenblad!F96</f>
        <v>0</v>
      </c>
      <c r="G96" s="109"/>
      <c r="H96" s="167">
        <f t="shared" si="9"/>
        <v>0</v>
      </c>
      <c r="I96" s="76"/>
      <c r="J96" s="89"/>
      <c r="K96" s="161"/>
      <c r="L96" s="162"/>
      <c r="M96" s="162"/>
      <c r="N96" s="162"/>
      <c r="O96" s="162"/>
      <c r="P96" s="163"/>
      <c r="Q96" s="151"/>
    </row>
    <row r="97" spans="1:17" ht="30" customHeight="1">
      <c r="A97" s="171" t="s">
        <v>170</v>
      </c>
      <c r="B97" s="170" t="s">
        <v>171</v>
      </c>
      <c r="C97" s="89" t="s">
        <v>117</v>
      </c>
      <c r="D97" s="171" t="s">
        <v>118</v>
      </c>
      <c r="E97" s="108">
        <f>Rekenblad!E97</f>
        <v>0</v>
      </c>
      <c r="F97" s="118">
        <f>Rekenblad!F97</f>
        <v>0</v>
      </c>
      <c r="G97" s="109"/>
      <c r="H97" s="167">
        <f t="shared" si="9"/>
        <v>0</v>
      </c>
      <c r="I97" s="76"/>
      <c r="J97" s="89"/>
      <c r="K97" s="161"/>
      <c r="L97" s="162"/>
      <c r="M97" s="162"/>
      <c r="N97" s="162"/>
      <c r="O97" s="162"/>
      <c r="P97" s="163"/>
      <c r="Q97" s="151"/>
    </row>
    <row r="98" spans="1:17" ht="30" customHeight="1">
      <c r="A98" s="171" t="s">
        <v>172</v>
      </c>
      <c r="B98" s="170" t="s">
        <v>173</v>
      </c>
      <c r="C98" s="89" t="s">
        <v>117</v>
      </c>
      <c r="D98" s="171" t="s">
        <v>118</v>
      </c>
      <c r="E98" s="108">
        <f>Rekenblad!E98</f>
        <v>0</v>
      </c>
      <c r="F98" s="118">
        <f>Rekenblad!F98</f>
        <v>0</v>
      </c>
      <c r="G98" s="109"/>
      <c r="H98" s="167">
        <f t="shared" si="9"/>
        <v>0</v>
      </c>
      <c r="I98" s="76"/>
      <c r="J98" s="89"/>
      <c r="K98" s="161"/>
      <c r="L98" s="162"/>
      <c r="M98" s="162"/>
      <c r="N98" s="162"/>
      <c r="O98" s="162"/>
      <c r="P98" s="163"/>
      <c r="Q98" s="151"/>
    </row>
    <row r="99" spans="1:17" ht="30" customHeight="1">
      <c r="A99" s="171" t="s">
        <v>174</v>
      </c>
      <c r="B99" s="116" t="s">
        <v>175</v>
      </c>
      <c r="C99" s="75" t="s">
        <v>57</v>
      </c>
      <c r="D99" s="107" t="s">
        <v>8</v>
      </c>
      <c r="E99" s="108">
        <f>Rekenblad!E99</f>
        <v>24</v>
      </c>
      <c r="F99" s="118">
        <f>Rekenblad!F99</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f>Rekenblad!E100</f>
        <v>0</v>
      </c>
      <c r="F100" s="118">
        <f>Rekenblad!F100</f>
        <v>36.887999999999998</v>
      </c>
      <c r="G100" s="109"/>
      <c r="H100" s="167">
        <f t="shared" ref="H100:H102" si="10">E100*5</f>
        <v>0</v>
      </c>
      <c r="I100" s="76"/>
      <c r="J100" s="89"/>
      <c r="K100" s="161"/>
      <c r="L100" s="162"/>
      <c r="M100" s="162"/>
      <c r="N100" s="162"/>
      <c r="O100" s="162"/>
      <c r="P100" s="163"/>
      <c r="Q100" s="151"/>
    </row>
    <row r="101" spans="1:17" ht="30" customHeight="1">
      <c r="A101" s="171" t="s">
        <v>179</v>
      </c>
      <c r="B101" s="89" t="s">
        <v>180</v>
      </c>
      <c r="C101" s="89" t="s">
        <v>117</v>
      </c>
      <c r="D101" s="171" t="s">
        <v>118</v>
      </c>
      <c r="E101" s="108">
        <f>Rekenblad!E101</f>
        <v>0</v>
      </c>
      <c r="F101" s="118">
        <f>Rekenblad!F101</f>
        <v>185.5</v>
      </c>
      <c r="G101" s="118"/>
      <c r="H101" s="167">
        <f t="shared" si="10"/>
        <v>0</v>
      </c>
      <c r="I101" s="173"/>
      <c r="J101" s="75"/>
      <c r="K101" s="183"/>
      <c r="L101" s="184"/>
      <c r="M101" s="184"/>
      <c r="N101" s="184"/>
      <c r="O101" s="184"/>
      <c r="P101" s="185"/>
      <c r="Q101" s="151"/>
    </row>
    <row r="102" spans="1:17" ht="30" customHeight="1">
      <c r="A102" s="186" t="s">
        <v>181</v>
      </c>
      <c r="B102" s="187" t="s">
        <v>182</v>
      </c>
      <c r="C102" s="188" t="s">
        <v>117</v>
      </c>
      <c r="D102" s="186" t="s">
        <v>118</v>
      </c>
      <c r="E102" s="108">
        <f>Rekenblad!E102</f>
        <v>0</v>
      </c>
      <c r="F102" s="118">
        <f>Rekenblad!F102</f>
        <v>0</v>
      </c>
      <c r="G102" s="189"/>
      <c r="H102" s="167">
        <f t="shared" si="10"/>
        <v>0</v>
      </c>
      <c r="I102" s="190"/>
      <c r="J102" s="191"/>
      <c r="K102" s="183"/>
      <c r="L102" s="184"/>
      <c r="M102" s="184"/>
      <c r="N102" s="184"/>
      <c r="O102" s="184"/>
      <c r="P102" s="185"/>
      <c r="Q102" s="151"/>
    </row>
    <row r="103" spans="1:17" ht="30" customHeight="1">
      <c r="A103" s="171"/>
      <c r="B103" s="116"/>
      <c r="C103" s="75"/>
      <c r="D103" s="107"/>
      <c r="E103" s="108"/>
      <c r="F103" s="118"/>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60" t="str">
        <f>Rekenblad!F104</f>
        <v>bedrag per eenheid (excl. btw)</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f>Rekenblad!E105</f>
        <v>0</v>
      </c>
      <c r="F105" s="118">
        <f>Rekenblad!F105</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f>Rekenblad!E106</f>
        <v>16</v>
      </c>
      <c r="F106" s="118">
        <f>Rekenblad!F106</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f>Rekenblad!E107</f>
        <v>8</v>
      </c>
      <c r="F107" s="118">
        <f>Rekenblad!F107</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Rekenblad!E108</f>
        <v>40</v>
      </c>
      <c r="F108" s="118">
        <f>Rekenblad!F108</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10</v>
      </c>
      <c r="F109" s="118">
        <f>Rekenblad!F109</f>
        <v>74.2</v>
      </c>
      <c r="G109" s="118"/>
      <c r="H109" s="195">
        <f t="shared" ref="H109:H120" si="11">SUM(E109*F109)</f>
        <v>742</v>
      </c>
      <c r="I109" s="569" t="s">
        <v>197</v>
      </c>
      <c r="J109" s="570"/>
      <c r="K109" s="161"/>
      <c r="L109" s="162"/>
      <c r="M109" s="162"/>
      <c r="N109" s="162"/>
      <c r="O109" s="162"/>
      <c r="P109" s="163"/>
      <c r="Q109" s="151"/>
    </row>
    <row r="110" spans="1:17" ht="30" customHeight="1">
      <c r="A110" s="104" t="s">
        <v>198</v>
      </c>
      <c r="B110" s="170" t="s">
        <v>199</v>
      </c>
      <c r="C110" s="171" t="s">
        <v>76</v>
      </c>
      <c r="D110" s="171" t="s">
        <v>8</v>
      </c>
      <c r="E110" s="108">
        <f>Rekenblad!E110</f>
        <v>0</v>
      </c>
      <c r="F110" s="118">
        <f>Rekenblad!F110</f>
        <v>286.2</v>
      </c>
      <c r="G110" s="118"/>
      <c r="H110" s="167">
        <f t="shared" si="11"/>
        <v>0</v>
      </c>
      <c r="I110" s="567"/>
      <c r="J110" s="568"/>
      <c r="K110" s="161"/>
      <c r="L110" s="162"/>
      <c r="M110" s="162"/>
      <c r="N110" s="162"/>
      <c r="O110" s="162"/>
      <c r="P110" s="163"/>
      <c r="Q110" s="151"/>
    </row>
    <row r="111" spans="1:17" ht="30" customHeight="1">
      <c r="A111" s="104" t="s">
        <v>200</v>
      </c>
      <c r="B111" s="170" t="s">
        <v>201</v>
      </c>
      <c r="C111" s="171" t="s">
        <v>76</v>
      </c>
      <c r="D111" s="171" t="s">
        <v>8</v>
      </c>
      <c r="E111" s="108">
        <f>Rekenblad!E111</f>
        <v>0</v>
      </c>
      <c r="F111" s="118">
        <f>Rekenblad!F111</f>
        <v>296.8</v>
      </c>
      <c r="G111" s="118"/>
      <c r="H111" s="167">
        <f t="shared" si="11"/>
        <v>0</v>
      </c>
      <c r="I111" s="567"/>
      <c r="J111" s="568"/>
      <c r="K111" s="161"/>
      <c r="L111" s="162"/>
      <c r="M111" s="162"/>
      <c r="N111" s="162"/>
      <c r="O111" s="162"/>
      <c r="P111" s="163"/>
      <c r="Q111" s="151"/>
    </row>
    <row r="112" spans="1:17" ht="30" customHeight="1">
      <c r="A112" s="104" t="s">
        <v>202</v>
      </c>
      <c r="B112" s="170" t="s">
        <v>203</v>
      </c>
      <c r="C112" s="171" t="s">
        <v>57</v>
      </c>
      <c r="D112" s="171" t="s">
        <v>8</v>
      </c>
      <c r="E112" s="108">
        <f>Rekenblad!E112</f>
        <v>0</v>
      </c>
      <c r="F112" s="118">
        <f>Rekenblad!F112</f>
        <v>307.40000000000003</v>
      </c>
      <c r="G112" s="118"/>
      <c r="H112" s="167">
        <f t="shared" si="11"/>
        <v>0</v>
      </c>
      <c r="I112" s="567"/>
      <c r="J112" s="568"/>
      <c r="K112" s="161"/>
      <c r="L112" s="162"/>
      <c r="M112" s="162"/>
      <c r="N112" s="162"/>
      <c r="O112" s="162"/>
      <c r="P112" s="163"/>
      <c r="Q112" s="151"/>
    </row>
    <row r="113" spans="1:17" ht="30" customHeight="1">
      <c r="A113" s="104" t="s">
        <v>204</v>
      </c>
      <c r="B113" s="89" t="s">
        <v>205</v>
      </c>
      <c r="C113" s="89" t="s">
        <v>117</v>
      </c>
      <c r="D113" s="171" t="s">
        <v>118</v>
      </c>
      <c r="E113" s="108">
        <f>Rekenblad!E113</f>
        <v>0</v>
      </c>
      <c r="F113" s="118">
        <f>Rekenblad!F113</f>
        <v>47.7</v>
      </c>
      <c r="G113" s="118"/>
      <c r="H113" s="197">
        <f t="shared" si="11"/>
        <v>0</v>
      </c>
      <c r="I113" s="567"/>
      <c r="J113" s="568"/>
      <c r="K113" s="183"/>
      <c r="L113" s="184"/>
      <c r="M113" s="184"/>
      <c r="N113" s="184"/>
      <c r="O113" s="184"/>
      <c r="P113" s="185"/>
      <c r="Q113" s="151"/>
    </row>
    <row r="114" spans="1:17" ht="30" customHeight="1">
      <c r="A114" s="104" t="s">
        <v>206</v>
      </c>
      <c r="B114" s="170" t="s">
        <v>207</v>
      </c>
      <c r="C114" s="171" t="s">
        <v>57</v>
      </c>
      <c r="D114" s="171" t="s">
        <v>8</v>
      </c>
      <c r="E114" s="108">
        <f>Rekenblad!E114</f>
        <v>0</v>
      </c>
      <c r="F114" s="118">
        <f>Rekenblad!F114</f>
        <v>19.080000000000002</v>
      </c>
      <c r="G114" s="118"/>
      <c r="H114" s="167">
        <f t="shared" si="11"/>
        <v>0</v>
      </c>
      <c r="I114" s="567"/>
      <c r="J114" s="568"/>
      <c r="K114" s="161"/>
      <c r="L114" s="162"/>
      <c r="M114" s="162"/>
      <c r="N114" s="162"/>
      <c r="O114" s="162"/>
      <c r="P114" s="163"/>
      <c r="Q114" s="151"/>
    </row>
    <row r="115" spans="1:17" ht="30" customHeight="1">
      <c r="A115" s="104" t="s">
        <v>208</v>
      </c>
      <c r="B115" s="89" t="s">
        <v>209</v>
      </c>
      <c r="C115" s="89" t="s">
        <v>117</v>
      </c>
      <c r="D115" s="171" t="s">
        <v>118</v>
      </c>
      <c r="E115" s="196">
        <f>G3</f>
        <v>10</v>
      </c>
      <c r="F115" s="118">
        <f>Rekenblad!F115</f>
        <v>101.23</v>
      </c>
      <c r="G115" s="118"/>
      <c r="H115" s="198">
        <f t="shared" si="11"/>
        <v>1012.3000000000001</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f>Rekenblad!E116</f>
        <v>0</v>
      </c>
      <c r="F116" s="118">
        <f>Rekenblad!F116</f>
        <v>66.25</v>
      </c>
      <c r="G116" s="118"/>
      <c r="H116" s="197">
        <f t="shared" si="11"/>
        <v>0</v>
      </c>
      <c r="I116" s="567"/>
      <c r="J116" s="568"/>
      <c r="K116" s="183"/>
      <c r="L116" s="184"/>
      <c r="M116" s="184"/>
      <c r="N116" s="184"/>
      <c r="O116" s="184"/>
      <c r="P116" s="185"/>
      <c r="Q116" s="151"/>
    </row>
    <row r="117" spans="1:17" ht="30" customHeight="1">
      <c r="A117" s="104" t="s">
        <v>212</v>
      </c>
      <c r="B117" s="89" t="s">
        <v>213</v>
      </c>
      <c r="C117" s="89" t="s">
        <v>117</v>
      </c>
      <c r="D117" s="171" t="s">
        <v>118</v>
      </c>
      <c r="E117" s="108">
        <f>Rekenblad!E117</f>
        <v>0</v>
      </c>
      <c r="F117" s="118">
        <f>Rekenblad!F117</f>
        <v>0</v>
      </c>
      <c r="G117" s="118"/>
      <c r="H117" s="197">
        <f t="shared" si="11"/>
        <v>0</v>
      </c>
      <c r="I117" s="567"/>
      <c r="J117" s="568"/>
      <c r="K117" s="183"/>
      <c r="L117" s="184"/>
      <c r="M117" s="184"/>
      <c r="N117" s="184"/>
      <c r="O117" s="184"/>
      <c r="P117" s="185"/>
      <c r="Q117" s="151"/>
    </row>
    <row r="118" spans="1:17" ht="30" customHeight="1">
      <c r="A118" s="104" t="s">
        <v>214</v>
      </c>
      <c r="B118" s="170" t="s">
        <v>215</v>
      </c>
      <c r="C118" s="89" t="s">
        <v>117</v>
      </c>
      <c r="D118" s="171" t="s">
        <v>118</v>
      </c>
      <c r="E118" s="108">
        <f>Rekenblad!E118</f>
        <v>0</v>
      </c>
      <c r="F118" s="118">
        <f>Rekenblad!F118</f>
        <v>0</v>
      </c>
      <c r="G118" s="118"/>
      <c r="H118" s="197">
        <f t="shared" si="11"/>
        <v>0</v>
      </c>
      <c r="I118" s="567"/>
      <c r="J118" s="568"/>
      <c r="K118" s="183"/>
      <c r="L118" s="184"/>
      <c r="M118" s="184"/>
      <c r="N118" s="184"/>
      <c r="O118" s="184"/>
      <c r="P118" s="185"/>
      <c r="Q118" s="151"/>
    </row>
    <row r="119" spans="1:17" ht="30" customHeight="1">
      <c r="A119" s="104" t="s">
        <v>216</v>
      </c>
      <c r="B119" s="170" t="s">
        <v>217</v>
      </c>
      <c r="C119" s="89" t="s">
        <v>117</v>
      </c>
      <c r="D119" s="171" t="s">
        <v>218</v>
      </c>
      <c r="E119" s="108">
        <f>Rekenblad!E119</f>
        <v>0</v>
      </c>
      <c r="F119" s="118">
        <f>Rekenblad!F119</f>
        <v>13.25</v>
      </c>
      <c r="G119" s="118"/>
      <c r="H119" s="197">
        <f t="shared" si="11"/>
        <v>0</v>
      </c>
      <c r="I119" s="567"/>
      <c r="J119" s="568"/>
      <c r="K119" s="183"/>
      <c r="L119" s="184"/>
      <c r="M119" s="184"/>
      <c r="N119" s="184"/>
      <c r="O119" s="184"/>
      <c r="P119" s="185"/>
      <c r="Q119" s="151"/>
    </row>
    <row r="120" spans="1:17" ht="30" customHeight="1">
      <c r="A120" s="104" t="s">
        <v>219</v>
      </c>
      <c r="B120" s="89" t="s">
        <v>220</v>
      </c>
      <c r="C120" s="89" t="s">
        <v>117</v>
      </c>
      <c r="D120" s="171" t="s">
        <v>118</v>
      </c>
      <c r="E120" s="108">
        <f>Rekenblad!E120</f>
        <v>0</v>
      </c>
      <c r="F120" s="118">
        <f>Rekenblad!F120</f>
        <v>0</v>
      </c>
      <c r="G120" s="118"/>
      <c r="H120" s="197">
        <f t="shared" si="11"/>
        <v>0</v>
      </c>
      <c r="I120" s="567"/>
      <c r="J120" s="568"/>
      <c r="K120" s="183"/>
      <c r="L120" s="184"/>
      <c r="M120" s="184"/>
      <c r="N120" s="184"/>
      <c r="O120" s="184"/>
      <c r="P120" s="185"/>
      <c r="Q120" s="151"/>
    </row>
    <row r="121" spans="1:17" ht="30" customHeight="1">
      <c r="A121" s="143"/>
      <c r="B121" s="149"/>
      <c r="C121" s="149"/>
      <c r="D121" s="143"/>
      <c r="E121" s="108"/>
      <c r="F121" s="118"/>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60" t="str">
        <f>Rekenblad!F122</f>
        <v>bedrag per eenheid (excl. btw)</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f>Rekenblad!E123</f>
        <v>0</v>
      </c>
      <c r="F123" s="118">
        <f>Rekenblad!F123</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f>Rekenblad!E124</f>
        <v>0</v>
      </c>
      <c r="F124" s="118">
        <f>Rekenblad!F124</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Rekenblad!E125</f>
        <v>200</v>
      </c>
      <c r="F125" s="118">
        <f>Rekenblad!F125</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Rekenblad!E126</f>
        <v>200</v>
      </c>
      <c r="F126" s="118">
        <f>Rekenblad!F126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f>Rekenblad!E127</f>
        <v>0</v>
      </c>
      <c r="F127" s="118">
        <f>Rekenblad!F127</f>
        <v>609.5</v>
      </c>
      <c r="G127" s="109"/>
      <c r="H127" s="167">
        <f t="shared" ref="H127:H136" si="12">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f>Rekenblad!E128</f>
        <v>0</v>
      </c>
      <c r="F128" s="118">
        <f>Rekenblad!F128</f>
        <v>676.28000000000009</v>
      </c>
      <c r="G128" s="109"/>
      <c r="H128" s="167">
        <f t="shared" si="12"/>
        <v>0</v>
      </c>
      <c r="I128" s="569"/>
      <c r="J128" s="570"/>
      <c r="K128" s="118"/>
      <c r="L128" s="146"/>
      <c r="M128" s="146"/>
      <c r="N128" s="146"/>
      <c r="O128" s="146"/>
      <c r="P128" s="147"/>
      <c r="Q128" s="151"/>
    </row>
    <row r="129" spans="1:17" ht="30" customHeight="1">
      <c r="A129" s="171" t="s">
        <v>236</v>
      </c>
      <c r="B129" s="89" t="s">
        <v>237</v>
      </c>
      <c r="C129" s="89" t="s">
        <v>117</v>
      </c>
      <c r="D129" s="171" t="s">
        <v>118</v>
      </c>
      <c r="E129" s="108">
        <f>Rekenblad!E129</f>
        <v>0</v>
      </c>
      <c r="F129" s="118">
        <f>Rekenblad!F129</f>
        <v>318</v>
      </c>
      <c r="G129" s="118"/>
      <c r="H129" s="167">
        <f t="shared" si="12"/>
        <v>0</v>
      </c>
      <c r="I129" s="569"/>
      <c r="J129" s="570"/>
      <c r="K129" s="183"/>
      <c r="L129" s="184"/>
      <c r="M129" s="184"/>
      <c r="N129" s="184"/>
      <c r="O129" s="184"/>
      <c r="P129" s="185"/>
      <c r="Q129" s="151"/>
    </row>
    <row r="130" spans="1:17" ht="30" customHeight="1">
      <c r="A130" s="171" t="s">
        <v>238</v>
      </c>
      <c r="B130" s="89" t="s">
        <v>239</v>
      </c>
      <c r="C130" s="89" t="s">
        <v>117</v>
      </c>
      <c r="D130" s="171" t="s">
        <v>118</v>
      </c>
      <c r="E130" s="108">
        <f>Rekenblad!E130</f>
        <v>0</v>
      </c>
      <c r="F130" s="118">
        <f>Rekenblad!F130</f>
        <v>0</v>
      </c>
      <c r="G130" s="118"/>
      <c r="H130" s="167">
        <f t="shared" si="12"/>
        <v>0</v>
      </c>
      <c r="I130" s="569"/>
      <c r="J130" s="570"/>
      <c r="K130" s="183"/>
      <c r="L130" s="184"/>
      <c r="M130" s="184"/>
      <c r="N130" s="184"/>
      <c r="O130" s="184"/>
      <c r="P130" s="185"/>
      <c r="Q130" s="151"/>
    </row>
    <row r="131" spans="1:17" ht="30" customHeight="1">
      <c r="A131" s="171" t="s">
        <v>240</v>
      </c>
      <c r="B131" s="89" t="s">
        <v>241</v>
      </c>
      <c r="C131" s="89" t="s">
        <v>117</v>
      </c>
      <c r="D131" s="171" t="s">
        <v>118</v>
      </c>
      <c r="E131" s="108">
        <f>Rekenblad!E131</f>
        <v>0</v>
      </c>
      <c r="F131" s="118">
        <f>Rekenblad!F131</f>
        <v>206.70000000000002</v>
      </c>
      <c r="G131" s="118"/>
      <c r="H131" s="167">
        <f t="shared" si="12"/>
        <v>0</v>
      </c>
      <c r="I131" s="569"/>
      <c r="J131" s="570"/>
      <c r="K131" s="183"/>
      <c r="L131" s="184"/>
      <c r="M131" s="184"/>
      <c r="N131" s="184"/>
      <c r="O131" s="184"/>
      <c r="P131" s="185"/>
      <c r="Q131" s="151"/>
    </row>
    <row r="132" spans="1:17" ht="30" customHeight="1">
      <c r="A132" s="171" t="s">
        <v>242</v>
      </c>
      <c r="B132" s="89" t="s">
        <v>243</v>
      </c>
      <c r="C132" s="89" t="s">
        <v>117</v>
      </c>
      <c r="D132" s="171" t="s">
        <v>118</v>
      </c>
      <c r="E132" s="108">
        <f>Rekenblad!E132</f>
        <v>0</v>
      </c>
      <c r="F132" s="118">
        <f>Rekenblad!F132</f>
        <v>0</v>
      </c>
      <c r="G132" s="118"/>
      <c r="H132" s="167">
        <f t="shared" si="12"/>
        <v>0</v>
      </c>
      <c r="I132" s="569"/>
      <c r="J132" s="570"/>
      <c r="K132" s="183"/>
      <c r="L132" s="184"/>
      <c r="M132" s="184"/>
      <c r="N132" s="184"/>
      <c r="O132" s="184"/>
      <c r="P132" s="185"/>
      <c r="Q132" s="151"/>
    </row>
    <row r="133" spans="1:17" ht="30" customHeight="1">
      <c r="A133" s="171" t="s">
        <v>244</v>
      </c>
      <c r="B133" s="174" t="s">
        <v>245</v>
      </c>
      <c r="C133" s="107" t="s">
        <v>57</v>
      </c>
      <c r="D133" s="107" t="s">
        <v>8</v>
      </c>
      <c r="E133" s="108">
        <f>Rekenblad!E133</f>
        <v>0</v>
      </c>
      <c r="F133" s="118">
        <f>Rekenblad!F133</f>
        <v>212.952</v>
      </c>
      <c r="G133" s="109"/>
      <c r="H133" s="167">
        <f t="shared" si="12"/>
        <v>0</v>
      </c>
      <c r="I133" s="569"/>
      <c r="J133" s="570"/>
      <c r="K133" s="118"/>
      <c r="L133" s="146"/>
      <c r="M133" s="146"/>
      <c r="N133" s="146"/>
      <c r="O133" s="146"/>
      <c r="P133" s="147"/>
      <c r="Q133" s="151"/>
    </row>
    <row r="134" spans="1:17" ht="30" customHeight="1">
      <c r="A134" s="171" t="s">
        <v>246</v>
      </c>
      <c r="B134" s="202" t="s">
        <v>247</v>
      </c>
      <c r="C134" s="203" t="s">
        <v>57</v>
      </c>
      <c r="D134" s="178" t="s">
        <v>8</v>
      </c>
      <c r="E134" s="108">
        <f>Rekenblad!E134</f>
        <v>0</v>
      </c>
      <c r="F134" s="118">
        <f>Rekenblad!F134</f>
        <v>270.3</v>
      </c>
      <c r="G134" s="206"/>
      <c r="H134" s="167">
        <f t="shared" si="12"/>
        <v>0</v>
      </c>
      <c r="I134" s="569"/>
      <c r="J134" s="570"/>
      <c r="K134" s="118"/>
      <c r="L134" s="146"/>
      <c r="M134" s="146"/>
      <c r="N134" s="146"/>
      <c r="O134" s="146"/>
      <c r="P134" s="147"/>
      <c r="Q134" s="151"/>
    </row>
    <row r="135" spans="1:17" ht="30" customHeight="1">
      <c r="A135" s="171" t="s">
        <v>248</v>
      </c>
      <c r="B135" s="174" t="s">
        <v>249</v>
      </c>
      <c r="C135" s="107" t="s">
        <v>57</v>
      </c>
      <c r="D135" s="107" t="s">
        <v>8</v>
      </c>
      <c r="E135" s="108">
        <f>Rekenblad!E135</f>
        <v>0</v>
      </c>
      <c r="F135" s="118">
        <f>Rekenblad!F135</f>
        <v>872.38</v>
      </c>
      <c r="G135" s="109"/>
      <c r="H135" s="167">
        <f t="shared" si="12"/>
        <v>0</v>
      </c>
      <c r="I135" s="569"/>
      <c r="J135" s="570"/>
      <c r="K135" s="207"/>
      <c r="L135" s="146"/>
      <c r="M135" s="146"/>
      <c r="N135" s="146"/>
      <c r="O135" s="146"/>
      <c r="P135" s="147"/>
      <c r="Q135" s="151"/>
    </row>
    <row r="136" spans="1:17" ht="30" customHeight="1">
      <c r="A136" s="171" t="s">
        <v>250</v>
      </c>
      <c r="B136" s="89" t="s">
        <v>251</v>
      </c>
      <c r="C136" s="89" t="s">
        <v>117</v>
      </c>
      <c r="D136" s="171" t="s">
        <v>118</v>
      </c>
      <c r="E136" s="108">
        <f>Rekenblad!E136</f>
        <v>0</v>
      </c>
      <c r="F136" s="118">
        <f>Rekenblad!F136</f>
        <v>0</v>
      </c>
      <c r="G136" s="118"/>
      <c r="H136" s="167">
        <f t="shared" si="12"/>
        <v>0</v>
      </c>
      <c r="I136" s="569"/>
      <c r="J136" s="570"/>
      <c r="K136" s="208"/>
      <c r="L136" s="184"/>
      <c r="M136" s="184"/>
      <c r="N136" s="184"/>
      <c r="O136" s="184"/>
      <c r="P136" s="185"/>
      <c r="Q136" s="151"/>
    </row>
    <row r="137" spans="1:17" ht="30" customHeight="1">
      <c r="A137" s="171" t="s">
        <v>252</v>
      </c>
      <c r="B137" s="116" t="s">
        <v>253</v>
      </c>
      <c r="C137" s="75" t="s">
        <v>76</v>
      </c>
      <c r="D137" s="107" t="s">
        <v>8</v>
      </c>
      <c r="E137" s="108">
        <f>Rekenblad!E137</f>
        <v>64</v>
      </c>
      <c r="F137" s="118">
        <f>Rekenblad!F137</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f>Rekenblad!E138</f>
        <v>0</v>
      </c>
      <c r="F138" s="118">
        <f>Rekenblad!F138</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f>Rekenblad!E139</f>
        <v>0</v>
      </c>
      <c r="F139" s="118">
        <f>Rekenblad!F139</f>
        <v>795</v>
      </c>
      <c r="G139" s="118"/>
      <c r="H139" s="109">
        <f t="shared" ref="H139:H149" si="13">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f>Rekenblad!E140</f>
        <v>0</v>
      </c>
      <c r="F140" s="118">
        <f>Rekenblad!F140</f>
        <v>206.70000000000002</v>
      </c>
      <c r="G140" s="118"/>
      <c r="H140" s="109">
        <f t="shared" si="13"/>
        <v>0</v>
      </c>
      <c r="I140" s="567"/>
      <c r="J140" s="567"/>
      <c r="K140" s="210"/>
      <c r="L140" s="211"/>
      <c r="M140" s="211"/>
      <c r="N140" s="211"/>
      <c r="O140" s="211"/>
      <c r="P140" s="74"/>
      <c r="Q140" s="151"/>
    </row>
    <row r="141" spans="1:17" ht="30" customHeight="1">
      <c r="A141" s="171" t="s">
        <v>262</v>
      </c>
      <c r="B141" s="116" t="s">
        <v>263</v>
      </c>
      <c r="C141" s="75" t="s">
        <v>57</v>
      </c>
      <c r="D141" s="107" t="s">
        <v>8</v>
      </c>
      <c r="E141" s="108">
        <f>Rekenblad!E141</f>
        <v>0</v>
      </c>
      <c r="F141" s="118">
        <f>Rekenblad!F141</f>
        <v>291.5</v>
      </c>
      <c r="G141" s="118"/>
      <c r="H141" s="109">
        <f t="shared" si="13"/>
        <v>0</v>
      </c>
      <c r="I141" s="567"/>
      <c r="J141" s="567"/>
      <c r="K141" s="210"/>
      <c r="L141" s="211"/>
      <c r="M141" s="211"/>
      <c r="N141" s="211"/>
      <c r="O141" s="211"/>
      <c r="P141" s="74"/>
      <c r="Q141" s="151"/>
    </row>
    <row r="142" spans="1:17" ht="30" customHeight="1">
      <c r="A142" s="171" t="s">
        <v>264</v>
      </c>
      <c r="B142" s="116" t="s">
        <v>265</v>
      </c>
      <c r="C142" s="75" t="s">
        <v>57</v>
      </c>
      <c r="D142" s="107" t="s">
        <v>8</v>
      </c>
      <c r="E142" s="108">
        <f>Rekenblad!E142</f>
        <v>0</v>
      </c>
      <c r="F142" s="118">
        <f>Rekenblad!F142</f>
        <v>312.7</v>
      </c>
      <c r="G142" s="118"/>
      <c r="H142" s="109">
        <f t="shared" si="13"/>
        <v>0</v>
      </c>
      <c r="I142" s="567"/>
      <c r="J142" s="567"/>
      <c r="K142" s="210"/>
      <c r="L142" s="211"/>
      <c r="M142" s="211"/>
      <c r="N142" s="211"/>
      <c r="O142" s="211"/>
      <c r="P142" s="74"/>
      <c r="Q142" s="151"/>
    </row>
    <row r="143" spans="1:17" ht="30" customHeight="1">
      <c r="A143" s="171" t="s">
        <v>266</v>
      </c>
      <c r="B143" s="89" t="s">
        <v>267</v>
      </c>
      <c r="C143" s="89" t="s">
        <v>117</v>
      </c>
      <c r="D143" s="171" t="s">
        <v>118</v>
      </c>
      <c r="E143" s="108">
        <f>Rekenblad!E143</f>
        <v>0</v>
      </c>
      <c r="F143" s="118">
        <f>Rekenblad!F143</f>
        <v>243.8</v>
      </c>
      <c r="G143" s="118"/>
      <c r="H143" s="109">
        <f t="shared" si="13"/>
        <v>0</v>
      </c>
      <c r="I143" s="567"/>
      <c r="J143" s="567"/>
      <c r="K143" s="208"/>
      <c r="L143" s="184"/>
      <c r="M143" s="184"/>
      <c r="N143" s="184"/>
      <c r="O143" s="184"/>
      <c r="P143" s="185"/>
      <c r="Q143" s="151"/>
    </row>
    <row r="144" spans="1:17" ht="30" customHeight="1">
      <c r="A144" s="171" t="s">
        <v>268</v>
      </c>
      <c r="B144" s="89" t="s">
        <v>269</v>
      </c>
      <c r="C144" s="89" t="s">
        <v>117</v>
      </c>
      <c r="D144" s="171" t="s">
        <v>118</v>
      </c>
      <c r="E144" s="108">
        <f>Rekenblad!E144</f>
        <v>0</v>
      </c>
      <c r="F144" s="118">
        <f>Rekenblad!F144</f>
        <v>0</v>
      </c>
      <c r="G144" s="118"/>
      <c r="H144" s="109">
        <f t="shared" si="13"/>
        <v>0</v>
      </c>
      <c r="I144" s="567"/>
      <c r="J144" s="567"/>
      <c r="K144" s="208"/>
      <c r="L144" s="184"/>
      <c r="M144" s="184"/>
      <c r="N144" s="184"/>
      <c r="O144" s="184"/>
      <c r="P144" s="185"/>
      <c r="Q144" s="151"/>
    </row>
    <row r="145" spans="1:17" ht="30" customHeight="1">
      <c r="A145" s="171" t="s">
        <v>270</v>
      </c>
      <c r="B145" s="89" t="s">
        <v>271</v>
      </c>
      <c r="C145" s="89" t="s">
        <v>117</v>
      </c>
      <c r="D145" s="171" t="s">
        <v>118</v>
      </c>
      <c r="E145" s="108">
        <f>Rekenblad!E145</f>
        <v>0</v>
      </c>
      <c r="F145" s="118">
        <f>Rekenblad!F145</f>
        <v>0</v>
      </c>
      <c r="G145" s="118"/>
      <c r="H145" s="109">
        <f t="shared" si="13"/>
        <v>0</v>
      </c>
      <c r="I145" s="567"/>
      <c r="J145" s="567"/>
      <c r="K145" s="208"/>
      <c r="L145" s="184"/>
      <c r="M145" s="184"/>
      <c r="N145" s="184"/>
      <c r="O145" s="184"/>
      <c r="P145" s="185"/>
      <c r="Q145" s="151"/>
    </row>
    <row r="146" spans="1:17" ht="30" customHeight="1">
      <c r="A146" s="171" t="s">
        <v>272</v>
      </c>
      <c r="B146" s="89" t="s">
        <v>273</v>
      </c>
      <c r="C146" s="89" t="s">
        <v>117</v>
      </c>
      <c r="D146" s="171" t="s">
        <v>118</v>
      </c>
      <c r="E146" s="108">
        <f>Rekenblad!E146</f>
        <v>0</v>
      </c>
      <c r="F146" s="118">
        <f>Rekenblad!F146</f>
        <v>0</v>
      </c>
      <c r="G146" s="118"/>
      <c r="H146" s="109">
        <f t="shared" si="13"/>
        <v>0</v>
      </c>
      <c r="I146" s="567"/>
      <c r="J146" s="567"/>
      <c r="K146" s="208"/>
      <c r="L146" s="184"/>
      <c r="M146" s="184"/>
      <c r="N146" s="184"/>
      <c r="O146" s="184"/>
      <c r="P146" s="185"/>
      <c r="Q146" s="151"/>
    </row>
    <row r="147" spans="1:17" ht="30" customHeight="1">
      <c r="A147" s="171" t="s">
        <v>274</v>
      </c>
      <c r="B147" s="89" t="s">
        <v>275</v>
      </c>
      <c r="C147" s="89" t="s">
        <v>117</v>
      </c>
      <c r="D147" s="171" t="s">
        <v>118</v>
      </c>
      <c r="E147" s="108">
        <f>Rekenblad!E147</f>
        <v>0</v>
      </c>
      <c r="F147" s="118">
        <f>Rekenblad!F147</f>
        <v>58.300000000000004</v>
      </c>
      <c r="G147" s="118"/>
      <c r="H147" s="109">
        <f t="shared" si="13"/>
        <v>0</v>
      </c>
      <c r="I147" s="567"/>
      <c r="J147" s="567"/>
      <c r="K147" s="208"/>
      <c r="L147" s="184"/>
      <c r="M147" s="184"/>
      <c r="N147" s="184"/>
      <c r="O147" s="184"/>
      <c r="P147" s="185"/>
      <c r="Q147" s="151"/>
    </row>
    <row r="148" spans="1:17" ht="30" customHeight="1">
      <c r="A148" s="171" t="s">
        <v>276</v>
      </c>
      <c r="B148" s="89" t="s">
        <v>277</v>
      </c>
      <c r="C148" s="89" t="s">
        <v>117</v>
      </c>
      <c r="D148" s="171" t="s">
        <v>118</v>
      </c>
      <c r="E148" s="108">
        <f>Rekenblad!E148</f>
        <v>0</v>
      </c>
      <c r="F148" s="118">
        <f>Rekenblad!F148</f>
        <v>0</v>
      </c>
      <c r="G148" s="118"/>
      <c r="H148" s="109">
        <f t="shared" si="13"/>
        <v>0</v>
      </c>
      <c r="I148" s="567"/>
      <c r="J148" s="567"/>
      <c r="K148" s="208"/>
      <c r="L148" s="184"/>
      <c r="M148" s="184"/>
      <c r="N148" s="184"/>
      <c r="O148" s="184"/>
      <c r="P148" s="185"/>
      <c r="Q148" s="151"/>
    </row>
    <row r="149" spans="1:17" ht="30" customHeight="1">
      <c r="A149" s="171" t="s">
        <v>278</v>
      </c>
      <c r="B149" s="89" t="s">
        <v>279</v>
      </c>
      <c r="C149" s="89" t="s">
        <v>117</v>
      </c>
      <c r="D149" s="171" t="s">
        <v>118</v>
      </c>
      <c r="E149" s="108">
        <f>Rekenblad!E149</f>
        <v>0</v>
      </c>
      <c r="F149" s="118">
        <f>Rekenblad!F149</f>
        <v>0</v>
      </c>
      <c r="G149" s="118"/>
      <c r="H149" s="109">
        <f t="shared" si="13"/>
        <v>0</v>
      </c>
      <c r="I149" s="567"/>
      <c r="J149" s="567"/>
      <c r="K149" s="208"/>
      <c r="L149" s="184"/>
      <c r="M149" s="184"/>
      <c r="N149" s="184"/>
      <c r="O149" s="184"/>
      <c r="P149" s="185"/>
      <c r="Q149" s="151"/>
    </row>
    <row r="150" spans="1:17" ht="30" customHeight="1">
      <c r="A150" s="212"/>
      <c r="B150" s="151"/>
      <c r="C150" s="151"/>
      <c r="D150" s="213"/>
      <c r="E150" s="108"/>
      <c r="F150" s="118"/>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60" t="str">
        <f>Rekenblad!F151</f>
        <v>bedrag per eenheid (excl. btw)</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f>Rekenblad!E152</f>
        <v>0</v>
      </c>
      <c r="F152" s="118">
        <f>Rekenblad!F152</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Rekenblad!E153</f>
        <v>5</v>
      </c>
      <c r="F153" s="118">
        <f>Rekenblad!F153</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f>Rekenblad!E154</f>
        <v>0</v>
      </c>
      <c r="F154" s="118">
        <f>Rekenblad!F154</f>
        <v>397.5</v>
      </c>
      <c r="G154" s="109"/>
      <c r="H154" s="167"/>
      <c r="I154" s="153"/>
      <c r="J154" s="152"/>
      <c r="K154" s="118"/>
      <c r="L154" s="146"/>
      <c r="M154" s="146"/>
      <c r="N154" s="146"/>
      <c r="O154" s="146"/>
      <c r="P154" s="147"/>
      <c r="Q154" s="151"/>
    </row>
    <row r="155" spans="1:17" ht="30" customHeight="1">
      <c r="A155" s="171"/>
      <c r="B155" s="116"/>
      <c r="C155" s="75"/>
      <c r="D155" s="171"/>
      <c r="E155" s="108">
        <f>Rekenblad!E155</f>
        <v>0</v>
      </c>
      <c r="F155" s="118">
        <f>Rekenblad!F155</f>
        <v>0</v>
      </c>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60" t="str">
        <f>Rekenblad!F156</f>
        <v>bedrag per eenheid (excl. btw)</v>
      </c>
      <c r="G156" s="48" t="s">
        <v>15</v>
      </c>
      <c r="H156" s="48" t="s">
        <v>16</v>
      </c>
      <c r="I156" s="571" t="s">
        <v>17</v>
      </c>
      <c r="J156" s="571"/>
      <c r="K156" s="37"/>
      <c r="L156" s="50"/>
      <c r="M156" s="50"/>
      <c r="N156" s="50"/>
      <c r="O156" s="50"/>
      <c r="P156" s="49" t="s">
        <v>18</v>
      </c>
      <c r="Q156" s="151"/>
    </row>
    <row r="157" spans="1:17">
      <c r="A157" s="218"/>
      <c r="B157" s="219"/>
      <c r="C157" s="219"/>
      <c r="D157" s="218"/>
      <c r="E157" s="220"/>
      <c r="F157" s="118">
        <f>Rekenblad!F157</f>
        <v>0</v>
      </c>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50</v>
      </c>
      <c r="F158" s="118">
        <f>Rekenblad!F158</f>
        <v>23.32</v>
      </c>
      <c r="G158" s="109"/>
      <c r="H158" s="167">
        <f>E158*F158</f>
        <v>1166</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f>Rekenblad!E159</f>
        <v>0</v>
      </c>
      <c r="F159" s="118">
        <f>Rekenblad!F159</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Rekenblad!E160</f>
        <v>10</v>
      </c>
      <c r="F160" s="118">
        <f>Rekenblad!F160</f>
        <v>276.44800000000004</v>
      </c>
      <c r="G160" s="109"/>
      <c r="H160" s="167">
        <f t="shared" ref="H160:H193" si="14">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50</v>
      </c>
      <c r="F161" s="118">
        <f>Rekenblad!F161</f>
        <v>201.4</v>
      </c>
      <c r="G161" s="109"/>
      <c r="H161" s="167">
        <f t="shared" si="14"/>
        <v>10070</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f>Rekenblad!E162</f>
        <v>0</v>
      </c>
      <c r="F162" s="118">
        <f>Rekenblad!F162</f>
        <v>154.44200000000001</v>
      </c>
      <c r="G162" s="109"/>
      <c r="H162" s="167">
        <f t="shared" si="14"/>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50</v>
      </c>
      <c r="F163" s="118">
        <f>Rekenblad!F163</f>
        <v>66.25</v>
      </c>
      <c r="G163" s="118"/>
      <c r="H163" s="168">
        <f t="shared" si="14"/>
        <v>3312.5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f>Rekenblad!E164</f>
        <v>0</v>
      </c>
      <c r="F164" s="118">
        <f>Rekenblad!F164</f>
        <v>180.20000000000002</v>
      </c>
      <c r="G164" s="118"/>
      <c r="H164" s="197">
        <f t="shared" si="14"/>
        <v>0</v>
      </c>
      <c r="I164" s="569"/>
      <c r="J164" s="570"/>
      <c r="K164" s="183"/>
      <c r="L164" s="184"/>
      <c r="M164" s="184"/>
      <c r="N164" s="184"/>
      <c r="O164" s="184"/>
      <c r="P164" s="185"/>
      <c r="Q164" s="151"/>
    </row>
    <row r="165" spans="1:17" ht="30" customHeight="1">
      <c r="A165" s="171" t="s">
        <v>311</v>
      </c>
      <c r="B165" s="174" t="s">
        <v>312</v>
      </c>
      <c r="C165" s="107" t="s">
        <v>33</v>
      </c>
      <c r="D165" s="107" t="s">
        <v>313</v>
      </c>
      <c r="E165" s="108">
        <f>Rekenblad!E165</f>
        <v>0</v>
      </c>
      <c r="F165" s="118">
        <f>Rekenblad!F165</f>
        <v>180.20000000000002</v>
      </c>
      <c r="G165" s="109"/>
      <c r="H165" s="167">
        <f t="shared" si="14"/>
        <v>0</v>
      </c>
      <c r="I165" s="569"/>
      <c r="J165" s="570"/>
      <c r="K165" s="118"/>
      <c r="L165" s="146"/>
      <c r="M165" s="146"/>
      <c r="N165" s="146"/>
      <c r="O165" s="146"/>
      <c r="P165" s="147"/>
      <c r="Q165" s="151"/>
    </row>
    <row r="166" spans="1:17" ht="30" customHeight="1">
      <c r="A166" s="171" t="s">
        <v>314</v>
      </c>
      <c r="B166" s="174" t="s">
        <v>315</v>
      </c>
      <c r="C166" s="107" t="s">
        <v>57</v>
      </c>
      <c r="D166" s="107" t="s">
        <v>316</v>
      </c>
      <c r="E166" s="108">
        <f>Rekenblad!E166</f>
        <v>0</v>
      </c>
      <c r="F166" s="118">
        <f>Rekenblad!F166</f>
        <v>1679.0400000000002</v>
      </c>
      <c r="G166" s="109"/>
      <c r="H166" s="167">
        <f t="shared" si="14"/>
        <v>0</v>
      </c>
      <c r="I166" s="569"/>
      <c r="J166" s="570"/>
      <c r="K166" s="118"/>
      <c r="L166" s="146"/>
      <c r="M166" s="146"/>
      <c r="N166" s="146"/>
      <c r="O166" s="146"/>
      <c r="P166" s="147"/>
      <c r="Q166" s="151"/>
    </row>
    <row r="167" spans="1:17" ht="30" customHeight="1">
      <c r="A167" s="171" t="s">
        <v>317</v>
      </c>
      <c r="B167" s="89" t="s">
        <v>318</v>
      </c>
      <c r="C167" s="89" t="s">
        <v>117</v>
      </c>
      <c r="D167" s="171" t="s">
        <v>118</v>
      </c>
      <c r="E167" s="108">
        <f>Rekenblad!E167</f>
        <v>0</v>
      </c>
      <c r="F167" s="118">
        <f>Rekenblad!F167</f>
        <v>10.865</v>
      </c>
      <c r="G167" s="118"/>
      <c r="H167" s="197">
        <f t="shared" si="14"/>
        <v>0</v>
      </c>
      <c r="I167" s="569"/>
      <c r="J167" s="570"/>
      <c r="K167" s="183"/>
      <c r="L167" s="184"/>
      <c r="M167" s="184"/>
      <c r="N167" s="184"/>
      <c r="O167" s="184"/>
      <c r="P167" s="185"/>
      <c r="Q167" s="151"/>
    </row>
    <row r="168" spans="1:17" ht="30" customHeight="1">
      <c r="A168" s="171" t="s">
        <v>319</v>
      </c>
      <c r="B168" s="174" t="s">
        <v>320</v>
      </c>
      <c r="C168" s="107" t="s">
        <v>57</v>
      </c>
      <c r="D168" s="107" t="s">
        <v>316</v>
      </c>
      <c r="E168" s="108">
        <f>Rekenblad!E168</f>
        <v>0</v>
      </c>
      <c r="F168" s="118">
        <f>Rekenblad!F168</f>
        <v>1007.424</v>
      </c>
      <c r="G168" s="109"/>
      <c r="H168" s="167">
        <f t="shared" si="14"/>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f>Rekenblad!E169</f>
        <v>0</v>
      </c>
      <c r="F169" s="118">
        <f>Rekenblad!F169</f>
        <v>13.515000000000001</v>
      </c>
      <c r="G169" s="118"/>
      <c r="H169" s="197">
        <f t="shared" si="14"/>
        <v>0</v>
      </c>
      <c r="I169" s="569"/>
      <c r="J169" s="570"/>
      <c r="K169" s="183"/>
      <c r="L169" s="184"/>
      <c r="M169" s="184"/>
      <c r="N169" s="184"/>
      <c r="O169" s="184"/>
      <c r="P169" s="185"/>
      <c r="Q169" s="151"/>
    </row>
    <row r="170" spans="1:17" ht="30" customHeight="1">
      <c r="A170" s="171" t="s">
        <v>324</v>
      </c>
      <c r="B170" s="174" t="s">
        <v>325</v>
      </c>
      <c r="C170" s="107"/>
      <c r="D170" s="107" t="s">
        <v>326</v>
      </c>
      <c r="E170" s="196">
        <f>$G$3*$A$4</f>
        <v>50</v>
      </c>
      <c r="F170" s="118">
        <f>Rekenblad!F170</f>
        <v>74.2</v>
      </c>
      <c r="G170" s="109"/>
      <c r="H170" s="167">
        <f t="shared" si="14"/>
        <v>3710</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f>Rekenblad!E171</f>
        <v>0</v>
      </c>
      <c r="F171" s="118">
        <f>Rekenblad!F171</f>
        <v>283.23200000000003</v>
      </c>
      <c r="G171" s="109"/>
      <c r="H171" s="167">
        <f t="shared" si="14"/>
        <v>0</v>
      </c>
      <c r="I171" s="569"/>
      <c r="J171" s="570"/>
      <c r="K171" s="118"/>
      <c r="L171" s="146"/>
      <c r="M171" s="146"/>
      <c r="N171" s="146"/>
      <c r="O171" s="146"/>
      <c r="P171" s="147"/>
      <c r="Q171" s="151"/>
    </row>
    <row r="172" spans="1:17" ht="30" customHeight="1">
      <c r="A172" s="171" t="s">
        <v>330</v>
      </c>
      <c r="B172" s="89" t="s">
        <v>331</v>
      </c>
      <c r="C172" s="89" t="s">
        <v>117</v>
      </c>
      <c r="D172" s="171" t="s">
        <v>118</v>
      </c>
      <c r="E172" s="108">
        <f>Rekenblad!E172</f>
        <v>0</v>
      </c>
      <c r="F172" s="118">
        <f>Rekenblad!F172</f>
        <v>95.4</v>
      </c>
      <c r="G172" s="118"/>
      <c r="H172" s="197">
        <f t="shared" si="14"/>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50</v>
      </c>
      <c r="F173" s="118">
        <f>Rekenblad!F173</f>
        <v>33.814</v>
      </c>
      <c r="G173" s="109"/>
      <c r="H173" s="167">
        <f t="shared" si="14"/>
        <v>1690.7</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50</v>
      </c>
      <c r="F174" s="118">
        <f>Rekenblad!F174</f>
        <v>46.11</v>
      </c>
      <c r="G174" s="109"/>
      <c r="H174" s="167">
        <f t="shared" si="14"/>
        <v>2305.5</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50</v>
      </c>
      <c r="F175" s="118">
        <f>Rekenblad!F175</f>
        <v>461.1</v>
      </c>
      <c r="G175" s="109"/>
      <c r="H175" s="167">
        <f t="shared" si="14"/>
        <v>23055</v>
      </c>
      <c r="I175" s="569" t="s">
        <v>343</v>
      </c>
      <c r="J175" s="570"/>
      <c r="K175" s="118"/>
      <c r="L175" s="146"/>
      <c r="M175" s="146"/>
      <c r="N175" s="146"/>
      <c r="O175" s="146"/>
      <c r="P175" s="147"/>
      <c r="Q175" s="151"/>
    </row>
    <row r="176" spans="1:17" ht="30" customHeight="1">
      <c r="A176" s="171" t="s">
        <v>344</v>
      </c>
      <c r="B176" s="116" t="s">
        <v>345</v>
      </c>
      <c r="C176" s="75" t="s">
        <v>26</v>
      </c>
      <c r="D176" s="171" t="s">
        <v>291</v>
      </c>
      <c r="E176" s="108">
        <f>Rekenblad!E176</f>
        <v>0</v>
      </c>
      <c r="F176" s="118">
        <f>Rekenblad!F176</f>
        <v>954</v>
      </c>
      <c r="G176" s="109"/>
      <c r="H176" s="167">
        <f t="shared" ref="H176" si="15">SUM(E176*F176)</f>
        <v>0</v>
      </c>
      <c r="I176" s="569" t="s">
        <v>346</v>
      </c>
      <c r="J176" s="570"/>
      <c r="K176" s="118"/>
      <c r="L176" s="146"/>
      <c r="M176" s="146"/>
      <c r="N176" s="146"/>
      <c r="O176" s="146"/>
      <c r="P176" s="147"/>
      <c r="Q176" s="151"/>
    </row>
    <row r="177" spans="1:17" ht="30" customHeight="1">
      <c r="A177" s="171" t="s">
        <v>347</v>
      </c>
      <c r="B177" s="116" t="s">
        <v>348</v>
      </c>
      <c r="C177" s="75" t="s">
        <v>57</v>
      </c>
      <c r="D177" s="107" t="s">
        <v>291</v>
      </c>
      <c r="E177" s="108">
        <f>Rekenblad!E178</f>
        <v>50</v>
      </c>
      <c r="F177" s="118">
        <f>Rekenblad!F178</f>
        <v>20.352</v>
      </c>
      <c r="G177" s="109"/>
      <c r="H177" s="167">
        <f t="shared" si="14"/>
        <v>1017.6</v>
      </c>
      <c r="I177" s="569" t="s">
        <v>349</v>
      </c>
      <c r="J177" s="570"/>
      <c r="K177" s="118"/>
      <c r="L177" s="146"/>
      <c r="M177" s="146"/>
      <c r="N177" s="146"/>
      <c r="O177" s="146"/>
      <c r="P177" s="147"/>
      <c r="Q177" s="151"/>
    </row>
    <row r="178" spans="1:17" ht="30" customHeight="1">
      <c r="A178" s="171" t="s">
        <v>350</v>
      </c>
      <c r="B178" s="116" t="s">
        <v>351</v>
      </c>
      <c r="C178" s="75" t="s">
        <v>57</v>
      </c>
      <c r="D178" s="107" t="s">
        <v>257</v>
      </c>
      <c r="E178" s="108">
        <f>Rekenblad!E179</f>
        <v>0</v>
      </c>
      <c r="F178" s="118">
        <f>Rekenblad!F179</f>
        <v>59.466000000000001</v>
      </c>
      <c r="G178" s="109"/>
      <c r="H178" s="167">
        <f t="shared" si="14"/>
        <v>0</v>
      </c>
      <c r="I178" s="569"/>
      <c r="J178" s="570"/>
      <c r="K178" s="118"/>
      <c r="L178" s="146"/>
      <c r="M178" s="146"/>
      <c r="N178" s="146"/>
      <c r="O178" s="146"/>
      <c r="P178" s="147"/>
      <c r="Q178" s="151"/>
    </row>
    <row r="179" spans="1:17" ht="30" customHeight="1">
      <c r="A179" s="171" t="s">
        <v>352</v>
      </c>
      <c r="B179" s="89" t="s">
        <v>353</v>
      </c>
      <c r="C179" s="89" t="s">
        <v>117</v>
      </c>
      <c r="D179" s="171" t="s">
        <v>118</v>
      </c>
      <c r="E179" s="108">
        <f>Rekenblad!E180</f>
        <v>0</v>
      </c>
      <c r="F179" s="118">
        <f>Rekenblad!F180</f>
        <v>0</v>
      </c>
      <c r="G179" s="118"/>
      <c r="H179" s="197">
        <f t="shared" si="14"/>
        <v>0</v>
      </c>
      <c r="I179" s="569"/>
      <c r="J179" s="570"/>
      <c r="K179" s="183"/>
      <c r="L179" s="184"/>
      <c r="M179" s="184"/>
      <c r="N179" s="184"/>
      <c r="O179" s="184"/>
      <c r="P179" s="185"/>
      <c r="Q179" s="151"/>
    </row>
    <row r="180" spans="1:17" ht="30" customHeight="1">
      <c r="A180" s="171" t="s">
        <v>354</v>
      </c>
      <c r="B180" s="89" t="s">
        <v>355</v>
      </c>
      <c r="C180" s="89" t="s">
        <v>117</v>
      </c>
      <c r="D180" s="171" t="s">
        <v>356</v>
      </c>
      <c r="E180" s="108">
        <f>Rekenblad!E181</f>
        <v>0</v>
      </c>
      <c r="F180" s="118">
        <f>Rekenblad!F181</f>
        <v>53</v>
      </c>
      <c r="G180" s="109"/>
      <c r="H180" s="167">
        <f t="shared" si="14"/>
        <v>0</v>
      </c>
      <c r="I180" s="569"/>
      <c r="J180" s="570"/>
      <c r="K180" s="118"/>
      <c r="L180" s="146"/>
      <c r="M180" s="146"/>
      <c r="N180" s="146"/>
      <c r="O180" s="146"/>
      <c r="P180" s="147"/>
      <c r="Q180" s="151"/>
    </row>
    <row r="181" spans="1:17" ht="30" customHeight="1">
      <c r="A181" s="171" t="s">
        <v>357</v>
      </c>
      <c r="B181" s="89" t="s">
        <v>358</v>
      </c>
      <c r="C181" s="89" t="s">
        <v>117</v>
      </c>
      <c r="D181" s="171" t="s">
        <v>359</v>
      </c>
      <c r="E181" s="108">
        <f>Rekenblad!E182</f>
        <v>0</v>
      </c>
      <c r="F181" s="118">
        <f>Rekenblad!F182</f>
        <v>1.7489999999999999</v>
      </c>
      <c r="G181" s="109"/>
      <c r="H181" s="167">
        <f t="shared" si="14"/>
        <v>0</v>
      </c>
      <c r="I181" s="569"/>
      <c r="J181" s="570"/>
      <c r="K181" s="118"/>
      <c r="L181" s="146"/>
      <c r="M181" s="146"/>
      <c r="N181" s="146"/>
      <c r="O181" s="146"/>
      <c r="P181" s="147"/>
      <c r="Q181" s="151"/>
    </row>
    <row r="182" spans="1:17" ht="30" customHeight="1">
      <c r="A182" s="171" t="s">
        <v>360</v>
      </c>
      <c r="B182" s="89" t="s">
        <v>361</v>
      </c>
      <c r="C182" s="89" t="s">
        <v>117</v>
      </c>
      <c r="D182" s="171" t="s">
        <v>362</v>
      </c>
      <c r="E182" s="108">
        <f>Rekenblad!E183</f>
        <v>0</v>
      </c>
      <c r="F182" s="118">
        <f>Rekenblad!F183</f>
        <v>58.300000000000004</v>
      </c>
      <c r="G182" s="109"/>
      <c r="H182" s="167">
        <f t="shared" si="14"/>
        <v>0</v>
      </c>
      <c r="I182" s="569"/>
      <c r="J182" s="570"/>
      <c r="K182" s="118"/>
      <c r="L182" s="146"/>
      <c r="M182" s="146"/>
      <c r="N182" s="146"/>
      <c r="O182" s="146"/>
      <c r="P182" s="147"/>
      <c r="Q182" s="151"/>
    </row>
    <row r="183" spans="1:17" ht="30" customHeight="1">
      <c r="A183" s="171" t="s">
        <v>363</v>
      </c>
      <c r="B183" s="89" t="s">
        <v>364</v>
      </c>
      <c r="C183" s="89" t="s">
        <v>117</v>
      </c>
      <c r="D183" s="171" t="s">
        <v>304</v>
      </c>
      <c r="E183" s="196">
        <f>$G$3*$A$4</f>
        <v>50</v>
      </c>
      <c r="F183" s="118">
        <f>Rekenblad!F184</f>
        <v>331.78000000000003</v>
      </c>
      <c r="G183" s="109"/>
      <c r="H183" s="167">
        <f t="shared" si="14"/>
        <v>16589</v>
      </c>
      <c r="I183" s="569" t="s">
        <v>365</v>
      </c>
      <c r="J183" s="570"/>
      <c r="K183" s="118"/>
      <c r="L183" s="146"/>
      <c r="M183" s="146"/>
      <c r="N183" s="146"/>
      <c r="O183" s="146"/>
      <c r="P183" s="147"/>
      <c r="Q183" s="151"/>
    </row>
    <row r="184" spans="1:17" ht="30" customHeight="1">
      <c r="A184" s="171" t="s">
        <v>366</v>
      </c>
      <c r="B184" s="89" t="s">
        <v>367</v>
      </c>
      <c r="C184" s="89" t="s">
        <v>117</v>
      </c>
      <c r="D184" s="171" t="s">
        <v>362</v>
      </c>
      <c r="E184" s="108">
        <f>Rekenblad!E185</f>
        <v>0</v>
      </c>
      <c r="F184" s="118">
        <f>Rekenblad!F185</f>
        <v>0</v>
      </c>
      <c r="G184" s="109"/>
      <c r="H184" s="167">
        <f t="shared" si="14"/>
        <v>0</v>
      </c>
      <c r="I184" s="567"/>
      <c r="J184" s="568"/>
      <c r="K184" s="118"/>
      <c r="L184" s="146"/>
      <c r="M184" s="146"/>
      <c r="N184" s="146"/>
      <c r="O184" s="146"/>
      <c r="P184" s="147"/>
      <c r="Q184" s="151"/>
    </row>
    <row r="185" spans="1:17" ht="30" customHeight="1">
      <c r="A185" s="171" t="s">
        <v>368</v>
      </c>
      <c r="B185" s="89" t="s">
        <v>369</v>
      </c>
      <c r="C185" s="89" t="s">
        <v>117</v>
      </c>
      <c r="D185" s="171" t="s">
        <v>370</v>
      </c>
      <c r="E185" s="108">
        <f>Rekenblad!E186</f>
        <v>0</v>
      </c>
      <c r="F185" s="118">
        <f>Rekenblad!F186</f>
        <v>0</v>
      </c>
      <c r="G185" s="109"/>
      <c r="H185" s="167">
        <f t="shared" si="14"/>
        <v>0</v>
      </c>
      <c r="I185" s="567"/>
      <c r="J185" s="568"/>
      <c r="K185" s="161"/>
      <c r="L185" s="162"/>
      <c r="M185" s="162"/>
      <c r="N185" s="162"/>
      <c r="O185" s="162"/>
      <c r="P185" s="163"/>
      <c r="Q185" s="151"/>
    </row>
    <row r="186" spans="1:17" ht="30" customHeight="1">
      <c r="A186" s="171" t="s">
        <v>371</v>
      </c>
      <c r="B186" s="89" t="s">
        <v>372</v>
      </c>
      <c r="C186" s="89" t="s">
        <v>117</v>
      </c>
      <c r="D186" s="171" t="s">
        <v>304</v>
      </c>
      <c r="E186" s="196">
        <f>$G$3*$A$4</f>
        <v>50</v>
      </c>
      <c r="F186" s="118">
        <f>Rekenblad!F187</f>
        <v>312.7</v>
      </c>
      <c r="G186" s="109"/>
      <c r="H186" s="167">
        <f t="shared" si="14"/>
        <v>15635</v>
      </c>
      <c r="I186" s="567" t="s">
        <v>365</v>
      </c>
      <c r="J186" s="568"/>
      <c r="K186" s="161"/>
      <c r="L186" s="162"/>
      <c r="M186" s="162"/>
      <c r="N186" s="162"/>
      <c r="O186" s="162"/>
      <c r="P186" s="163"/>
      <c r="Q186" s="151"/>
    </row>
    <row r="187" spans="1:17" ht="30" customHeight="1">
      <c r="A187" s="171" t="s">
        <v>373</v>
      </c>
      <c r="B187" s="116" t="s">
        <v>374</v>
      </c>
      <c r="C187" s="75" t="s">
        <v>101</v>
      </c>
      <c r="D187" s="107" t="s">
        <v>359</v>
      </c>
      <c r="E187" s="108">
        <f>Rekenblad!E188</f>
        <v>0</v>
      </c>
      <c r="F187" s="118">
        <f>Rekenblad!F188</f>
        <v>1.06</v>
      </c>
      <c r="G187" s="109"/>
      <c r="H187" s="167">
        <f t="shared" si="14"/>
        <v>0</v>
      </c>
      <c r="I187" s="567"/>
      <c r="J187" s="568"/>
      <c r="K187" s="118"/>
      <c r="L187" s="146"/>
      <c r="M187" s="146"/>
      <c r="N187" s="146"/>
      <c r="O187" s="146"/>
      <c r="P187" s="147"/>
      <c r="Q187" s="151"/>
    </row>
    <row r="188" spans="1:17" ht="30" customHeight="1">
      <c r="A188" s="171" t="s">
        <v>375</v>
      </c>
      <c r="B188" s="116" t="s">
        <v>374</v>
      </c>
      <c r="C188" s="75" t="s">
        <v>57</v>
      </c>
      <c r="D188" s="107" t="s">
        <v>376</v>
      </c>
      <c r="E188" s="196">
        <f>$G$3*$A$4*3</f>
        <v>150</v>
      </c>
      <c r="F188" s="118">
        <f>Rekenblad!F189</f>
        <v>118.72</v>
      </c>
      <c r="G188" s="109"/>
      <c r="H188" s="167">
        <f>E188*F188</f>
        <v>17808</v>
      </c>
      <c r="I188" s="567" t="s">
        <v>377</v>
      </c>
      <c r="J188" s="568"/>
      <c r="K188" s="118"/>
      <c r="L188" s="146"/>
      <c r="M188" s="146"/>
      <c r="N188" s="146"/>
      <c r="O188" s="146"/>
      <c r="P188" s="147"/>
      <c r="Q188" s="151"/>
    </row>
    <row r="189" spans="1:17" ht="30" customHeight="1">
      <c r="A189" s="171" t="s">
        <v>378</v>
      </c>
      <c r="B189" s="116" t="s">
        <v>379</v>
      </c>
      <c r="C189" s="75" t="s">
        <v>33</v>
      </c>
      <c r="D189" s="107" t="s">
        <v>359</v>
      </c>
      <c r="E189" s="108">
        <f>Rekenblad!E190</f>
        <v>0</v>
      </c>
      <c r="F189" s="118">
        <f>Rekenblad!F190</f>
        <v>0.84800000000000009</v>
      </c>
      <c r="G189" s="109"/>
      <c r="H189" s="167">
        <f t="shared" si="14"/>
        <v>0</v>
      </c>
      <c r="I189" s="567"/>
      <c r="J189" s="568"/>
      <c r="K189" s="118"/>
      <c r="L189" s="146"/>
      <c r="M189" s="146"/>
      <c r="N189" s="146"/>
      <c r="O189" s="146"/>
      <c r="P189" s="147"/>
      <c r="Q189" s="151"/>
    </row>
    <row r="190" spans="1:17" ht="30" customHeight="1">
      <c r="A190" s="171" t="s">
        <v>380</v>
      </c>
      <c r="B190" s="116" t="s">
        <v>381</v>
      </c>
      <c r="C190" s="75" t="s">
        <v>33</v>
      </c>
      <c r="D190" s="107" t="s">
        <v>359</v>
      </c>
      <c r="E190" s="108">
        <f>Rekenblad!E191</f>
        <v>0</v>
      </c>
      <c r="F190" s="118">
        <f>Rekenblad!F191</f>
        <v>1.3250000000000002</v>
      </c>
      <c r="G190" s="109"/>
      <c r="H190" s="167">
        <f t="shared" si="14"/>
        <v>0</v>
      </c>
      <c r="I190" s="567"/>
      <c r="J190" s="568"/>
      <c r="K190" s="118"/>
      <c r="L190" s="146"/>
      <c r="M190" s="146"/>
      <c r="N190" s="146"/>
      <c r="O190" s="146"/>
      <c r="P190" s="147"/>
      <c r="Q190" s="151"/>
    </row>
    <row r="191" spans="1:17" ht="30" customHeight="1">
      <c r="A191" s="171" t="s">
        <v>382</v>
      </c>
      <c r="B191" s="116" t="s">
        <v>383</v>
      </c>
      <c r="C191" s="75" t="s">
        <v>33</v>
      </c>
      <c r="D191" s="107" t="s">
        <v>384</v>
      </c>
      <c r="E191" s="108">
        <f>Rekenblad!E192</f>
        <v>0</v>
      </c>
      <c r="F191" s="118">
        <f>Rekenblad!F192</f>
        <v>172.78</v>
      </c>
      <c r="G191" s="109"/>
      <c r="H191" s="167">
        <f t="shared" si="14"/>
        <v>0</v>
      </c>
      <c r="I191" s="567"/>
      <c r="J191" s="568"/>
      <c r="K191" s="118"/>
      <c r="L191" s="146"/>
      <c r="M191" s="146"/>
      <c r="N191" s="146"/>
      <c r="O191" s="146"/>
      <c r="P191" s="147"/>
      <c r="Q191" s="151"/>
    </row>
    <row r="192" spans="1:17" ht="30" customHeight="1">
      <c r="A192" s="171" t="s">
        <v>385</v>
      </c>
      <c r="B192" s="116" t="s">
        <v>386</v>
      </c>
      <c r="C192" s="75" t="s">
        <v>57</v>
      </c>
      <c r="D192" s="107" t="s">
        <v>387</v>
      </c>
      <c r="E192" s="108">
        <f>Rekenblad!E193</f>
        <v>0</v>
      </c>
      <c r="F192" s="118">
        <f>Rekenblad!F193</f>
        <v>689</v>
      </c>
      <c r="G192" s="109"/>
      <c r="H192" s="167">
        <f t="shared" si="14"/>
        <v>0</v>
      </c>
      <c r="I192" s="567"/>
      <c r="J192" s="568"/>
      <c r="K192" s="118"/>
      <c r="L192" s="146"/>
      <c r="M192" s="146"/>
      <c r="N192" s="146"/>
      <c r="O192" s="146"/>
      <c r="P192" s="147"/>
      <c r="Q192" s="151"/>
    </row>
    <row r="193" spans="1:17" ht="30" customHeight="1">
      <c r="A193" s="171" t="s">
        <v>388</v>
      </c>
      <c r="B193" s="116" t="s">
        <v>389</v>
      </c>
      <c r="C193" s="75" t="s">
        <v>57</v>
      </c>
      <c r="D193" s="107" t="s">
        <v>387</v>
      </c>
      <c r="E193" s="108">
        <f>Rekenblad!E194</f>
        <v>0</v>
      </c>
      <c r="F193" s="118">
        <f>Rekenblad!F194</f>
        <v>371</v>
      </c>
      <c r="G193" s="109"/>
      <c r="H193" s="167">
        <f t="shared" si="14"/>
        <v>0</v>
      </c>
      <c r="I193" s="567"/>
      <c r="J193" s="568"/>
      <c r="K193" s="118"/>
      <c r="L193" s="146"/>
      <c r="M193" s="146"/>
      <c r="N193" s="146"/>
      <c r="O193" s="146"/>
      <c r="P193" s="147"/>
      <c r="Q193" s="151"/>
    </row>
    <row r="194" spans="1:17" ht="30" customHeight="1">
      <c r="A194" s="226"/>
      <c r="B194" s="227"/>
      <c r="C194" s="228"/>
      <c r="D194" s="229"/>
      <c r="E194" s="179"/>
      <c r="F194" s="118"/>
      <c r="G194" s="230"/>
      <c r="H194" s="230"/>
      <c r="I194" s="231"/>
      <c r="J194" s="232"/>
      <c r="K194" s="233"/>
      <c r="L194" s="234"/>
      <c r="M194" s="234"/>
      <c r="N194" s="234"/>
      <c r="O194" s="234"/>
      <c r="P194" s="163"/>
      <c r="Q194" s="151"/>
    </row>
    <row r="195" spans="1:17" s="5" customFormat="1" ht="65.25" customHeight="1">
      <c r="A195" s="235">
        <v>10</v>
      </c>
      <c r="B195" s="236" t="s">
        <v>390</v>
      </c>
      <c r="C195" s="115"/>
      <c r="D195" s="38" t="s">
        <v>12</v>
      </c>
      <c r="E195" s="47" t="s">
        <v>13</v>
      </c>
      <c r="F195" s="60" t="str">
        <f>Rekenblad!F196</f>
        <v>bedrag per eenheid (excl. btw)</v>
      </c>
      <c r="G195" s="37" t="s">
        <v>15</v>
      </c>
      <c r="H195" s="37" t="s">
        <v>16</v>
      </c>
      <c r="I195" s="563" t="s">
        <v>17</v>
      </c>
      <c r="J195" s="564"/>
      <c r="K195" s="564"/>
      <c r="L195" s="564"/>
      <c r="M195" s="564"/>
      <c r="N195" s="564"/>
      <c r="O195" s="564"/>
      <c r="P195" s="38" t="s">
        <v>18</v>
      </c>
      <c r="Q195" s="301"/>
    </row>
    <row r="196" spans="1:17" ht="30" customHeight="1">
      <c r="A196" s="171" t="s">
        <v>391</v>
      </c>
      <c r="B196" s="89" t="s">
        <v>392</v>
      </c>
      <c r="C196" s="89" t="s">
        <v>117</v>
      </c>
      <c r="D196" s="171" t="s">
        <v>393</v>
      </c>
      <c r="E196" s="108">
        <f>Rekenblad!E197</f>
        <v>0</v>
      </c>
      <c r="F196" s="118">
        <f>Rekenblad!F197</f>
        <v>7.7485999999999997</v>
      </c>
      <c r="G196" s="198"/>
      <c r="H196" s="198">
        <f>1*G196</f>
        <v>0</v>
      </c>
      <c r="I196" s="565"/>
      <c r="J196" s="562"/>
      <c r="K196" s="161"/>
      <c r="L196" s="162"/>
      <c r="M196" s="162"/>
      <c r="N196" s="162"/>
      <c r="O196" s="162"/>
      <c r="P196" s="163"/>
      <c r="Q196" s="151"/>
    </row>
    <row r="197" spans="1:17" ht="30" customHeight="1">
      <c r="A197" s="171" t="s">
        <v>394</v>
      </c>
      <c r="B197" s="89" t="s">
        <v>395</v>
      </c>
      <c r="C197" s="89" t="s">
        <v>117</v>
      </c>
      <c r="D197" s="171" t="s">
        <v>393</v>
      </c>
      <c r="E197" s="108">
        <f>Rekenblad!E198</f>
        <v>0</v>
      </c>
      <c r="F197" s="118">
        <f>Rekenblad!F198</f>
        <v>7.7380000000000004</v>
      </c>
      <c r="G197" s="198"/>
      <c r="H197" s="198">
        <f t="shared" ref="H197:H221" si="16">1*G197</f>
        <v>0</v>
      </c>
      <c r="I197" s="565"/>
      <c r="J197" s="562"/>
      <c r="K197" s="161"/>
      <c r="L197" s="162"/>
      <c r="M197" s="162"/>
      <c r="N197" s="162"/>
      <c r="O197" s="162"/>
      <c r="P197" s="163"/>
      <c r="Q197" s="151"/>
    </row>
    <row r="198" spans="1:17" ht="30" customHeight="1">
      <c r="A198" s="171" t="s">
        <v>396</v>
      </c>
      <c r="B198" s="89" t="s">
        <v>397</v>
      </c>
      <c r="C198" s="89" t="s">
        <v>117</v>
      </c>
      <c r="D198" s="171" t="s">
        <v>398</v>
      </c>
      <c r="E198" s="108">
        <f>Rekenblad!E199</f>
        <v>0</v>
      </c>
      <c r="F198" s="118">
        <f>Rekenblad!F199</f>
        <v>58.300000000000004</v>
      </c>
      <c r="G198" s="198"/>
      <c r="H198" s="198">
        <f t="shared" si="16"/>
        <v>0</v>
      </c>
      <c r="I198" s="565"/>
      <c r="J198" s="562"/>
      <c r="K198" s="161"/>
      <c r="L198" s="162"/>
      <c r="M198" s="162"/>
      <c r="N198" s="162"/>
      <c r="O198" s="162"/>
      <c r="P198" s="163"/>
      <c r="Q198" s="151"/>
    </row>
    <row r="199" spans="1:17" ht="30" customHeight="1">
      <c r="A199" s="171" t="s">
        <v>399</v>
      </c>
      <c r="B199" s="89" t="s">
        <v>400</v>
      </c>
      <c r="C199" s="89" t="s">
        <v>117</v>
      </c>
      <c r="D199" s="171" t="s">
        <v>401</v>
      </c>
      <c r="E199" s="108">
        <f>Rekenblad!E200</f>
        <v>0</v>
      </c>
      <c r="F199" s="118">
        <f>Rekenblad!F200</f>
        <v>14.31</v>
      </c>
      <c r="G199" s="198"/>
      <c r="H199" s="198">
        <f t="shared" si="16"/>
        <v>0</v>
      </c>
      <c r="I199" s="565"/>
      <c r="J199" s="562"/>
      <c r="K199" s="161"/>
      <c r="L199" s="162"/>
      <c r="M199" s="162"/>
      <c r="N199" s="162"/>
      <c r="O199" s="162"/>
      <c r="P199" s="163"/>
      <c r="Q199" s="151"/>
    </row>
    <row r="200" spans="1:17" ht="30" customHeight="1">
      <c r="A200" s="171" t="s">
        <v>402</v>
      </c>
      <c r="B200" s="89" t="s">
        <v>403</v>
      </c>
      <c r="C200" s="89" t="s">
        <v>117</v>
      </c>
      <c r="D200" s="171" t="s">
        <v>401</v>
      </c>
      <c r="E200" s="108">
        <f>Rekenblad!E201</f>
        <v>0</v>
      </c>
      <c r="F200" s="118">
        <f>Rekenblad!F201</f>
        <v>14.31</v>
      </c>
      <c r="G200" s="198"/>
      <c r="H200" s="198">
        <f t="shared" si="16"/>
        <v>0</v>
      </c>
      <c r="I200" s="565"/>
      <c r="J200" s="562"/>
      <c r="K200" s="161"/>
      <c r="L200" s="162"/>
      <c r="M200" s="162"/>
      <c r="N200" s="162"/>
      <c r="O200" s="162"/>
      <c r="P200" s="163"/>
      <c r="Q200" s="151"/>
    </row>
    <row r="201" spans="1:17" ht="30" customHeight="1">
      <c r="A201" s="171" t="s">
        <v>404</v>
      </c>
      <c r="B201" s="89" t="s">
        <v>405</v>
      </c>
      <c r="C201" s="89" t="s">
        <v>117</v>
      </c>
      <c r="D201" s="171" t="s">
        <v>401</v>
      </c>
      <c r="E201" s="108">
        <f>Rekenblad!E202</f>
        <v>0</v>
      </c>
      <c r="F201" s="118">
        <f>Rekenblad!F202</f>
        <v>14.31</v>
      </c>
      <c r="G201" s="198"/>
      <c r="H201" s="198">
        <f t="shared" si="16"/>
        <v>0</v>
      </c>
      <c r="I201" s="565"/>
      <c r="J201" s="562"/>
      <c r="K201" s="161"/>
      <c r="L201" s="162"/>
      <c r="M201" s="162"/>
      <c r="N201" s="162"/>
      <c r="O201" s="162"/>
      <c r="P201" s="163"/>
      <c r="Q201" s="151"/>
    </row>
    <row r="202" spans="1:17" ht="30" customHeight="1">
      <c r="A202" s="171" t="s">
        <v>406</v>
      </c>
      <c r="B202" s="89" t="s">
        <v>407</v>
      </c>
      <c r="C202" s="89" t="s">
        <v>117</v>
      </c>
      <c r="D202" s="171" t="s">
        <v>401</v>
      </c>
      <c r="E202" s="108">
        <f>Rekenblad!E203</f>
        <v>0</v>
      </c>
      <c r="F202" s="118">
        <f>Rekenblad!F203</f>
        <v>14.31</v>
      </c>
      <c r="G202" s="198"/>
      <c r="H202" s="198">
        <f t="shared" si="16"/>
        <v>0</v>
      </c>
      <c r="I202" s="565"/>
      <c r="J202" s="562"/>
      <c r="K202" s="161"/>
      <c r="L202" s="162"/>
      <c r="M202" s="162"/>
      <c r="N202" s="162"/>
      <c r="O202" s="162"/>
      <c r="P202" s="163"/>
      <c r="Q202" s="151"/>
    </row>
    <row r="203" spans="1:17" ht="30" customHeight="1">
      <c r="A203" s="171" t="s">
        <v>408</v>
      </c>
      <c r="B203" s="89" t="s">
        <v>409</v>
      </c>
      <c r="C203" s="89" t="s">
        <v>117</v>
      </c>
      <c r="D203" s="171" t="s">
        <v>401</v>
      </c>
      <c r="E203" s="108">
        <f>Rekenblad!E204</f>
        <v>0</v>
      </c>
      <c r="F203" s="118">
        <f>Rekenblad!F204</f>
        <v>14.31</v>
      </c>
      <c r="G203" s="198"/>
      <c r="H203" s="198">
        <f t="shared" si="16"/>
        <v>0</v>
      </c>
      <c r="I203" s="565"/>
      <c r="J203" s="562"/>
      <c r="K203" s="161"/>
      <c r="L203" s="162"/>
      <c r="M203" s="162"/>
      <c r="N203" s="162"/>
      <c r="O203" s="162"/>
      <c r="P203" s="163"/>
      <c r="Q203" s="151"/>
    </row>
    <row r="204" spans="1:17" ht="30" customHeight="1">
      <c r="A204" s="171" t="s">
        <v>410</v>
      </c>
      <c r="B204" s="89" t="s">
        <v>411</v>
      </c>
      <c r="C204" s="89" t="s">
        <v>117</v>
      </c>
      <c r="D204" s="171" t="s">
        <v>401</v>
      </c>
      <c r="E204" s="108">
        <f>Rekenblad!E205</f>
        <v>0</v>
      </c>
      <c r="F204" s="118">
        <f>Rekenblad!F205</f>
        <v>14.31</v>
      </c>
      <c r="G204" s="198"/>
      <c r="H204" s="198">
        <f t="shared" si="16"/>
        <v>0</v>
      </c>
      <c r="I204" s="565"/>
      <c r="J204" s="562"/>
      <c r="K204" s="161"/>
      <c r="L204" s="162"/>
      <c r="M204" s="162"/>
      <c r="N204" s="162"/>
      <c r="O204" s="162"/>
      <c r="P204" s="163"/>
      <c r="Q204" s="151"/>
    </row>
    <row r="205" spans="1:17" ht="30" customHeight="1">
      <c r="A205" s="171" t="s">
        <v>412</v>
      </c>
      <c r="B205" s="89" t="s">
        <v>413</v>
      </c>
      <c r="C205" s="89" t="s">
        <v>117</v>
      </c>
      <c r="D205" s="171" t="s">
        <v>414</v>
      </c>
      <c r="E205" s="108">
        <f>Rekenblad!E206</f>
        <v>0</v>
      </c>
      <c r="F205" s="118">
        <f>Rekenblad!F206</f>
        <v>90.100000000000009</v>
      </c>
      <c r="G205" s="198"/>
      <c r="H205" s="198">
        <f t="shared" si="16"/>
        <v>0</v>
      </c>
      <c r="I205" s="565"/>
      <c r="J205" s="562"/>
      <c r="K205" s="161"/>
      <c r="L205" s="162"/>
      <c r="M205" s="162"/>
      <c r="N205" s="162"/>
      <c r="O205" s="162"/>
      <c r="P205" s="163"/>
      <c r="Q205" s="151"/>
    </row>
    <row r="206" spans="1:17" ht="30" customHeight="1">
      <c r="A206" s="171" t="s">
        <v>415</v>
      </c>
      <c r="B206" s="89" t="s">
        <v>416</v>
      </c>
      <c r="C206" s="89" t="s">
        <v>117</v>
      </c>
      <c r="D206" s="171" t="s">
        <v>401</v>
      </c>
      <c r="E206" s="108">
        <f>Rekenblad!E207</f>
        <v>0</v>
      </c>
      <c r="F206" s="118">
        <f>Rekenblad!F207</f>
        <v>14.31</v>
      </c>
      <c r="G206" s="198"/>
      <c r="H206" s="198">
        <f t="shared" si="16"/>
        <v>0</v>
      </c>
      <c r="I206" s="565"/>
      <c r="J206" s="562"/>
      <c r="K206" s="161"/>
      <c r="L206" s="162"/>
      <c r="M206" s="162"/>
      <c r="N206" s="162"/>
      <c r="O206" s="162"/>
      <c r="P206" s="163"/>
      <c r="Q206" s="151"/>
    </row>
    <row r="207" spans="1:17" ht="30" customHeight="1">
      <c r="A207" s="171" t="s">
        <v>417</v>
      </c>
      <c r="B207" s="89" t="s">
        <v>418</v>
      </c>
      <c r="C207" s="89" t="s">
        <v>117</v>
      </c>
      <c r="D207" s="171" t="s">
        <v>401</v>
      </c>
      <c r="E207" s="108">
        <f>Rekenblad!E208</f>
        <v>0</v>
      </c>
      <c r="F207" s="118">
        <f>Rekenblad!F208</f>
        <v>2.6500000000000004</v>
      </c>
      <c r="G207" s="198"/>
      <c r="H207" s="198">
        <f t="shared" si="16"/>
        <v>0</v>
      </c>
      <c r="I207" s="565"/>
      <c r="J207" s="562"/>
      <c r="K207" s="161"/>
      <c r="L207" s="162"/>
      <c r="M207" s="162"/>
      <c r="N207" s="162"/>
      <c r="O207" s="162"/>
      <c r="P207" s="163"/>
      <c r="Q207" s="151"/>
    </row>
    <row r="208" spans="1:17" ht="30" customHeight="1">
      <c r="A208" s="171" t="s">
        <v>419</v>
      </c>
      <c r="B208" s="89" t="s">
        <v>420</v>
      </c>
      <c r="C208" s="89" t="s">
        <v>117</v>
      </c>
      <c r="D208" s="171" t="s">
        <v>304</v>
      </c>
      <c r="E208" s="108">
        <f>Rekenblad!E209</f>
        <v>0</v>
      </c>
      <c r="F208" s="118">
        <f>Rekenblad!F209</f>
        <v>14.84</v>
      </c>
      <c r="G208" s="198"/>
      <c r="H208" s="198">
        <f t="shared" si="16"/>
        <v>0</v>
      </c>
      <c r="I208" s="565"/>
      <c r="J208" s="562"/>
      <c r="K208" s="161"/>
      <c r="L208" s="162"/>
      <c r="M208" s="162"/>
      <c r="N208" s="162"/>
      <c r="O208" s="162"/>
      <c r="P208" s="163"/>
      <c r="Q208" s="151"/>
    </row>
    <row r="209" spans="1:17" ht="30" customHeight="1">
      <c r="A209" s="171" t="s">
        <v>421</v>
      </c>
      <c r="B209" s="89" t="s">
        <v>422</v>
      </c>
      <c r="C209" s="89" t="s">
        <v>117</v>
      </c>
      <c r="D209" s="171" t="s">
        <v>401</v>
      </c>
      <c r="E209" s="108">
        <f>Rekenblad!E210</f>
        <v>0</v>
      </c>
      <c r="F209" s="118">
        <f>Rekenblad!F210</f>
        <v>15.158000000000001</v>
      </c>
      <c r="G209" s="198"/>
      <c r="H209" s="198">
        <f t="shared" si="16"/>
        <v>0</v>
      </c>
      <c r="I209" s="565"/>
      <c r="J209" s="562"/>
      <c r="K209" s="161"/>
      <c r="L209" s="162"/>
      <c r="M209" s="162"/>
      <c r="N209" s="162"/>
      <c r="O209" s="162"/>
      <c r="P209" s="163"/>
      <c r="Q209" s="151"/>
    </row>
    <row r="210" spans="1:17" ht="30" customHeight="1">
      <c r="A210" s="171" t="s">
        <v>423</v>
      </c>
      <c r="B210" s="89" t="s">
        <v>424</v>
      </c>
      <c r="C210" s="89" t="s">
        <v>117</v>
      </c>
      <c r="D210" s="171" t="s">
        <v>304</v>
      </c>
      <c r="E210" s="108">
        <f>Rekenblad!E211</f>
        <v>0</v>
      </c>
      <c r="F210" s="118">
        <f>Rekenblad!F211</f>
        <v>90.100000000000009</v>
      </c>
      <c r="G210" s="198"/>
      <c r="H210" s="198">
        <f t="shared" si="16"/>
        <v>0</v>
      </c>
      <c r="I210" s="565"/>
      <c r="J210" s="562"/>
      <c r="K210" s="161"/>
      <c r="L210" s="162"/>
      <c r="M210" s="162"/>
      <c r="N210" s="162"/>
      <c r="O210" s="162"/>
      <c r="P210" s="163"/>
      <c r="Q210" s="151"/>
    </row>
    <row r="211" spans="1:17" ht="30" customHeight="1">
      <c r="A211" s="171" t="s">
        <v>425</v>
      </c>
      <c r="B211" s="89" t="s">
        <v>426</v>
      </c>
      <c r="C211" s="89" t="s">
        <v>117</v>
      </c>
      <c r="D211" s="171" t="s">
        <v>427</v>
      </c>
      <c r="E211" s="108">
        <f>Rekenblad!E212</f>
        <v>0</v>
      </c>
      <c r="F211" s="118">
        <f>Rekenblad!F212</f>
        <v>106</v>
      </c>
      <c r="G211" s="198"/>
      <c r="H211" s="198">
        <f t="shared" si="16"/>
        <v>0</v>
      </c>
      <c r="I211" s="565"/>
      <c r="J211" s="562"/>
      <c r="K211" s="161"/>
      <c r="L211" s="162"/>
      <c r="M211" s="162"/>
      <c r="N211" s="162"/>
      <c r="O211" s="162"/>
      <c r="P211" s="163"/>
      <c r="Q211" s="151"/>
    </row>
    <row r="212" spans="1:17" ht="30" customHeight="1">
      <c r="A212" s="171" t="s">
        <v>428</v>
      </c>
      <c r="B212" s="89" t="s">
        <v>429</v>
      </c>
      <c r="C212" s="89" t="s">
        <v>117</v>
      </c>
      <c r="D212" s="171" t="s">
        <v>304</v>
      </c>
      <c r="E212" s="108">
        <f>Rekenblad!E213</f>
        <v>0</v>
      </c>
      <c r="F212" s="118">
        <f>Rekenblad!F213</f>
        <v>0</v>
      </c>
      <c r="G212" s="198"/>
      <c r="H212" s="198">
        <f t="shared" si="16"/>
        <v>0</v>
      </c>
      <c r="I212" s="565"/>
      <c r="J212" s="562"/>
      <c r="K212" s="161"/>
      <c r="L212" s="162"/>
      <c r="M212" s="162"/>
      <c r="N212" s="162"/>
      <c r="O212" s="162"/>
      <c r="P212" s="163"/>
      <c r="Q212" s="151"/>
    </row>
    <row r="213" spans="1:17" ht="30" customHeight="1">
      <c r="A213" s="171" t="s">
        <v>430</v>
      </c>
      <c r="B213" s="89" t="s">
        <v>431</v>
      </c>
      <c r="C213" s="89" t="s">
        <v>117</v>
      </c>
      <c r="D213" s="171" t="s">
        <v>432</v>
      </c>
      <c r="E213" s="108">
        <f>Rekenblad!E214</f>
        <v>0</v>
      </c>
      <c r="F213" s="118">
        <f>Rekenblad!F214</f>
        <v>24.380000000000003</v>
      </c>
      <c r="G213" s="198"/>
      <c r="H213" s="198">
        <f t="shared" si="16"/>
        <v>0</v>
      </c>
      <c r="I213" s="565"/>
      <c r="J213" s="562"/>
      <c r="K213" s="161"/>
      <c r="L213" s="162"/>
      <c r="M213" s="162"/>
      <c r="N213" s="162"/>
      <c r="O213" s="162"/>
      <c r="P213" s="163"/>
      <c r="Q213" s="151"/>
    </row>
    <row r="214" spans="1:17" ht="30" customHeight="1">
      <c r="A214" s="171" t="s">
        <v>433</v>
      </c>
      <c r="B214" s="89" t="s">
        <v>434</v>
      </c>
      <c r="C214" s="89" t="s">
        <v>117</v>
      </c>
      <c r="D214" s="171" t="s">
        <v>435</v>
      </c>
      <c r="E214" s="108">
        <f>Rekenblad!E215</f>
        <v>0</v>
      </c>
      <c r="F214" s="118">
        <f>Rekenblad!F215</f>
        <v>121.9</v>
      </c>
      <c r="G214" s="198"/>
      <c r="H214" s="198">
        <f t="shared" si="16"/>
        <v>0</v>
      </c>
      <c r="I214" s="565"/>
      <c r="J214" s="562"/>
      <c r="K214" s="161"/>
      <c r="L214" s="162"/>
      <c r="M214" s="162"/>
      <c r="N214" s="162"/>
      <c r="O214" s="162"/>
      <c r="P214" s="163"/>
      <c r="Q214" s="151"/>
    </row>
    <row r="215" spans="1:17" ht="30" customHeight="1">
      <c r="A215" s="171" t="s">
        <v>436</v>
      </c>
      <c r="B215" s="76" t="s">
        <v>437</v>
      </c>
      <c r="C215" s="89" t="s">
        <v>117</v>
      </c>
      <c r="D215" s="171" t="s">
        <v>438</v>
      </c>
      <c r="E215" s="108">
        <f>Rekenblad!E216</f>
        <v>0</v>
      </c>
      <c r="F215" s="118">
        <f>Rekenblad!F216</f>
        <v>0</v>
      </c>
      <c r="G215" s="198"/>
      <c r="H215" s="198">
        <f t="shared" si="16"/>
        <v>0</v>
      </c>
      <c r="I215" s="565"/>
      <c r="J215" s="562"/>
      <c r="K215" s="161"/>
      <c r="L215" s="162"/>
      <c r="M215" s="162"/>
      <c r="N215" s="162"/>
      <c r="O215" s="162"/>
      <c r="P215" s="163"/>
      <c r="Q215" s="151"/>
    </row>
    <row r="216" spans="1:17" ht="30" customHeight="1">
      <c r="A216" s="171" t="s">
        <v>439</v>
      </c>
      <c r="B216" s="89" t="s">
        <v>440</v>
      </c>
      <c r="C216" s="89" t="s">
        <v>117</v>
      </c>
      <c r="D216" s="171" t="s">
        <v>304</v>
      </c>
      <c r="E216" s="108">
        <f>Rekenblad!E217</f>
        <v>0</v>
      </c>
      <c r="F216" s="118">
        <f>Rekenblad!F217</f>
        <v>0</v>
      </c>
      <c r="G216" s="198"/>
      <c r="H216" s="198">
        <f t="shared" si="16"/>
        <v>0</v>
      </c>
      <c r="I216" s="565"/>
      <c r="J216" s="562"/>
      <c r="K216" s="161"/>
      <c r="L216" s="162"/>
      <c r="M216" s="162"/>
      <c r="N216" s="162"/>
      <c r="O216" s="162"/>
      <c r="P216" s="163"/>
      <c r="Q216" s="151"/>
    </row>
    <row r="217" spans="1:17" ht="30" customHeight="1">
      <c r="A217" s="171" t="s">
        <v>441</v>
      </c>
      <c r="B217" s="89" t="s">
        <v>442</v>
      </c>
      <c r="C217" s="89" t="s">
        <v>117</v>
      </c>
      <c r="D217" s="171" t="s">
        <v>304</v>
      </c>
      <c r="E217" s="108">
        <f>Rekenblad!E218</f>
        <v>0</v>
      </c>
      <c r="F217" s="118">
        <f>Rekenblad!F218</f>
        <v>3.71</v>
      </c>
      <c r="G217" s="198"/>
      <c r="H217" s="198">
        <f t="shared" si="16"/>
        <v>0</v>
      </c>
      <c r="I217" s="565"/>
      <c r="J217" s="562"/>
      <c r="K217" s="161"/>
      <c r="L217" s="162"/>
      <c r="M217" s="162"/>
      <c r="N217" s="162"/>
      <c r="O217" s="162"/>
      <c r="P217" s="163"/>
      <c r="Q217" s="151"/>
    </row>
    <row r="218" spans="1:17" ht="30" customHeight="1">
      <c r="A218" s="171" t="s">
        <v>443</v>
      </c>
      <c r="B218" s="89" t="s">
        <v>444</v>
      </c>
      <c r="C218" s="89" t="s">
        <v>117</v>
      </c>
      <c r="D218" s="171" t="s">
        <v>304</v>
      </c>
      <c r="E218" s="108">
        <f>Rekenblad!E219</f>
        <v>0</v>
      </c>
      <c r="F218" s="118">
        <f>Rekenblad!F219</f>
        <v>21.200000000000003</v>
      </c>
      <c r="G218" s="198"/>
      <c r="H218" s="198">
        <f t="shared" si="16"/>
        <v>0</v>
      </c>
      <c r="I218" s="565"/>
      <c r="J218" s="562"/>
      <c r="K218" s="161"/>
      <c r="L218" s="162"/>
      <c r="M218" s="162"/>
      <c r="N218" s="162"/>
      <c r="O218" s="162"/>
      <c r="P218" s="163"/>
      <c r="Q218" s="151"/>
    </row>
    <row r="219" spans="1:17" ht="30" customHeight="1">
      <c r="A219" s="171" t="s">
        <v>445</v>
      </c>
      <c r="B219" s="89" t="s">
        <v>446</v>
      </c>
      <c r="C219" s="89" t="s">
        <v>117</v>
      </c>
      <c r="D219" s="171" t="s">
        <v>139</v>
      </c>
      <c r="E219" s="108">
        <f>Rekenblad!E220</f>
        <v>0</v>
      </c>
      <c r="F219" s="118">
        <f>Rekenblad!F220</f>
        <v>47.7</v>
      </c>
      <c r="G219" s="109"/>
      <c r="H219" s="198">
        <f t="shared" si="16"/>
        <v>0</v>
      </c>
      <c r="I219" s="565"/>
      <c r="J219" s="562"/>
      <c r="K219" s="118"/>
      <c r="L219" s="146"/>
      <c r="M219" s="146"/>
      <c r="N219" s="146"/>
      <c r="O219" s="146"/>
      <c r="P219" s="147"/>
      <c r="Q219" s="151"/>
    </row>
    <row r="220" spans="1:17" ht="30" customHeight="1">
      <c r="A220" s="171" t="s">
        <v>447</v>
      </c>
      <c r="B220" s="89" t="s">
        <v>448</v>
      </c>
      <c r="C220" s="89" t="s">
        <v>117</v>
      </c>
      <c r="D220" s="171" t="s">
        <v>304</v>
      </c>
      <c r="E220" s="108">
        <f>Rekenblad!E221</f>
        <v>0</v>
      </c>
      <c r="F220" s="118">
        <f>Rekenblad!F221</f>
        <v>47.7</v>
      </c>
      <c r="G220" s="109"/>
      <c r="H220" s="198">
        <f t="shared" si="16"/>
        <v>0</v>
      </c>
      <c r="I220" s="565"/>
      <c r="J220" s="562"/>
      <c r="K220" s="118"/>
      <c r="L220" s="146"/>
      <c r="M220" s="146"/>
      <c r="N220" s="146"/>
      <c r="O220" s="146"/>
      <c r="P220" s="147"/>
      <c r="Q220" s="151"/>
    </row>
    <row r="221" spans="1:17" ht="30" customHeight="1">
      <c r="A221" s="171" t="s">
        <v>449</v>
      </c>
      <c r="B221" s="89" t="s">
        <v>450</v>
      </c>
      <c r="C221" s="89" t="s">
        <v>117</v>
      </c>
      <c r="D221" s="171" t="s">
        <v>304</v>
      </c>
      <c r="E221" s="108">
        <f>Rekenblad!E222</f>
        <v>0</v>
      </c>
      <c r="F221" s="118">
        <f>Rekenblad!F222</f>
        <v>26.5</v>
      </c>
      <c r="G221" s="109"/>
      <c r="H221" s="198">
        <f t="shared" si="16"/>
        <v>0</v>
      </c>
      <c r="I221" s="565"/>
      <c r="J221" s="562"/>
      <c r="K221" s="118"/>
      <c r="L221" s="146"/>
      <c r="M221" s="146"/>
      <c r="N221" s="146"/>
      <c r="O221" s="146"/>
      <c r="P221" s="147"/>
      <c r="Q221" s="151"/>
    </row>
    <row r="222" spans="1:17" ht="30" customHeight="1">
      <c r="A222" s="218"/>
      <c r="B222" s="151"/>
      <c r="C222" s="151"/>
      <c r="D222" s="213"/>
      <c r="E222" s="179"/>
      <c r="F222" s="118"/>
      <c r="G222" s="109"/>
      <c r="H222" s="237"/>
      <c r="I222" s="565"/>
      <c r="J222" s="562"/>
      <c r="K222" s="161"/>
      <c r="L222" s="162"/>
      <c r="M222" s="162"/>
      <c r="N222" s="162"/>
      <c r="O222" s="162"/>
      <c r="P222" s="163"/>
      <c r="Q222" s="151"/>
    </row>
    <row r="223" spans="1:17" ht="30" customHeight="1">
      <c r="A223" s="141">
        <v>11</v>
      </c>
      <c r="B223" s="65" t="s">
        <v>451</v>
      </c>
      <c r="C223" s="65"/>
      <c r="D223" s="38" t="s">
        <v>12</v>
      </c>
      <c r="E223" s="47" t="s">
        <v>13</v>
      </c>
      <c r="F223" s="60" t="str">
        <f>Rekenblad!F224</f>
        <v>bedrag per eenheid (excl. btw)</v>
      </c>
      <c r="G223" s="53" t="s">
        <v>15</v>
      </c>
      <c r="H223" s="48" t="s">
        <v>16</v>
      </c>
      <c r="I223" s="563" t="s">
        <v>17</v>
      </c>
      <c r="J223" s="566"/>
      <c r="K223" s="37"/>
      <c r="L223" s="50"/>
      <c r="M223" s="50"/>
      <c r="N223" s="50"/>
      <c r="O223" s="50"/>
      <c r="P223" s="49" t="s">
        <v>18</v>
      </c>
      <c r="Q223" s="151"/>
    </row>
    <row r="224" spans="1:17" ht="30" customHeight="1">
      <c r="A224" s="171" t="s">
        <v>452</v>
      </c>
      <c r="B224" s="116" t="s">
        <v>453</v>
      </c>
      <c r="C224" s="75" t="s">
        <v>33</v>
      </c>
      <c r="D224" s="238" t="s">
        <v>8</v>
      </c>
      <c r="E224" s="108">
        <f>Rekenblad!E225</f>
        <v>4</v>
      </c>
      <c r="F224" s="118">
        <f>Rekenblad!F225</f>
        <v>76.850000000000009</v>
      </c>
      <c r="G224" s="198">
        <f>E224*F224</f>
        <v>307.40000000000003</v>
      </c>
      <c r="H224" s="198">
        <f>1*G224</f>
        <v>307.40000000000003</v>
      </c>
      <c r="I224" s="561" t="s">
        <v>454</v>
      </c>
      <c r="J224" s="562"/>
      <c r="K224" s="183"/>
      <c r="L224" s="184"/>
      <c r="M224" s="184"/>
      <c r="N224" s="184"/>
      <c r="O224" s="184"/>
      <c r="P224" s="185"/>
      <c r="Q224" s="151"/>
    </row>
    <row r="225" spans="1:17" ht="30" customHeight="1">
      <c r="A225" s="171" t="s">
        <v>455</v>
      </c>
      <c r="B225" s="116" t="s">
        <v>453</v>
      </c>
      <c r="C225" s="75" t="s">
        <v>33</v>
      </c>
      <c r="D225" s="238" t="s">
        <v>8</v>
      </c>
      <c r="E225" s="108">
        <f>Rekenblad!E226</f>
        <v>4</v>
      </c>
      <c r="F225" s="118">
        <f>Rekenblad!F226</f>
        <v>63.6</v>
      </c>
      <c r="G225" s="198">
        <f t="shared" ref="G225:G232" si="17">E225*F225</f>
        <v>254.4</v>
      </c>
      <c r="H225" s="198">
        <f t="shared" ref="H225:H232" si="18">1*G225</f>
        <v>254.4</v>
      </c>
      <c r="I225" s="561"/>
      <c r="J225" s="562"/>
      <c r="K225" s="183"/>
      <c r="L225" s="184"/>
      <c r="M225" s="184"/>
      <c r="N225" s="184"/>
      <c r="O225" s="184"/>
      <c r="P225" s="185"/>
      <c r="Q225" s="151"/>
    </row>
    <row r="226" spans="1:17" ht="30" customHeight="1">
      <c r="A226" s="171" t="s">
        <v>456</v>
      </c>
      <c r="B226" s="116" t="s">
        <v>453</v>
      </c>
      <c r="C226" s="75" t="s">
        <v>33</v>
      </c>
      <c r="D226" s="238" t="s">
        <v>8</v>
      </c>
      <c r="E226" s="108">
        <f>Rekenblad!E227</f>
        <v>4</v>
      </c>
      <c r="F226" s="118">
        <f>Rekenblad!F227</f>
        <v>63.6</v>
      </c>
      <c r="G226" s="198">
        <f t="shared" si="17"/>
        <v>254.4</v>
      </c>
      <c r="H226" s="198">
        <f t="shared" si="18"/>
        <v>254.4</v>
      </c>
      <c r="I226" s="561"/>
      <c r="J226" s="562"/>
      <c r="K226" s="183"/>
      <c r="L226" s="184"/>
      <c r="M226" s="184"/>
      <c r="N226" s="184"/>
      <c r="O226" s="184"/>
      <c r="P226" s="185"/>
      <c r="Q226" s="151"/>
    </row>
    <row r="227" spans="1:17" ht="30" customHeight="1">
      <c r="A227" s="171" t="s">
        <v>457</v>
      </c>
      <c r="B227" s="116" t="s">
        <v>458</v>
      </c>
      <c r="C227" s="75" t="s">
        <v>33</v>
      </c>
      <c r="D227" s="238" t="s">
        <v>8</v>
      </c>
      <c r="E227" s="108">
        <f>Rekenblad!E228</f>
        <v>8</v>
      </c>
      <c r="F227" s="118">
        <f>Rekenblad!F228</f>
        <v>115.01</v>
      </c>
      <c r="G227" s="198">
        <f t="shared" si="17"/>
        <v>920.08</v>
      </c>
      <c r="H227" s="198">
        <f t="shared" si="18"/>
        <v>920.08</v>
      </c>
      <c r="I227" s="561"/>
      <c r="J227" s="562"/>
      <c r="K227" s="183"/>
      <c r="L227" s="184"/>
      <c r="M227" s="184"/>
      <c r="N227" s="184"/>
      <c r="O227" s="184"/>
      <c r="P227" s="185"/>
      <c r="Q227" s="151"/>
    </row>
    <row r="228" spans="1:17" ht="30" customHeight="1">
      <c r="A228" s="171" t="s">
        <v>459</v>
      </c>
      <c r="B228" s="174" t="s">
        <v>460</v>
      </c>
      <c r="C228" s="107" t="s">
        <v>33</v>
      </c>
      <c r="D228" s="107" t="s">
        <v>8</v>
      </c>
      <c r="E228" s="108">
        <f>Rekenblad!E229</f>
        <v>8</v>
      </c>
      <c r="F228" s="118">
        <f>Rekenblad!F229</f>
        <v>79.5</v>
      </c>
      <c r="G228" s="198">
        <f t="shared" si="17"/>
        <v>636</v>
      </c>
      <c r="H228" s="198">
        <f t="shared" si="18"/>
        <v>636</v>
      </c>
      <c r="I228" s="561"/>
      <c r="J228" s="562"/>
      <c r="K228" s="161"/>
      <c r="L228" s="162"/>
      <c r="M228" s="162"/>
      <c r="N228" s="162"/>
      <c r="O228" s="162"/>
      <c r="P228" s="163"/>
      <c r="Q228" s="151"/>
    </row>
    <row r="229" spans="1:17" ht="30" customHeight="1">
      <c r="A229" s="171" t="s">
        <v>461</v>
      </c>
      <c r="B229" s="174" t="s">
        <v>462</v>
      </c>
      <c r="C229" s="107" t="s">
        <v>53</v>
      </c>
      <c r="D229" s="107" t="s">
        <v>463</v>
      </c>
      <c r="E229" s="108">
        <f>Rekenblad!E230</f>
        <v>1</v>
      </c>
      <c r="F229" s="118">
        <f>Rekenblad!F230</f>
        <v>530</v>
      </c>
      <c r="G229" s="198">
        <f t="shared" si="17"/>
        <v>530</v>
      </c>
      <c r="H229" s="198">
        <f t="shared" si="18"/>
        <v>530</v>
      </c>
      <c r="I229" s="561"/>
      <c r="J229" s="562"/>
      <c r="K229" s="118"/>
      <c r="L229" s="146"/>
      <c r="M229" s="146"/>
      <c r="N229" s="146"/>
      <c r="O229" s="146"/>
      <c r="P229" s="147"/>
      <c r="Q229" s="151"/>
    </row>
    <row r="230" spans="1:17" ht="30" customHeight="1">
      <c r="A230" s="171" t="s">
        <v>464</v>
      </c>
      <c r="B230" s="89" t="s">
        <v>465</v>
      </c>
      <c r="C230" s="89" t="s">
        <v>101</v>
      </c>
      <c r="D230" s="171"/>
      <c r="E230" s="108">
        <f>Rekenblad!E231</f>
        <v>0</v>
      </c>
      <c r="F230" s="118">
        <f>Rekenblad!F231</f>
        <v>81.62</v>
      </c>
      <c r="G230" s="118">
        <f t="shared" si="17"/>
        <v>0</v>
      </c>
      <c r="H230" s="197">
        <f t="shared" si="18"/>
        <v>0</v>
      </c>
      <c r="I230" s="561"/>
      <c r="J230" s="562"/>
      <c r="K230" s="183"/>
      <c r="L230" s="184"/>
      <c r="M230" s="184"/>
      <c r="N230" s="184"/>
      <c r="O230" s="184"/>
      <c r="P230" s="185"/>
      <c r="Q230" s="151"/>
    </row>
    <row r="231" spans="1:17" ht="30" customHeight="1">
      <c r="A231" s="171" t="s">
        <v>466</v>
      </c>
      <c r="B231" s="89" t="s">
        <v>467</v>
      </c>
      <c r="C231" s="89" t="s">
        <v>101</v>
      </c>
      <c r="D231" s="171"/>
      <c r="E231" s="108">
        <f>Rekenblad!E232</f>
        <v>0</v>
      </c>
      <c r="F231" s="118">
        <f>Rekenblad!F232</f>
        <v>51.982399999999998</v>
      </c>
      <c r="G231" s="118">
        <f t="shared" si="17"/>
        <v>0</v>
      </c>
      <c r="H231" s="197">
        <f t="shared" si="18"/>
        <v>0</v>
      </c>
      <c r="I231" s="561"/>
      <c r="J231" s="562"/>
      <c r="K231" s="183"/>
      <c r="L231" s="184"/>
      <c r="M231" s="184"/>
      <c r="N231" s="184"/>
      <c r="O231" s="184"/>
      <c r="P231" s="185"/>
      <c r="Q231" s="151"/>
    </row>
    <row r="232" spans="1:17" ht="30" customHeight="1">
      <c r="A232" s="171" t="s">
        <v>468</v>
      </c>
      <c r="B232" s="174" t="s">
        <v>469</v>
      </c>
      <c r="C232" s="107" t="s">
        <v>33</v>
      </c>
      <c r="D232" s="107" t="s">
        <v>470</v>
      </c>
      <c r="E232" s="108">
        <f>Rekenblad!E233</f>
        <v>12</v>
      </c>
      <c r="F232" s="118">
        <f>Rekenblad!F233</f>
        <v>63.6</v>
      </c>
      <c r="G232" s="198">
        <f t="shared" si="17"/>
        <v>763.2</v>
      </c>
      <c r="H232" s="198">
        <f t="shared" si="18"/>
        <v>763.2</v>
      </c>
      <c r="I232" s="561" t="s">
        <v>471</v>
      </c>
      <c r="J232" s="562"/>
      <c r="K232" s="161"/>
      <c r="L232" s="162"/>
      <c r="M232" s="162"/>
      <c r="N232" s="162"/>
      <c r="O232" s="162"/>
      <c r="P232" s="163"/>
      <c r="Q232" s="151"/>
    </row>
    <row r="233" spans="1:17" ht="30" customHeight="1">
      <c r="A233" s="171"/>
      <c r="B233" s="89"/>
      <c r="C233" s="89"/>
      <c r="D233" s="171"/>
      <c r="E233" s="108"/>
      <c r="F233" s="118"/>
      <c r="G233" s="109"/>
      <c r="H233" s="167"/>
      <c r="I233" s="231"/>
      <c r="J233" s="232"/>
      <c r="K233" s="240"/>
      <c r="L233" s="241"/>
      <c r="M233" s="241"/>
      <c r="N233" s="241"/>
      <c r="O233" s="241"/>
      <c r="P233" s="147"/>
      <c r="Q233" s="151"/>
    </row>
    <row r="234" spans="1:17" s="5" customFormat="1" ht="65.25" customHeight="1">
      <c r="A234" s="61" t="s">
        <v>10</v>
      </c>
      <c r="B234" s="62" t="s">
        <v>11</v>
      </c>
      <c r="C234" s="63"/>
      <c r="D234" s="35" t="s">
        <v>12</v>
      </c>
      <c r="E234" s="36" t="s">
        <v>13</v>
      </c>
      <c r="F234" s="60" t="str">
        <f>Rekenblad!F235</f>
        <v>bedrag per eenheid (excl. btw)</v>
      </c>
      <c r="G234" s="37" t="s">
        <v>15</v>
      </c>
      <c r="H234" s="37" t="s">
        <v>16</v>
      </c>
      <c r="I234" s="563" t="s">
        <v>17</v>
      </c>
      <c r="J234" s="564"/>
      <c r="K234" s="564"/>
      <c r="L234" s="564"/>
      <c r="M234" s="564"/>
      <c r="N234" s="564"/>
      <c r="O234" s="564"/>
      <c r="P234" s="38" t="s">
        <v>18</v>
      </c>
      <c r="Q234" s="301"/>
    </row>
    <row r="235" spans="1:17">
      <c r="A235" s="218"/>
      <c r="B235" s="219"/>
      <c r="C235" s="219"/>
      <c r="D235" s="218"/>
      <c r="E235" s="220"/>
      <c r="F235" s="118">
        <f>Rekenblad!F236</f>
        <v>0</v>
      </c>
      <c r="G235" s="221"/>
      <c r="H235" s="221"/>
      <c r="I235" s="222"/>
      <c r="J235" s="151"/>
      <c r="K235" s="223"/>
      <c r="L235" s="224"/>
      <c r="M235" s="224"/>
      <c r="N235" s="224"/>
      <c r="O235" s="224"/>
      <c r="P235" s="225"/>
      <c r="Q235" s="151"/>
    </row>
    <row r="236" spans="1:17" ht="30" customHeight="1">
      <c r="A236" s="171" t="s">
        <v>472</v>
      </c>
      <c r="B236" s="116" t="s">
        <v>473</v>
      </c>
      <c r="C236" s="75"/>
      <c r="D236" s="107" t="s">
        <v>474</v>
      </c>
      <c r="E236" s="108">
        <f>Rekenblad!E237</f>
        <v>5</v>
      </c>
      <c r="F236" s="118">
        <f>Rekenblad!F237</f>
        <v>1060</v>
      </c>
      <c r="G236" s="109"/>
      <c r="H236" s="167">
        <f t="shared" ref="H236:H237" si="19">SUM(E236*F236)</f>
        <v>5300</v>
      </c>
      <c r="I236" s="76"/>
      <c r="J236" s="89"/>
      <c r="K236" s="118"/>
      <c r="L236" s="146"/>
      <c r="M236" s="146"/>
      <c r="N236" s="146"/>
      <c r="O236" s="146"/>
      <c r="P236" s="147"/>
      <c r="Q236" s="151"/>
    </row>
    <row r="237" spans="1:17" ht="30" customHeight="1">
      <c r="A237" s="171" t="s">
        <v>475</v>
      </c>
      <c r="B237" s="116" t="s">
        <v>476</v>
      </c>
      <c r="C237" s="75"/>
      <c r="D237" s="171" t="s">
        <v>477</v>
      </c>
      <c r="E237" s="108">
        <f>Rekenblad!E238</f>
        <v>5</v>
      </c>
      <c r="F237" s="118">
        <f>Rekenblad!F238</f>
        <v>21200</v>
      </c>
      <c r="G237" s="109"/>
      <c r="H237" s="167">
        <f t="shared" si="19"/>
        <v>106000</v>
      </c>
      <c r="I237" s="76"/>
      <c r="J237" s="89"/>
      <c r="K237" s="118"/>
      <c r="L237" s="146"/>
      <c r="M237" s="146"/>
      <c r="N237" s="146"/>
      <c r="O237" s="146"/>
      <c r="P237" s="147"/>
      <c r="Q237" s="151"/>
    </row>
    <row r="238" spans="1:17" ht="30" customHeight="1">
      <c r="A238" s="171" t="s">
        <v>478</v>
      </c>
      <c r="B238" s="116" t="s">
        <v>479</v>
      </c>
      <c r="C238" s="75"/>
      <c r="D238" s="107" t="s">
        <v>477</v>
      </c>
      <c r="E238" s="108">
        <f>Rekenblad!E239</f>
        <v>5</v>
      </c>
      <c r="F238" s="118">
        <f>Rekenblad!F239</f>
        <v>21200</v>
      </c>
      <c r="G238" s="109"/>
      <c r="H238" s="167">
        <f>E238*F238</f>
        <v>106000</v>
      </c>
      <c r="I238" s="76"/>
      <c r="J238" s="89"/>
      <c r="K238" s="118"/>
      <c r="L238" s="146"/>
      <c r="M238" s="146"/>
      <c r="N238" s="146"/>
      <c r="O238" s="146"/>
      <c r="P238" s="147"/>
      <c r="Q238" s="151"/>
    </row>
    <row r="239" spans="1:17">
      <c r="A239" s="218"/>
      <c r="B239" s="219"/>
      <c r="C239" s="219"/>
      <c r="D239" s="218"/>
      <c r="E239" s="220"/>
      <c r="F239" s="221"/>
      <c r="G239" s="221"/>
      <c r="H239" s="221">
        <v>0</v>
      </c>
      <c r="I239" s="222"/>
      <c r="J239" s="151"/>
      <c r="K239" s="223"/>
      <c r="L239" s="224"/>
      <c r="M239" s="224"/>
      <c r="N239" s="224"/>
      <c r="O239" s="224"/>
      <c r="P239" s="225"/>
      <c r="Q239" s="151"/>
    </row>
    <row r="240" spans="1:17">
      <c r="A240" s="242"/>
      <c r="B240" s="219"/>
      <c r="C240" s="219"/>
      <c r="D240" s="218"/>
      <c r="E240" s="220"/>
      <c r="F240" s="221"/>
      <c r="G240" s="221"/>
      <c r="H240" s="243"/>
      <c r="I240" s="222"/>
      <c r="J240" s="151"/>
      <c r="K240" s="223"/>
      <c r="L240" s="224"/>
      <c r="M240" s="224"/>
      <c r="N240" s="224"/>
      <c r="O240" s="224"/>
      <c r="P240" s="225"/>
      <c r="Q240" s="151"/>
    </row>
    <row r="241" spans="1:17" ht="15" customHeight="1" thickBot="1">
      <c r="A241" s="218"/>
      <c r="B241" s="219"/>
      <c r="C241" s="219"/>
      <c r="D241" s="244"/>
      <c r="E241" s="220"/>
      <c r="F241" s="221"/>
      <c r="G241" s="329" t="s">
        <v>480</v>
      </c>
      <c r="H241" s="330" t="s">
        <v>481</v>
      </c>
      <c r="I241" s="222"/>
      <c r="J241" s="151"/>
      <c r="K241" s="223"/>
      <c r="L241" s="224"/>
      <c r="M241" s="224"/>
      <c r="N241" s="224"/>
      <c r="O241" s="224"/>
      <c r="P241" s="225"/>
      <c r="Q241" s="151"/>
    </row>
    <row r="242" spans="1:17" ht="15" customHeight="1">
      <c r="A242" s="245"/>
      <c r="B242" s="246" t="s">
        <v>482</v>
      </c>
      <c r="C242" s="246"/>
      <c r="D242" s="247"/>
      <c r="E242" s="248"/>
      <c r="F242" s="249"/>
      <c r="G242" s="249">
        <f>H242/5</f>
        <v>508882.54424000008</v>
      </c>
      <c r="H242" s="250">
        <f>SUM(H11:H241)</f>
        <v>2544412.7212000005</v>
      </c>
      <c r="I242" s="222"/>
      <c r="J242" s="151"/>
      <c r="K242" s="223"/>
      <c r="L242" s="224"/>
      <c r="M242" s="224"/>
      <c r="N242" s="224"/>
      <c r="O242" s="224"/>
      <c r="P242" s="225"/>
      <c r="Q242" s="151"/>
    </row>
    <row r="243" spans="1:17" ht="15" customHeight="1">
      <c r="A243" s="251"/>
      <c r="B243" s="219" t="s">
        <v>483</v>
      </c>
      <c r="C243" s="219"/>
      <c r="D243" s="328">
        <v>0.16</v>
      </c>
      <c r="E243" s="220"/>
      <c r="F243" s="221"/>
      <c r="G243" s="221">
        <f>H243/5</f>
        <v>81421.207078400024</v>
      </c>
      <c r="H243" s="252">
        <f>D243*H242</f>
        <v>407106.03539200011</v>
      </c>
      <c r="I243" s="222"/>
      <c r="J243" s="151"/>
      <c r="K243" s="223"/>
      <c r="L243" s="224"/>
      <c r="M243" s="224"/>
      <c r="N243" s="224"/>
      <c r="O243" s="224"/>
      <c r="P243" s="225"/>
      <c r="Q243" s="151"/>
    </row>
    <row r="244" spans="1:17">
      <c r="A244" s="251"/>
      <c r="B244" s="219"/>
      <c r="C244" s="219"/>
      <c r="D244" s="218"/>
      <c r="E244" s="220"/>
      <c r="F244" s="221"/>
      <c r="G244" s="221"/>
      <c r="H244" s="252"/>
      <c r="I244" s="222"/>
      <c r="J244" s="151"/>
      <c r="K244" s="223"/>
      <c r="L244" s="224"/>
      <c r="M244" s="224"/>
      <c r="N244" s="224"/>
      <c r="O244" s="224"/>
      <c r="P244" s="225"/>
      <c r="Q244" s="151"/>
    </row>
    <row r="245" spans="1:17">
      <c r="A245" s="251"/>
      <c r="B245" s="253" t="s">
        <v>484</v>
      </c>
      <c r="C245" s="253"/>
      <c r="D245" s="218"/>
      <c r="E245" s="220"/>
      <c r="F245" s="221"/>
      <c r="G245" s="221">
        <f>H245/5</f>
        <v>590303.75131840014</v>
      </c>
      <c r="H245" s="254">
        <f>SUM(H242:H243)</f>
        <v>2951518.7565920008</v>
      </c>
      <c r="I245" s="222"/>
      <c r="J245" s="151"/>
      <c r="K245" s="223"/>
      <c r="L245" s="224"/>
      <c r="M245" s="224"/>
      <c r="N245" s="224"/>
      <c r="O245" s="224"/>
      <c r="P245" s="225"/>
      <c r="Q245" s="151"/>
    </row>
    <row r="246" spans="1:17">
      <c r="A246" s="251"/>
      <c r="B246" s="255" t="s">
        <v>485</v>
      </c>
      <c r="C246" s="255"/>
      <c r="D246" s="327">
        <v>0.21</v>
      </c>
      <c r="E246" s="256"/>
      <c r="F246" s="257"/>
      <c r="G246" s="257">
        <f>H246/5</f>
        <v>123963.78777686405</v>
      </c>
      <c r="H246" s="258">
        <f>D246*H245</f>
        <v>619818.9388843202</v>
      </c>
      <c r="I246" s="222"/>
      <c r="J246" s="151"/>
      <c r="K246" s="223"/>
      <c r="L246" s="224"/>
      <c r="M246" s="224"/>
      <c r="N246" s="224"/>
      <c r="O246" s="224"/>
      <c r="P246" s="225"/>
      <c r="Q246" s="151"/>
    </row>
    <row r="247" spans="1:17">
      <c r="A247" s="251"/>
      <c r="B247" s="219"/>
      <c r="C247" s="219"/>
      <c r="D247" s="218"/>
      <c r="E247" s="220"/>
      <c r="F247" s="221"/>
      <c r="G247" s="221"/>
      <c r="H247" s="259"/>
      <c r="I247" s="222"/>
      <c r="J247" s="151"/>
      <c r="K247" s="223"/>
      <c r="L247" s="224"/>
      <c r="M247" s="224"/>
      <c r="N247" s="224"/>
      <c r="O247" s="224"/>
      <c r="P247" s="225"/>
      <c r="Q247" s="151"/>
    </row>
    <row r="248" spans="1:17">
      <c r="A248" s="251"/>
      <c r="B248" s="260" t="s">
        <v>486</v>
      </c>
      <c r="C248" s="260"/>
      <c r="D248" s="218"/>
      <c r="E248" s="220"/>
      <c r="F248" s="221"/>
      <c r="G248" s="261">
        <f>H248/5</f>
        <v>714267.53909526416</v>
      </c>
      <c r="H248" s="262">
        <f>SUM(H245:H246)</f>
        <v>3571337.695476321</v>
      </c>
      <c r="I248" s="222"/>
      <c r="J248" s="151"/>
      <c r="K248" s="223"/>
      <c r="L248" s="224"/>
      <c r="M248" s="224"/>
      <c r="N248" s="224"/>
      <c r="O248" s="224"/>
      <c r="P248" s="225"/>
      <c r="Q248" s="151"/>
    </row>
    <row r="249" spans="1:17" ht="15.75" thickBot="1">
      <c r="A249" s="263"/>
      <c r="B249" s="264"/>
      <c r="C249" s="264"/>
      <c r="D249" s="265"/>
      <c r="E249" s="266"/>
      <c r="F249" s="267"/>
      <c r="G249" s="268"/>
      <c r="H249" s="269"/>
      <c r="I249" s="222"/>
      <c r="J249" s="225"/>
      <c r="K249" s="270"/>
      <c r="L249" s="271"/>
      <c r="M249" s="271"/>
      <c r="N249" s="271"/>
      <c r="O249" s="271"/>
      <c r="P249" s="225"/>
      <c r="Q249" s="151"/>
    </row>
    <row r="250" spans="1:17">
      <c r="A250" s="218"/>
      <c r="B250" s="219"/>
      <c r="C250" s="219"/>
      <c r="D250" s="218"/>
      <c r="E250" s="220"/>
      <c r="F250" s="221"/>
      <c r="G250" s="221"/>
      <c r="H250" s="221"/>
      <c r="I250" s="222"/>
      <c r="J250" s="151"/>
      <c r="K250" s="223"/>
      <c r="L250" s="224"/>
      <c r="M250" s="224"/>
      <c r="N250" s="224"/>
      <c r="O250" s="224"/>
      <c r="P250" s="225"/>
      <c r="Q250" s="151"/>
    </row>
    <row r="251" spans="1:17">
      <c r="A251" s="218"/>
      <c r="B251" s="219" t="s">
        <v>487</v>
      </c>
      <c r="C251" s="219"/>
      <c r="D251" s="218"/>
      <c r="E251" s="220"/>
      <c r="F251" s="221"/>
      <c r="G251" s="221">
        <f>H251/5</f>
        <v>308595.25738799991</v>
      </c>
      <c r="H251" s="221">
        <f>SUM(H11:H14)*(1+$D$243)*(1+$D$246)</f>
        <v>1542976.2869399996</v>
      </c>
      <c r="I251" s="222"/>
      <c r="J251" s="151"/>
      <c r="K251" s="223"/>
      <c r="L251" s="224"/>
      <c r="M251" s="224"/>
      <c r="N251" s="224"/>
      <c r="O251" s="224"/>
      <c r="P251" s="225"/>
      <c r="Q251" s="151"/>
    </row>
    <row r="252" spans="1:17">
      <c r="A252" s="218"/>
      <c r="B252" s="219" t="s">
        <v>488</v>
      </c>
      <c r="C252" s="219"/>
      <c r="D252" s="218"/>
      <c r="E252" s="220"/>
      <c r="F252" s="221"/>
      <c r="G252" s="221">
        <f>H252/5</f>
        <v>405672.2817072639</v>
      </c>
      <c r="H252" s="221">
        <f>SUM(H16:H238)*(1+$D$243)*(1+$D$246)</f>
        <v>2028361.4085363196</v>
      </c>
      <c r="I252" s="222"/>
      <c r="J252" s="151"/>
      <c r="K252" s="223"/>
      <c r="L252" s="224"/>
      <c r="M252" s="224"/>
      <c r="N252" s="224"/>
      <c r="O252" s="224"/>
      <c r="P252" s="225"/>
      <c r="Q252" s="151"/>
    </row>
  </sheetData>
  <mergeCells count="172">
    <mergeCell ref="I36:J36"/>
    <mergeCell ref="I37:J37"/>
    <mergeCell ref="I38:J38"/>
    <mergeCell ref="I23:J23"/>
    <mergeCell ref="I24:J24"/>
    <mergeCell ref="A1:P1"/>
    <mergeCell ref="E3:F3"/>
    <mergeCell ref="E4:F4"/>
    <mergeCell ref="I5:O5"/>
    <mergeCell ref="I33:J33"/>
    <mergeCell ref="I34:J34"/>
    <mergeCell ref="I35:J35"/>
    <mergeCell ref="I45:J45"/>
    <mergeCell ref="I46:J46"/>
    <mergeCell ref="I47:J47"/>
    <mergeCell ref="I48:J48"/>
    <mergeCell ref="I49:J49"/>
    <mergeCell ref="I50:J50"/>
    <mergeCell ref="I39:J39"/>
    <mergeCell ref="I40:J40"/>
    <mergeCell ref="I41:J41"/>
    <mergeCell ref="I42:J42"/>
    <mergeCell ref="I43:J43"/>
    <mergeCell ref="I44:J44"/>
    <mergeCell ref="I61:J61"/>
    <mergeCell ref="I62:J62"/>
    <mergeCell ref="I63:J63"/>
    <mergeCell ref="I64:J64"/>
    <mergeCell ref="I65:J65"/>
    <mergeCell ref="I66:J66"/>
    <mergeCell ref="I51:J51"/>
    <mergeCell ref="I52:J52"/>
    <mergeCell ref="I57:J57"/>
    <mergeCell ref="I58:J58"/>
    <mergeCell ref="I59:J59"/>
    <mergeCell ref="I60:J60"/>
    <mergeCell ref="I93:J93"/>
    <mergeCell ref="I94:J94"/>
    <mergeCell ref="I109:J109"/>
    <mergeCell ref="I76:J76"/>
    <mergeCell ref="I77:J77"/>
    <mergeCell ref="I82:J82"/>
    <mergeCell ref="I92:J92"/>
    <mergeCell ref="I69:J69"/>
    <mergeCell ref="I70:J70"/>
    <mergeCell ref="I71:J71"/>
    <mergeCell ref="I75:J75"/>
    <mergeCell ref="I116:J116"/>
    <mergeCell ref="I117:J117"/>
    <mergeCell ref="I118:J118"/>
    <mergeCell ref="I119:J119"/>
    <mergeCell ref="I120:J120"/>
    <mergeCell ref="I121:J121"/>
    <mergeCell ref="I110:J110"/>
    <mergeCell ref="I111:J111"/>
    <mergeCell ref="I112:J112"/>
    <mergeCell ref="I113:J113"/>
    <mergeCell ref="I114:J114"/>
    <mergeCell ref="I115:J115"/>
    <mergeCell ref="I130:J130"/>
    <mergeCell ref="I131:J131"/>
    <mergeCell ref="I132:J132"/>
    <mergeCell ref="I133:J133"/>
    <mergeCell ref="I134:J134"/>
    <mergeCell ref="I135:J135"/>
    <mergeCell ref="I122:J122"/>
    <mergeCell ref="I126:J126"/>
    <mergeCell ref="I127:J127"/>
    <mergeCell ref="I128:J128"/>
    <mergeCell ref="I129:J129"/>
    <mergeCell ref="I125:J125"/>
    <mergeCell ref="I142:J142"/>
    <mergeCell ref="I143:J143"/>
    <mergeCell ref="I144:J144"/>
    <mergeCell ref="I145:J145"/>
    <mergeCell ref="I146:J146"/>
    <mergeCell ref="I147:J147"/>
    <mergeCell ref="I136:J136"/>
    <mergeCell ref="I137:J137"/>
    <mergeCell ref="I138:J138"/>
    <mergeCell ref="I139:J139"/>
    <mergeCell ref="I140:J140"/>
    <mergeCell ref="I141:J141"/>
    <mergeCell ref="I155:J155"/>
    <mergeCell ref="I156:J156"/>
    <mergeCell ref="I159:J159"/>
    <mergeCell ref="I160:J160"/>
    <mergeCell ref="I161:J161"/>
    <mergeCell ref="I148:J148"/>
    <mergeCell ref="I149:J149"/>
    <mergeCell ref="I152:J152"/>
    <mergeCell ref="I153:J153"/>
    <mergeCell ref="I151:J151"/>
    <mergeCell ref="I168:J168"/>
    <mergeCell ref="I169:J169"/>
    <mergeCell ref="I170:J170"/>
    <mergeCell ref="I171:J171"/>
    <mergeCell ref="I172:J172"/>
    <mergeCell ref="I162:J162"/>
    <mergeCell ref="I163:J163"/>
    <mergeCell ref="I164:J164"/>
    <mergeCell ref="I165:J165"/>
    <mergeCell ref="I166:J166"/>
    <mergeCell ref="I167:J167"/>
    <mergeCell ref="I182:J182"/>
    <mergeCell ref="I183:J183"/>
    <mergeCell ref="I184:J184"/>
    <mergeCell ref="I185:J185"/>
    <mergeCell ref="I186:J186"/>
    <mergeCell ref="I187:J187"/>
    <mergeCell ref="I175:J175"/>
    <mergeCell ref="I177:J177"/>
    <mergeCell ref="I178:J178"/>
    <mergeCell ref="I179:J179"/>
    <mergeCell ref="I180:J180"/>
    <mergeCell ref="I181:J181"/>
    <mergeCell ref="I197:J197"/>
    <mergeCell ref="I198:J198"/>
    <mergeCell ref="I199:J199"/>
    <mergeCell ref="I200:J200"/>
    <mergeCell ref="I188:J188"/>
    <mergeCell ref="I189:J189"/>
    <mergeCell ref="I190:J190"/>
    <mergeCell ref="I191:J191"/>
    <mergeCell ref="I192:J192"/>
    <mergeCell ref="I193:J193"/>
    <mergeCell ref="I207:J207"/>
    <mergeCell ref="I208:J208"/>
    <mergeCell ref="I209:J209"/>
    <mergeCell ref="I210:J210"/>
    <mergeCell ref="I211:J211"/>
    <mergeCell ref="I212:J212"/>
    <mergeCell ref="I201:J201"/>
    <mergeCell ref="I202:J202"/>
    <mergeCell ref="I203:J203"/>
    <mergeCell ref="I204:J204"/>
    <mergeCell ref="I205:J205"/>
    <mergeCell ref="I206:J206"/>
    <mergeCell ref="I221:J221"/>
    <mergeCell ref="I222:J222"/>
    <mergeCell ref="I223:J223"/>
    <mergeCell ref="I224:J224"/>
    <mergeCell ref="I213:J213"/>
    <mergeCell ref="I214:J214"/>
    <mergeCell ref="I215:J215"/>
    <mergeCell ref="I216:J216"/>
    <mergeCell ref="I217:J217"/>
    <mergeCell ref="I218:J218"/>
    <mergeCell ref="I232:J232"/>
    <mergeCell ref="I234:O234"/>
    <mergeCell ref="I176:J176"/>
    <mergeCell ref="I158:J158"/>
    <mergeCell ref="I174:J174"/>
    <mergeCell ref="I195:O195"/>
    <mergeCell ref="I196:J196"/>
    <mergeCell ref="I231:J231"/>
    <mergeCell ref="I56:J56"/>
    <mergeCell ref="I68:J68"/>
    <mergeCell ref="I74:J74"/>
    <mergeCell ref="I81:J81"/>
    <mergeCell ref="I91:J91"/>
    <mergeCell ref="I99:J99"/>
    <mergeCell ref="I104:J104"/>
    <mergeCell ref="I108:J108"/>
    <mergeCell ref="I225:J225"/>
    <mergeCell ref="I226:J226"/>
    <mergeCell ref="I227:J227"/>
    <mergeCell ref="I228:J228"/>
    <mergeCell ref="I229:J229"/>
    <mergeCell ref="I230:J230"/>
    <mergeCell ref="I219:J219"/>
    <mergeCell ref="I220:J22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253"/>
  <sheetViews>
    <sheetView zoomScale="85" zoomScaleNormal="85" workbookViewId="0">
      <pane ySplit="5" topLeftCell="A15" activePane="bottomLeft" state="frozen"/>
      <selection activeCell="I8" sqref="I8"/>
      <selection pane="bottomLeft" activeCell="J16" sqref="J16"/>
    </sheetView>
  </sheetViews>
  <sheetFormatPr defaultColWidth="9.140625" defaultRowHeight="15"/>
  <cols>
    <col min="1" max="1" width="8" style="1" customWidth="1"/>
    <col min="2" max="2" width="48.5703125" style="9" customWidth="1"/>
    <col min="3" max="3" width="5.140625" style="9" customWidth="1"/>
    <col min="4" max="4" width="9.5703125" style="1" customWidth="1"/>
    <col min="5" max="5" width="22.42578125" style="4" customWidth="1"/>
    <col min="6" max="6" width="14.42578125" style="11" customWidth="1"/>
    <col min="7" max="7" width="15.7109375" style="11" customWidth="1"/>
    <col min="8" max="8" width="22.5703125" style="11" customWidth="1"/>
    <col min="9" max="9" width="44.140625" style="2" customWidth="1"/>
    <col min="10" max="10" width="65" style="3" customWidth="1"/>
    <col min="11" max="11" width="13.28515625" style="6" customWidth="1"/>
    <col min="12" max="12" width="30.28515625" style="7" customWidth="1"/>
    <col min="13" max="13" width="21.5703125" style="7" customWidth="1"/>
    <col min="14" max="14" width="14.85546875" style="7" customWidth="1"/>
    <col min="15" max="15" width="16.5703125" style="7" customWidth="1"/>
    <col min="16" max="16" width="52.42578125" style="8" customWidth="1"/>
    <col min="17" max="18" width="3.140625" style="3" customWidth="1"/>
    <col min="19" max="19" width="3.28515625" style="3" bestFit="1" customWidth="1"/>
    <col min="20" max="20" width="14.7109375" style="3" bestFit="1" customWidth="1"/>
    <col min="21" max="21" width="38.5703125" style="3" bestFit="1" customWidth="1"/>
    <col min="22" max="22" width="11.7109375" style="3" bestFit="1" customWidth="1"/>
    <col min="23" max="23" width="14.85546875" style="3" customWidth="1"/>
    <col min="24" max="24" width="11.7109375" style="3" bestFit="1" customWidth="1"/>
    <col min="25" max="16384" width="9.140625" style="3"/>
  </cols>
  <sheetData>
    <row r="1" spans="1:24" ht="32.25" customHeight="1" thickBot="1">
      <c r="A1" s="583" t="s">
        <v>523</v>
      </c>
      <c r="B1" s="584"/>
      <c r="C1" s="584"/>
      <c r="D1" s="584"/>
      <c r="E1" s="584"/>
      <c r="F1" s="584"/>
      <c r="G1" s="584"/>
      <c r="H1" s="584"/>
      <c r="I1" s="584"/>
      <c r="J1" s="584"/>
      <c r="K1" s="584"/>
      <c r="L1" s="584"/>
      <c r="M1" s="584"/>
      <c r="N1" s="584"/>
      <c r="O1" s="584"/>
      <c r="P1" s="585"/>
    </row>
    <row r="2" spans="1:24" ht="24.75" customHeight="1" thickBot="1">
      <c r="A2" s="283"/>
      <c r="B2" s="284"/>
      <c r="C2" s="285" t="s">
        <v>1</v>
      </c>
      <c r="D2" s="285" t="s">
        <v>2</v>
      </c>
      <c r="E2" s="285"/>
      <c r="F2" s="285"/>
      <c r="G2" s="285" t="s">
        <v>3</v>
      </c>
      <c r="H2" s="286" t="s">
        <v>2</v>
      </c>
      <c r="I2" s="284"/>
      <c r="J2" s="284"/>
      <c r="K2" s="284"/>
      <c r="L2" s="284"/>
      <c r="M2" s="284"/>
      <c r="N2" s="284"/>
      <c r="O2" s="284"/>
      <c r="P2" s="284"/>
      <c r="Q2" s="151"/>
    </row>
    <row r="3" spans="1:24" s="10" customFormat="1" ht="35.25" customHeight="1" thickBot="1">
      <c r="A3" s="287" t="s">
        <v>4</v>
      </c>
      <c r="B3" s="288" t="s">
        <v>5</v>
      </c>
      <c r="C3" s="289">
        <v>100</v>
      </c>
      <c r="D3" s="290">
        <f>C4*C3</f>
        <v>300</v>
      </c>
      <c r="E3" s="578" t="s">
        <v>6</v>
      </c>
      <c r="F3" s="579"/>
      <c r="G3" s="291">
        <v>10</v>
      </c>
      <c r="H3" s="292">
        <f>G3*G4</f>
        <v>90</v>
      </c>
      <c r="I3" s="293"/>
      <c r="J3" s="293"/>
      <c r="K3" s="294"/>
      <c r="L3" s="294"/>
      <c r="M3" s="294"/>
      <c r="N3" s="294"/>
      <c r="O3" s="294"/>
      <c r="P3" s="294"/>
      <c r="Q3" s="295"/>
    </row>
    <row r="4" spans="1:24" s="10" customFormat="1" ht="35.25" customHeight="1" thickBot="1">
      <c r="A4" s="287">
        <v>5</v>
      </c>
      <c r="B4" s="296" t="s">
        <v>7</v>
      </c>
      <c r="C4" s="297">
        <v>3</v>
      </c>
      <c r="D4" s="298" t="s">
        <v>8</v>
      </c>
      <c r="E4" s="580" t="s">
        <v>9</v>
      </c>
      <c r="F4" s="581"/>
      <c r="G4" s="299">
        <v>9</v>
      </c>
      <c r="H4" s="300" t="s">
        <v>8</v>
      </c>
      <c r="I4" s="293"/>
      <c r="J4" s="293"/>
      <c r="K4" s="294"/>
      <c r="L4" s="294"/>
      <c r="M4" s="294"/>
      <c r="N4" s="294"/>
      <c r="O4" s="294"/>
      <c r="P4" s="294"/>
      <c r="Q4" s="295"/>
    </row>
    <row r="5" spans="1:24" s="5" customFormat="1" ht="46.5" customHeight="1">
      <c r="A5" s="61" t="s">
        <v>10</v>
      </c>
      <c r="B5" s="62" t="s">
        <v>11</v>
      </c>
      <c r="C5" s="63" t="s">
        <v>524</v>
      </c>
      <c r="D5" s="35" t="s">
        <v>12</v>
      </c>
      <c r="E5" s="36" t="s">
        <v>13</v>
      </c>
      <c r="F5" s="37" t="s">
        <v>14</v>
      </c>
      <c r="G5" s="37" t="s">
        <v>15</v>
      </c>
      <c r="H5" s="37" t="s">
        <v>16</v>
      </c>
      <c r="I5" s="563" t="s">
        <v>17</v>
      </c>
      <c r="J5" s="564"/>
      <c r="K5" s="564"/>
      <c r="L5" s="564"/>
      <c r="M5" s="564"/>
      <c r="N5" s="564"/>
      <c r="O5" s="564"/>
      <c r="P5" s="38" t="s">
        <v>18</v>
      </c>
      <c r="Q5" s="301"/>
    </row>
    <row r="6" spans="1:24" ht="34.9" customHeight="1">
      <c r="A6" s="336">
        <v>1</v>
      </c>
      <c r="B6" s="140" t="s">
        <v>19</v>
      </c>
      <c r="C6" s="140"/>
      <c r="D6" s="51"/>
      <c r="E6" s="337"/>
      <c r="F6" s="338"/>
      <c r="G6" s="338"/>
      <c r="H6" s="339"/>
      <c r="I6" s="51" t="s">
        <v>20</v>
      </c>
      <c r="J6" s="340"/>
      <c r="K6" s="43" t="s">
        <v>525</v>
      </c>
      <c r="L6" s="44" t="s">
        <v>526</v>
      </c>
      <c r="M6" s="44" t="s">
        <v>527</v>
      </c>
      <c r="N6" s="43" t="s">
        <v>528</v>
      </c>
      <c r="O6" s="43" t="s">
        <v>21</v>
      </c>
      <c r="P6" s="42"/>
      <c r="Q6" s="151"/>
    </row>
    <row r="7" spans="1:24" s="22" customFormat="1" ht="22.5">
      <c r="A7" s="501"/>
      <c r="B7" s="501"/>
      <c r="C7" s="501"/>
      <c r="D7" s="501"/>
      <c r="E7" s="501"/>
      <c r="F7" s="501"/>
      <c r="G7" s="501"/>
      <c r="H7" s="501"/>
      <c r="I7" s="501"/>
      <c r="J7" s="501"/>
      <c r="K7" s="333">
        <v>3</v>
      </c>
      <c r="L7" s="501" t="s">
        <v>22</v>
      </c>
      <c r="M7" s="501"/>
      <c r="N7" s="501"/>
      <c r="O7" s="501"/>
      <c r="P7" s="66" t="s">
        <v>529</v>
      </c>
      <c r="Q7" s="502"/>
    </row>
    <row r="8" spans="1:24" s="22" customFormat="1" ht="11.25">
      <c r="A8" s="501"/>
      <c r="B8" s="501"/>
      <c r="C8" s="501"/>
      <c r="D8" s="501"/>
      <c r="E8" s="501"/>
      <c r="F8" s="501"/>
      <c r="G8" s="501"/>
      <c r="H8" s="501"/>
      <c r="I8" s="501"/>
      <c r="J8" s="501"/>
      <c r="K8" s="333">
        <v>1</v>
      </c>
      <c r="L8" s="501" t="s">
        <v>23</v>
      </c>
      <c r="M8" s="501"/>
      <c r="N8" s="501"/>
      <c r="O8" s="501"/>
      <c r="P8" s="67"/>
      <c r="Q8" s="502"/>
    </row>
    <row r="9" spans="1:24">
      <c r="A9" s="171"/>
      <c r="B9" s="341"/>
      <c r="C9" s="341"/>
      <c r="D9" s="107"/>
      <c r="E9" s="108"/>
      <c r="F9" s="109"/>
      <c r="G9" s="109"/>
      <c r="H9" s="167"/>
      <c r="I9" s="75"/>
      <c r="J9" s="76"/>
      <c r="K9" s="334">
        <f>($K$7*2)+($K$8*2)+1+1</f>
        <v>10</v>
      </c>
      <c r="L9" s="71" t="s">
        <v>530</v>
      </c>
      <c r="M9" s="45">
        <f>+Blad3!F3</f>
        <v>116.03999999999999</v>
      </c>
      <c r="N9" s="72" t="s">
        <v>531</v>
      </c>
      <c r="O9" s="73"/>
      <c r="P9" s="74"/>
      <c r="Q9" s="151"/>
    </row>
    <row r="10" spans="1:24">
      <c r="A10" s="171"/>
      <c r="B10" s="341"/>
      <c r="C10" s="341"/>
      <c r="D10" s="107"/>
      <c r="E10" s="108"/>
      <c r="F10" s="109"/>
      <c r="G10" s="109"/>
      <c r="H10" s="167"/>
      <c r="I10" s="75"/>
      <c r="J10" s="76"/>
      <c r="K10" s="335">
        <f>K9</f>
        <v>10</v>
      </c>
      <c r="L10" s="73" t="s">
        <v>532</v>
      </c>
      <c r="M10" s="45">
        <f>+Blad3!F4</f>
        <v>60</v>
      </c>
      <c r="N10" s="72" t="s">
        <v>533</v>
      </c>
      <c r="O10" s="73"/>
      <c r="P10" s="77"/>
      <c r="Q10" s="151"/>
    </row>
    <row r="11" spans="1:24" ht="35.450000000000003" customHeight="1">
      <c r="A11" s="78" t="s">
        <v>24</v>
      </c>
      <c r="B11" s="79" t="s">
        <v>25</v>
      </c>
      <c r="C11" s="80" t="s">
        <v>26</v>
      </c>
      <c r="D11" s="68" t="s">
        <v>27</v>
      </c>
      <c r="E11" s="69">
        <v>60</v>
      </c>
      <c r="F11" s="481">
        <f>O11</f>
        <v>5628.4</v>
      </c>
      <c r="G11" s="81">
        <f>12*F11</f>
        <v>67540.799999999988</v>
      </c>
      <c r="H11" s="82">
        <f>F11*E11</f>
        <v>337704</v>
      </c>
      <c r="I11" s="274" t="s">
        <v>28</v>
      </c>
      <c r="J11" s="275" t="s">
        <v>29</v>
      </c>
      <c r="K11" s="317"/>
      <c r="L11" s="85"/>
      <c r="M11" s="86"/>
      <c r="N11" s="87"/>
      <c r="O11" s="88">
        <f>K9*(M9*(52/12))+K10*M10</f>
        <v>5628.4</v>
      </c>
      <c r="P11" s="89"/>
      <c r="Q11" s="151"/>
    </row>
    <row r="12" spans="1:24" s="20" customFormat="1">
      <c r="A12" s="90" t="s">
        <v>31</v>
      </c>
      <c r="B12" s="91" t="s">
        <v>32</v>
      </c>
      <c r="C12" s="92" t="s">
        <v>33</v>
      </c>
      <c r="D12" s="93" t="s">
        <v>27</v>
      </c>
      <c r="E12" s="94">
        <v>60</v>
      </c>
      <c r="F12" s="95">
        <v>10000</v>
      </c>
      <c r="G12" s="96">
        <f>F12*12</f>
        <v>120000</v>
      </c>
      <c r="H12" s="97"/>
      <c r="I12" s="98"/>
      <c r="J12" s="99"/>
      <c r="K12" s="100"/>
      <c r="L12" s="101"/>
      <c r="M12" s="102"/>
      <c r="N12" s="101"/>
      <c r="O12" s="102"/>
      <c r="P12" s="99"/>
      <c r="Q12" s="302"/>
      <c r="S12" s="3"/>
      <c r="T12" s="342" t="s">
        <v>534</v>
      </c>
      <c r="U12" s="342"/>
      <c r="V12" s="342" t="s">
        <v>535</v>
      </c>
      <c r="W12" s="342" t="s">
        <v>536</v>
      </c>
    </row>
    <row r="13" spans="1:24" ht="97.5" customHeight="1">
      <c r="A13" s="78" t="s">
        <v>34</v>
      </c>
      <c r="B13" s="79" t="s">
        <v>35</v>
      </c>
      <c r="C13" s="80" t="s">
        <v>26</v>
      </c>
      <c r="D13" s="68" t="s">
        <v>27</v>
      </c>
      <c r="E13" s="69">
        <v>60</v>
      </c>
      <c r="F13" s="481">
        <f>O13</f>
        <v>9352.6312499999985</v>
      </c>
      <c r="G13" s="81">
        <f>F13*12</f>
        <v>112231.57499999998</v>
      </c>
      <c r="H13" s="82">
        <f>F13*E13</f>
        <v>561157.87499999988</v>
      </c>
      <c r="I13" s="76" t="s">
        <v>36</v>
      </c>
      <c r="J13" s="84" t="s">
        <v>37</v>
      </c>
      <c r="K13" s="326">
        <v>3.75</v>
      </c>
      <c r="L13" s="324" t="s">
        <v>38</v>
      </c>
      <c r="M13" s="500">
        <f>K7*(F16+F17)+K8*F18</f>
        <v>2494.0349999999999</v>
      </c>
      <c r="N13" s="324" t="s">
        <v>537</v>
      </c>
      <c r="O13" s="113">
        <f>(M13*K13)</f>
        <v>9352.6312499999985</v>
      </c>
      <c r="P13" s="103" t="s">
        <v>538</v>
      </c>
      <c r="Q13" s="221"/>
      <c r="S13" s="3" t="s">
        <v>500</v>
      </c>
      <c r="T13" s="11">
        <f>('B1'!F11+'B1'!F13)</f>
        <v>14981.031249999998</v>
      </c>
      <c r="U13" s="3" t="s">
        <v>539</v>
      </c>
      <c r="V13" s="11">
        <v>10000</v>
      </c>
      <c r="W13" s="11">
        <f>V13-T13</f>
        <v>-4981.0312499999982</v>
      </c>
      <c r="X13" s="11">
        <f>ABS(W13)</f>
        <v>4981.0312499999982</v>
      </c>
    </row>
    <row r="14" spans="1:24" ht="69.599999999999994" customHeight="1">
      <c r="A14" s="104" t="s">
        <v>41</v>
      </c>
      <c r="B14" s="105" t="s">
        <v>42</v>
      </c>
      <c r="C14" s="106" t="s">
        <v>26</v>
      </c>
      <c r="D14" s="107" t="s">
        <v>27</v>
      </c>
      <c r="E14" s="108">
        <v>60</v>
      </c>
      <c r="F14" s="480">
        <f>O14</f>
        <v>1750.0800000000002</v>
      </c>
      <c r="G14" s="110">
        <f>F14*12</f>
        <v>21000.960000000003</v>
      </c>
      <c r="H14" s="82">
        <f>F14*E14</f>
        <v>105004.8</v>
      </c>
      <c r="I14" s="83" t="s">
        <v>43</v>
      </c>
      <c r="J14" s="111" t="s">
        <v>44</v>
      </c>
      <c r="K14" s="46">
        <v>16</v>
      </c>
      <c r="L14" s="112" t="s">
        <v>8</v>
      </c>
      <c r="M14" s="113">
        <f>+Blad3!F6</f>
        <v>109.38000000000001</v>
      </c>
      <c r="N14" s="112" t="s">
        <v>8</v>
      </c>
      <c r="O14" s="113">
        <f>M14*K14</f>
        <v>1750.0800000000002</v>
      </c>
      <c r="P14" s="114" t="s">
        <v>540</v>
      </c>
      <c r="Q14" s="151"/>
      <c r="S14" s="3" t="s">
        <v>541</v>
      </c>
      <c r="T14" s="11">
        <f>'B2'!F13</f>
        <v>7934.8499999999985</v>
      </c>
      <c r="U14" s="3" t="s">
        <v>542</v>
      </c>
      <c r="V14" s="11">
        <f>2614*52/12</f>
        <v>11327.333333333334</v>
      </c>
      <c r="W14" s="11">
        <f t="shared" ref="W14:W15" si="0">V14-T14</f>
        <v>3392.4833333333354</v>
      </c>
      <c r="X14" s="11">
        <f t="shared" ref="X14:X15" si="1">ABS(W14)</f>
        <v>3392.4833333333354</v>
      </c>
    </row>
    <row r="15" spans="1:24" ht="33.75">
      <c r="A15" s="64">
        <v>2</v>
      </c>
      <c r="B15" s="115" t="s">
        <v>46</v>
      </c>
      <c r="C15" s="115"/>
      <c r="D15" s="38" t="s">
        <v>12</v>
      </c>
      <c r="E15" s="47" t="s">
        <v>13</v>
      </c>
      <c r="F15" s="48" t="s">
        <v>14</v>
      </c>
      <c r="G15" s="48" t="s">
        <v>15</v>
      </c>
      <c r="H15" s="48" t="s">
        <v>16</v>
      </c>
      <c r="I15" s="38" t="s">
        <v>17</v>
      </c>
      <c r="J15" s="49" t="s">
        <v>47</v>
      </c>
      <c r="K15" s="37" t="s">
        <v>48</v>
      </c>
      <c r="L15" s="50" t="s">
        <v>49</v>
      </c>
      <c r="M15" s="50"/>
      <c r="N15" s="50"/>
      <c r="O15" s="42"/>
      <c r="P15" s="49" t="s">
        <v>18</v>
      </c>
      <c r="Q15" s="151"/>
      <c r="S15" s="3" t="s">
        <v>543</v>
      </c>
      <c r="T15" s="11">
        <f>'B5'!F14</f>
        <v>12931.462499999998</v>
      </c>
      <c r="U15" s="3" t="s">
        <v>544</v>
      </c>
      <c r="V15" s="11">
        <v>26446</v>
      </c>
      <c r="W15" s="11">
        <f t="shared" si="0"/>
        <v>13514.537500000002</v>
      </c>
      <c r="X15" s="11">
        <f t="shared" si="1"/>
        <v>13514.537500000002</v>
      </c>
    </row>
    <row r="16" spans="1:24" ht="96" customHeight="1">
      <c r="A16" s="78" t="s">
        <v>51</v>
      </c>
      <c r="B16" s="116" t="s">
        <v>52</v>
      </c>
      <c r="C16" s="75" t="s">
        <v>26</v>
      </c>
      <c r="D16" s="107" t="s">
        <v>8</v>
      </c>
      <c r="E16" s="117">
        <f>D3</f>
        <v>300</v>
      </c>
      <c r="F16" s="489">
        <f>+Blad3!F13</f>
        <v>530.56499999999994</v>
      </c>
      <c r="G16" s="118">
        <f>E16*F16</f>
        <v>159169.49999999997</v>
      </c>
      <c r="H16" s="109">
        <f>A4*G16</f>
        <v>795847.49999999988</v>
      </c>
      <c r="I16" s="76" t="s">
        <v>54</v>
      </c>
      <c r="J16" s="76" t="s">
        <v>55</v>
      </c>
      <c r="K16" s="119">
        <v>100</v>
      </c>
      <c r="L16" s="120">
        <v>500</v>
      </c>
      <c r="M16" s="121"/>
      <c r="N16" s="121"/>
      <c r="O16" s="76"/>
      <c r="P16" s="77"/>
      <c r="Q16" s="151"/>
      <c r="W16" s="11"/>
      <c r="X16" s="343">
        <f>SUM(X13:X15)</f>
        <v>21888.052083333336</v>
      </c>
    </row>
    <row r="17" spans="1:17" ht="96" customHeight="1">
      <c r="A17" s="78" t="s">
        <v>51</v>
      </c>
      <c r="B17" s="116" t="s">
        <v>56</v>
      </c>
      <c r="C17" s="75" t="s">
        <v>57</v>
      </c>
      <c r="D17" s="107" t="s">
        <v>8</v>
      </c>
      <c r="E17" s="108"/>
      <c r="F17" s="482">
        <f>+Blad3!F19</f>
        <v>225.58499999999998</v>
      </c>
      <c r="G17" s="118"/>
      <c r="H17" s="109"/>
      <c r="I17" s="76" t="s">
        <v>58</v>
      </c>
      <c r="J17" s="76"/>
      <c r="K17" s="119"/>
      <c r="L17" s="120"/>
      <c r="M17" s="121"/>
      <c r="N17" s="121"/>
      <c r="O17" s="75"/>
      <c r="P17" s="77"/>
      <c r="Q17" s="151"/>
    </row>
    <row r="18" spans="1:17" ht="71.25" customHeight="1">
      <c r="A18" s="104" t="s">
        <v>59</v>
      </c>
      <c r="B18" s="116" t="s">
        <v>60</v>
      </c>
      <c r="C18" s="75" t="s">
        <v>26</v>
      </c>
      <c r="D18" s="107" t="s">
        <v>8</v>
      </c>
      <c r="E18" s="30">
        <f>H3</f>
        <v>90</v>
      </c>
      <c r="F18" s="482">
        <f>+Blad3!F21</f>
        <v>225.58499999999998</v>
      </c>
      <c r="G18" s="118">
        <f>F18*E18</f>
        <v>20302.649999999998</v>
      </c>
      <c r="H18" s="109">
        <f>A4*G18</f>
        <v>101513.24999999999</v>
      </c>
      <c r="I18" s="76" t="s">
        <v>61</v>
      </c>
      <c r="J18" s="76" t="s">
        <v>62</v>
      </c>
      <c r="K18" s="122">
        <v>10</v>
      </c>
      <c r="L18" s="122">
        <v>50</v>
      </c>
      <c r="M18" s="123"/>
      <c r="N18" s="123"/>
      <c r="O18" s="124"/>
      <c r="P18" s="77"/>
      <c r="Q18" s="151"/>
    </row>
    <row r="19" spans="1:17" s="19" customFormat="1" ht="47.25" customHeight="1">
      <c r="A19" s="125" t="s">
        <v>63</v>
      </c>
      <c r="B19" s="126" t="s">
        <v>64</v>
      </c>
      <c r="C19" s="127" t="s">
        <v>33</v>
      </c>
      <c r="D19" s="127" t="s">
        <v>8</v>
      </c>
      <c r="E19" s="128">
        <f>E16</f>
        <v>300</v>
      </c>
      <c r="F19" s="129">
        <f>400*1.06</f>
        <v>424</v>
      </c>
      <c r="G19" s="130">
        <f>F19*E19</f>
        <v>127200</v>
      </c>
      <c r="H19" s="131"/>
      <c r="I19" s="132"/>
      <c r="J19" s="133"/>
      <c r="K19" s="134"/>
      <c r="L19" s="135"/>
      <c r="M19" s="136"/>
      <c r="N19" s="136"/>
      <c r="O19" s="137"/>
      <c r="P19" s="138"/>
      <c r="Q19" s="303"/>
    </row>
    <row r="20" spans="1:17" s="19" customFormat="1" ht="47.25" customHeight="1">
      <c r="A20" s="125" t="s">
        <v>65</v>
      </c>
      <c r="B20" s="126" t="s">
        <v>66</v>
      </c>
      <c r="C20" s="127" t="s">
        <v>33</v>
      </c>
      <c r="D20" s="127" t="s">
        <v>8</v>
      </c>
      <c r="E20" s="128">
        <v>90</v>
      </c>
      <c r="F20" s="129">
        <f>1950/3*1.06</f>
        <v>689</v>
      </c>
      <c r="G20" s="130">
        <f t="shared" ref="G20:G22" si="2">F20*E20</f>
        <v>62010</v>
      </c>
      <c r="H20" s="139"/>
      <c r="I20" s="132"/>
      <c r="J20" s="133"/>
      <c r="K20" s="134"/>
      <c r="L20" s="135"/>
      <c r="M20" s="136"/>
      <c r="N20" s="136"/>
      <c r="O20" s="137"/>
      <c r="P20" s="138"/>
      <c r="Q20" s="303"/>
    </row>
    <row r="21" spans="1:17" s="19" customFormat="1" ht="47.25" customHeight="1">
      <c r="A21" s="125" t="s">
        <v>67</v>
      </c>
      <c r="B21" s="126" t="s">
        <v>68</v>
      </c>
      <c r="C21" s="127" t="s">
        <v>33</v>
      </c>
      <c r="D21" s="127" t="s">
        <v>8</v>
      </c>
      <c r="E21" s="128"/>
      <c r="F21" s="129">
        <f>1916.66666666667*1.06</f>
        <v>2031.6666666666702</v>
      </c>
      <c r="G21" s="130">
        <f t="shared" si="2"/>
        <v>0</v>
      </c>
      <c r="H21" s="139"/>
      <c r="I21" s="132"/>
      <c r="J21" s="133"/>
      <c r="K21" s="134"/>
      <c r="L21" s="135"/>
      <c r="M21" s="136"/>
      <c r="N21" s="136"/>
      <c r="O21" s="137"/>
      <c r="P21" s="138"/>
      <c r="Q21" s="303"/>
    </row>
    <row r="22" spans="1:17" s="19" customFormat="1" ht="47.25" customHeight="1">
      <c r="A22" s="125" t="s">
        <v>69</v>
      </c>
      <c r="B22" s="126" t="s">
        <v>70</v>
      </c>
      <c r="C22" s="127" t="s">
        <v>33</v>
      </c>
      <c r="D22" s="127" t="s">
        <v>8</v>
      </c>
      <c r="E22" s="128"/>
      <c r="F22" s="129">
        <f>3250*1.06</f>
        <v>3445</v>
      </c>
      <c r="G22" s="130">
        <f t="shared" si="2"/>
        <v>0</v>
      </c>
      <c r="H22" s="139"/>
      <c r="I22" s="132"/>
      <c r="J22" s="133"/>
      <c r="K22" s="134"/>
      <c r="L22" s="135"/>
      <c r="M22" s="136"/>
      <c r="N22" s="136"/>
      <c r="O22" s="137"/>
      <c r="P22" s="138"/>
      <c r="Q22" s="303"/>
    </row>
    <row r="23" spans="1:17" ht="59.25" customHeight="1">
      <c r="A23" s="64">
        <v>3</v>
      </c>
      <c r="B23" s="65" t="s">
        <v>71</v>
      </c>
      <c r="C23" s="140"/>
      <c r="D23" s="51" t="s">
        <v>12</v>
      </c>
      <c r="E23" s="52" t="s">
        <v>13</v>
      </c>
      <c r="F23" s="53" t="s">
        <v>14</v>
      </c>
      <c r="G23" s="53" t="s">
        <v>15</v>
      </c>
      <c r="H23" s="54" t="s">
        <v>16</v>
      </c>
      <c r="I23" s="563" t="s">
        <v>17</v>
      </c>
      <c r="J23" s="566"/>
      <c r="K23" s="37"/>
      <c r="L23" s="50"/>
      <c r="M23" s="50"/>
      <c r="N23" s="50"/>
      <c r="O23" s="50"/>
      <c r="P23" s="49" t="s">
        <v>18</v>
      </c>
      <c r="Q23" s="151"/>
    </row>
    <row r="24" spans="1:17" ht="30" customHeight="1">
      <c r="A24" s="141" t="s">
        <v>72</v>
      </c>
      <c r="B24" s="142" t="s">
        <v>73</v>
      </c>
      <c r="C24" s="65"/>
      <c r="D24" s="143"/>
      <c r="E24" s="144"/>
      <c r="F24" s="145"/>
      <c r="G24" s="145"/>
      <c r="H24" s="145"/>
      <c r="I24" s="569" t="s">
        <v>74</v>
      </c>
      <c r="J24" s="570"/>
      <c r="K24" s="118"/>
      <c r="L24" s="146"/>
      <c r="M24" s="146"/>
      <c r="N24" s="146"/>
      <c r="O24" s="146"/>
      <c r="P24" s="147"/>
      <c r="Q24" s="151"/>
    </row>
    <row r="25" spans="1:17" ht="30" customHeight="1">
      <c r="A25" s="143"/>
      <c r="B25" s="148" t="s">
        <v>75</v>
      </c>
      <c r="C25" s="149" t="s">
        <v>76</v>
      </c>
      <c r="D25" s="143" t="s">
        <v>8</v>
      </c>
      <c r="E25" s="108">
        <f>((1/3)*($D$3+$H$3)*$A$4)*I25</f>
        <v>433.33333333333331</v>
      </c>
      <c r="F25" s="150">
        <f>52.5*1.06</f>
        <v>55.650000000000006</v>
      </c>
      <c r="G25" s="145" t="s">
        <v>77</v>
      </c>
      <c r="H25" s="145">
        <f>E25*F25</f>
        <v>24115</v>
      </c>
      <c r="I25" s="55">
        <f>2/3</f>
        <v>0.66666666666666663</v>
      </c>
      <c r="J25" s="151"/>
      <c r="K25" s="118"/>
      <c r="L25" s="146"/>
      <c r="M25" s="146"/>
      <c r="N25" s="146"/>
      <c r="O25" s="146"/>
      <c r="P25" s="147"/>
      <c r="Q25" s="151"/>
    </row>
    <row r="26" spans="1:17" ht="30" customHeight="1">
      <c r="A26" s="143"/>
      <c r="B26" s="148" t="s">
        <v>78</v>
      </c>
      <c r="C26" s="149" t="s">
        <v>76</v>
      </c>
      <c r="D26" s="143" t="s">
        <v>8</v>
      </c>
      <c r="E26" s="108">
        <f>((1/3)*($D$3+$H$3)*$A$4)*I26</f>
        <v>108.33333333333333</v>
      </c>
      <c r="F26" s="150">
        <f>65*1.06</f>
        <v>68.900000000000006</v>
      </c>
      <c r="G26" s="145" t="s">
        <v>77</v>
      </c>
      <c r="H26" s="145">
        <f t="shared" ref="H26:H30" si="3">E26*F26</f>
        <v>7464.166666666667</v>
      </c>
      <c r="I26" s="56">
        <v>0.16666666666666666</v>
      </c>
      <c r="J26" s="152"/>
      <c r="K26" s="118"/>
      <c r="L26" s="146"/>
      <c r="M26" s="146"/>
      <c r="N26" s="146"/>
      <c r="O26" s="146"/>
      <c r="P26" s="147"/>
      <c r="Q26" s="151"/>
    </row>
    <row r="27" spans="1:17" ht="30" customHeight="1">
      <c r="A27" s="143"/>
      <c r="B27" s="148" t="s">
        <v>79</v>
      </c>
      <c r="C27" s="149" t="s">
        <v>76</v>
      </c>
      <c r="D27" s="143" t="s">
        <v>8</v>
      </c>
      <c r="E27" s="108">
        <f>((1/3)*($D$3+$H$3)*$A$4)*I27</f>
        <v>54.166666666666664</v>
      </c>
      <c r="F27" s="150">
        <f>75*1.06</f>
        <v>79.5</v>
      </c>
      <c r="G27" s="145" t="s">
        <v>77</v>
      </c>
      <c r="H27" s="145">
        <f t="shared" si="3"/>
        <v>4306.25</v>
      </c>
      <c r="I27" s="56">
        <v>8.3333333333333329E-2</v>
      </c>
      <c r="J27" s="152"/>
      <c r="K27" s="118"/>
      <c r="L27" s="146"/>
      <c r="M27" s="146"/>
      <c r="N27" s="146"/>
      <c r="O27" s="146"/>
      <c r="P27" s="147"/>
      <c r="Q27" s="151"/>
    </row>
    <row r="28" spans="1:17" ht="30" customHeight="1">
      <c r="A28" s="143"/>
      <c r="B28" s="148" t="s">
        <v>80</v>
      </c>
      <c r="C28" s="149" t="s">
        <v>76</v>
      </c>
      <c r="D28" s="143" t="s">
        <v>8</v>
      </c>
      <c r="E28" s="108">
        <f>((1/3)*($D$3+$H$3)*$A$4)*I28</f>
        <v>54.166666666666664</v>
      </c>
      <c r="F28" s="150">
        <f>95*1.06</f>
        <v>100.7</v>
      </c>
      <c r="G28" s="145" t="s">
        <v>77</v>
      </c>
      <c r="H28" s="145">
        <f t="shared" si="3"/>
        <v>5454.583333333333</v>
      </c>
      <c r="I28" s="56">
        <v>8.3333333333333329E-2</v>
      </c>
      <c r="J28" s="152"/>
      <c r="K28" s="118"/>
      <c r="L28" s="146"/>
      <c r="M28" s="146"/>
      <c r="N28" s="146"/>
      <c r="O28" s="146"/>
      <c r="P28" s="147"/>
      <c r="Q28" s="151"/>
    </row>
    <row r="29" spans="1:17" ht="30" customHeight="1">
      <c r="A29" s="143"/>
      <c r="B29" s="148" t="s">
        <v>81</v>
      </c>
      <c r="C29" s="149" t="s">
        <v>33</v>
      </c>
      <c r="D29" s="143" t="s">
        <v>8</v>
      </c>
      <c r="E29" s="108"/>
      <c r="F29" s="150">
        <f>72.5*1.06</f>
        <v>76.850000000000009</v>
      </c>
      <c r="G29" s="145" t="s">
        <v>77</v>
      </c>
      <c r="H29" s="145">
        <f t="shared" si="3"/>
        <v>0</v>
      </c>
      <c r="I29" s="153"/>
      <c r="J29" s="152"/>
      <c r="K29" s="118"/>
      <c r="L29" s="146"/>
      <c r="M29" s="146"/>
      <c r="N29" s="146"/>
      <c r="O29" s="146"/>
      <c r="P29" s="147"/>
      <c r="Q29" s="151"/>
    </row>
    <row r="30" spans="1:17" ht="30" customHeight="1">
      <c r="A30" s="143"/>
      <c r="B30" s="148" t="s">
        <v>82</v>
      </c>
      <c r="C30" s="149" t="s">
        <v>57</v>
      </c>
      <c r="D30" s="143" t="s">
        <v>8</v>
      </c>
      <c r="E30" s="108"/>
      <c r="F30" s="150">
        <f>106.7*1.06</f>
        <v>113.102</v>
      </c>
      <c r="G30" s="145" t="s">
        <v>77</v>
      </c>
      <c r="H30" s="145">
        <f t="shared" si="3"/>
        <v>0</v>
      </c>
      <c r="I30" s="153"/>
      <c r="J30" s="152"/>
      <c r="K30" s="118"/>
      <c r="L30" s="146"/>
      <c r="M30" s="146"/>
      <c r="N30" s="146"/>
      <c r="O30" s="146"/>
      <c r="P30" s="147"/>
      <c r="Q30" s="151"/>
    </row>
    <row r="31" spans="1:17" ht="30" customHeight="1">
      <c r="A31" s="143"/>
      <c r="B31" s="148"/>
      <c r="C31" s="149"/>
      <c r="D31" s="143"/>
      <c r="E31" s="108"/>
      <c r="F31" s="150"/>
      <c r="G31" s="145"/>
      <c r="H31" s="145"/>
      <c r="I31" s="153"/>
      <c r="J31" s="152"/>
      <c r="K31" s="118"/>
      <c r="L31" s="146"/>
      <c r="M31" s="146"/>
      <c r="N31" s="146"/>
      <c r="O31" s="146"/>
      <c r="P31" s="147"/>
      <c r="Q31" s="151"/>
    </row>
    <row r="32" spans="1:17" ht="30" customHeight="1">
      <c r="A32" s="141" t="s">
        <v>83</v>
      </c>
      <c r="B32" s="142" t="s">
        <v>84</v>
      </c>
      <c r="C32" s="65"/>
      <c r="D32" s="64"/>
      <c r="E32" s="108"/>
      <c r="F32" s="154"/>
      <c r="G32" s="145"/>
      <c r="H32" s="145"/>
      <c r="I32" s="153"/>
      <c r="J32" s="155"/>
      <c r="K32" s="118"/>
      <c r="L32" s="146"/>
      <c r="M32" s="146"/>
      <c r="N32" s="146"/>
      <c r="O32" s="146"/>
      <c r="P32" s="147"/>
      <c r="Q32" s="151"/>
    </row>
    <row r="33" spans="1:17" ht="30" customHeight="1">
      <c r="A33" s="143"/>
      <c r="B33" s="148" t="s">
        <v>75</v>
      </c>
      <c r="C33" s="149" t="s">
        <v>76</v>
      </c>
      <c r="D33" s="143" t="s">
        <v>8</v>
      </c>
      <c r="E33" s="108"/>
      <c r="F33" s="150">
        <f>48*1.06</f>
        <v>50.88</v>
      </c>
      <c r="G33" s="145"/>
      <c r="H33" s="145">
        <f>F33*E33</f>
        <v>0</v>
      </c>
      <c r="I33" s="569"/>
      <c r="J33" s="573"/>
      <c r="K33" s="118"/>
      <c r="L33" s="146"/>
      <c r="M33" s="146"/>
      <c r="N33" s="146"/>
      <c r="O33" s="146"/>
      <c r="P33" s="147"/>
      <c r="Q33" s="151"/>
    </row>
    <row r="34" spans="1:17" ht="30" customHeight="1">
      <c r="A34" s="143"/>
      <c r="B34" s="148" t="s">
        <v>78</v>
      </c>
      <c r="C34" s="149" t="s">
        <v>76</v>
      </c>
      <c r="D34" s="143" t="s">
        <v>8</v>
      </c>
      <c r="E34" s="108"/>
      <c r="F34" s="150">
        <f>60*1.06</f>
        <v>63.6</v>
      </c>
      <c r="G34" s="145"/>
      <c r="H34" s="145">
        <f t="shared" ref="H34:H41" si="4">F34*E34</f>
        <v>0</v>
      </c>
      <c r="I34" s="569"/>
      <c r="J34" s="573"/>
      <c r="K34" s="118"/>
      <c r="L34" s="146"/>
      <c r="M34" s="146"/>
      <c r="N34" s="146"/>
      <c r="O34" s="146"/>
      <c r="P34" s="147"/>
      <c r="Q34" s="151"/>
    </row>
    <row r="35" spans="1:17" ht="30" customHeight="1">
      <c r="A35" s="143"/>
      <c r="B35" s="148" t="s">
        <v>79</v>
      </c>
      <c r="C35" s="149" t="s">
        <v>76</v>
      </c>
      <c r="D35" s="143" t="s">
        <v>8</v>
      </c>
      <c r="E35" s="108"/>
      <c r="F35" s="150">
        <f>70*1.06</f>
        <v>74.2</v>
      </c>
      <c r="G35" s="145"/>
      <c r="H35" s="145">
        <f t="shared" si="4"/>
        <v>0</v>
      </c>
      <c r="I35" s="569"/>
      <c r="J35" s="573"/>
      <c r="K35" s="118"/>
      <c r="L35" s="146"/>
      <c r="M35" s="146"/>
      <c r="N35" s="146"/>
      <c r="O35" s="146"/>
      <c r="P35" s="147"/>
      <c r="Q35" s="151"/>
    </row>
    <row r="36" spans="1:17" ht="30" customHeight="1">
      <c r="A36" s="143"/>
      <c r="B36" s="148" t="s">
        <v>80</v>
      </c>
      <c r="C36" s="149" t="s">
        <v>76</v>
      </c>
      <c r="D36" s="143" t="s">
        <v>8</v>
      </c>
      <c r="E36" s="108"/>
      <c r="F36" s="150">
        <f>80*1.06</f>
        <v>84.800000000000011</v>
      </c>
      <c r="G36" s="145"/>
      <c r="H36" s="145">
        <f t="shared" si="4"/>
        <v>0</v>
      </c>
      <c r="I36" s="569"/>
      <c r="J36" s="573"/>
      <c r="K36" s="118"/>
      <c r="L36" s="146"/>
      <c r="M36" s="146"/>
      <c r="N36" s="146"/>
      <c r="O36" s="146"/>
      <c r="P36" s="147"/>
      <c r="Q36" s="151"/>
    </row>
    <row r="37" spans="1:17" ht="30" customHeight="1">
      <c r="A37" s="141" t="s">
        <v>85</v>
      </c>
      <c r="B37" s="156" t="s">
        <v>86</v>
      </c>
      <c r="C37" s="141"/>
      <c r="D37" s="64"/>
      <c r="E37" s="108"/>
      <c r="F37" s="154"/>
      <c r="G37" s="145"/>
      <c r="H37" s="145">
        <f t="shared" si="4"/>
        <v>0</v>
      </c>
      <c r="I37" s="569"/>
      <c r="J37" s="573"/>
      <c r="K37" s="118"/>
      <c r="L37" s="146"/>
      <c r="M37" s="146"/>
      <c r="N37" s="146"/>
      <c r="O37" s="146"/>
      <c r="P37" s="147"/>
      <c r="Q37" s="151"/>
    </row>
    <row r="38" spans="1:17" ht="30" customHeight="1">
      <c r="A38" s="143"/>
      <c r="B38" s="157" t="s">
        <v>75</v>
      </c>
      <c r="C38" s="143" t="s">
        <v>76</v>
      </c>
      <c r="D38" s="143" t="s">
        <v>8</v>
      </c>
      <c r="E38" s="108"/>
      <c r="F38" s="150">
        <f>48*1.06</f>
        <v>50.88</v>
      </c>
      <c r="G38" s="145"/>
      <c r="H38" s="145">
        <f t="shared" si="4"/>
        <v>0</v>
      </c>
      <c r="I38" s="569"/>
      <c r="J38" s="573"/>
      <c r="K38" s="118"/>
      <c r="L38" s="146"/>
      <c r="M38" s="146"/>
      <c r="N38" s="146"/>
      <c r="O38" s="146"/>
      <c r="P38" s="147"/>
      <c r="Q38" s="151"/>
    </row>
    <row r="39" spans="1:17" ht="30" customHeight="1">
      <c r="A39" s="143"/>
      <c r="B39" s="157" t="s">
        <v>78</v>
      </c>
      <c r="C39" s="143" t="s">
        <v>76</v>
      </c>
      <c r="D39" s="143" t="s">
        <v>8</v>
      </c>
      <c r="E39" s="108"/>
      <c r="F39" s="150">
        <f>55*1.06</f>
        <v>58.300000000000004</v>
      </c>
      <c r="G39" s="145"/>
      <c r="H39" s="145">
        <f t="shared" si="4"/>
        <v>0</v>
      </c>
      <c r="I39" s="569"/>
      <c r="J39" s="573"/>
      <c r="K39" s="118"/>
      <c r="L39" s="146"/>
      <c r="M39" s="146"/>
      <c r="N39" s="146"/>
      <c r="O39" s="146"/>
      <c r="P39" s="147"/>
      <c r="Q39" s="151"/>
    </row>
    <row r="40" spans="1:17" ht="30" customHeight="1">
      <c r="A40" s="143"/>
      <c r="B40" s="157" t="s">
        <v>79</v>
      </c>
      <c r="C40" s="143" t="s">
        <v>76</v>
      </c>
      <c r="D40" s="143" t="s">
        <v>8</v>
      </c>
      <c r="E40" s="108"/>
      <c r="F40" s="150">
        <f>65*1.06</f>
        <v>68.900000000000006</v>
      </c>
      <c r="G40" s="145"/>
      <c r="H40" s="145">
        <f t="shared" si="4"/>
        <v>0</v>
      </c>
      <c r="I40" s="569"/>
      <c r="J40" s="573"/>
      <c r="K40" s="118"/>
      <c r="L40" s="146"/>
      <c r="M40" s="146"/>
      <c r="N40" s="146"/>
      <c r="O40" s="146"/>
      <c r="P40" s="147"/>
      <c r="Q40" s="151"/>
    </row>
    <row r="41" spans="1:17" ht="30" customHeight="1">
      <c r="A41" s="143"/>
      <c r="B41" s="157" t="s">
        <v>80</v>
      </c>
      <c r="C41" s="143" t="s">
        <v>76</v>
      </c>
      <c r="D41" s="143" t="s">
        <v>8</v>
      </c>
      <c r="E41" s="108"/>
      <c r="F41" s="150">
        <f>75*1.06</f>
        <v>79.5</v>
      </c>
      <c r="G41" s="145"/>
      <c r="H41" s="145">
        <f t="shared" si="4"/>
        <v>0</v>
      </c>
      <c r="I41" s="569"/>
      <c r="J41" s="573"/>
      <c r="K41" s="118"/>
      <c r="L41" s="146"/>
      <c r="M41" s="146"/>
      <c r="N41" s="146"/>
      <c r="O41" s="146"/>
      <c r="P41" s="147"/>
      <c r="Q41" s="151"/>
    </row>
    <row r="42" spans="1:17" ht="30" customHeight="1">
      <c r="A42" s="141" t="s">
        <v>87</v>
      </c>
      <c r="B42" s="142" t="s">
        <v>88</v>
      </c>
      <c r="C42" s="65"/>
      <c r="D42" s="64"/>
      <c r="E42" s="108"/>
      <c r="F42" s="154"/>
      <c r="G42" s="145"/>
      <c r="H42" s="145"/>
      <c r="I42" s="569"/>
      <c r="J42" s="573"/>
      <c r="K42" s="118"/>
      <c r="L42" s="146"/>
      <c r="M42" s="146"/>
      <c r="N42" s="146"/>
      <c r="O42" s="146"/>
      <c r="P42" s="147"/>
      <c r="Q42" s="151"/>
    </row>
    <row r="43" spans="1:17" ht="30" customHeight="1">
      <c r="A43" s="143"/>
      <c r="B43" s="148" t="s">
        <v>75</v>
      </c>
      <c r="C43" s="149" t="s">
        <v>76</v>
      </c>
      <c r="D43" s="143" t="s">
        <v>8</v>
      </c>
      <c r="E43" s="108"/>
      <c r="F43" s="150">
        <f>40*1.06</f>
        <v>42.400000000000006</v>
      </c>
      <c r="G43" s="145"/>
      <c r="H43" s="145">
        <f>E43*F43</f>
        <v>0</v>
      </c>
      <c r="I43" s="569"/>
      <c r="J43" s="573"/>
      <c r="K43" s="118"/>
      <c r="L43" s="146"/>
      <c r="M43" s="146"/>
      <c r="N43" s="146"/>
      <c r="O43" s="146"/>
      <c r="P43" s="147"/>
      <c r="Q43" s="151"/>
    </row>
    <row r="44" spans="1:17" ht="30" customHeight="1">
      <c r="A44" s="143"/>
      <c r="B44" s="148" t="s">
        <v>78</v>
      </c>
      <c r="C44" s="149" t="s">
        <v>76</v>
      </c>
      <c r="D44" s="143" t="s">
        <v>8</v>
      </c>
      <c r="E44" s="108"/>
      <c r="F44" s="150">
        <f>50*1.06</f>
        <v>53</v>
      </c>
      <c r="G44" s="145"/>
      <c r="H44" s="145">
        <f t="shared" ref="H44:H46" si="5">E44*F44</f>
        <v>0</v>
      </c>
      <c r="I44" s="569"/>
      <c r="J44" s="573"/>
      <c r="K44" s="118"/>
      <c r="L44" s="146"/>
      <c r="M44" s="146"/>
      <c r="N44" s="146"/>
      <c r="O44" s="146"/>
      <c r="P44" s="147"/>
      <c r="Q44" s="151"/>
    </row>
    <row r="45" spans="1:17" ht="30" customHeight="1">
      <c r="A45" s="143"/>
      <c r="B45" s="148" t="s">
        <v>79</v>
      </c>
      <c r="C45" s="149" t="s">
        <v>76</v>
      </c>
      <c r="D45" s="143" t="s">
        <v>8</v>
      </c>
      <c r="E45" s="108"/>
      <c r="F45" s="150">
        <f>60*1.06</f>
        <v>63.6</v>
      </c>
      <c r="G45" s="145"/>
      <c r="H45" s="145">
        <f t="shared" si="5"/>
        <v>0</v>
      </c>
      <c r="I45" s="569"/>
      <c r="J45" s="573"/>
      <c r="K45" s="118"/>
      <c r="L45" s="146"/>
      <c r="M45" s="146"/>
      <c r="N45" s="146"/>
      <c r="O45" s="146"/>
      <c r="P45" s="147"/>
      <c r="Q45" s="151"/>
    </row>
    <row r="46" spans="1:17" ht="30" customHeight="1">
      <c r="A46" s="143"/>
      <c r="B46" s="148" t="s">
        <v>80</v>
      </c>
      <c r="C46" s="149" t="s">
        <v>76</v>
      </c>
      <c r="D46" s="143" t="s">
        <v>8</v>
      </c>
      <c r="E46" s="108"/>
      <c r="F46" s="150">
        <f>75*1.06</f>
        <v>79.5</v>
      </c>
      <c r="G46" s="145"/>
      <c r="H46" s="145">
        <f t="shared" si="5"/>
        <v>0</v>
      </c>
      <c r="I46" s="569"/>
      <c r="J46" s="573"/>
      <c r="K46" s="118"/>
      <c r="L46" s="146"/>
      <c r="M46" s="146"/>
      <c r="N46" s="146"/>
      <c r="O46" s="146"/>
      <c r="P46" s="147"/>
      <c r="Q46" s="151"/>
    </row>
    <row r="47" spans="1:17" ht="30" customHeight="1">
      <c r="A47" s="143"/>
      <c r="B47" s="148" t="s">
        <v>89</v>
      </c>
      <c r="C47" s="149" t="s">
        <v>33</v>
      </c>
      <c r="D47" s="143" t="s">
        <v>8</v>
      </c>
      <c r="E47" s="158">
        <v>16</v>
      </c>
      <c r="F47" s="159">
        <f>105.5*1.06</f>
        <v>111.83000000000001</v>
      </c>
      <c r="G47" s="118"/>
      <c r="H47" s="504">
        <f>E47*F47</f>
        <v>1789.2800000000002</v>
      </c>
      <c r="I47" s="569" t="s">
        <v>90</v>
      </c>
      <c r="J47" s="573"/>
      <c r="K47" s="118"/>
      <c r="L47" s="146"/>
      <c r="M47" s="146"/>
      <c r="N47" s="146"/>
      <c r="O47" s="146"/>
      <c r="P47" s="147"/>
      <c r="Q47" s="151"/>
    </row>
    <row r="48" spans="1:17" ht="30" customHeight="1">
      <c r="A48" s="143"/>
      <c r="B48" s="148" t="s">
        <v>91</v>
      </c>
      <c r="C48" s="149" t="s">
        <v>33</v>
      </c>
      <c r="D48" s="143" t="s">
        <v>8</v>
      </c>
      <c r="E48" s="158">
        <v>2</v>
      </c>
      <c r="F48" s="159">
        <f>92*1.06</f>
        <v>97.52000000000001</v>
      </c>
      <c r="G48" s="118"/>
      <c r="H48" s="504">
        <f t="shared" ref="H48:H60" si="6">E48*F48</f>
        <v>195.04000000000002</v>
      </c>
      <c r="I48" s="569" t="s">
        <v>92</v>
      </c>
      <c r="J48" s="573"/>
      <c r="K48" s="118"/>
      <c r="L48" s="146"/>
      <c r="M48" s="146"/>
      <c r="N48" s="146"/>
      <c r="O48" s="146"/>
      <c r="P48" s="147"/>
      <c r="Q48" s="151"/>
    </row>
    <row r="49" spans="1:17" ht="30" customHeight="1">
      <c r="A49" s="143"/>
      <c r="B49" s="148" t="s">
        <v>93</v>
      </c>
      <c r="C49" s="149" t="s">
        <v>33</v>
      </c>
      <c r="D49" s="143" t="s">
        <v>8</v>
      </c>
      <c r="E49" s="158">
        <v>40</v>
      </c>
      <c r="F49" s="159">
        <f>64.5*1.06</f>
        <v>68.37</v>
      </c>
      <c r="G49" s="118"/>
      <c r="H49" s="504">
        <f t="shared" si="6"/>
        <v>2734.8</v>
      </c>
      <c r="I49" s="569" t="s">
        <v>94</v>
      </c>
      <c r="J49" s="573"/>
      <c r="K49" s="118"/>
      <c r="L49" s="146"/>
      <c r="M49" s="146"/>
      <c r="N49" s="146"/>
      <c r="O49" s="146"/>
      <c r="P49" s="147"/>
      <c r="Q49" s="151"/>
    </row>
    <row r="50" spans="1:17" ht="30" customHeight="1">
      <c r="A50" s="143"/>
      <c r="B50" s="148" t="s">
        <v>95</v>
      </c>
      <c r="C50" s="149" t="s">
        <v>33</v>
      </c>
      <c r="D50" s="143" t="s">
        <v>8</v>
      </c>
      <c r="E50" s="158">
        <v>2</v>
      </c>
      <c r="F50" s="159">
        <f>64.5*1.06</f>
        <v>68.37</v>
      </c>
      <c r="G50" s="118"/>
      <c r="H50" s="504">
        <f t="shared" si="6"/>
        <v>136.74</v>
      </c>
      <c r="I50" s="569" t="s">
        <v>92</v>
      </c>
      <c r="J50" s="573"/>
      <c r="K50" s="118"/>
      <c r="L50" s="146"/>
      <c r="M50" s="146"/>
      <c r="N50" s="146"/>
      <c r="O50" s="146"/>
      <c r="P50" s="147"/>
      <c r="Q50" s="151"/>
    </row>
    <row r="51" spans="1:17" ht="30" customHeight="1">
      <c r="A51" s="143"/>
      <c r="B51" s="148" t="s">
        <v>96</v>
      </c>
      <c r="C51" s="149" t="s">
        <v>33</v>
      </c>
      <c r="D51" s="143" t="s">
        <v>8</v>
      </c>
      <c r="E51" s="158">
        <v>2</v>
      </c>
      <c r="F51" s="159">
        <f>78*1.06</f>
        <v>82.68</v>
      </c>
      <c r="G51" s="118"/>
      <c r="H51" s="504">
        <f t="shared" si="6"/>
        <v>165.36</v>
      </c>
      <c r="I51" s="569" t="s">
        <v>92</v>
      </c>
      <c r="J51" s="573"/>
      <c r="K51" s="118"/>
      <c r="L51" s="146"/>
      <c r="M51" s="146"/>
      <c r="N51" s="146"/>
      <c r="O51" s="146"/>
      <c r="P51" s="147"/>
      <c r="Q51" s="151"/>
    </row>
    <row r="52" spans="1:17" ht="30" customHeight="1">
      <c r="A52" s="143"/>
      <c r="B52" s="157" t="s">
        <v>97</v>
      </c>
      <c r="C52" s="160" t="s">
        <v>33</v>
      </c>
      <c r="D52" s="143" t="s">
        <v>8</v>
      </c>
      <c r="E52" s="158">
        <v>40</v>
      </c>
      <c r="F52" s="159">
        <f>94.5*1.06</f>
        <v>100.17</v>
      </c>
      <c r="G52" s="118"/>
      <c r="H52" s="504">
        <f t="shared" si="6"/>
        <v>4006.8</v>
      </c>
      <c r="I52" s="569" t="s">
        <v>94</v>
      </c>
      <c r="J52" s="573"/>
      <c r="K52" s="161"/>
      <c r="L52" s="162"/>
      <c r="M52" s="162"/>
      <c r="N52" s="162"/>
      <c r="O52" s="162"/>
      <c r="P52" s="163"/>
      <c r="Q52" s="151"/>
    </row>
    <row r="53" spans="1:17" ht="30" customHeight="1">
      <c r="A53" s="143"/>
      <c r="B53" s="157" t="s">
        <v>98</v>
      </c>
      <c r="C53" s="160" t="s">
        <v>57</v>
      </c>
      <c r="D53" s="143" t="s">
        <v>8</v>
      </c>
      <c r="E53" s="158">
        <v>5</v>
      </c>
      <c r="F53" s="159">
        <f>106.7*1.06</f>
        <v>113.102</v>
      </c>
      <c r="G53" s="118"/>
      <c r="H53" s="504">
        <f t="shared" si="6"/>
        <v>565.51</v>
      </c>
      <c r="I53" s="153" t="s">
        <v>99</v>
      </c>
      <c r="J53" s="155"/>
      <c r="K53" s="161"/>
      <c r="L53" s="162"/>
      <c r="M53" s="162"/>
      <c r="N53" s="162"/>
      <c r="O53" s="162"/>
      <c r="P53" s="163"/>
      <c r="Q53" s="151"/>
    </row>
    <row r="54" spans="1:17" ht="30" customHeight="1">
      <c r="A54" s="143"/>
      <c r="B54" s="157" t="s">
        <v>100</v>
      </c>
      <c r="C54" s="160" t="s">
        <v>101</v>
      </c>
      <c r="D54" s="143" t="s">
        <v>8</v>
      </c>
      <c r="E54" s="108"/>
      <c r="F54" s="150">
        <f>40*1.06</f>
        <v>42.400000000000006</v>
      </c>
      <c r="G54" s="145"/>
      <c r="H54" s="145"/>
      <c r="I54" s="153"/>
      <c r="J54" s="155"/>
      <c r="K54" s="161"/>
      <c r="L54" s="162"/>
      <c r="M54" s="162"/>
      <c r="N54" s="162"/>
      <c r="O54" s="162"/>
      <c r="P54" s="163"/>
      <c r="Q54" s="151"/>
    </row>
    <row r="55" spans="1:17" ht="30" customHeight="1">
      <c r="A55" s="143"/>
      <c r="B55" s="157"/>
      <c r="C55" s="160"/>
      <c r="D55" s="143"/>
      <c r="E55" s="108"/>
      <c r="F55" s="150"/>
      <c r="G55" s="145"/>
      <c r="H55" s="145"/>
      <c r="I55" s="153"/>
      <c r="J55" s="155"/>
      <c r="K55" s="161"/>
      <c r="L55" s="162"/>
      <c r="M55" s="162"/>
      <c r="N55" s="162"/>
      <c r="O55" s="162"/>
      <c r="P55" s="163"/>
      <c r="Q55" s="151"/>
    </row>
    <row r="56" spans="1:17" ht="30" customHeight="1">
      <c r="A56" s="64" t="s">
        <v>102</v>
      </c>
      <c r="B56" s="156" t="s">
        <v>103</v>
      </c>
      <c r="C56" s="141"/>
      <c r="D56" s="64"/>
      <c r="E56" s="108"/>
      <c r="F56" s="154"/>
      <c r="G56" s="145"/>
      <c r="H56" s="145"/>
      <c r="I56" s="569"/>
      <c r="J56" s="573"/>
      <c r="K56" s="118"/>
      <c r="L56" s="146"/>
      <c r="M56" s="146"/>
      <c r="N56" s="146"/>
      <c r="O56" s="146"/>
      <c r="P56" s="147"/>
      <c r="Q56" s="151"/>
    </row>
    <row r="57" spans="1:17" ht="30" customHeight="1">
      <c r="A57" s="143"/>
      <c r="B57" s="157" t="s">
        <v>75</v>
      </c>
      <c r="C57" s="143" t="s">
        <v>76</v>
      </c>
      <c r="D57" s="143" t="s">
        <v>8</v>
      </c>
      <c r="E57" s="108"/>
      <c r="F57" s="150">
        <f>45*1.06</f>
        <v>47.7</v>
      </c>
      <c r="G57" s="145"/>
      <c r="H57" s="145">
        <f t="shared" si="6"/>
        <v>0</v>
      </c>
      <c r="I57" s="569"/>
      <c r="J57" s="573"/>
      <c r="K57" s="118"/>
      <c r="L57" s="146"/>
      <c r="M57" s="146"/>
      <c r="N57" s="146"/>
      <c r="O57" s="146"/>
      <c r="P57" s="147"/>
      <c r="Q57" s="151"/>
    </row>
    <row r="58" spans="1:17" ht="30" customHeight="1">
      <c r="A58" s="143"/>
      <c r="B58" s="157" t="s">
        <v>78</v>
      </c>
      <c r="C58" s="143" t="s">
        <v>76</v>
      </c>
      <c r="D58" s="143" t="s">
        <v>8</v>
      </c>
      <c r="E58" s="108"/>
      <c r="F58" s="150">
        <f>55*1.06</f>
        <v>58.300000000000004</v>
      </c>
      <c r="G58" s="145"/>
      <c r="H58" s="145">
        <f t="shared" si="6"/>
        <v>0</v>
      </c>
      <c r="I58" s="569"/>
      <c r="J58" s="573"/>
      <c r="K58" s="118"/>
      <c r="L58" s="146"/>
      <c r="M58" s="146"/>
      <c r="N58" s="146"/>
      <c r="O58" s="146"/>
      <c r="P58" s="147"/>
      <c r="Q58" s="151"/>
    </row>
    <row r="59" spans="1:17" ht="30" customHeight="1">
      <c r="A59" s="143"/>
      <c r="B59" s="157" t="s">
        <v>79</v>
      </c>
      <c r="C59" s="143" t="s">
        <v>76</v>
      </c>
      <c r="D59" s="143" t="s">
        <v>8</v>
      </c>
      <c r="E59" s="108"/>
      <c r="F59" s="150">
        <f>65*1.06</f>
        <v>68.900000000000006</v>
      </c>
      <c r="G59" s="145"/>
      <c r="H59" s="145">
        <f t="shared" si="6"/>
        <v>0</v>
      </c>
      <c r="I59" s="569"/>
      <c r="J59" s="573"/>
      <c r="K59" s="118"/>
      <c r="L59" s="146"/>
      <c r="M59" s="146"/>
      <c r="N59" s="146"/>
      <c r="O59" s="146"/>
      <c r="P59" s="147"/>
      <c r="Q59" s="151"/>
    </row>
    <row r="60" spans="1:17" ht="30" customHeight="1">
      <c r="A60" s="143"/>
      <c r="B60" s="157" t="s">
        <v>80</v>
      </c>
      <c r="C60" s="143" t="s">
        <v>76</v>
      </c>
      <c r="D60" s="143" t="s">
        <v>8</v>
      </c>
      <c r="E60" s="108"/>
      <c r="F60" s="150">
        <f>90*1.06</f>
        <v>95.4</v>
      </c>
      <c r="G60" s="145"/>
      <c r="H60" s="145">
        <f t="shared" si="6"/>
        <v>0</v>
      </c>
      <c r="I60" s="569"/>
      <c r="J60" s="573"/>
      <c r="K60" s="118"/>
      <c r="L60" s="146"/>
      <c r="M60" s="146"/>
      <c r="N60" s="146"/>
      <c r="O60" s="146"/>
      <c r="P60" s="147"/>
      <c r="Q60" s="151"/>
    </row>
    <row r="61" spans="1:17" ht="30" customHeight="1">
      <c r="A61" s="143"/>
      <c r="B61" s="157"/>
      <c r="C61" s="143"/>
      <c r="D61" s="143"/>
      <c r="E61" s="108"/>
      <c r="F61" s="150"/>
      <c r="G61" s="145"/>
      <c r="H61" s="145"/>
      <c r="I61" s="569"/>
      <c r="J61" s="573"/>
      <c r="K61" s="161"/>
      <c r="L61" s="162"/>
      <c r="M61" s="162"/>
      <c r="N61" s="162"/>
      <c r="O61" s="162"/>
      <c r="P61" s="163"/>
      <c r="Q61" s="151"/>
    </row>
    <row r="62" spans="1:17" ht="30" customHeight="1">
      <c r="A62" s="64" t="s">
        <v>104</v>
      </c>
      <c r="B62" s="65" t="s">
        <v>105</v>
      </c>
      <c r="C62" s="164"/>
      <c r="D62" s="35" t="s">
        <v>12</v>
      </c>
      <c r="E62" s="57" t="s">
        <v>13</v>
      </c>
      <c r="F62" s="53" t="s">
        <v>14</v>
      </c>
      <c r="G62" s="53" t="s">
        <v>15</v>
      </c>
      <c r="H62" s="54" t="s">
        <v>16</v>
      </c>
      <c r="I62" s="574" t="s">
        <v>17</v>
      </c>
      <c r="J62" s="566"/>
      <c r="K62" s="37"/>
      <c r="L62" s="50"/>
      <c r="M62" s="50"/>
      <c r="N62" s="50"/>
      <c r="O62" s="50"/>
      <c r="P62" s="49" t="s">
        <v>18</v>
      </c>
      <c r="Q62" s="151"/>
    </row>
    <row r="63" spans="1:17" ht="30" customHeight="1">
      <c r="A63" s="143"/>
      <c r="B63" s="148" t="s">
        <v>75</v>
      </c>
      <c r="C63" s="149" t="s">
        <v>26</v>
      </c>
      <c r="D63" s="143" t="s">
        <v>8</v>
      </c>
      <c r="E63" s="108">
        <v>20</v>
      </c>
      <c r="F63" s="150">
        <f>195*1.06</f>
        <v>206.70000000000002</v>
      </c>
      <c r="G63" s="145"/>
      <c r="H63" s="145">
        <f>E63*F63</f>
        <v>4134</v>
      </c>
      <c r="I63" s="569" t="s">
        <v>106</v>
      </c>
      <c r="J63" s="570"/>
      <c r="K63" s="118"/>
      <c r="L63" s="146"/>
      <c r="M63" s="146"/>
      <c r="N63" s="146"/>
      <c r="O63" s="146"/>
      <c r="P63" s="147"/>
      <c r="Q63" s="151"/>
    </row>
    <row r="64" spans="1:17" ht="30" customHeight="1">
      <c r="A64" s="143"/>
      <c r="B64" s="148" t="s">
        <v>78</v>
      </c>
      <c r="C64" s="149" t="s">
        <v>26</v>
      </c>
      <c r="D64" s="143" t="s">
        <v>8</v>
      </c>
      <c r="E64" s="108"/>
      <c r="F64" s="150">
        <f>225*1.06</f>
        <v>238.5</v>
      </c>
      <c r="G64" s="145"/>
      <c r="H64" s="145">
        <f t="shared" ref="H64:H67" si="7">E64*F64</f>
        <v>0</v>
      </c>
      <c r="I64" s="569"/>
      <c r="J64" s="573"/>
      <c r="K64" s="118"/>
      <c r="L64" s="146"/>
      <c r="M64" s="146"/>
      <c r="N64" s="146"/>
      <c r="O64" s="146"/>
      <c r="P64" s="147"/>
      <c r="Q64" s="151"/>
    </row>
    <row r="65" spans="1:17" ht="30" customHeight="1">
      <c r="A65" s="143"/>
      <c r="B65" s="148" t="s">
        <v>79</v>
      </c>
      <c r="C65" s="149" t="s">
        <v>26</v>
      </c>
      <c r="D65" s="143" t="s">
        <v>8</v>
      </c>
      <c r="E65" s="108"/>
      <c r="F65" s="150">
        <f>275*4*1.06</f>
        <v>1166</v>
      </c>
      <c r="G65" s="145"/>
      <c r="H65" s="145">
        <f t="shared" si="7"/>
        <v>0</v>
      </c>
      <c r="I65" s="569"/>
      <c r="J65" s="573"/>
      <c r="K65" s="118"/>
      <c r="L65" s="146"/>
      <c r="M65" s="146"/>
      <c r="N65" s="146"/>
      <c r="O65" s="146"/>
      <c r="P65" s="147"/>
      <c r="Q65" s="151"/>
    </row>
    <row r="66" spans="1:17" ht="30" customHeight="1">
      <c r="A66" s="143"/>
      <c r="B66" s="148" t="s">
        <v>80</v>
      </c>
      <c r="C66" s="149" t="s">
        <v>26</v>
      </c>
      <c r="D66" s="143" t="s">
        <v>8</v>
      </c>
      <c r="E66" s="108"/>
      <c r="F66" s="150">
        <f>325*1.06</f>
        <v>344.5</v>
      </c>
      <c r="G66" s="145"/>
      <c r="H66" s="145">
        <f t="shared" si="7"/>
        <v>0</v>
      </c>
      <c r="I66" s="569"/>
      <c r="J66" s="573"/>
      <c r="K66" s="118"/>
      <c r="L66" s="146"/>
      <c r="M66" s="146"/>
      <c r="N66" s="146"/>
      <c r="O66" s="146"/>
      <c r="P66" s="147"/>
      <c r="Q66" s="151"/>
    </row>
    <row r="67" spans="1:17" ht="30" customHeight="1">
      <c r="A67" s="143"/>
      <c r="B67" s="148" t="s">
        <v>107</v>
      </c>
      <c r="C67" s="149" t="s">
        <v>57</v>
      </c>
      <c r="D67" s="143" t="s">
        <v>8</v>
      </c>
      <c r="E67" s="108"/>
      <c r="F67" s="150">
        <f>320*1.06</f>
        <v>339.20000000000005</v>
      </c>
      <c r="G67" s="145"/>
      <c r="H67" s="145">
        <f t="shared" si="7"/>
        <v>0</v>
      </c>
      <c r="I67" s="153"/>
      <c r="J67" s="155"/>
      <c r="K67" s="118"/>
      <c r="L67" s="146"/>
      <c r="M67" s="146"/>
      <c r="N67" s="146"/>
      <c r="O67" s="146"/>
      <c r="P67" s="147"/>
      <c r="Q67" s="151"/>
    </row>
    <row r="68" spans="1:17" ht="30" customHeight="1">
      <c r="A68" s="143"/>
      <c r="B68" s="148"/>
      <c r="C68" s="149"/>
      <c r="D68" s="143"/>
      <c r="E68" s="108"/>
      <c r="F68" s="150"/>
      <c r="G68" s="145"/>
      <c r="H68" s="145"/>
      <c r="I68" s="569"/>
      <c r="J68" s="573"/>
      <c r="K68" s="118"/>
      <c r="L68" s="146"/>
      <c r="M68" s="146"/>
      <c r="N68" s="146"/>
      <c r="O68" s="146"/>
      <c r="P68" s="147"/>
      <c r="Q68" s="151"/>
    </row>
    <row r="69" spans="1:17" ht="30" customHeight="1">
      <c r="A69" s="165">
        <v>4</v>
      </c>
      <c r="B69" s="166" t="s">
        <v>108</v>
      </c>
      <c r="C69" s="166"/>
      <c r="D69" s="51" t="s">
        <v>12</v>
      </c>
      <c r="E69" s="52" t="s">
        <v>13</v>
      </c>
      <c r="F69" s="53" t="s">
        <v>14</v>
      </c>
      <c r="G69" s="53" t="s">
        <v>15</v>
      </c>
      <c r="H69" s="54" t="s">
        <v>16</v>
      </c>
      <c r="I69" s="563" t="s">
        <v>17</v>
      </c>
      <c r="J69" s="566"/>
      <c r="K69" s="37"/>
      <c r="L69" s="50"/>
      <c r="M69" s="50"/>
      <c r="N69" s="50"/>
      <c r="O69" s="50"/>
      <c r="P69" s="49" t="s">
        <v>18</v>
      </c>
      <c r="Q69" s="151"/>
    </row>
    <row r="70" spans="1:17" ht="30" customHeight="1">
      <c r="A70" s="78" t="s">
        <v>109</v>
      </c>
      <c r="B70" s="116" t="s">
        <v>110</v>
      </c>
      <c r="C70" s="75" t="s">
        <v>26</v>
      </c>
      <c r="D70" s="107" t="s">
        <v>8</v>
      </c>
      <c r="E70" s="108">
        <f>8*5</f>
        <v>40</v>
      </c>
      <c r="F70" s="159">
        <f>46.2*1.06</f>
        <v>48.972000000000008</v>
      </c>
      <c r="G70" s="109"/>
      <c r="H70" s="167">
        <f>E70*F70</f>
        <v>1958.8800000000003</v>
      </c>
      <c r="I70" s="569" t="s">
        <v>111</v>
      </c>
      <c r="J70" s="573"/>
      <c r="K70" s="168"/>
      <c r="L70" s="169"/>
      <c r="M70" s="169"/>
      <c r="N70" s="169"/>
      <c r="O70" s="169"/>
      <c r="P70" s="77"/>
      <c r="Q70" s="151"/>
    </row>
    <row r="71" spans="1:17" ht="30" customHeight="1">
      <c r="A71" s="78" t="s">
        <v>112</v>
      </c>
      <c r="B71" s="116" t="s">
        <v>113</v>
      </c>
      <c r="C71" s="75" t="s">
        <v>26</v>
      </c>
      <c r="D71" s="107" t="s">
        <v>8</v>
      </c>
      <c r="E71" s="108">
        <f>8*5</f>
        <v>40</v>
      </c>
      <c r="F71" s="483">
        <f>+Blad3!F24</f>
        <v>220.64400000000001</v>
      </c>
      <c r="G71" s="109"/>
      <c r="H71" s="167">
        <f t="shared" ref="H71:H76" si="8">E71*F71</f>
        <v>8825.76</v>
      </c>
      <c r="I71" s="569" t="s">
        <v>114</v>
      </c>
      <c r="J71" s="573"/>
      <c r="K71" s="118"/>
      <c r="L71" s="146"/>
      <c r="M71" s="146"/>
      <c r="N71" s="146"/>
      <c r="O71" s="146"/>
      <c r="P71" s="77"/>
      <c r="Q71" s="151"/>
    </row>
    <row r="72" spans="1:17" ht="30" customHeight="1">
      <c r="A72" s="78" t="s">
        <v>115</v>
      </c>
      <c r="B72" s="170" t="s">
        <v>116</v>
      </c>
      <c r="C72" s="89" t="s">
        <v>117</v>
      </c>
      <c r="D72" s="171" t="s">
        <v>118</v>
      </c>
      <c r="E72" s="108">
        <v>0</v>
      </c>
      <c r="F72" s="118">
        <f>37.5*1.06</f>
        <v>39.75</v>
      </c>
      <c r="G72" s="109"/>
      <c r="H72" s="167">
        <f t="shared" si="8"/>
        <v>0</v>
      </c>
      <c r="I72" s="153"/>
      <c r="J72" s="152"/>
      <c r="K72" s="161"/>
      <c r="L72" s="162"/>
      <c r="M72" s="162"/>
      <c r="N72" s="162"/>
      <c r="O72" s="162"/>
      <c r="P72" s="163"/>
      <c r="Q72" s="151"/>
    </row>
    <row r="73" spans="1:17" ht="30" customHeight="1">
      <c r="A73" s="78" t="s">
        <v>119</v>
      </c>
      <c r="B73" s="170" t="s">
        <v>120</v>
      </c>
      <c r="C73" s="89" t="s">
        <v>117</v>
      </c>
      <c r="D73" s="171" t="s">
        <v>118</v>
      </c>
      <c r="E73" s="108">
        <v>0</v>
      </c>
      <c r="F73" s="118">
        <f>37.5*1.06</f>
        <v>39.75</v>
      </c>
      <c r="G73" s="109"/>
      <c r="H73" s="167">
        <f t="shared" si="8"/>
        <v>0</v>
      </c>
      <c r="I73" s="153"/>
      <c r="J73" s="152"/>
      <c r="K73" s="161"/>
      <c r="L73" s="162"/>
      <c r="M73" s="162"/>
      <c r="N73" s="162"/>
      <c r="O73" s="162"/>
      <c r="P73" s="163"/>
      <c r="Q73" s="151"/>
    </row>
    <row r="74" spans="1:17" ht="30" customHeight="1">
      <c r="A74" s="78" t="s">
        <v>121</v>
      </c>
      <c r="B74" s="116" t="s">
        <v>122</v>
      </c>
      <c r="C74" s="75" t="s">
        <v>26</v>
      </c>
      <c r="D74" s="107" t="s">
        <v>8</v>
      </c>
      <c r="E74" s="108">
        <f>8*5</f>
        <v>40</v>
      </c>
      <c r="F74" s="159">
        <f>78.29*1.06</f>
        <v>82.987400000000008</v>
      </c>
      <c r="G74" s="109"/>
      <c r="H74" s="167">
        <f t="shared" si="8"/>
        <v>3319.4960000000001</v>
      </c>
      <c r="I74" s="569" t="s">
        <v>123</v>
      </c>
      <c r="J74" s="573"/>
      <c r="K74" s="168"/>
      <c r="L74" s="169"/>
      <c r="M74" s="169"/>
      <c r="N74" s="169"/>
      <c r="O74" s="169"/>
      <c r="P74" s="77"/>
      <c r="Q74" s="151"/>
    </row>
    <row r="75" spans="1:17" ht="30" customHeight="1">
      <c r="A75" s="78" t="s">
        <v>124</v>
      </c>
      <c r="B75" s="116" t="s">
        <v>125</v>
      </c>
      <c r="C75" s="75" t="s">
        <v>57</v>
      </c>
      <c r="D75" s="171" t="s">
        <v>126</v>
      </c>
      <c r="E75" s="108">
        <f>8*5</f>
        <v>40</v>
      </c>
      <c r="F75" s="159">
        <f>23.2*6*1.06</f>
        <v>147.55199999999999</v>
      </c>
      <c r="G75" s="109"/>
      <c r="H75" s="167">
        <f t="shared" si="8"/>
        <v>5902.08</v>
      </c>
      <c r="I75" s="569" t="s">
        <v>127</v>
      </c>
      <c r="J75" s="573"/>
      <c r="K75" s="168"/>
      <c r="L75" s="169"/>
      <c r="M75" s="169"/>
      <c r="N75" s="169"/>
      <c r="O75" s="169"/>
      <c r="P75" s="77"/>
      <c r="Q75" s="151"/>
    </row>
    <row r="76" spans="1:17" ht="30" customHeight="1">
      <c r="A76" s="171" t="s">
        <v>128</v>
      </c>
      <c r="B76" s="116" t="s">
        <v>129</v>
      </c>
      <c r="C76" s="75"/>
      <c r="D76" s="171" t="s">
        <v>126</v>
      </c>
      <c r="E76" s="172">
        <v>0</v>
      </c>
      <c r="F76" s="159">
        <f>30*6*1.06</f>
        <v>190.8</v>
      </c>
      <c r="G76" s="109"/>
      <c r="H76" s="167">
        <f t="shared" si="8"/>
        <v>0</v>
      </c>
      <c r="I76" s="567"/>
      <c r="J76" s="567"/>
      <c r="K76" s="168"/>
      <c r="L76" s="169"/>
      <c r="M76" s="169"/>
      <c r="N76" s="169"/>
      <c r="O76" s="169"/>
      <c r="P76" s="77"/>
      <c r="Q76" s="151"/>
    </row>
    <row r="77" spans="1:17" ht="30" customHeight="1">
      <c r="A77" s="171" t="s">
        <v>130</v>
      </c>
      <c r="B77" s="116" t="s">
        <v>131</v>
      </c>
      <c r="C77" s="75"/>
      <c r="D77" s="171" t="s">
        <v>126</v>
      </c>
      <c r="E77" s="172">
        <v>5</v>
      </c>
      <c r="F77" s="159">
        <f>50.16*1.06</f>
        <v>53.169599999999996</v>
      </c>
      <c r="G77" s="109"/>
      <c r="H77" s="167">
        <f>F77*E77</f>
        <v>265.84799999999996</v>
      </c>
      <c r="I77" s="567" t="s">
        <v>132</v>
      </c>
      <c r="J77" s="567"/>
      <c r="K77" s="168"/>
      <c r="L77" s="169"/>
      <c r="M77" s="169"/>
      <c r="N77" s="169"/>
      <c r="O77" s="169"/>
      <c r="P77" s="77"/>
      <c r="Q77" s="151"/>
    </row>
    <row r="78" spans="1:17" ht="30" customHeight="1">
      <c r="A78" s="171" t="s">
        <v>133</v>
      </c>
      <c r="B78" s="89" t="s">
        <v>134</v>
      </c>
      <c r="C78" s="89" t="s">
        <v>117</v>
      </c>
      <c r="D78" s="171" t="s">
        <v>118</v>
      </c>
      <c r="E78" s="108"/>
      <c r="F78" s="118">
        <f>65*1.06</f>
        <v>68.900000000000006</v>
      </c>
      <c r="G78" s="109"/>
      <c r="H78" s="167">
        <f t="shared" ref="H78:H80" si="9">F78*E78</f>
        <v>0</v>
      </c>
      <c r="I78" s="76"/>
      <c r="J78" s="89"/>
      <c r="K78" s="161"/>
      <c r="L78" s="162"/>
      <c r="M78" s="162"/>
      <c r="N78" s="162"/>
      <c r="O78" s="162"/>
      <c r="P78" s="163"/>
      <c r="Q78" s="151"/>
    </row>
    <row r="79" spans="1:17" ht="30" customHeight="1">
      <c r="A79" s="171" t="s">
        <v>135</v>
      </c>
      <c r="B79" s="89" t="s">
        <v>136</v>
      </c>
      <c r="C79" s="89" t="s">
        <v>117</v>
      </c>
      <c r="D79" s="171" t="s">
        <v>118</v>
      </c>
      <c r="E79" s="108"/>
      <c r="F79" s="118">
        <f>185*1.06</f>
        <v>196.10000000000002</v>
      </c>
      <c r="G79" s="109"/>
      <c r="H79" s="167">
        <f t="shared" si="9"/>
        <v>0</v>
      </c>
      <c r="I79" s="76"/>
      <c r="J79" s="89"/>
      <c r="K79" s="161"/>
      <c r="L79" s="162"/>
      <c r="M79" s="162"/>
      <c r="N79" s="162"/>
      <c r="O79" s="162"/>
      <c r="P79" s="163"/>
      <c r="Q79" s="151"/>
    </row>
    <row r="80" spans="1:17" ht="30" customHeight="1">
      <c r="A80" s="171" t="s">
        <v>137</v>
      </c>
      <c r="B80" s="89" t="s">
        <v>138</v>
      </c>
      <c r="C80" s="89" t="s">
        <v>117</v>
      </c>
      <c r="D80" s="171" t="s">
        <v>139</v>
      </c>
      <c r="E80" s="108"/>
      <c r="F80" s="118">
        <f>165*1.06</f>
        <v>174.9</v>
      </c>
      <c r="G80" s="118"/>
      <c r="H80" s="167">
        <f t="shared" si="9"/>
        <v>0</v>
      </c>
      <c r="I80" s="173"/>
      <c r="J80" s="75"/>
      <c r="K80" s="37"/>
      <c r="L80" s="50"/>
      <c r="M80" s="50"/>
      <c r="N80" s="50"/>
      <c r="O80" s="50"/>
      <c r="P80" s="49"/>
      <c r="Q80" s="151"/>
    </row>
    <row r="81" spans="1:17" ht="30" customHeight="1">
      <c r="A81" s="171" t="s">
        <v>140</v>
      </c>
      <c r="B81" s="174" t="s">
        <v>141</v>
      </c>
      <c r="C81" s="107" t="s">
        <v>26</v>
      </c>
      <c r="D81" s="107" t="s">
        <v>8</v>
      </c>
      <c r="E81" s="108">
        <f>8*5</f>
        <v>40</v>
      </c>
      <c r="F81" s="484">
        <f>+Blad3!F27</f>
        <v>122.35199999999999</v>
      </c>
      <c r="G81" s="109"/>
      <c r="H81" s="167">
        <f>SUM(E81*F81)</f>
        <v>4894.08</v>
      </c>
      <c r="I81" s="567" t="s">
        <v>142</v>
      </c>
      <c r="J81" s="568"/>
      <c r="K81" s="118"/>
      <c r="L81" s="146"/>
      <c r="M81" s="146"/>
      <c r="N81" s="146"/>
      <c r="O81" s="146"/>
      <c r="P81" s="147"/>
      <c r="Q81" s="151"/>
    </row>
    <row r="82" spans="1:17" ht="30" customHeight="1">
      <c r="A82" s="171" t="s">
        <v>143</v>
      </c>
      <c r="B82" s="174" t="s">
        <v>144</v>
      </c>
      <c r="C82" s="107" t="s">
        <v>26</v>
      </c>
      <c r="D82" s="107" t="s">
        <v>8</v>
      </c>
      <c r="E82" s="108">
        <f>8*5</f>
        <v>40</v>
      </c>
      <c r="F82" s="484">
        <f>+Blad3!F28</f>
        <v>150</v>
      </c>
      <c r="G82" s="109"/>
      <c r="H82" s="167">
        <f>SUM(E82*F82)</f>
        <v>6000</v>
      </c>
      <c r="I82" s="567" t="s">
        <v>145</v>
      </c>
      <c r="J82" s="568"/>
      <c r="K82" s="118"/>
      <c r="L82" s="146"/>
      <c r="M82" s="146"/>
      <c r="N82" s="146"/>
      <c r="O82" s="146"/>
      <c r="P82" s="147"/>
      <c r="Q82" s="151"/>
    </row>
    <row r="83" spans="1:17" ht="30" customHeight="1">
      <c r="A83" s="171" t="s">
        <v>146</v>
      </c>
      <c r="B83" s="170" t="s">
        <v>147</v>
      </c>
      <c r="C83" s="89" t="s">
        <v>117</v>
      </c>
      <c r="D83" s="171" t="s">
        <v>118</v>
      </c>
      <c r="E83" s="108"/>
      <c r="F83" s="118">
        <v>0</v>
      </c>
      <c r="G83" s="109"/>
      <c r="H83" s="167">
        <f t="shared" ref="H83:H89" si="10">SUM(E83*F83)</f>
        <v>0</v>
      </c>
      <c r="I83" s="76"/>
      <c r="J83" s="89"/>
      <c r="K83" s="161"/>
      <c r="L83" s="162"/>
      <c r="M83" s="162"/>
      <c r="N83" s="162"/>
      <c r="O83" s="162"/>
      <c r="P83" s="163"/>
      <c r="Q83" s="151"/>
    </row>
    <row r="84" spans="1:17" ht="30" customHeight="1">
      <c r="A84" s="171" t="s">
        <v>148</v>
      </c>
      <c r="B84" s="89" t="s">
        <v>149</v>
      </c>
      <c r="C84" s="89" t="s">
        <v>117</v>
      </c>
      <c r="D84" s="171" t="s">
        <v>118</v>
      </c>
      <c r="E84" s="108"/>
      <c r="F84" s="118">
        <v>0</v>
      </c>
      <c r="G84" s="109"/>
      <c r="H84" s="167">
        <f t="shared" si="10"/>
        <v>0</v>
      </c>
      <c r="I84" s="175"/>
      <c r="J84" s="176"/>
      <c r="K84" s="161"/>
      <c r="L84" s="162"/>
      <c r="M84" s="162"/>
      <c r="N84" s="162"/>
      <c r="O84" s="162"/>
      <c r="P84" s="163"/>
      <c r="Q84" s="151"/>
    </row>
    <row r="85" spans="1:17" ht="30" customHeight="1">
      <c r="A85" s="171" t="s">
        <v>150</v>
      </c>
      <c r="B85" s="89" t="s">
        <v>151</v>
      </c>
      <c r="C85" s="89" t="s">
        <v>117</v>
      </c>
      <c r="D85" s="171" t="s">
        <v>118</v>
      </c>
      <c r="E85" s="108"/>
      <c r="F85" s="118">
        <f>165*1.06</f>
        <v>174.9</v>
      </c>
      <c r="G85" s="109"/>
      <c r="H85" s="167">
        <f t="shared" si="10"/>
        <v>0</v>
      </c>
      <c r="I85" s="153"/>
      <c r="J85" s="152"/>
      <c r="K85" s="161"/>
      <c r="L85" s="162"/>
      <c r="M85" s="162"/>
      <c r="N85" s="162"/>
      <c r="O85" s="162"/>
      <c r="P85" s="163"/>
      <c r="Q85" s="151"/>
    </row>
    <row r="86" spans="1:17" ht="30" customHeight="1">
      <c r="A86" s="171" t="s">
        <v>152</v>
      </c>
      <c r="B86" s="170" t="s">
        <v>153</v>
      </c>
      <c r="C86" s="89" t="s">
        <v>117</v>
      </c>
      <c r="D86" s="171" t="s">
        <v>118</v>
      </c>
      <c r="E86" s="108"/>
      <c r="F86" s="118">
        <f>147.5*1.06</f>
        <v>156.35</v>
      </c>
      <c r="G86" s="109"/>
      <c r="H86" s="167">
        <f t="shared" si="10"/>
        <v>0</v>
      </c>
      <c r="I86" s="153"/>
      <c r="J86" s="152"/>
      <c r="K86" s="161"/>
      <c r="L86" s="162"/>
      <c r="M86" s="162"/>
      <c r="N86" s="162"/>
      <c r="O86" s="162"/>
      <c r="P86" s="163"/>
      <c r="Q86" s="151"/>
    </row>
    <row r="87" spans="1:17" ht="30" customHeight="1">
      <c r="A87" s="171" t="s">
        <v>154</v>
      </c>
      <c r="B87" s="170" t="s">
        <v>153</v>
      </c>
      <c r="C87" s="89" t="s">
        <v>117</v>
      </c>
      <c r="D87" s="171" t="s">
        <v>118</v>
      </c>
      <c r="E87" s="108"/>
      <c r="F87" s="118">
        <f>221.25*1.06</f>
        <v>234.52500000000001</v>
      </c>
      <c r="G87" s="109"/>
      <c r="H87" s="167">
        <f t="shared" si="10"/>
        <v>0</v>
      </c>
      <c r="I87" s="153"/>
      <c r="J87" s="152"/>
      <c r="K87" s="161"/>
      <c r="L87" s="162"/>
      <c r="M87" s="162"/>
      <c r="N87" s="162"/>
      <c r="O87" s="162"/>
      <c r="P87" s="163"/>
      <c r="Q87" s="151"/>
    </row>
    <row r="88" spans="1:17" ht="30" customHeight="1">
      <c r="A88" s="171" t="s">
        <v>155</v>
      </c>
      <c r="B88" s="170" t="s">
        <v>153</v>
      </c>
      <c r="C88" s="89" t="s">
        <v>117</v>
      </c>
      <c r="D88" s="171" t="s">
        <v>118</v>
      </c>
      <c r="E88" s="108"/>
      <c r="F88" s="487">
        <f>+Blad3!F31</f>
        <v>340.71600000000001</v>
      </c>
      <c r="G88" s="109"/>
      <c r="H88" s="167">
        <f t="shared" si="10"/>
        <v>0</v>
      </c>
      <c r="I88" s="153"/>
      <c r="J88" s="152"/>
      <c r="K88" s="161"/>
      <c r="L88" s="162"/>
      <c r="M88" s="162"/>
      <c r="N88" s="162"/>
      <c r="O88" s="162"/>
      <c r="P88" s="163"/>
      <c r="Q88" s="151"/>
    </row>
    <row r="89" spans="1:17" ht="30" customHeight="1">
      <c r="A89" s="171" t="s">
        <v>156</v>
      </c>
      <c r="B89" s="170" t="s">
        <v>153</v>
      </c>
      <c r="C89" s="89" t="s">
        <v>117</v>
      </c>
      <c r="D89" s="171" t="s">
        <v>118</v>
      </c>
      <c r="E89" s="108"/>
      <c r="F89" s="118">
        <f>295*1.06</f>
        <v>312.7</v>
      </c>
      <c r="G89" s="109"/>
      <c r="H89" s="167">
        <f t="shared" si="10"/>
        <v>0</v>
      </c>
      <c r="I89" s="153"/>
      <c r="J89" s="152"/>
      <c r="K89" s="161"/>
      <c r="L89" s="162"/>
      <c r="M89" s="162"/>
      <c r="N89" s="162"/>
      <c r="O89" s="162"/>
      <c r="P89" s="163"/>
      <c r="Q89" s="151"/>
    </row>
    <row r="90" spans="1:17" ht="30" customHeight="1">
      <c r="A90" s="177"/>
      <c r="B90" s="174"/>
      <c r="C90" s="178"/>
      <c r="D90" s="178"/>
      <c r="E90" s="179"/>
      <c r="F90" s="180"/>
      <c r="G90" s="181"/>
      <c r="H90" s="182"/>
      <c r="I90" s="153"/>
      <c r="J90" s="152"/>
      <c r="K90" s="161"/>
      <c r="L90" s="162"/>
      <c r="M90" s="162"/>
      <c r="N90" s="162"/>
      <c r="O90" s="162"/>
      <c r="P90" s="163"/>
      <c r="Q90" s="151"/>
    </row>
    <row r="91" spans="1:17" ht="30" customHeight="1">
      <c r="A91" s="165">
        <v>5</v>
      </c>
      <c r="B91" s="115" t="s">
        <v>157</v>
      </c>
      <c r="C91" s="166"/>
      <c r="D91" s="51" t="s">
        <v>12</v>
      </c>
      <c r="E91" s="52" t="s">
        <v>13</v>
      </c>
      <c r="F91" s="53" t="s">
        <v>14</v>
      </c>
      <c r="G91" s="53" t="s">
        <v>15</v>
      </c>
      <c r="H91" s="54" t="s">
        <v>16</v>
      </c>
      <c r="I91" s="563" t="s">
        <v>17</v>
      </c>
      <c r="J91" s="566"/>
      <c r="K91" s="37"/>
      <c r="L91" s="50"/>
      <c r="M91" s="50"/>
      <c r="N91" s="50"/>
      <c r="O91" s="50"/>
      <c r="P91" s="49" t="s">
        <v>18</v>
      </c>
      <c r="Q91" s="151"/>
    </row>
    <row r="92" spans="1:17" ht="30" customHeight="1">
      <c r="A92" s="171" t="s">
        <v>158</v>
      </c>
      <c r="B92" s="116" t="s">
        <v>159</v>
      </c>
      <c r="C92" s="75"/>
      <c r="D92" s="171" t="s">
        <v>8</v>
      </c>
      <c r="E92" s="172"/>
      <c r="F92" s="159">
        <f>50*1.06</f>
        <v>53</v>
      </c>
      <c r="G92" s="109"/>
      <c r="H92" s="167">
        <f>F92*E92</f>
        <v>0</v>
      </c>
      <c r="I92" s="569" t="s">
        <v>160</v>
      </c>
      <c r="J92" s="573"/>
      <c r="K92" s="168"/>
      <c r="L92" s="169"/>
      <c r="M92" s="169"/>
      <c r="N92" s="169"/>
      <c r="O92" s="169"/>
      <c r="P92" s="77"/>
      <c r="Q92" s="151"/>
    </row>
    <row r="93" spans="1:17" ht="30" customHeight="1">
      <c r="A93" s="171" t="s">
        <v>161</v>
      </c>
      <c r="B93" s="116" t="s">
        <v>162</v>
      </c>
      <c r="C93" s="75"/>
      <c r="D93" s="171" t="s">
        <v>8</v>
      </c>
      <c r="E93" s="108">
        <f>8*$A$4</f>
        <v>40</v>
      </c>
      <c r="F93" s="159">
        <f>57.84*1.2*1.06</f>
        <v>73.572479999999999</v>
      </c>
      <c r="G93" s="109"/>
      <c r="H93" s="167">
        <f>F93*E93</f>
        <v>2942.8991999999998</v>
      </c>
      <c r="I93" s="569" t="s">
        <v>163</v>
      </c>
      <c r="J93" s="573"/>
      <c r="K93" s="168"/>
      <c r="L93" s="169"/>
      <c r="M93" s="169"/>
      <c r="N93" s="169"/>
      <c r="O93" s="169"/>
      <c r="P93" s="77"/>
      <c r="Q93" s="151"/>
    </row>
    <row r="94" spans="1:17" ht="30" customHeight="1">
      <c r="A94" s="171" t="s">
        <v>164</v>
      </c>
      <c r="B94" s="174" t="s">
        <v>165</v>
      </c>
      <c r="C94" s="107"/>
      <c r="D94" s="107" t="s">
        <v>8</v>
      </c>
      <c r="E94" s="108">
        <f>8*5</f>
        <v>40</v>
      </c>
      <c r="F94" s="480">
        <f>+Blad3!F25</f>
        <v>84.887999999999991</v>
      </c>
      <c r="G94" s="109"/>
      <c r="H94" s="167">
        <f>E94*5</f>
        <v>200</v>
      </c>
      <c r="I94" s="567" t="s">
        <v>163</v>
      </c>
      <c r="J94" s="567"/>
      <c r="K94" s="118"/>
      <c r="L94" s="146"/>
      <c r="M94" s="146"/>
      <c r="N94" s="146"/>
      <c r="O94" s="146"/>
      <c r="P94" s="147"/>
      <c r="Q94" s="151"/>
    </row>
    <row r="95" spans="1:17" ht="30" customHeight="1">
      <c r="A95" s="171" t="s">
        <v>166</v>
      </c>
      <c r="B95" s="170" t="s">
        <v>167</v>
      </c>
      <c r="C95" s="89" t="s">
        <v>117</v>
      </c>
      <c r="D95" s="171" t="s">
        <v>118</v>
      </c>
      <c r="E95" s="108">
        <v>0</v>
      </c>
      <c r="F95" s="118">
        <v>0</v>
      </c>
      <c r="G95" s="109"/>
      <c r="H95" s="167">
        <f t="shared" ref="H95:H98" si="11">E95*5</f>
        <v>0</v>
      </c>
      <c r="I95" s="76"/>
      <c r="J95" s="89"/>
      <c r="K95" s="161"/>
      <c r="L95" s="162"/>
      <c r="M95" s="162"/>
      <c r="N95" s="162"/>
      <c r="O95" s="162"/>
      <c r="P95" s="163"/>
      <c r="Q95" s="151"/>
    </row>
    <row r="96" spans="1:17" ht="30" customHeight="1">
      <c r="A96" s="171" t="s">
        <v>168</v>
      </c>
      <c r="B96" s="170" t="s">
        <v>169</v>
      </c>
      <c r="C96" s="89" t="s">
        <v>117</v>
      </c>
      <c r="D96" s="171" t="s">
        <v>118</v>
      </c>
      <c r="E96" s="108">
        <v>0</v>
      </c>
      <c r="F96" s="118">
        <v>0</v>
      </c>
      <c r="G96" s="109"/>
      <c r="H96" s="167">
        <f t="shared" si="11"/>
        <v>0</v>
      </c>
      <c r="I96" s="76"/>
      <c r="J96" s="89"/>
      <c r="K96" s="161"/>
      <c r="L96" s="162"/>
      <c r="M96" s="162"/>
      <c r="N96" s="162"/>
      <c r="O96" s="162"/>
      <c r="P96" s="163"/>
      <c r="Q96" s="151"/>
    </row>
    <row r="97" spans="1:17" ht="30" customHeight="1">
      <c r="A97" s="171" t="s">
        <v>170</v>
      </c>
      <c r="B97" s="170" t="s">
        <v>171</v>
      </c>
      <c r="C97" s="89" t="s">
        <v>117</v>
      </c>
      <c r="D97" s="171" t="s">
        <v>118</v>
      </c>
      <c r="E97" s="108">
        <v>0</v>
      </c>
      <c r="F97" s="118">
        <v>0</v>
      </c>
      <c r="G97" s="109"/>
      <c r="H97" s="167">
        <f t="shared" si="11"/>
        <v>0</v>
      </c>
      <c r="I97" s="76"/>
      <c r="J97" s="89"/>
      <c r="K97" s="161"/>
      <c r="L97" s="162"/>
      <c r="M97" s="162"/>
      <c r="N97" s="162"/>
      <c r="O97" s="162"/>
      <c r="P97" s="163"/>
      <c r="Q97" s="151"/>
    </row>
    <row r="98" spans="1:17" ht="30" customHeight="1">
      <c r="A98" s="171" t="s">
        <v>172</v>
      </c>
      <c r="B98" s="170" t="s">
        <v>173</v>
      </c>
      <c r="C98" s="89" t="s">
        <v>117</v>
      </c>
      <c r="D98" s="171" t="s">
        <v>118</v>
      </c>
      <c r="E98" s="108">
        <v>0</v>
      </c>
      <c r="F98" s="118">
        <v>0</v>
      </c>
      <c r="G98" s="109"/>
      <c r="H98" s="167">
        <f t="shared" si="11"/>
        <v>0</v>
      </c>
      <c r="I98" s="76"/>
      <c r="J98" s="89"/>
      <c r="K98" s="161"/>
      <c r="L98" s="162"/>
      <c r="M98" s="162"/>
      <c r="N98" s="162"/>
      <c r="O98" s="162"/>
      <c r="P98" s="163"/>
      <c r="Q98" s="151"/>
    </row>
    <row r="99" spans="1:17" ht="30" customHeight="1">
      <c r="A99" s="171" t="s">
        <v>174</v>
      </c>
      <c r="B99" s="116" t="s">
        <v>175</v>
      </c>
      <c r="C99" s="75" t="s">
        <v>57</v>
      </c>
      <c r="D99" s="107" t="s">
        <v>8</v>
      </c>
      <c r="E99" s="108">
        <v>24</v>
      </c>
      <c r="F99" s="480">
        <f>+Blad3!F26</f>
        <v>142.15199999999999</v>
      </c>
      <c r="G99" s="109"/>
      <c r="H99" s="167">
        <f>E99*5</f>
        <v>120</v>
      </c>
      <c r="I99" s="567" t="s">
        <v>176</v>
      </c>
      <c r="J99" s="568"/>
      <c r="K99" s="118"/>
      <c r="L99" s="146"/>
      <c r="M99" s="146"/>
      <c r="N99" s="146"/>
      <c r="O99" s="146"/>
      <c r="P99" s="147"/>
      <c r="Q99" s="151"/>
    </row>
    <row r="100" spans="1:17" ht="30" customHeight="1">
      <c r="A100" s="171" t="s">
        <v>177</v>
      </c>
      <c r="B100" s="116" t="s">
        <v>178</v>
      </c>
      <c r="C100" s="75" t="s">
        <v>57</v>
      </c>
      <c r="D100" s="107" t="s">
        <v>8</v>
      </c>
      <c r="E100" s="108">
        <v>0</v>
      </c>
      <c r="F100" s="109">
        <f>34.8*1.06</f>
        <v>36.887999999999998</v>
      </c>
      <c r="G100" s="109"/>
      <c r="H100" s="167">
        <f t="shared" ref="H100:H102" si="12">E100*5</f>
        <v>0</v>
      </c>
      <c r="I100" s="76"/>
      <c r="J100" s="89"/>
      <c r="K100" s="161"/>
      <c r="L100" s="162"/>
      <c r="M100" s="162"/>
      <c r="N100" s="162"/>
      <c r="O100" s="162"/>
      <c r="P100" s="163"/>
      <c r="Q100" s="151"/>
    </row>
    <row r="101" spans="1:17" ht="30" customHeight="1">
      <c r="A101" s="171" t="s">
        <v>179</v>
      </c>
      <c r="B101" s="89" t="s">
        <v>180</v>
      </c>
      <c r="C101" s="89" t="s">
        <v>117</v>
      </c>
      <c r="D101" s="171" t="s">
        <v>118</v>
      </c>
      <c r="E101" s="108">
        <v>0</v>
      </c>
      <c r="F101" s="118">
        <f>175*1.06</f>
        <v>185.5</v>
      </c>
      <c r="G101" s="118"/>
      <c r="H101" s="167">
        <f t="shared" si="12"/>
        <v>0</v>
      </c>
      <c r="I101" s="173"/>
      <c r="J101" s="75"/>
      <c r="K101" s="183"/>
      <c r="L101" s="184"/>
      <c r="M101" s="184"/>
      <c r="N101" s="184"/>
      <c r="O101" s="184"/>
      <c r="P101" s="185"/>
      <c r="Q101" s="151"/>
    </row>
    <row r="102" spans="1:17" ht="30" customHeight="1">
      <c r="A102" s="186" t="s">
        <v>181</v>
      </c>
      <c r="B102" s="187" t="s">
        <v>182</v>
      </c>
      <c r="C102" s="188" t="s">
        <v>117</v>
      </c>
      <c r="D102" s="186" t="s">
        <v>118</v>
      </c>
      <c r="E102" s="69">
        <v>0</v>
      </c>
      <c r="F102" s="189">
        <v>0</v>
      </c>
      <c r="G102" s="189"/>
      <c r="H102" s="167">
        <f t="shared" si="12"/>
        <v>0</v>
      </c>
      <c r="I102" s="190"/>
      <c r="J102" s="191"/>
      <c r="K102" s="183"/>
      <c r="L102" s="184"/>
      <c r="M102" s="184"/>
      <c r="N102" s="184"/>
      <c r="O102" s="184"/>
      <c r="P102" s="185"/>
      <c r="Q102" s="151"/>
    </row>
    <row r="103" spans="1:17" ht="30" customHeight="1">
      <c r="A103" s="171"/>
      <c r="B103" s="116"/>
      <c r="C103" s="75"/>
      <c r="D103" s="107"/>
      <c r="E103" s="108"/>
      <c r="F103" s="109"/>
      <c r="G103" s="109"/>
      <c r="H103" s="167"/>
      <c r="I103" s="76"/>
      <c r="J103" s="152"/>
      <c r="K103" s="161"/>
      <c r="L103" s="162"/>
      <c r="M103" s="162"/>
      <c r="N103" s="162"/>
      <c r="O103" s="162"/>
      <c r="P103" s="163"/>
      <c r="Q103" s="151"/>
    </row>
    <row r="104" spans="1:17" ht="30" customHeight="1">
      <c r="A104" s="192">
        <v>6</v>
      </c>
      <c r="B104" s="193" t="s">
        <v>183</v>
      </c>
      <c r="C104" s="194"/>
      <c r="D104" s="35" t="s">
        <v>12</v>
      </c>
      <c r="E104" s="57" t="s">
        <v>13</v>
      </c>
      <c r="F104" s="53" t="s">
        <v>14</v>
      </c>
      <c r="G104" s="53" t="s">
        <v>15</v>
      </c>
      <c r="H104" s="54" t="s">
        <v>16</v>
      </c>
      <c r="I104" s="574" t="s">
        <v>17</v>
      </c>
      <c r="J104" s="566"/>
      <c r="K104" s="37"/>
      <c r="L104" s="50"/>
      <c r="M104" s="50"/>
      <c r="N104" s="50"/>
      <c r="O104" s="50"/>
      <c r="P104" s="49" t="s">
        <v>18</v>
      </c>
      <c r="Q104" s="151"/>
    </row>
    <row r="105" spans="1:17" ht="30" customHeight="1">
      <c r="A105" s="104" t="s">
        <v>184</v>
      </c>
      <c r="B105" s="174" t="s">
        <v>185</v>
      </c>
      <c r="C105" s="107" t="s">
        <v>76</v>
      </c>
      <c r="D105" s="107" t="s">
        <v>8</v>
      </c>
      <c r="E105" s="108">
        <v>0</v>
      </c>
      <c r="F105" s="109">
        <f>120*1.06</f>
        <v>127.2</v>
      </c>
      <c r="G105" s="110"/>
      <c r="H105" s="195">
        <f>SUM(E105*F105)</f>
        <v>0</v>
      </c>
      <c r="I105" s="76"/>
      <c r="J105" s="89"/>
      <c r="K105" s="118"/>
      <c r="L105" s="146"/>
      <c r="M105" s="146"/>
      <c r="N105" s="146"/>
      <c r="O105" s="146"/>
      <c r="P105" s="147"/>
      <c r="Q105" s="151"/>
    </row>
    <row r="106" spans="1:17" ht="30" customHeight="1">
      <c r="A106" s="104" t="s">
        <v>186</v>
      </c>
      <c r="B106" s="174" t="s">
        <v>187</v>
      </c>
      <c r="C106" s="107" t="s">
        <v>57</v>
      </c>
      <c r="D106" s="107" t="s">
        <v>8</v>
      </c>
      <c r="E106" s="108">
        <v>16</v>
      </c>
      <c r="F106" s="484">
        <f>+Blad3!F34</f>
        <v>286.84799999999996</v>
      </c>
      <c r="G106" s="110"/>
      <c r="H106" s="195">
        <f>SUM(E106*F106)</f>
        <v>4589.5679999999993</v>
      </c>
      <c r="I106" s="76" t="s">
        <v>188</v>
      </c>
      <c r="J106" s="89"/>
      <c r="K106" s="118"/>
      <c r="L106" s="146"/>
      <c r="M106" s="146"/>
      <c r="N106" s="146"/>
      <c r="O106" s="146"/>
      <c r="P106" s="147"/>
      <c r="Q106" s="151"/>
    </row>
    <row r="107" spans="1:17" ht="30" customHeight="1">
      <c r="A107" s="104" t="s">
        <v>189</v>
      </c>
      <c r="B107" s="174" t="s">
        <v>190</v>
      </c>
      <c r="C107" s="107" t="s">
        <v>76</v>
      </c>
      <c r="D107" s="107" t="s">
        <v>8</v>
      </c>
      <c r="E107" s="108">
        <v>8</v>
      </c>
      <c r="F107" s="484">
        <f>+Blad3!F35</f>
        <v>200</v>
      </c>
      <c r="G107" s="110"/>
      <c r="H107" s="195">
        <f>SUM(E107*F107)</f>
        <v>1600</v>
      </c>
      <c r="I107" s="76" t="s">
        <v>191</v>
      </c>
      <c r="J107" s="89"/>
      <c r="K107" s="118"/>
      <c r="L107" s="146"/>
      <c r="M107" s="146"/>
      <c r="N107" s="146"/>
      <c r="O107" s="146"/>
      <c r="P107" s="147"/>
      <c r="Q107" s="151"/>
    </row>
    <row r="108" spans="1:17" ht="30" customHeight="1">
      <c r="A108" s="104" t="s">
        <v>192</v>
      </c>
      <c r="B108" s="174" t="s">
        <v>193</v>
      </c>
      <c r="C108" s="107" t="s">
        <v>76</v>
      </c>
      <c r="D108" s="107" t="s">
        <v>8</v>
      </c>
      <c r="E108" s="108">
        <f>8*5</f>
        <v>40</v>
      </c>
      <c r="F108" s="109">
        <f>135*1.06</f>
        <v>143.1</v>
      </c>
      <c r="G108" s="110"/>
      <c r="H108" s="195">
        <f>SUM(E108*F108)</f>
        <v>5724</v>
      </c>
      <c r="I108" s="569" t="s">
        <v>194</v>
      </c>
      <c r="J108" s="570"/>
      <c r="K108" s="118"/>
      <c r="L108" s="146"/>
      <c r="M108" s="146"/>
      <c r="N108" s="146"/>
      <c r="O108" s="146"/>
      <c r="P108" s="147"/>
      <c r="Q108" s="151"/>
    </row>
    <row r="109" spans="1:17" ht="30" customHeight="1">
      <c r="A109" s="104" t="s">
        <v>195</v>
      </c>
      <c r="B109" s="170" t="s">
        <v>196</v>
      </c>
      <c r="C109" s="171" t="s">
        <v>76</v>
      </c>
      <c r="D109" s="171" t="s">
        <v>8</v>
      </c>
      <c r="E109" s="196">
        <f>G3</f>
        <v>10</v>
      </c>
      <c r="F109" s="159">
        <f>70*1.06</f>
        <v>74.2</v>
      </c>
      <c r="G109" s="118"/>
      <c r="H109" s="195">
        <f t="shared" ref="H109:H120" si="13">SUM(E109*F109)</f>
        <v>742</v>
      </c>
      <c r="I109" s="569" t="s">
        <v>197</v>
      </c>
      <c r="J109" s="570"/>
      <c r="K109" s="161"/>
      <c r="L109" s="162"/>
      <c r="M109" s="162"/>
      <c r="N109" s="162"/>
      <c r="O109" s="162"/>
      <c r="P109" s="163"/>
      <c r="Q109" s="151"/>
    </row>
    <row r="110" spans="1:17" ht="30" customHeight="1">
      <c r="A110" s="104" t="s">
        <v>198</v>
      </c>
      <c r="B110" s="170" t="s">
        <v>199</v>
      </c>
      <c r="C110" s="171" t="s">
        <v>76</v>
      </c>
      <c r="D110" s="171" t="s">
        <v>8</v>
      </c>
      <c r="E110" s="108">
        <v>0</v>
      </c>
      <c r="F110" s="159">
        <f>150*1.8*1.06</f>
        <v>286.2</v>
      </c>
      <c r="G110" s="118"/>
      <c r="H110" s="167">
        <f t="shared" si="13"/>
        <v>0</v>
      </c>
      <c r="I110" s="567"/>
      <c r="J110" s="568"/>
      <c r="K110" s="161"/>
      <c r="L110" s="162"/>
      <c r="M110" s="162"/>
      <c r="N110" s="162"/>
      <c r="O110" s="162"/>
      <c r="P110" s="163"/>
      <c r="Q110" s="151"/>
    </row>
    <row r="111" spans="1:17" ht="30" customHeight="1">
      <c r="A111" s="104" t="s">
        <v>200</v>
      </c>
      <c r="B111" s="170" t="s">
        <v>201</v>
      </c>
      <c r="C111" s="171" t="s">
        <v>76</v>
      </c>
      <c r="D111" s="171" t="s">
        <v>8</v>
      </c>
      <c r="E111" s="108">
        <v>0</v>
      </c>
      <c r="F111" s="159">
        <f>280*1.06</f>
        <v>296.8</v>
      </c>
      <c r="G111" s="118"/>
      <c r="H111" s="167">
        <f t="shared" si="13"/>
        <v>0</v>
      </c>
      <c r="I111" s="567"/>
      <c r="J111" s="568"/>
      <c r="K111" s="161"/>
      <c r="L111" s="162"/>
      <c r="M111" s="162"/>
      <c r="N111" s="162"/>
      <c r="O111" s="162"/>
      <c r="P111" s="163"/>
      <c r="Q111" s="151"/>
    </row>
    <row r="112" spans="1:17" ht="30" customHeight="1">
      <c r="A112" s="104" t="s">
        <v>202</v>
      </c>
      <c r="B112" s="170" t="s">
        <v>203</v>
      </c>
      <c r="C112" s="171" t="s">
        <v>57</v>
      </c>
      <c r="D112" s="171" t="s">
        <v>8</v>
      </c>
      <c r="E112" s="108">
        <v>0</v>
      </c>
      <c r="F112" s="159">
        <f>290*1.06</f>
        <v>307.40000000000003</v>
      </c>
      <c r="G112" s="118"/>
      <c r="H112" s="167">
        <f t="shared" si="13"/>
        <v>0</v>
      </c>
      <c r="I112" s="567"/>
      <c r="J112" s="568"/>
      <c r="K112" s="161"/>
      <c r="L112" s="162"/>
      <c r="M112" s="162"/>
      <c r="N112" s="162"/>
      <c r="O112" s="162"/>
      <c r="P112" s="163"/>
      <c r="Q112" s="151"/>
    </row>
    <row r="113" spans="1:17" ht="30" customHeight="1">
      <c r="A113" s="104" t="s">
        <v>204</v>
      </c>
      <c r="B113" s="89" t="s">
        <v>205</v>
      </c>
      <c r="C113" s="89" t="s">
        <v>117</v>
      </c>
      <c r="D113" s="171" t="s">
        <v>118</v>
      </c>
      <c r="E113" s="108">
        <v>0</v>
      </c>
      <c r="F113" s="118">
        <f>45*1.06</f>
        <v>47.7</v>
      </c>
      <c r="G113" s="118"/>
      <c r="H113" s="197">
        <f t="shared" si="13"/>
        <v>0</v>
      </c>
      <c r="I113" s="567"/>
      <c r="J113" s="568"/>
      <c r="K113" s="183"/>
      <c r="L113" s="184"/>
      <c r="M113" s="184"/>
      <c r="N113" s="184"/>
      <c r="O113" s="184"/>
      <c r="P113" s="185"/>
      <c r="Q113" s="151"/>
    </row>
    <row r="114" spans="1:17" ht="30" customHeight="1">
      <c r="A114" s="104" t="s">
        <v>206</v>
      </c>
      <c r="B114" s="170" t="s">
        <v>207</v>
      </c>
      <c r="C114" s="171" t="s">
        <v>57</v>
      </c>
      <c r="D114" s="171" t="s">
        <v>8</v>
      </c>
      <c r="E114" s="108">
        <v>0</v>
      </c>
      <c r="F114" s="159">
        <f>18*1.06</f>
        <v>19.080000000000002</v>
      </c>
      <c r="G114" s="118"/>
      <c r="H114" s="167">
        <f t="shared" si="13"/>
        <v>0</v>
      </c>
      <c r="I114" s="567"/>
      <c r="J114" s="568"/>
      <c r="K114" s="161"/>
      <c r="L114" s="162"/>
      <c r="M114" s="162"/>
      <c r="N114" s="162"/>
      <c r="O114" s="162"/>
      <c r="P114" s="163"/>
      <c r="Q114" s="151"/>
    </row>
    <row r="115" spans="1:17" ht="30" customHeight="1">
      <c r="A115" s="104" t="s">
        <v>208</v>
      </c>
      <c r="B115" s="89" t="s">
        <v>209</v>
      </c>
      <c r="C115" s="89" t="s">
        <v>117</v>
      </c>
      <c r="D115" s="171" t="s">
        <v>118</v>
      </c>
      <c r="E115" s="196">
        <f>G3</f>
        <v>10</v>
      </c>
      <c r="F115" s="118">
        <f>95.5*1.06</f>
        <v>101.23</v>
      </c>
      <c r="G115" s="118"/>
      <c r="H115" s="198">
        <f t="shared" si="13"/>
        <v>1012.3000000000001</v>
      </c>
      <c r="I115" s="569" t="s">
        <v>197</v>
      </c>
      <c r="J115" s="570"/>
      <c r="K115" s="183"/>
      <c r="L115" s="184"/>
      <c r="M115" s="184"/>
      <c r="N115" s="184"/>
      <c r="O115" s="184"/>
      <c r="P115" s="185"/>
      <c r="Q115" s="151"/>
    </row>
    <row r="116" spans="1:17" ht="30" customHeight="1">
      <c r="A116" s="104" t="s">
        <v>210</v>
      </c>
      <c r="B116" s="89" t="s">
        <v>211</v>
      </c>
      <c r="C116" s="89" t="s">
        <v>117</v>
      </c>
      <c r="D116" s="171" t="s">
        <v>118</v>
      </c>
      <c r="E116" s="108">
        <v>0</v>
      </c>
      <c r="F116" s="118">
        <f>62.5*1.06</f>
        <v>66.25</v>
      </c>
      <c r="G116" s="118"/>
      <c r="H116" s="197">
        <f t="shared" si="13"/>
        <v>0</v>
      </c>
      <c r="I116" s="567"/>
      <c r="J116" s="568"/>
      <c r="K116" s="183"/>
      <c r="L116" s="184"/>
      <c r="M116" s="184"/>
      <c r="N116" s="184"/>
      <c r="O116" s="184"/>
      <c r="P116" s="185"/>
      <c r="Q116" s="151"/>
    </row>
    <row r="117" spans="1:17" ht="30" customHeight="1">
      <c r="A117" s="104" t="s">
        <v>212</v>
      </c>
      <c r="B117" s="89" t="s">
        <v>213</v>
      </c>
      <c r="C117" s="89" t="s">
        <v>117</v>
      </c>
      <c r="D117" s="171" t="s">
        <v>118</v>
      </c>
      <c r="E117" s="108">
        <v>0</v>
      </c>
      <c r="F117" s="118">
        <v>0</v>
      </c>
      <c r="G117" s="118"/>
      <c r="H117" s="197">
        <f t="shared" si="13"/>
        <v>0</v>
      </c>
      <c r="I117" s="567"/>
      <c r="J117" s="568"/>
      <c r="K117" s="183"/>
      <c r="L117" s="184"/>
      <c r="M117" s="184"/>
      <c r="N117" s="184"/>
      <c r="O117" s="184"/>
      <c r="P117" s="185"/>
      <c r="Q117" s="151"/>
    </row>
    <row r="118" spans="1:17" ht="30" customHeight="1">
      <c r="A118" s="104" t="s">
        <v>214</v>
      </c>
      <c r="B118" s="170" t="s">
        <v>215</v>
      </c>
      <c r="C118" s="89" t="s">
        <v>117</v>
      </c>
      <c r="D118" s="171" t="s">
        <v>118</v>
      </c>
      <c r="E118" s="108">
        <v>0</v>
      </c>
      <c r="F118" s="118">
        <v>0</v>
      </c>
      <c r="G118" s="118"/>
      <c r="H118" s="197">
        <f t="shared" si="13"/>
        <v>0</v>
      </c>
      <c r="I118" s="567"/>
      <c r="J118" s="568"/>
      <c r="K118" s="183"/>
      <c r="L118" s="184"/>
      <c r="M118" s="184"/>
      <c r="N118" s="184"/>
      <c r="O118" s="184"/>
      <c r="P118" s="185"/>
      <c r="Q118" s="151"/>
    </row>
    <row r="119" spans="1:17" ht="30" customHeight="1">
      <c r="A119" s="104" t="s">
        <v>216</v>
      </c>
      <c r="B119" s="170" t="s">
        <v>217</v>
      </c>
      <c r="C119" s="89" t="s">
        <v>117</v>
      </c>
      <c r="D119" s="171" t="s">
        <v>218</v>
      </c>
      <c r="E119" s="108">
        <v>0</v>
      </c>
      <c r="F119" s="118">
        <f>12.5*1.06</f>
        <v>13.25</v>
      </c>
      <c r="G119" s="118"/>
      <c r="H119" s="197">
        <f t="shared" si="13"/>
        <v>0</v>
      </c>
      <c r="I119" s="567"/>
      <c r="J119" s="568"/>
      <c r="K119" s="183"/>
      <c r="L119" s="184"/>
      <c r="M119" s="184"/>
      <c r="N119" s="184"/>
      <c r="O119" s="184"/>
      <c r="P119" s="185"/>
      <c r="Q119" s="151"/>
    </row>
    <row r="120" spans="1:17" ht="30" customHeight="1">
      <c r="A120" s="104" t="s">
        <v>219</v>
      </c>
      <c r="B120" s="89" t="s">
        <v>220</v>
      </c>
      <c r="C120" s="89" t="s">
        <v>117</v>
      </c>
      <c r="D120" s="171" t="s">
        <v>118</v>
      </c>
      <c r="E120" s="108">
        <v>0</v>
      </c>
      <c r="F120" s="118">
        <v>0</v>
      </c>
      <c r="G120" s="118"/>
      <c r="H120" s="197">
        <f t="shared" si="13"/>
        <v>0</v>
      </c>
      <c r="I120" s="567"/>
      <c r="J120" s="568"/>
      <c r="K120" s="183"/>
      <c r="L120" s="184"/>
      <c r="M120" s="184"/>
      <c r="N120" s="184"/>
      <c r="O120" s="184"/>
      <c r="P120" s="185"/>
      <c r="Q120" s="151"/>
    </row>
    <row r="121" spans="1:17" ht="30" customHeight="1">
      <c r="A121" s="143"/>
      <c r="B121" s="149"/>
      <c r="C121" s="149"/>
      <c r="D121" s="143"/>
      <c r="E121" s="108"/>
      <c r="F121" s="150"/>
      <c r="G121" s="145"/>
      <c r="H121" s="145"/>
      <c r="I121" s="567"/>
      <c r="J121" s="568"/>
      <c r="K121" s="161"/>
      <c r="L121" s="162"/>
      <c r="M121" s="162"/>
      <c r="N121" s="162"/>
      <c r="O121" s="162"/>
      <c r="P121" s="163"/>
      <c r="Q121" s="151"/>
    </row>
    <row r="122" spans="1:17" ht="30" customHeight="1">
      <c r="A122" s="199">
        <v>7</v>
      </c>
      <c r="B122" s="164" t="s">
        <v>221</v>
      </c>
      <c r="C122" s="164"/>
      <c r="D122" s="35" t="s">
        <v>12</v>
      </c>
      <c r="E122" s="57" t="s">
        <v>13</v>
      </c>
      <c r="F122" s="53" t="s">
        <v>14</v>
      </c>
      <c r="G122" s="53" t="s">
        <v>15</v>
      </c>
      <c r="H122" s="54" t="s">
        <v>16</v>
      </c>
      <c r="I122" s="572" t="s">
        <v>17</v>
      </c>
      <c r="J122" s="566"/>
      <c r="K122" s="37"/>
      <c r="L122" s="50"/>
      <c r="M122" s="50"/>
      <c r="N122" s="50"/>
      <c r="O122" s="50"/>
      <c r="P122" s="49" t="s">
        <v>18</v>
      </c>
      <c r="Q122" s="151"/>
    </row>
    <row r="123" spans="1:17" ht="30" customHeight="1">
      <c r="A123" s="171" t="s">
        <v>222</v>
      </c>
      <c r="B123" s="174" t="s">
        <v>223</v>
      </c>
      <c r="C123" s="107" t="s">
        <v>57</v>
      </c>
      <c r="D123" s="107" t="s">
        <v>8</v>
      </c>
      <c r="E123" s="108">
        <v>0</v>
      </c>
      <c r="F123" s="109">
        <f>95*1.06</f>
        <v>100.7</v>
      </c>
      <c r="G123" s="109"/>
      <c r="H123" s="167"/>
      <c r="I123" s="76"/>
      <c r="J123" s="89"/>
      <c r="K123" s="118"/>
      <c r="L123" s="146"/>
      <c r="M123" s="146"/>
      <c r="N123" s="146"/>
      <c r="O123" s="146"/>
      <c r="P123" s="147"/>
      <c r="Q123" s="151"/>
    </row>
    <row r="124" spans="1:17" ht="30" customHeight="1">
      <c r="A124" s="171" t="s">
        <v>224</v>
      </c>
      <c r="B124" s="89" t="s">
        <v>225</v>
      </c>
      <c r="C124" s="89" t="s">
        <v>117</v>
      </c>
      <c r="D124" s="171" t="s">
        <v>118</v>
      </c>
      <c r="E124" s="108">
        <v>0</v>
      </c>
      <c r="F124" s="118">
        <f>90*1.06</f>
        <v>95.4</v>
      </c>
      <c r="G124" s="118"/>
      <c r="H124" s="197"/>
      <c r="I124" s="200"/>
      <c r="J124" s="201"/>
      <c r="K124" s="183"/>
      <c r="L124" s="184"/>
      <c r="M124" s="184"/>
      <c r="N124" s="184"/>
      <c r="O124" s="184"/>
      <c r="P124" s="185"/>
      <c r="Q124" s="151"/>
    </row>
    <row r="125" spans="1:17" ht="30" customHeight="1">
      <c r="A125" s="171" t="s">
        <v>226</v>
      </c>
      <c r="B125" s="174" t="s">
        <v>227</v>
      </c>
      <c r="C125" s="107" t="s">
        <v>76</v>
      </c>
      <c r="D125" s="107" t="s">
        <v>8</v>
      </c>
      <c r="E125" s="108">
        <f>8*((3+2)*$A$4)</f>
        <v>200</v>
      </c>
      <c r="F125" s="109">
        <f>225*1.06</f>
        <v>238.5</v>
      </c>
      <c r="G125" s="109"/>
      <c r="H125" s="167">
        <f>E125*F125</f>
        <v>47700</v>
      </c>
      <c r="I125" s="569" t="s">
        <v>228</v>
      </c>
      <c r="J125" s="570"/>
      <c r="K125" s="118"/>
      <c r="L125" s="146"/>
      <c r="M125" s="146"/>
      <c r="N125" s="146"/>
      <c r="O125" s="146"/>
      <c r="P125" s="147"/>
      <c r="Q125" s="151"/>
    </row>
    <row r="126" spans="1:17" ht="30" customHeight="1">
      <c r="A126" s="171" t="s">
        <v>229</v>
      </c>
      <c r="B126" s="174" t="s">
        <v>230</v>
      </c>
      <c r="C126" s="107" t="s">
        <v>76</v>
      </c>
      <c r="D126" s="107" t="s">
        <v>8</v>
      </c>
      <c r="E126" s="108">
        <f>8*((3+2)*$A$4)</f>
        <v>200</v>
      </c>
      <c r="F126" s="109">
        <f>275*1.06</f>
        <v>291.5</v>
      </c>
      <c r="G126" s="109"/>
      <c r="H126" s="167">
        <f>SUM(E126*F126)</f>
        <v>58300</v>
      </c>
      <c r="I126" s="569" t="s">
        <v>231</v>
      </c>
      <c r="J126" s="570"/>
      <c r="K126" s="118"/>
      <c r="L126" s="146"/>
      <c r="M126" s="146"/>
      <c r="N126" s="146"/>
      <c r="O126" s="146"/>
      <c r="P126" s="147"/>
      <c r="Q126" s="151"/>
    </row>
    <row r="127" spans="1:17" ht="30" customHeight="1">
      <c r="A127" s="171" t="s">
        <v>232</v>
      </c>
      <c r="B127" s="174" t="s">
        <v>233</v>
      </c>
      <c r="C127" s="107" t="s">
        <v>57</v>
      </c>
      <c r="D127" s="107" t="s">
        <v>8</v>
      </c>
      <c r="E127" s="108">
        <v>0</v>
      </c>
      <c r="F127" s="109">
        <f>575*1.06</f>
        <v>609.5</v>
      </c>
      <c r="G127" s="109"/>
      <c r="H127" s="167">
        <f t="shared" ref="H127:H136" si="14">SUM(E127*F127)</f>
        <v>0</v>
      </c>
      <c r="I127" s="569"/>
      <c r="J127" s="570"/>
      <c r="K127" s="118"/>
      <c r="L127" s="146"/>
      <c r="M127" s="146"/>
      <c r="N127" s="146"/>
      <c r="O127" s="146"/>
      <c r="P127" s="147"/>
      <c r="Q127" s="151"/>
    </row>
    <row r="128" spans="1:17" ht="30" customHeight="1">
      <c r="A128" s="171" t="s">
        <v>234</v>
      </c>
      <c r="B128" s="174" t="s">
        <v>235</v>
      </c>
      <c r="C128" s="107" t="s">
        <v>57</v>
      </c>
      <c r="D128" s="107" t="s">
        <v>8</v>
      </c>
      <c r="E128" s="108">
        <v>0</v>
      </c>
      <c r="F128" s="109">
        <f>638*1.06</f>
        <v>676.28000000000009</v>
      </c>
      <c r="G128" s="109"/>
      <c r="H128" s="167">
        <f t="shared" si="14"/>
        <v>0</v>
      </c>
      <c r="I128" s="569"/>
      <c r="J128" s="570"/>
      <c r="K128" s="118"/>
      <c r="L128" s="146"/>
      <c r="M128" s="146"/>
      <c r="N128" s="146"/>
      <c r="O128" s="146"/>
      <c r="P128" s="147"/>
      <c r="Q128" s="151"/>
    </row>
    <row r="129" spans="1:17" ht="30" customHeight="1">
      <c r="A129" s="171" t="s">
        <v>236</v>
      </c>
      <c r="B129" s="89" t="s">
        <v>237</v>
      </c>
      <c r="C129" s="89" t="s">
        <v>117</v>
      </c>
      <c r="D129" s="171" t="s">
        <v>118</v>
      </c>
      <c r="E129" s="108">
        <v>0</v>
      </c>
      <c r="F129" s="118">
        <f>300*1.06</f>
        <v>318</v>
      </c>
      <c r="G129" s="118"/>
      <c r="H129" s="167">
        <f t="shared" si="14"/>
        <v>0</v>
      </c>
      <c r="I129" s="569"/>
      <c r="J129" s="570"/>
      <c r="K129" s="183"/>
      <c r="L129" s="184"/>
      <c r="M129" s="184"/>
      <c r="N129" s="184"/>
      <c r="O129" s="184"/>
      <c r="P129" s="185"/>
      <c r="Q129" s="151"/>
    </row>
    <row r="130" spans="1:17" ht="30" customHeight="1">
      <c r="A130" s="171" t="s">
        <v>238</v>
      </c>
      <c r="B130" s="89" t="s">
        <v>239</v>
      </c>
      <c r="C130" s="89" t="s">
        <v>117</v>
      </c>
      <c r="D130" s="171" t="s">
        <v>118</v>
      </c>
      <c r="E130" s="108">
        <v>0</v>
      </c>
      <c r="F130" s="118">
        <v>0</v>
      </c>
      <c r="G130" s="118"/>
      <c r="H130" s="167">
        <f t="shared" si="14"/>
        <v>0</v>
      </c>
      <c r="I130" s="569"/>
      <c r="J130" s="570"/>
      <c r="K130" s="183"/>
      <c r="L130" s="184"/>
      <c r="M130" s="184"/>
      <c r="N130" s="184"/>
      <c r="O130" s="184"/>
      <c r="P130" s="185"/>
      <c r="Q130" s="151"/>
    </row>
    <row r="131" spans="1:17" ht="30" customHeight="1">
      <c r="A131" s="171" t="s">
        <v>240</v>
      </c>
      <c r="B131" s="89" t="s">
        <v>241</v>
      </c>
      <c r="C131" s="89" t="s">
        <v>117</v>
      </c>
      <c r="D131" s="171" t="s">
        <v>118</v>
      </c>
      <c r="E131" s="108">
        <v>0</v>
      </c>
      <c r="F131" s="118">
        <f>195*1.06</f>
        <v>206.70000000000002</v>
      </c>
      <c r="G131" s="118"/>
      <c r="H131" s="167">
        <f t="shared" si="14"/>
        <v>0</v>
      </c>
      <c r="I131" s="569"/>
      <c r="J131" s="570"/>
      <c r="K131" s="183"/>
      <c r="L131" s="184"/>
      <c r="M131" s="184"/>
      <c r="N131" s="184"/>
      <c r="O131" s="184"/>
      <c r="P131" s="185"/>
      <c r="Q131" s="151"/>
    </row>
    <row r="132" spans="1:17" ht="30" customHeight="1">
      <c r="A132" s="171" t="s">
        <v>242</v>
      </c>
      <c r="B132" s="89" t="s">
        <v>243</v>
      </c>
      <c r="C132" s="89" t="s">
        <v>117</v>
      </c>
      <c r="D132" s="171" t="s">
        <v>118</v>
      </c>
      <c r="E132" s="108">
        <v>0</v>
      </c>
      <c r="F132" s="118">
        <v>0</v>
      </c>
      <c r="G132" s="118"/>
      <c r="H132" s="167">
        <f t="shared" si="14"/>
        <v>0</v>
      </c>
      <c r="I132" s="569"/>
      <c r="J132" s="570"/>
      <c r="K132" s="183"/>
      <c r="L132" s="184"/>
      <c r="M132" s="184"/>
      <c r="N132" s="184"/>
      <c r="O132" s="184"/>
      <c r="P132" s="185"/>
      <c r="Q132" s="151"/>
    </row>
    <row r="133" spans="1:17" ht="30" customHeight="1">
      <c r="A133" s="171" t="s">
        <v>244</v>
      </c>
      <c r="B133" s="174" t="s">
        <v>245</v>
      </c>
      <c r="C133" s="107" t="s">
        <v>57</v>
      </c>
      <c r="D133" s="107" t="s">
        <v>8</v>
      </c>
      <c r="E133" s="108">
        <v>0</v>
      </c>
      <c r="F133" s="109">
        <f>+Blad3!F38</f>
        <v>212.952</v>
      </c>
      <c r="G133" s="109"/>
      <c r="H133" s="167">
        <f t="shared" si="14"/>
        <v>0</v>
      </c>
      <c r="I133" s="569"/>
      <c r="J133" s="570"/>
      <c r="K133" s="118"/>
      <c r="L133" s="146"/>
      <c r="M133" s="146"/>
      <c r="N133" s="146"/>
      <c r="O133" s="146"/>
      <c r="P133" s="147"/>
      <c r="Q133" s="151"/>
    </row>
    <row r="134" spans="1:17" ht="30" customHeight="1">
      <c r="A134" s="171" t="s">
        <v>246</v>
      </c>
      <c r="B134" s="202" t="s">
        <v>247</v>
      </c>
      <c r="C134" s="203" t="s">
        <v>57</v>
      </c>
      <c r="D134" s="178" t="s">
        <v>8</v>
      </c>
      <c r="E134" s="204">
        <v>0</v>
      </c>
      <c r="F134" s="205">
        <f>255*1.06</f>
        <v>270.3</v>
      </c>
      <c r="G134" s="206"/>
      <c r="H134" s="167">
        <f t="shared" si="14"/>
        <v>0</v>
      </c>
      <c r="I134" s="569"/>
      <c r="J134" s="570"/>
      <c r="K134" s="118"/>
      <c r="L134" s="146"/>
      <c r="M134" s="146"/>
      <c r="N134" s="146"/>
      <c r="O134" s="146"/>
      <c r="P134" s="147"/>
      <c r="Q134" s="151"/>
    </row>
    <row r="135" spans="1:17" ht="30" customHeight="1">
      <c r="A135" s="171" t="s">
        <v>248</v>
      </c>
      <c r="B135" s="174" t="s">
        <v>249</v>
      </c>
      <c r="C135" s="107" t="s">
        <v>57</v>
      </c>
      <c r="D135" s="107" t="s">
        <v>8</v>
      </c>
      <c r="E135" s="108">
        <v>0</v>
      </c>
      <c r="F135" s="109">
        <f>823*1.06</f>
        <v>872.38</v>
      </c>
      <c r="G135" s="109"/>
      <c r="H135" s="167">
        <f t="shared" si="14"/>
        <v>0</v>
      </c>
      <c r="I135" s="569"/>
      <c r="J135" s="570"/>
      <c r="K135" s="207"/>
      <c r="L135" s="146"/>
      <c r="M135" s="146"/>
      <c r="N135" s="146"/>
      <c r="O135" s="146"/>
      <c r="P135" s="147"/>
      <c r="Q135" s="151"/>
    </row>
    <row r="136" spans="1:17" ht="30" customHeight="1">
      <c r="A136" s="171" t="s">
        <v>250</v>
      </c>
      <c r="B136" s="89" t="s">
        <v>251</v>
      </c>
      <c r="C136" s="89" t="s">
        <v>117</v>
      </c>
      <c r="D136" s="171" t="s">
        <v>118</v>
      </c>
      <c r="E136" s="108">
        <v>0</v>
      </c>
      <c r="F136" s="118">
        <v>0</v>
      </c>
      <c r="G136" s="118"/>
      <c r="H136" s="167">
        <f t="shared" si="14"/>
        <v>0</v>
      </c>
      <c r="I136" s="569"/>
      <c r="J136" s="570"/>
      <c r="K136" s="208"/>
      <c r="L136" s="184"/>
      <c r="M136" s="184"/>
      <c r="N136" s="184"/>
      <c r="O136" s="184"/>
      <c r="P136" s="185"/>
      <c r="Q136" s="151"/>
    </row>
    <row r="137" spans="1:17" ht="30" customHeight="1">
      <c r="A137" s="171" t="s">
        <v>252</v>
      </c>
      <c r="B137" s="116" t="s">
        <v>253</v>
      </c>
      <c r="C137" s="75" t="s">
        <v>76</v>
      </c>
      <c r="D137" s="107" t="s">
        <v>8</v>
      </c>
      <c r="E137" s="108">
        <f>8*4*2</f>
        <v>64</v>
      </c>
      <c r="F137" s="118">
        <f>1250*0.2*1.06</f>
        <v>265</v>
      </c>
      <c r="G137" s="118"/>
      <c r="H137" s="109">
        <f>SUM(F137*E137)</f>
        <v>16960</v>
      </c>
      <c r="I137" s="569" t="s">
        <v>254</v>
      </c>
      <c r="J137" s="570"/>
      <c r="K137" s="209"/>
      <c r="L137" s="169"/>
      <c r="M137" s="169"/>
      <c r="N137" s="169"/>
      <c r="O137" s="169"/>
      <c r="P137" s="77"/>
      <c r="Q137" s="151"/>
    </row>
    <row r="138" spans="1:17" ht="30" customHeight="1">
      <c r="A138" s="171" t="s">
        <v>255</v>
      </c>
      <c r="B138" s="116" t="s">
        <v>256</v>
      </c>
      <c r="C138" s="75" t="s">
        <v>57</v>
      </c>
      <c r="D138" s="107" t="s">
        <v>257</v>
      </c>
      <c r="E138" s="108">
        <v>0</v>
      </c>
      <c r="F138" s="118">
        <f>580.8*1.06</f>
        <v>615.64800000000002</v>
      </c>
      <c r="G138" s="118"/>
      <c r="H138" s="109">
        <f>SUM(F138*E138)</f>
        <v>0</v>
      </c>
      <c r="I138" s="569"/>
      <c r="J138" s="570"/>
      <c r="K138" s="209"/>
      <c r="L138" s="169"/>
      <c r="M138" s="169"/>
      <c r="N138" s="169"/>
      <c r="O138" s="169"/>
      <c r="P138" s="77"/>
      <c r="Q138" s="151"/>
    </row>
    <row r="139" spans="1:17" ht="30" customHeight="1">
      <c r="A139" s="171" t="s">
        <v>258</v>
      </c>
      <c r="B139" s="116" t="s">
        <v>259</v>
      </c>
      <c r="C139" s="75" t="s">
        <v>76</v>
      </c>
      <c r="D139" s="107" t="s">
        <v>8</v>
      </c>
      <c r="E139" s="108">
        <v>0</v>
      </c>
      <c r="F139" s="118">
        <f>750*1.06</f>
        <v>795</v>
      </c>
      <c r="G139" s="118"/>
      <c r="H139" s="109">
        <f t="shared" ref="H139:H149" si="15">SUM(F139*E139)</f>
        <v>0</v>
      </c>
      <c r="I139" s="567"/>
      <c r="J139" s="567"/>
      <c r="K139" s="209"/>
      <c r="L139" s="169"/>
      <c r="M139" s="169"/>
      <c r="N139" s="169"/>
      <c r="O139" s="169"/>
      <c r="P139" s="77"/>
      <c r="Q139" s="151"/>
    </row>
    <row r="140" spans="1:17" ht="30" customHeight="1">
      <c r="A140" s="171" t="s">
        <v>260</v>
      </c>
      <c r="B140" s="116" t="s">
        <v>261</v>
      </c>
      <c r="C140" s="75" t="s">
        <v>57</v>
      </c>
      <c r="D140" s="107" t="s">
        <v>8</v>
      </c>
      <c r="E140" s="108">
        <v>0</v>
      </c>
      <c r="F140" s="118">
        <f>195*1.06</f>
        <v>206.70000000000002</v>
      </c>
      <c r="G140" s="118"/>
      <c r="H140" s="109">
        <f t="shared" si="15"/>
        <v>0</v>
      </c>
      <c r="I140" s="567"/>
      <c r="J140" s="567"/>
      <c r="K140" s="210"/>
      <c r="L140" s="211"/>
      <c r="M140" s="211"/>
      <c r="N140" s="211"/>
      <c r="O140" s="211"/>
      <c r="P140" s="74"/>
      <c r="Q140" s="151"/>
    </row>
    <row r="141" spans="1:17" ht="30" customHeight="1">
      <c r="A141" s="171" t="s">
        <v>262</v>
      </c>
      <c r="B141" s="116" t="s">
        <v>263</v>
      </c>
      <c r="C141" s="75" t="s">
        <v>57</v>
      </c>
      <c r="D141" s="107" t="s">
        <v>8</v>
      </c>
      <c r="E141" s="108">
        <v>0</v>
      </c>
      <c r="F141" s="118">
        <f>275*1.06</f>
        <v>291.5</v>
      </c>
      <c r="G141" s="118"/>
      <c r="H141" s="109">
        <f t="shared" si="15"/>
        <v>0</v>
      </c>
      <c r="I141" s="567"/>
      <c r="J141" s="567"/>
      <c r="K141" s="210"/>
      <c r="L141" s="211"/>
      <c r="M141" s="211"/>
      <c r="N141" s="211"/>
      <c r="O141" s="211"/>
      <c r="P141" s="74"/>
      <c r="Q141" s="151"/>
    </row>
    <row r="142" spans="1:17" ht="30" customHeight="1">
      <c r="A142" s="171" t="s">
        <v>264</v>
      </c>
      <c r="B142" s="116" t="s">
        <v>265</v>
      </c>
      <c r="C142" s="75" t="s">
        <v>57</v>
      </c>
      <c r="D142" s="107" t="s">
        <v>8</v>
      </c>
      <c r="E142" s="108">
        <v>0</v>
      </c>
      <c r="F142" s="118">
        <f>295*1.06</f>
        <v>312.7</v>
      </c>
      <c r="G142" s="118"/>
      <c r="H142" s="109">
        <f t="shared" si="15"/>
        <v>0</v>
      </c>
      <c r="I142" s="567"/>
      <c r="J142" s="567"/>
      <c r="K142" s="210"/>
      <c r="L142" s="211"/>
      <c r="M142" s="211"/>
      <c r="N142" s="211"/>
      <c r="O142" s="211"/>
      <c r="P142" s="74"/>
      <c r="Q142" s="151"/>
    </row>
    <row r="143" spans="1:17" ht="30" customHeight="1">
      <c r="A143" s="171" t="s">
        <v>266</v>
      </c>
      <c r="B143" s="89" t="s">
        <v>267</v>
      </c>
      <c r="C143" s="89" t="s">
        <v>117</v>
      </c>
      <c r="D143" s="171" t="s">
        <v>118</v>
      </c>
      <c r="E143" s="108">
        <v>0</v>
      </c>
      <c r="F143" s="118">
        <f>230*1.06</f>
        <v>243.8</v>
      </c>
      <c r="G143" s="118"/>
      <c r="H143" s="109">
        <f t="shared" si="15"/>
        <v>0</v>
      </c>
      <c r="I143" s="567"/>
      <c r="J143" s="567"/>
      <c r="K143" s="208"/>
      <c r="L143" s="184"/>
      <c r="M143" s="184"/>
      <c r="N143" s="184"/>
      <c r="O143" s="184"/>
      <c r="P143" s="185"/>
      <c r="Q143" s="151"/>
    </row>
    <row r="144" spans="1:17" ht="30" customHeight="1">
      <c r="A144" s="171" t="s">
        <v>268</v>
      </c>
      <c r="B144" s="89" t="s">
        <v>269</v>
      </c>
      <c r="C144" s="89" t="s">
        <v>117</v>
      </c>
      <c r="D144" s="171" t="s">
        <v>118</v>
      </c>
      <c r="E144" s="108">
        <v>0</v>
      </c>
      <c r="F144" s="118">
        <v>0</v>
      </c>
      <c r="G144" s="118"/>
      <c r="H144" s="109">
        <f t="shared" si="15"/>
        <v>0</v>
      </c>
      <c r="I144" s="567"/>
      <c r="J144" s="567"/>
      <c r="K144" s="208"/>
      <c r="L144" s="184"/>
      <c r="M144" s="184"/>
      <c r="N144" s="184"/>
      <c r="O144" s="184"/>
      <c r="P144" s="185"/>
      <c r="Q144" s="151"/>
    </row>
    <row r="145" spans="1:17" ht="30" customHeight="1">
      <c r="A145" s="171" t="s">
        <v>270</v>
      </c>
      <c r="B145" s="89" t="s">
        <v>271</v>
      </c>
      <c r="C145" s="89" t="s">
        <v>117</v>
      </c>
      <c r="D145" s="171" t="s">
        <v>118</v>
      </c>
      <c r="E145" s="108">
        <v>0</v>
      </c>
      <c r="F145" s="118">
        <v>0</v>
      </c>
      <c r="G145" s="118"/>
      <c r="H145" s="109">
        <f t="shared" si="15"/>
        <v>0</v>
      </c>
      <c r="I145" s="567"/>
      <c r="J145" s="567"/>
      <c r="K145" s="208"/>
      <c r="L145" s="184"/>
      <c r="M145" s="184"/>
      <c r="N145" s="184"/>
      <c r="O145" s="184"/>
      <c r="P145" s="185"/>
      <c r="Q145" s="151"/>
    </row>
    <row r="146" spans="1:17" ht="30" customHeight="1">
      <c r="A146" s="171" t="s">
        <v>272</v>
      </c>
      <c r="B146" s="89" t="s">
        <v>273</v>
      </c>
      <c r="C146" s="89" t="s">
        <v>117</v>
      </c>
      <c r="D146" s="171" t="s">
        <v>118</v>
      </c>
      <c r="E146" s="108">
        <v>0</v>
      </c>
      <c r="F146" s="118">
        <v>0</v>
      </c>
      <c r="G146" s="118"/>
      <c r="H146" s="109">
        <f t="shared" si="15"/>
        <v>0</v>
      </c>
      <c r="I146" s="567"/>
      <c r="J146" s="567"/>
      <c r="K146" s="208"/>
      <c r="L146" s="184"/>
      <c r="M146" s="184"/>
      <c r="N146" s="184"/>
      <c r="O146" s="184"/>
      <c r="P146" s="185"/>
      <c r="Q146" s="151"/>
    </row>
    <row r="147" spans="1:17" ht="30" customHeight="1">
      <c r="A147" s="171" t="s">
        <v>274</v>
      </c>
      <c r="B147" s="89" t="s">
        <v>275</v>
      </c>
      <c r="C147" s="89" t="s">
        <v>117</v>
      </c>
      <c r="D147" s="171" t="s">
        <v>118</v>
      </c>
      <c r="E147" s="108">
        <v>0</v>
      </c>
      <c r="F147" s="118">
        <f>55*1.06</f>
        <v>58.300000000000004</v>
      </c>
      <c r="G147" s="118"/>
      <c r="H147" s="109">
        <f t="shared" si="15"/>
        <v>0</v>
      </c>
      <c r="I147" s="567"/>
      <c r="J147" s="567"/>
      <c r="K147" s="208"/>
      <c r="L147" s="184"/>
      <c r="M147" s="184"/>
      <c r="N147" s="184"/>
      <c r="O147" s="184"/>
      <c r="P147" s="185"/>
      <c r="Q147" s="151"/>
    </row>
    <row r="148" spans="1:17" ht="30" customHeight="1">
      <c r="A148" s="171" t="s">
        <v>276</v>
      </c>
      <c r="B148" s="89" t="s">
        <v>277</v>
      </c>
      <c r="C148" s="89" t="s">
        <v>117</v>
      </c>
      <c r="D148" s="171" t="s">
        <v>118</v>
      </c>
      <c r="E148" s="108">
        <v>0</v>
      </c>
      <c r="F148" s="118">
        <v>0</v>
      </c>
      <c r="G148" s="118"/>
      <c r="H148" s="109">
        <f t="shared" si="15"/>
        <v>0</v>
      </c>
      <c r="I148" s="567"/>
      <c r="J148" s="567"/>
      <c r="K148" s="208"/>
      <c r="L148" s="184"/>
      <c r="M148" s="184"/>
      <c r="N148" s="184"/>
      <c r="O148" s="184"/>
      <c r="P148" s="185"/>
      <c r="Q148" s="151"/>
    </row>
    <row r="149" spans="1:17" ht="30" customHeight="1">
      <c r="A149" s="171" t="s">
        <v>278</v>
      </c>
      <c r="B149" s="89" t="s">
        <v>279</v>
      </c>
      <c r="C149" s="89" t="s">
        <v>117</v>
      </c>
      <c r="D149" s="171" t="s">
        <v>118</v>
      </c>
      <c r="E149" s="108">
        <v>0</v>
      </c>
      <c r="F149" s="118">
        <v>0</v>
      </c>
      <c r="G149" s="118"/>
      <c r="H149" s="109">
        <f t="shared" si="15"/>
        <v>0</v>
      </c>
      <c r="I149" s="567"/>
      <c r="J149" s="567"/>
      <c r="K149" s="208"/>
      <c r="L149" s="184"/>
      <c r="M149" s="184"/>
      <c r="N149" s="184"/>
      <c r="O149" s="184"/>
      <c r="P149" s="185"/>
      <c r="Q149" s="151"/>
    </row>
    <row r="150" spans="1:17" ht="30" customHeight="1">
      <c r="A150" s="212"/>
      <c r="B150" s="151"/>
      <c r="C150" s="151"/>
      <c r="D150" s="213"/>
      <c r="E150" s="179"/>
      <c r="F150" s="214"/>
      <c r="G150" s="214"/>
      <c r="H150" s="215"/>
      <c r="I150" s="216"/>
      <c r="J150" s="217"/>
      <c r="K150" s="183"/>
      <c r="L150" s="184"/>
      <c r="M150" s="184"/>
      <c r="N150" s="184"/>
      <c r="O150" s="184"/>
      <c r="P150" s="185"/>
      <c r="Q150" s="151"/>
    </row>
    <row r="151" spans="1:17" ht="30" customHeight="1">
      <c r="A151" s="141">
        <v>8</v>
      </c>
      <c r="B151" s="65" t="s">
        <v>280</v>
      </c>
      <c r="C151" s="65"/>
      <c r="D151" s="38" t="s">
        <v>12</v>
      </c>
      <c r="E151" s="47" t="s">
        <v>13</v>
      </c>
      <c r="F151" s="48" t="s">
        <v>14</v>
      </c>
      <c r="G151" s="48" t="s">
        <v>15</v>
      </c>
      <c r="H151" s="48" t="s">
        <v>16</v>
      </c>
      <c r="I151" s="571" t="s">
        <v>17</v>
      </c>
      <c r="J151" s="571"/>
      <c r="K151" s="37"/>
      <c r="L151" s="50"/>
      <c r="M151" s="50"/>
      <c r="N151" s="50"/>
      <c r="O151" s="50"/>
      <c r="P151" s="49" t="s">
        <v>18</v>
      </c>
      <c r="Q151" s="151"/>
    </row>
    <row r="152" spans="1:17" ht="30" customHeight="1">
      <c r="A152" s="171" t="s">
        <v>281</v>
      </c>
      <c r="B152" s="174" t="s">
        <v>282</v>
      </c>
      <c r="C152" s="107"/>
      <c r="D152" s="107" t="s">
        <v>283</v>
      </c>
      <c r="E152" s="108">
        <v>0</v>
      </c>
      <c r="F152" s="109">
        <f>373.56*1.06</f>
        <v>395.97360000000003</v>
      </c>
      <c r="G152" s="109"/>
      <c r="H152" s="167">
        <f>SUM(E152*F152)</f>
        <v>0</v>
      </c>
      <c r="I152" s="569"/>
      <c r="J152" s="570"/>
      <c r="K152" s="118"/>
      <c r="L152" s="146"/>
      <c r="M152" s="146"/>
      <c r="N152" s="146"/>
      <c r="O152" s="146"/>
      <c r="P152" s="147"/>
      <c r="Q152" s="151"/>
    </row>
    <row r="153" spans="1:17" ht="30" customHeight="1">
      <c r="A153" s="171" t="s">
        <v>284</v>
      </c>
      <c r="B153" s="174" t="s">
        <v>282</v>
      </c>
      <c r="C153" s="107" t="s">
        <v>57</v>
      </c>
      <c r="D153" s="107" t="s">
        <v>283</v>
      </c>
      <c r="E153" s="108">
        <f>1*A4</f>
        <v>5</v>
      </c>
      <c r="F153" s="109">
        <f>290.4*1.06</f>
        <v>307.82400000000001</v>
      </c>
      <c r="G153" s="109"/>
      <c r="H153" s="167">
        <f>SUM(E153*F153)</f>
        <v>1539.1200000000001</v>
      </c>
      <c r="I153" s="569" t="s">
        <v>285</v>
      </c>
      <c r="J153" s="570"/>
      <c r="K153" s="118"/>
      <c r="L153" s="146"/>
      <c r="M153" s="146"/>
      <c r="N153" s="146"/>
      <c r="O153" s="146"/>
      <c r="P153" s="147"/>
      <c r="Q153" s="151"/>
    </row>
    <row r="154" spans="1:17" ht="30" customHeight="1">
      <c r="A154" s="171" t="s">
        <v>286</v>
      </c>
      <c r="B154" s="174" t="s">
        <v>287</v>
      </c>
      <c r="C154" s="107" t="s">
        <v>57</v>
      </c>
      <c r="D154" s="107" t="s">
        <v>257</v>
      </c>
      <c r="E154" s="108">
        <v>0</v>
      </c>
      <c r="F154" s="109">
        <f>375*1.06</f>
        <v>397.5</v>
      </c>
      <c r="G154" s="109"/>
      <c r="H154" s="167"/>
      <c r="I154" s="153"/>
      <c r="J154" s="152"/>
      <c r="K154" s="118"/>
      <c r="L154" s="146"/>
      <c r="M154" s="146"/>
      <c r="N154" s="146"/>
      <c r="O154" s="146"/>
      <c r="P154" s="147"/>
      <c r="Q154" s="151"/>
    </row>
    <row r="155" spans="1:17" ht="30" customHeight="1">
      <c r="A155" s="171"/>
      <c r="B155" s="116"/>
      <c r="C155" s="75"/>
      <c r="D155" s="171"/>
      <c r="E155" s="108"/>
      <c r="F155" s="109"/>
      <c r="G155" s="109"/>
      <c r="H155" s="167"/>
      <c r="I155" s="569"/>
      <c r="J155" s="570"/>
      <c r="K155" s="161"/>
      <c r="L155" s="162"/>
      <c r="M155" s="162"/>
      <c r="N155" s="162"/>
      <c r="O155" s="162"/>
      <c r="P155" s="163"/>
      <c r="Q155" s="151"/>
    </row>
    <row r="156" spans="1:17" ht="30" customHeight="1">
      <c r="A156" s="141">
        <v>9</v>
      </c>
      <c r="B156" s="142" t="s">
        <v>288</v>
      </c>
      <c r="C156" s="65"/>
      <c r="D156" s="38" t="s">
        <v>12</v>
      </c>
      <c r="E156" s="47" t="s">
        <v>13</v>
      </c>
      <c r="F156" s="48" t="s">
        <v>14</v>
      </c>
      <c r="G156" s="48" t="s">
        <v>15</v>
      </c>
      <c r="H156" s="48" t="s">
        <v>16</v>
      </c>
      <c r="I156" s="571" t="s">
        <v>17</v>
      </c>
      <c r="J156" s="571"/>
      <c r="K156" s="37"/>
      <c r="L156" s="50"/>
      <c r="M156" s="50"/>
      <c r="N156" s="50"/>
      <c r="O156" s="50"/>
      <c r="P156" s="49" t="s">
        <v>18</v>
      </c>
      <c r="Q156" s="151"/>
    </row>
    <row r="157" spans="1:17">
      <c r="A157" s="218"/>
      <c r="B157" s="219"/>
      <c r="C157" s="219"/>
      <c r="D157" s="218"/>
      <c r="E157" s="220"/>
      <c r="F157" s="221"/>
      <c r="G157" s="221"/>
      <c r="H157" s="221"/>
      <c r="I157" s="222"/>
      <c r="J157" s="151"/>
      <c r="K157" s="223"/>
      <c r="L157" s="224"/>
      <c r="M157" s="224"/>
      <c r="N157" s="224"/>
      <c r="O157" s="224"/>
      <c r="P157" s="225"/>
      <c r="Q157" s="151"/>
    </row>
    <row r="158" spans="1:17" ht="30" customHeight="1">
      <c r="A158" s="171" t="s">
        <v>289</v>
      </c>
      <c r="B158" s="174" t="s">
        <v>290</v>
      </c>
      <c r="C158" s="107" t="s">
        <v>117</v>
      </c>
      <c r="D158" s="107" t="s">
        <v>291</v>
      </c>
      <c r="E158" s="196">
        <f>$G$3*$A$4</f>
        <v>50</v>
      </c>
      <c r="F158" s="109">
        <f>22*1.06</f>
        <v>23.32</v>
      </c>
      <c r="G158" s="109"/>
      <c r="H158" s="167">
        <f>E158*F158</f>
        <v>1166</v>
      </c>
      <c r="I158" s="567" t="s">
        <v>292</v>
      </c>
      <c r="J158" s="568"/>
      <c r="K158" s="118"/>
      <c r="L158" s="146"/>
      <c r="M158" s="146"/>
      <c r="N158" s="146"/>
      <c r="O158" s="146"/>
      <c r="P158" s="147"/>
      <c r="Q158" s="151"/>
    </row>
    <row r="159" spans="1:17" ht="30" customHeight="1">
      <c r="A159" s="171" t="s">
        <v>293</v>
      </c>
      <c r="B159" s="174" t="s">
        <v>294</v>
      </c>
      <c r="C159" s="107" t="s">
        <v>57</v>
      </c>
      <c r="D159" s="107" t="s">
        <v>291</v>
      </c>
      <c r="E159" s="108">
        <v>0</v>
      </c>
      <c r="F159" s="109">
        <f>89.95*1.06</f>
        <v>95.347000000000008</v>
      </c>
      <c r="G159" s="109"/>
      <c r="H159" s="167"/>
      <c r="I159" s="567"/>
      <c r="J159" s="568"/>
      <c r="K159" s="118"/>
      <c r="L159" s="146"/>
      <c r="M159" s="146"/>
      <c r="N159" s="146"/>
      <c r="O159" s="146"/>
      <c r="P159" s="147"/>
      <c r="Q159" s="151"/>
    </row>
    <row r="160" spans="1:17" ht="30" customHeight="1">
      <c r="A160" s="171" t="s">
        <v>295</v>
      </c>
      <c r="B160" s="174" t="s">
        <v>296</v>
      </c>
      <c r="C160" s="107" t="s">
        <v>57</v>
      </c>
      <c r="D160" s="107" t="s">
        <v>291</v>
      </c>
      <c r="E160" s="108">
        <f>2*$A$4</f>
        <v>10</v>
      </c>
      <c r="F160" s="109">
        <f>260.8*1.06</f>
        <v>276.44800000000004</v>
      </c>
      <c r="G160" s="109"/>
      <c r="H160" s="167">
        <f t="shared" ref="H160:H194" si="16">SUM(E160*F160)</f>
        <v>2764.4800000000005</v>
      </c>
      <c r="I160" s="569" t="s">
        <v>297</v>
      </c>
      <c r="J160" s="570"/>
      <c r="K160" s="118"/>
      <c r="L160" s="146"/>
      <c r="M160" s="146"/>
      <c r="N160" s="146"/>
      <c r="O160" s="146"/>
      <c r="P160" s="147"/>
      <c r="Q160" s="151"/>
    </row>
    <row r="161" spans="1:17" ht="30" customHeight="1">
      <c r="A161" s="171" t="s">
        <v>298</v>
      </c>
      <c r="B161" s="174" t="s">
        <v>299</v>
      </c>
      <c r="C161" s="107" t="s">
        <v>57</v>
      </c>
      <c r="D161" s="107" t="s">
        <v>300</v>
      </c>
      <c r="E161" s="196">
        <f>$G$3*$A$4</f>
        <v>50</v>
      </c>
      <c r="F161" s="109">
        <f>95*2*1.06</f>
        <v>201.4</v>
      </c>
      <c r="G161" s="109"/>
      <c r="H161" s="167">
        <f t="shared" si="16"/>
        <v>10070</v>
      </c>
      <c r="I161" s="569" t="s">
        <v>301</v>
      </c>
      <c r="J161" s="570"/>
      <c r="K161" s="118"/>
      <c r="L161" s="146"/>
      <c r="M161" s="146"/>
      <c r="N161" s="146"/>
      <c r="O161" s="146"/>
      <c r="P161" s="147"/>
      <c r="Q161" s="151"/>
    </row>
    <row r="162" spans="1:17" ht="30" customHeight="1">
      <c r="A162" s="171" t="s">
        <v>302</v>
      </c>
      <c r="B162" s="174" t="s">
        <v>303</v>
      </c>
      <c r="C162" s="107" t="s">
        <v>57</v>
      </c>
      <c r="D162" s="107" t="s">
        <v>304</v>
      </c>
      <c r="E162" s="108">
        <v>0</v>
      </c>
      <c r="F162" s="109">
        <f>145.7*1.06</f>
        <v>154.44200000000001</v>
      </c>
      <c r="G162" s="109"/>
      <c r="H162" s="167">
        <f t="shared" si="16"/>
        <v>0</v>
      </c>
      <c r="I162" s="569"/>
      <c r="J162" s="570"/>
      <c r="K162" s="118"/>
      <c r="L162" s="146"/>
      <c r="M162" s="146"/>
      <c r="N162" s="146"/>
      <c r="O162" s="146"/>
      <c r="P162" s="147"/>
      <c r="Q162" s="151"/>
    </row>
    <row r="163" spans="1:17" ht="30" customHeight="1">
      <c r="A163" s="171" t="s">
        <v>305</v>
      </c>
      <c r="B163" s="89" t="s">
        <v>306</v>
      </c>
      <c r="C163" s="89" t="s">
        <v>117</v>
      </c>
      <c r="D163" s="171" t="s">
        <v>307</v>
      </c>
      <c r="E163" s="196">
        <f>$G$3*$A$4</f>
        <v>50</v>
      </c>
      <c r="F163" s="118">
        <f>62.5*1.06</f>
        <v>66.25</v>
      </c>
      <c r="G163" s="118"/>
      <c r="H163" s="168">
        <f t="shared" si="16"/>
        <v>3312.5</v>
      </c>
      <c r="I163" s="569" t="s">
        <v>308</v>
      </c>
      <c r="J163" s="570"/>
      <c r="K163" s="183"/>
      <c r="L163" s="184"/>
      <c r="M163" s="184"/>
      <c r="N163" s="184"/>
      <c r="O163" s="184"/>
      <c r="P163" s="185"/>
      <c r="Q163" s="151"/>
    </row>
    <row r="164" spans="1:17" ht="30" customHeight="1">
      <c r="A164" s="171" t="s">
        <v>309</v>
      </c>
      <c r="B164" s="89" t="s">
        <v>310</v>
      </c>
      <c r="C164" s="89" t="s">
        <v>117</v>
      </c>
      <c r="D164" s="171" t="s">
        <v>118</v>
      </c>
      <c r="E164" s="108">
        <v>0</v>
      </c>
      <c r="F164" s="118">
        <f>170*1.06</f>
        <v>180.20000000000002</v>
      </c>
      <c r="G164" s="118"/>
      <c r="H164" s="197">
        <f t="shared" si="16"/>
        <v>0</v>
      </c>
      <c r="I164" s="569"/>
      <c r="J164" s="570"/>
      <c r="K164" s="183"/>
      <c r="L164" s="184"/>
      <c r="M164" s="184"/>
      <c r="N164" s="184"/>
      <c r="O164" s="184"/>
      <c r="P164" s="185"/>
      <c r="Q164" s="151"/>
    </row>
    <row r="165" spans="1:17" ht="30" customHeight="1">
      <c r="A165" s="171" t="s">
        <v>311</v>
      </c>
      <c r="B165" s="174" t="s">
        <v>312</v>
      </c>
      <c r="C165" s="107" t="s">
        <v>33</v>
      </c>
      <c r="D165" s="107" t="s">
        <v>313</v>
      </c>
      <c r="E165" s="108">
        <v>0</v>
      </c>
      <c r="F165" s="109">
        <f>170*1.06</f>
        <v>180.20000000000002</v>
      </c>
      <c r="G165" s="109"/>
      <c r="H165" s="167">
        <f t="shared" si="16"/>
        <v>0</v>
      </c>
      <c r="I165" s="569"/>
      <c r="J165" s="570"/>
      <c r="K165" s="118"/>
      <c r="L165" s="146"/>
      <c r="M165" s="146"/>
      <c r="N165" s="146"/>
      <c r="O165" s="146"/>
      <c r="P165" s="147"/>
      <c r="Q165" s="151"/>
    </row>
    <row r="166" spans="1:17" ht="30" customHeight="1">
      <c r="A166" s="171" t="s">
        <v>314</v>
      </c>
      <c r="B166" s="174" t="s">
        <v>545</v>
      </c>
      <c r="C166" s="107" t="s">
        <v>57</v>
      </c>
      <c r="D166" s="107" t="s">
        <v>257</v>
      </c>
      <c r="E166" s="108">
        <v>0</v>
      </c>
      <c r="F166" s="109">
        <f>1584*1.06</f>
        <v>1679.0400000000002</v>
      </c>
      <c r="G166" s="109"/>
      <c r="H166" s="167">
        <f t="shared" si="16"/>
        <v>0</v>
      </c>
      <c r="I166" s="569"/>
      <c r="J166" s="570"/>
      <c r="K166" s="118"/>
      <c r="L166" s="146"/>
      <c r="M166" s="146"/>
      <c r="N166" s="146"/>
      <c r="O166" s="146"/>
      <c r="P166" s="147"/>
      <c r="Q166" s="151"/>
    </row>
    <row r="167" spans="1:17" ht="30" customHeight="1">
      <c r="A167" s="171" t="s">
        <v>317</v>
      </c>
      <c r="B167" s="89" t="s">
        <v>318</v>
      </c>
      <c r="C167" s="89" t="s">
        <v>117</v>
      </c>
      <c r="D167" s="171" t="s">
        <v>118</v>
      </c>
      <c r="E167" s="108">
        <v>0</v>
      </c>
      <c r="F167" s="118">
        <f>10.25*1.06</f>
        <v>10.865</v>
      </c>
      <c r="G167" s="118"/>
      <c r="H167" s="197">
        <f t="shared" si="16"/>
        <v>0</v>
      </c>
      <c r="I167" s="569"/>
      <c r="J167" s="570"/>
      <c r="K167" s="183"/>
      <c r="L167" s="184"/>
      <c r="M167" s="184"/>
      <c r="N167" s="184"/>
      <c r="O167" s="184"/>
      <c r="P167" s="185"/>
      <c r="Q167" s="151"/>
    </row>
    <row r="168" spans="1:17" ht="30" customHeight="1">
      <c r="A168" s="171" t="s">
        <v>319</v>
      </c>
      <c r="B168" s="174" t="s">
        <v>546</v>
      </c>
      <c r="C168" s="107" t="s">
        <v>57</v>
      </c>
      <c r="D168" s="107" t="s">
        <v>257</v>
      </c>
      <c r="E168" s="505">
        <v>0</v>
      </c>
      <c r="F168" s="109">
        <f>950.4*1.06</f>
        <v>1007.424</v>
      </c>
      <c r="G168" s="109"/>
      <c r="H168" s="167">
        <f t="shared" si="16"/>
        <v>0</v>
      </c>
      <c r="I168" s="569" t="s">
        <v>321</v>
      </c>
      <c r="J168" s="570"/>
      <c r="K168" s="118"/>
      <c r="L168" s="146"/>
      <c r="M168" s="146"/>
      <c r="N168" s="146"/>
      <c r="O168" s="146"/>
      <c r="P168" s="147"/>
      <c r="Q168" s="151"/>
    </row>
    <row r="169" spans="1:17" ht="30" customHeight="1">
      <c r="A169" s="171" t="s">
        <v>322</v>
      </c>
      <c r="B169" s="89" t="s">
        <v>323</v>
      </c>
      <c r="C169" s="89" t="s">
        <v>117</v>
      </c>
      <c r="D169" s="171" t="s">
        <v>118</v>
      </c>
      <c r="E169" s="108">
        <v>0</v>
      </c>
      <c r="F169" s="118">
        <f>12.75*1.06</f>
        <v>13.515000000000001</v>
      </c>
      <c r="G169" s="118"/>
      <c r="H169" s="197">
        <f t="shared" si="16"/>
        <v>0</v>
      </c>
      <c r="I169" s="569"/>
      <c r="J169" s="570"/>
      <c r="K169" s="183"/>
      <c r="L169" s="184"/>
      <c r="M169" s="184"/>
      <c r="N169" s="184"/>
      <c r="O169" s="184"/>
      <c r="P169" s="185"/>
      <c r="Q169" s="151"/>
    </row>
    <row r="170" spans="1:17" ht="30" customHeight="1">
      <c r="A170" s="171" t="s">
        <v>324</v>
      </c>
      <c r="B170" s="174" t="s">
        <v>325</v>
      </c>
      <c r="C170" s="107"/>
      <c r="D170" s="107" t="s">
        <v>326</v>
      </c>
      <c r="E170" s="196">
        <f>$G$3*$A$4</f>
        <v>50</v>
      </c>
      <c r="F170" s="109">
        <f>70*1.06</f>
        <v>74.2</v>
      </c>
      <c r="G170" s="109"/>
      <c r="H170" s="167">
        <f t="shared" si="16"/>
        <v>3710</v>
      </c>
      <c r="I170" s="567" t="s">
        <v>327</v>
      </c>
      <c r="J170" s="568"/>
      <c r="K170" s="118"/>
      <c r="L170" s="146"/>
      <c r="M170" s="146"/>
      <c r="N170" s="146"/>
      <c r="O170" s="146"/>
      <c r="P170" s="147"/>
      <c r="Q170" s="151"/>
    </row>
    <row r="171" spans="1:17" ht="30" customHeight="1">
      <c r="A171" s="171" t="s">
        <v>328</v>
      </c>
      <c r="B171" s="174" t="s">
        <v>329</v>
      </c>
      <c r="C171" s="107" t="s">
        <v>57</v>
      </c>
      <c r="D171" s="107" t="s">
        <v>326</v>
      </c>
      <c r="E171" s="108">
        <v>0</v>
      </c>
      <c r="F171" s="109">
        <f>133.6*2*1.06</f>
        <v>283.23200000000003</v>
      </c>
      <c r="G171" s="109"/>
      <c r="H171" s="167">
        <f t="shared" si="16"/>
        <v>0</v>
      </c>
      <c r="I171" s="569"/>
      <c r="J171" s="570"/>
      <c r="K171" s="118"/>
      <c r="L171" s="146"/>
      <c r="M171" s="146"/>
      <c r="N171" s="146"/>
      <c r="O171" s="146"/>
      <c r="P171" s="147"/>
      <c r="Q171" s="151"/>
    </row>
    <row r="172" spans="1:17" ht="30" customHeight="1">
      <c r="A172" s="171" t="s">
        <v>330</v>
      </c>
      <c r="B172" s="89" t="s">
        <v>331</v>
      </c>
      <c r="C172" s="89" t="s">
        <v>117</v>
      </c>
      <c r="D172" s="171" t="s">
        <v>118</v>
      </c>
      <c r="E172" s="108">
        <v>0</v>
      </c>
      <c r="F172" s="118">
        <f>90*1.06</f>
        <v>95.4</v>
      </c>
      <c r="G172" s="118"/>
      <c r="H172" s="197">
        <f t="shared" si="16"/>
        <v>0</v>
      </c>
      <c r="I172" s="569"/>
      <c r="J172" s="570"/>
      <c r="K172" s="183"/>
      <c r="L172" s="184"/>
      <c r="M172" s="184"/>
      <c r="N172" s="184"/>
      <c r="O172" s="184"/>
      <c r="P172" s="185"/>
      <c r="Q172" s="151"/>
    </row>
    <row r="173" spans="1:17" ht="30" customHeight="1">
      <c r="A173" s="171" t="s">
        <v>332</v>
      </c>
      <c r="B173" s="174" t="s">
        <v>333</v>
      </c>
      <c r="C173" s="107" t="s">
        <v>57</v>
      </c>
      <c r="D173" s="107" t="s">
        <v>334</v>
      </c>
      <c r="E173" s="196">
        <f>$G$3*$A$4</f>
        <v>50</v>
      </c>
      <c r="F173" s="109">
        <f>31.9*1.06</f>
        <v>33.814</v>
      </c>
      <c r="G173" s="109"/>
      <c r="H173" s="167">
        <f t="shared" si="16"/>
        <v>1690.7</v>
      </c>
      <c r="I173" s="153" t="s">
        <v>335</v>
      </c>
      <c r="J173" s="152"/>
      <c r="K173" s="118"/>
      <c r="L173" s="146"/>
      <c r="M173" s="146"/>
      <c r="N173" s="146"/>
      <c r="O173" s="146"/>
      <c r="P173" s="147"/>
      <c r="Q173" s="151"/>
    </row>
    <row r="174" spans="1:17" ht="30" customHeight="1">
      <c r="A174" s="171" t="s">
        <v>336</v>
      </c>
      <c r="B174" s="116" t="s">
        <v>337</v>
      </c>
      <c r="C174" s="75" t="s">
        <v>57</v>
      </c>
      <c r="D174" s="107" t="s">
        <v>338</v>
      </c>
      <c r="E174" s="196">
        <f>$G$3*$A$4</f>
        <v>50</v>
      </c>
      <c r="F174" s="109">
        <f>43.5*1.06</f>
        <v>46.11</v>
      </c>
      <c r="G174" s="109"/>
      <c r="H174" s="167">
        <f t="shared" si="16"/>
        <v>2305.5</v>
      </c>
      <c r="I174" s="569" t="s">
        <v>339</v>
      </c>
      <c r="J174" s="570"/>
      <c r="K174" s="118"/>
      <c r="L174" s="146"/>
      <c r="M174" s="146"/>
      <c r="N174" s="146"/>
      <c r="O174" s="146"/>
      <c r="P174" s="147"/>
      <c r="Q174" s="151"/>
    </row>
    <row r="175" spans="1:17" ht="30" customHeight="1">
      <c r="A175" s="171" t="s">
        <v>340</v>
      </c>
      <c r="B175" s="116" t="s">
        <v>341</v>
      </c>
      <c r="C175" s="75" t="s">
        <v>76</v>
      </c>
      <c r="D175" s="107" t="s">
        <v>342</v>
      </c>
      <c r="E175" s="196">
        <f>$G$3*$A$4</f>
        <v>50</v>
      </c>
      <c r="F175" s="109">
        <f>217.5*2*1.06</f>
        <v>461.1</v>
      </c>
      <c r="G175" s="109"/>
      <c r="H175" s="167">
        <f t="shared" si="16"/>
        <v>23055</v>
      </c>
      <c r="I175" s="569" t="s">
        <v>343</v>
      </c>
      <c r="J175" s="570"/>
      <c r="K175" s="118"/>
      <c r="L175" s="146"/>
      <c r="M175" s="146"/>
      <c r="N175" s="146"/>
      <c r="O175" s="146"/>
      <c r="P175" s="147"/>
      <c r="Q175" s="151"/>
    </row>
    <row r="176" spans="1:17" ht="30" customHeight="1">
      <c r="A176" s="171" t="s">
        <v>347</v>
      </c>
      <c r="B176" s="116" t="s">
        <v>345</v>
      </c>
      <c r="C176" s="75" t="s">
        <v>26</v>
      </c>
      <c r="D176" s="171" t="s">
        <v>291</v>
      </c>
      <c r="E176" s="108">
        <v>0</v>
      </c>
      <c r="F176" s="109">
        <f>900*1.06</f>
        <v>954</v>
      </c>
      <c r="G176" s="109"/>
      <c r="H176" s="167">
        <f>E176*F176</f>
        <v>0</v>
      </c>
      <c r="I176" s="569" t="s">
        <v>346</v>
      </c>
      <c r="J176" s="570"/>
      <c r="K176" s="118"/>
      <c r="L176" s="146"/>
      <c r="M176" s="146"/>
      <c r="N176" s="146"/>
      <c r="O176" s="146"/>
      <c r="P176" s="147"/>
      <c r="Q176" s="151"/>
    </row>
    <row r="177" spans="1:17" ht="30" customHeight="1">
      <c r="A177" s="171" t="s">
        <v>350</v>
      </c>
      <c r="B177" s="116" t="s">
        <v>547</v>
      </c>
      <c r="C177" s="75" t="s">
        <v>117</v>
      </c>
      <c r="D177" s="171" t="s">
        <v>291</v>
      </c>
      <c r="E177" s="108">
        <v>0</v>
      </c>
      <c r="F177" s="109">
        <f>495*1.06</f>
        <v>524.70000000000005</v>
      </c>
      <c r="G177" s="109"/>
      <c r="H177" s="167">
        <f>E177*F177</f>
        <v>0</v>
      </c>
      <c r="I177" s="569" t="s">
        <v>548</v>
      </c>
      <c r="J177" s="570"/>
      <c r="K177" s="118"/>
      <c r="L177" s="146"/>
      <c r="M177" s="146"/>
      <c r="N177" s="146"/>
      <c r="O177" s="146"/>
      <c r="P177" s="147"/>
      <c r="Q177" s="151"/>
    </row>
    <row r="178" spans="1:17" ht="30" customHeight="1">
      <c r="A178" s="171" t="s">
        <v>352</v>
      </c>
      <c r="B178" s="116" t="s">
        <v>348</v>
      </c>
      <c r="C178" s="75" t="s">
        <v>57</v>
      </c>
      <c r="D178" s="107" t="s">
        <v>291</v>
      </c>
      <c r="E178" s="218">
        <f>10*5</f>
        <v>50</v>
      </c>
      <c r="F178" s="109">
        <f>4.8*4*1.06</f>
        <v>20.352</v>
      </c>
      <c r="G178" s="109"/>
      <c r="H178" s="167">
        <f t="shared" si="16"/>
        <v>1017.6</v>
      </c>
      <c r="I178" s="569" t="s">
        <v>349</v>
      </c>
      <c r="J178" s="570"/>
      <c r="K178" s="118"/>
      <c r="L178" s="146"/>
      <c r="M178" s="146"/>
      <c r="N178" s="146"/>
      <c r="O178" s="146"/>
      <c r="P178" s="147"/>
      <c r="Q178" s="151"/>
    </row>
    <row r="179" spans="1:17" ht="30" customHeight="1">
      <c r="A179" s="171" t="s">
        <v>354</v>
      </c>
      <c r="B179" s="116" t="s">
        <v>351</v>
      </c>
      <c r="C179" s="75" t="s">
        <v>57</v>
      </c>
      <c r="D179" s="107" t="s">
        <v>257</v>
      </c>
      <c r="E179" s="108">
        <v>0</v>
      </c>
      <c r="F179" s="109">
        <f>56.1*1.06</f>
        <v>59.466000000000001</v>
      </c>
      <c r="G179" s="109"/>
      <c r="H179" s="167">
        <f t="shared" si="16"/>
        <v>0</v>
      </c>
      <c r="I179" s="569"/>
      <c r="J179" s="570"/>
      <c r="K179" s="118"/>
      <c r="L179" s="146"/>
      <c r="M179" s="146"/>
      <c r="N179" s="146"/>
      <c r="O179" s="146"/>
      <c r="P179" s="147"/>
      <c r="Q179" s="151"/>
    </row>
    <row r="180" spans="1:17" ht="30" customHeight="1">
      <c r="A180" s="171" t="s">
        <v>357</v>
      </c>
      <c r="B180" s="89" t="s">
        <v>353</v>
      </c>
      <c r="C180" s="89" t="s">
        <v>117</v>
      </c>
      <c r="D180" s="171" t="s">
        <v>118</v>
      </c>
      <c r="E180" s="108">
        <v>0</v>
      </c>
      <c r="F180" s="118">
        <v>0</v>
      </c>
      <c r="G180" s="118"/>
      <c r="H180" s="197">
        <f t="shared" si="16"/>
        <v>0</v>
      </c>
      <c r="I180" s="569"/>
      <c r="J180" s="570"/>
      <c r="K180" s="183"/>
      <c r="L180" s="184"/>
      <c r="M180" s="184"/>
      <c r="N180" s="184"/>
      <c r="O180" s="184"/>
      <c r="P180" s="185"/>
      <c r="Q180" s="151"/>
    </row>
    <row r="181" spans="1:17" ht="30" customHeight="1">
      <c r="A181" s="171" t="s">
        <v>360</v>
      </c>
      <c r="B181" s="89" t="s">
        <v>355</v>
      </c>
      <c r="C181" s="89" t="s">
        <v>117</v>
      </c>
      <c r="D181" s="171" t="s">
        <v>356</v>
      </c>
      <c r="E181" s="108">
        <v>0</v>
      </c>
      <c r="F181" s="118">
        <f>50*1.06</f>
        <v>53</v>
      </c>
      <c r="G181" s="109"/>
      <c r="H181" s="167">
        <f t="shared" si="16"/>
        <v>0</v>
      </c>
      <c r="I181" s="569"/>
      <c r="J181" s="570"/>
      <c r="K181" s="118"/>
      <c r="L181" s="146"/>
      <c r="M181" s="146"/>
      <c r="N181" s="146"/>
      <c r="O181" s="146"/>
      <c r="P181" s="147"/>
      <c r="Q181" s="151"/>
    </row>
    <row r="182" spans="1:17" ht="30" customHeight="1">
      <c r="A182" s="171" t="s">
        <v>363</v>
      </c>
      <c r="B182" s="89" t="s">
        <v>358</v>
      </c>
      <c r="C182" s="89" t="s">
        <v>117</v>
      </c>
      <c r="D182" s="171" t="s">
        <v>359</v>
      </c>
      <c r="E182" s="108">
        <v>0</v>
      </c>
      <c r="F182" s="118">
        <f>1.65*1.06</f>
        <v>1.7489999999999999</v>
      </c>
      <c r="G182" s="109"/>
      <c r="H182" s="167">
        <f t="shared" si="16"/>
        <v>0</v>
      </c>
      <c r="I182" s="569"/>
      <c r="J182" s="570"/>
      <c r="K182" s="118"/>
      <c r="L182" s="146"/>
      <c r="M182" s="146"/>
      <c r="N182" s="146"/>
      <c r="O182" s="146"/>
      <c r="P182" s="147"/>
      <c r="Q182" s="151"/>
    </row>
    <row r="183" spans="1:17" ht="30" customHeight="1">
      <c r="A183" s="171" t="s">
        <v>366</v>
      </c>
      <c r="B183" s="89" t="s">
        <v>361</v>
      </c>
      <c r="C183" s="89" t="s">
        <v>117</v>
      </c>
      <c r="D183" s="171" t="s">
        <v>362</v>
      </c>
      <c r="E183" s="108">
        <v>0</v>
      </c>
      <c r="F183" s="118">
        <f>55*1.06</f>
        <v>58.300000000000004</v>
      </c>
      <c r="G183" s="109"/>
      <c r="H183" s="167">
        <f t="shared" si="16"/>
        <v>0</v>
      </c>
      <c r="I183" s="569"/>
      <c r="J183" s="570"/>
      <c r="K183" s="118"/>
      <c r="L183" s="146"/>
      <c r="M183" s="146"/>
      <c r="N183" s="146"/>
      <c r="O183" s="146"/>
      <c r="P183" s="147"/>
      <c r="Q183" s="151"/>
    </row>
    <row r="184" spans="1:17" ht="30" customHeight="1">
      <c r="A184" s="171" t="s">
        <v>368</v>
      </c>
      <c r="B184" s="89" t="s">
        <v>364</v>
      </c>
      <c r="C184" s="89" t="s">
        <v>117</v>
      </c>
      <c r="D184" s="171" t="s">
        <v>304</v>
      </c>
      <c r="E184" s="196">
        <f>$G$3*$A$4</f>
        <v>50</v>
      </c>
      <c r="F184" s="118">
        <f>313*1.06</f>
        <v>331.78000000000003</v>
      </c>
      <c r="G184" s="109"/>
      <c r="H184" s="167">
        <f t="shared" si="16"/>
        <v>16589</v>
      </c>
      <c r="I184" s="569" t="s">
        <v>365</v>
      </c>
      <c r="J184" s="570"/>
      <c r="K184" s="118"/>
      <c r="L184" s="146"/>
      <c r="M184" s="146"/>
      <c r="N184" s="146"/>
      <c r="O184" s="146"/>
      <c r="P184" s="147"/>
      <c r="Q184" s="151"/>
    </row>
    <row r="185" spans="1:17" ht="30" customHeight="1">
      <c r="A185" s="171" t="s">
        <v>371</v>
      </c>
      <c r="B185" s="89" t="s">
        <v>367</v>
      </c>
      <c r="C185" s="89" t="s">
        <v>117</v>
      </c>
      <c r="D185" s="171" t="s">
        <v>362</v>
      </c>
      <c r="E185" s="108">
        <v>0</v>
      </c>
      <c r="F185" s="168">
        <v>0</v>
      </c>
      <c r="G185" s="109"/>
      <c r="H185" s="167">
        <f t="shared" si="16"/>
        <v>0</v>
      </c>
      <c r="I185" s="567"/>
      <c r="J185" s="568"/>
      <c r="K185" s="118"/>
      <c r="L185" s="146"/>
      <c r="M185" s="146"/>
      <c r="N185" s="146"/>
      <c r="O185" s="146"/>
      <c r="P185" s="147"/>
      <c r="Q185" s="151"/>
    </row>
    <row r="186" spans="1:17" ht="30" customHeight="1">
      <c r="A186" s="171" t="s">
        <v>373</v>
      </c>
      <c r="B186" s="89" t="s">
        <v>369</v>
      </c>
      <c r="C186" s="89" t="s">
        <v>117</v>
      </c>
      <c r="D186" s="171" t="s">
        <v>370</v>
      </c>
      <c r="E186" s="108">
        <v>0</v>
      </c>
      <c r="F186" s="168">
        <v>0</v>
      </c>
      <c r="G186" s="109"/>
      <c r="H186" s="167">
        <f t="shared" si="16"/>
        <v>0</v>
      </c>
      <c r="I186" s="567"/>
      <c r="J186" s="568"/>
      <c r="K186" s="161"/>
      <c r="L186" s="162"/>
      <c r="M186" s="162"/>
      <c r="N186" s="162"/>
      <c r="O186" s="162"/>
      <c r="P186" s="163"/>
      <c r="Q186" s="151"/>
    </row>
    <row r="187" spans="1:17" ht="30" customHeight="1">
      <c r="A187" s="171" t="s">
        <v>375</v>
      </c>
      <c r="B187" s="89" t="s">
        <v>372</v>
      </c>
      <c r="C187" s="89" t="s">
        <v>117</v>
      </c>
      <c r="D187" s="171" t="s">
        <v>304</v>
      </c>
      <c r="E187" s="196">
        <f>$G$3*$A$4</f>
        <v>50</v>
      </c>
      <c r="F187" s="118">
        <f>295*1.06</f>
        <v>312.7</v>
      </c>
      <c r="G187" s="109"/>
      <c r="H187" s="167">
        <f t="shared" si="16"/>
        <v>15635</v>
      </c>
      <c r="I187" s="567" t="s">
        <v>365</v>
      </c>
      <c r="J187" s="568"/>
      <c r="K187" s="161"/>
      <c r="L187" s="162"/>
      <c r="M187" s="162"/>
      <c r="N187" s="162"/>
      <c r="O187" s="162"/>
      <c r="P187" s="163"/>
      <c r="Q187" s="151"/>
    </row>
    <row r="188" spans="1:17" ht="30" customHeight="1">
      <c r="A188" s="171" t="s">
        <v>378</v>
      </c>
      <c r="B188" s="116" t="s">
        <v>374</v>
      </c>
      <c r="C188" s="75" t="s">
        <v>101</v>
      </c>
      <c r="D188" s="107" t="s">
        <v>359</v>
      </c>
      <c r="E188" s="108">
        <v>0</v>
      </c>
      <c r="F188" s="109">
        <f>1*1.06</f>
        <v>1.06</v>
      </c>
      <c r="G188" s="109"/>
      <c r="H188" s="167">
        <f t="shared" si="16"/>
        <v>0</v>
      </c>
      <c r="I188" s="567"/>
      <c r="J188" s="568"/>
      <c r="K188" s="118"/>
      <c r="L188" s="146"/>
      <c r="M188" s="146"/>
      <c r="N188" s="146"/>
      <c r="O188" s="146"/>
      <c r="P188" s="147"/>
      <c r="Q188" s="151"/>
    </row>
    <row r="189" spans="1:17" ht="30" customHeight="1">
      <c r="A189" s="171" t="s">
        <v>380</v>
      </c>
      <c r="B189" s="116" t="s">
        <v>374</v>
      </c>
      <c r="C189" s="75" t="s">
        <v>57</v>
      </c>
      <c r="D189" s="107" t="s">
        <v>376</v>
      </c>
      <c r="E189" s="196">
        <f>$G$3*$A$4*3</f>
        <v>150</v>
      </c>
      <c r="F189" s="109">
        <f>140*0.8*1.06</f>
        <v>118.72</v>
      </c>
      <c r="G189" s="109"/>
      <c r="H189" s="167">
        <f>E189*F189</f>
        <v>17808</v>
      </c>
      <c r="I189" s="567" t="s">
        <v>377</v>
      </c>
      <c r="J189" s="568"/>
      <c r="K189" s="118"/>
      <c r="L189" s="146"/>
      <c r="M189" s="146"/>
      <c r="N189" s="146"/>
      <c r="O189" s="146"/>
      <c r="P189" s="147"/>
      <c r="Q189" s="151"/>
    </row>
    <row r="190" spans="1:17" ht="30" customHeight="1">
      <c r="A190" s="171" t="s">
        <v>382</v>
      </c>
      <c r="B190" s="116" t="s">
        <v>379</v>
      </c>
      <c r="C190" s="75" t="s">
        <v>33</v>
      </c>
      <c r="D190" s="107" t="s">
        <v>359</v>
      </c>
      <c r="E190" s="108">
        <v>0</v>
      </c>
      <c r="F190" s="109">
        <f>0.8*1.06</f>
        <v>0.84800000000000009</v>
      </c>
      <c r="G190" s="109"/>
      <c r="H190" s="167">
        <f t="shared" si="16"/>
        <v>0</v>
      </c>
      <c r="I190" s="567"/>
      <c r="J190" s="568"/>
      <c r="K190" s="118"/>
      <c r="L190" s="146"/>
      <c r="M190" s="146"/>
      <c r="N190" s="146"/>
      <c r="O190" s="146"/>
      <c r="P190" s="147"/>
      <c r="Q190" s="151"/>
    </row>
    <row r="191" spans="1:17" ht="30" customHeight="1">
      <c r="A191" s="171" t="s">
        <v>385</v>
      </c>
      <c r="B191" s="116" t="s">
        <v>381</v>
      </c>
      <c r="C191" s="75" t="s">
        <v>33</v>
      </c>
      <c r="D191" s="107" t="s">
        <v>359</v>
      </c>
      <c r="E191" s="108">
        <v>0</v>
      </c>
      <c r="F191" s="109">
        <f>1.25*1.06</f>
        <v>1.3250000000000002</v>
      </c>
      <c r="G191" s="109"/>
      <c r="H191" s="167">
        <f t="shared" si="16"/>
        <v>0</v>
      </c>
      <c r="I191" s="567"/>
      <c r="J191" s="568"/>
      <c r="K191" s="118"/>
      <c r="L191" s="146"/>
      <c r="M191" s="146"/>
      <c r="N191" s="146"/>
      <c r="O191" s="146"/>
      <c r="P191" s="147"/>
      <c r="Q191" s="151"/>
    </row>
    <row r="192" spans="1:17" ht="30" customHeight="1">
      <c r="A192" s="171" t="s">
        <v>388</v>
      </c>
      <c r="B192" s="116" t="s">
        <v>383</v>
      </c>
      <c r="C192" s="75" t="s">
        <v>33</v>
      </c>
      <c r="D192" s="107" t="s">
        <v>384</v>
      </c>
      <c r="E192" s="108">
        <v>0</v>
      </c>
      <c r="F192" s="109">
        <f>163*1.06</f>
        <v>172.78</v>
      </c>
      <c r="G192" s="109"/>
      <c r="H192" s="167">
        <f t="shared" si="16"/>
        <v>0</v>
      </c>
      <c r="I192" s="567"/>
      <c r="J192" s="568"/>
      <c r="K192" s="118"/>
      <c r="L192" s="146"/>
      <c r="M192" s="146"/>
      <c r="N192" s="146"/>
      <c r="O192" s="146"/>
      <c r="P192" s="147"/>
      <c r="Q192" s="151"/>
    </row>
    <row r="193" spans="1:17" ht="30" customHeight="1">
      <c r="A193" s="171" t="s">
        <v>549</v>
      </c>
      <c r="B193" s="116" t="s">
        <v>386</v>
      </c>
      <c r="C193" s="75" t="s">
        <v>57</v>
      </c>
      <c r="D193" s="107" t="s">
        <v>387</v>
      </c>
      <c r="E193" s="108">
        <v>0</v>
      </c>
      <c r="F193" s="109">
        <f>650*1.06</f>
        <v>689</v>
      </c>
      <c r="G193" s="109"/>
      <c r="H193" s="167">
        <f t="shared" si="16"/>
        <v>0</v>
      </c>
      <c r="I193" s="567"/>
      <c r="J193" s="568"/>
      <c r="K193" s="118"/>
      <c r="L193" s="146"/>
      <c r="M193" s="146"/>
      <c r="N193" s="146"/>
      <c r="O193" s="146"/>
      <c r="P193" s="147"/>
      <c r="Q193" s="151"/>
    </row>
    <row r="194" spans="1:17" ht="30" customHeight="1">
      <c r="A194" s="171" t="s">
        <v>550</v>
      </c>
      <c r="B194" s="116" t="s">
        <v>389</v>
      </c>
      <c r="C194" s="75" t="s">
        <v>57</v>
      </c>
      <c r="D194" s="107" t="s">
        <v>387</v>
      </c>
      <c r="E194" s="108">
        <v>0</v>
      </c>
      <c r="F194" s="109">
        <f>350*1.06</f>
        <v>371</v>
      </c>
      <c r="G194" s="109"/>
      <c r="H194" s="167">
        <f t="shared" si="16"/>
        <v>0</v>
      </c>
      <c r="I194" s="567"/>
      <c r="J194" s="568"/>
      <c r="K194" s="118"/>
      <c r="L194" s="146"/>
      <c r="M194" s="146"/>
      <c r="N194" s="146"/>
      <c r="O194" s="146"/>
      <c r="P194" s="147"/>
      <c r="Q194" s="151"/>
    </row>
    <row r="195" spans="1:17" ht="30" customHeight="1">
      <c r="A195" s="226"/>
      <c r="B195" s="227"/>
      <c r="C195" s="228"/>
      <c r="D195" s="229"/>
      <c r="E195" s="179"/>
      <c r="F195" s="70"/>
      <c r="G195" s="230"/>
      <c r="H195" s="230"/>
      <c r="I195" s="231"/>
      <c r="J195" s="232"/>
      <c r="K195" s="233"/>
      <c r="L195" s="234"/>
      <c r="M195" s="234"/>
      <c r="N195" s="234"/>
      <c r="O195" s="234"/>
      <c r="P195" s="163"/>
      <c r="Q195" s="151"/>
    </row>
    <row r="196" spans="1:17" s="5" customFormat="1" ht="65.25" customHeight="1">
      <c r="A196" s="235">
        <v>10</v>
      </c>
      <c r="B196" s="236" t="s">
        <v>390</v>
      </c>
      <c r="C196" s="115"/>
      <c r="D196" s="38" t="s">
        <v>12</v>
      </c>
      <c r="E196" s="47" t="s">
        <v>13</v>
      </c>
      <c r="F196" s="37" t="s">
        <v>14</v>
      </c>
      <c r="G196" s="37" t="s">
        <v>15</v>
      </c>
      <c r="H196" s="37" t="s">
        <v>16</v>
      </c>
      <c r="I196" s="563" t="s">
        <v>17</v>
      </c>
      <c r="J196" s="564"/>
      <c r="K196" s="564"/>
      <c r="L196" s="564"/>
      <c r="M196" s="564"/>
      <c r="N196" s="564"/>
      <c r="O196" s="564"/>
      <c r="P196" s="38" t="s">
        <v>18</v>
      </c>
      <c r="Q196" s="301"/>
    </row>
    <row r="197" spans="1:17" ht="30" customHeight="1">
      <c r="A197" s="171" t="s">
        <v>391</v>
      </c>
      <c r="B197" s="89" t="s">
        <v>392</v>
      </c>
      <c r="C197" s="89" t="s">
        <v>117</v>
      </c>
      <c r="D197" s="171" t="s">
        <v>393</v>
      </c>
      <c r="E197" s="108">
        <v>0</v>
      </c>
      <c r="F197" s="118">
        <f>7.31*1.06</f>
        <v>7.7485999999999997</v>
      </c>
      <c r="G197" s="198"/>
      <c r="H197" s="118"/>
      <c r="I197" s="565"/>
      <c r="J197" s="562"/>
      <c r="K197" s="161"/>
      <c r="L197" s="162"/>
      <c r="M197" s="162"/>
      <c r="N197" s="162"/>
      <c r="O197" s="162"/>
      <c r="P197" s="163"/>
      <c r="Q197" s="151"/>
    </row>
    <row r="198" spans="1:17" ht="30" customHeight="1">
      <c r="A198" s="171" t="s">
        <v>394</v>
      </c>
      <c r="B198" s="89" t="s">
        <v>395</v>
      </c>
      <c r="C198" s="89" t="s">
        <v>117</v>
      </c>
      <c r="D198" s="171" t="s">
        <v>393</v>
      </c>
      <c r="E198" s="108">
        <v>0</v>
      </c>
      <c r="F198" s="118">
        <f>7.3*1.06</f>
        <v>7.7380000000000004</v>
      </c>
      <c r="G198" s="198"/>
      <c r="H198" s="118"/>
      <c r="I198" s="565"/>
      <c r="J198" s="562"/>
      <c r="K198" s="161"/>
      <c r="L198" s="162"/>
      <c r="M198" s="162"/>
      <c r="N198" s="162"/>
      <c r="O198" s="162"/>
      <c r="P198" s="163"/>
      <c r="Q198" s="151"/>
    </row>
    <row r="199" spans="1:17" ht="30" customHeight="1">
      <c r="A199" s="171" t="s">
        <v>396</v>
      </c>
      <c r="B199" s="89" t="s">
        <v>397</v>
      </c>
      <c r="C199" s="89" t="s">
        <v>117</v>
      </c>
      <c r="D199" s="171" t="s">
        <v>398</v>
      </c>
      <c r="E199" s="108">
        <v>0</v>
      </c>
      <c r="F199" s="118">
        <f>55*1.06</f>
        <v>58.300000000000004</v>
      </c>
      <c r="G199" s="198"/>
      <c r="H199" s="118"/>
      <c r="I199" s="565"/>
      <c r="J199" s="562"/>
      <c r="K199" s="161"/>
      <c r="L199" s="162"/>
      <c r="M199" s="162"/>
      <c r="N199" s="162"/>
      <c r="O199" s="162"/>
      <c r="P199" s="163"/>
      <c r="Q199" s="151"/>
    </row>
    <row r="200" spans="1:17" ht="30" customHeight="1">
      <c r="A200" s="171" t="s">
        <v>399</v>
      </c>
      <c r="B200" s="89" t="s">
        <v>400</v>
      </c>
      <c r="C200" s="89" t="s">
        <v>117</v>
      </c>
      <c r="D200" s="171" t="s">
        <v>401</v>
      </c>
      <c r="E200" s="108">
        <v>0</v>
      </c>
      <c r="F200" s="118">
        <f t="shared" ref="F200:F205" si="17">13.5*1.06</f>
        <v>14.31</v>
      </c>
      <c r="G200" s="198"/>
      <c r="H200" s="118"/>
      <c r="I200" s="565"/>
      <c r="J200" s="562"/>
      <c r="K200" s="161"/>
      <c r="L200" s="162"/>
      <c r="M200" s="162"/>
      <c r="N200" s="162"/>
      <c r="O200" s="162"/>
      <c r="P200" s="163"/>
      <c r="Q200" s="151"/>
    </row>
    <row r="201" spans="1:17" ht="30" customHeight="1">
      <c r="A201" s="171" t="s">
        <v>402</v>
      </c>
      <c r="B201" s="89" t="s">
        <v>403</v>
      </c>
      <c r="C201" s="89" t="s">
        <v>117</v>
      </c>
      <c r="D201" s="171" t="s">
        <v>401</v>
      </c>
      <c r="E201" s="108">
        <v>0</v>
      </c>
      <c r="F201" s="118">
        <f t="shared" si="17"/>
        <v>14.31</v>
      </c>
      <c r="G201" s="198"/>
      <c r="H201" s="118"/>
      <c r="I201" s="565"/>
      <c r="J201" s="562"/>
      <c r="K201" s="161"/>
      <c r="L201" s="162"/>
      <c r="M201" s="162"/>
      <c r="N201" s="162"/>
      <c r="O201" s="162"/>
      <c r="P201" s="163"/>
      <c r="Q201" s="151"/>
    </row>
    <row r="202" spans="1:17" ht="30" customHeight="1">
      <c r="A202" s="171" t="s">
        <v>404</v>
      </c>
      <c r="B202" s="89" t="s">
        <v>405</v>
      </c>
      <c r="C202" s="89" t="s">
        <v>117</v>
      </c>
      <c r="D202" s="171" t="s">
        <v>401</v>
      </c>
      <c r="E202" s="108">
        <v>0</v>
      </c>
      <c r="F202" s="118">
        <f t="shared" si="17"/>
        <v>14.31</v>
      </c>
      <c r="G202" s="198"/>
      <c r="H202" s="118"/>
      <c r="I202" s="565"/>
      <c r="J202" s="562"/>
      <c r="K202" s="161"/>
      <c r="L202" s="162"/>
      <c r="M202" s="162"/>
      <c r="N202" s="162"/>
      <c r="O202" s="162"/>
      <c r="P202" s="163"/>
      <c r="Q202" s="151"/>
    </row>
    <row r="203" spans="1:17" ht="30" customHeight="1">
      <c r="A203" s="171" t="s">
        <v>406</v>
      </c>
      <c r="B203" s="89" t="s">
        <v>407</v>
      </c>
      <c r="C203" s="89" t="s">
        <v>117</v>
      </c>
      <c r="D203" s="171" t="s">
        <v>401</v>
      </c>
      <c r="E203" s="108">
        <v>0</v>
      </c>
      <c r="F203" s="118">
        <f t="shared" si="17"/>
        <v>14.31</v>
      </c>
      <c r="G203" s="198"/>
      <c r="H203" s="118"/>
      <c r="I203" s="565"/>
      <c r="J203" s="562"/>
      <c r="K203" s="161"/>
      <c r="L203" s="162"/>
      <c r="M203" s="162"/>
      <c r="N203" s="162"/>
      <c r="O203" s="162"/>
      <c r="P203" s="163"/>
      <c r="Q203" s="151"/>
    </row>
    <row r="204" spans="1:17" ht="30" customHeight="1">
      <c r="A204" s="171" t="s">
        <v>408</v>
      </c>
      <c r="B204" s="89" t="s">
        <v>409</v>
      </c>
      <c r="C204" s="89" t="s">
        <v>117</v>
      </c>
      <c r="D204" s="171" t="s">
        <v>401</v>
      </c>
      <c r="E204" s="108">
        <v>0</v>
      </c>
      <c r="F204" s="118">
        <f t="shared" si="17"/>
        <v>14.31</v>
      </c>
      <c r="G204" s="198"/>
      <c r="H204" s="118"/>
      <c r="I204" s="565"/>
      <c r="J204" s="562"/>
      <c r="K204" s="161"/>
      <c r="L204" s="162"/>
      <c r="M204" s="162"/>
      <c r="N204" s="162"/>
      <c r="O204" s="162"/>
      <c r="P204" s="163"/>
      <c r="Q204" s="151"/>
    </row>
    <row r="205" spans="1:17" ht="30" customHeight="1">
      <c r="A205" s="171" t="s">
        <v>410</v>
      </c>
      <c r="B205" s="89" t="s">
        <v>411</v>
      </c>
      <c r="C205" s="89" t="s">
        <v>117</v>
      </c>
      <c r="D205" s="171" t="s">
        <v>401</v>
      </c>
      <c r="E205" s="108">
        <v>0</v>
      </c>
      <c r="F205" s="118">
        <f t="shared" si="17"/>
        <v>14.31</v>
      </c>
      <c r="G205" s="198"/>
      <c r="H205" s="118"/>
      <c r="I205" s="565"/>
      <c r="J205" s="562"/>
      <c r="K205" s="161"/>
      <c r="L205" s="162"/>
      <c r="M205" s="162"/>
      <c r="N205" s="162"/>
      <c r="O205" s="162"/>
      <c r="P205" s="163"/>
      <c r="Q205" s="151"/>
    </row>
    <row r="206" spans="1:17" ht="30" customHeight="1">
      <c r="A206" s="171" t="s">
        <v>412</v>
      </c>
      <c r="B206" s="89" t="s">
        <v>413</v>
      </c>
      <c r="C206" s="89" t="s">
        <v>117</v>
      </c>
      <c r="D206" s="171" t="s">
        <v>414</v>
      </c>
      <c r="E206" s="108">
        <v>0</v>
      </c>
      <c r="F206" s="118">
        <f>85*1.06</f>
        <v>90.100000000000009</v>
      </c>
      <c r="G206" s="198"/>
      <c r="H206" s="118"/>
      <c r="I206" s="565"/>
      <c r="J206" s="562"/>
      <c r="K206" s="161"/>
      <c r="L206" s="162"/>
      <c r="M206" s="162"/>
      <c r="N206" s="162"/>
      <c r="O206" s="162"/>
      <c r="P206" s="163"/>
      <c r="Q206" s="151"/>
    </row>
    <row r="207" spans="1:17" ht="30" customHeight="1">
      <c r="A207" s="171" t="s">
        <v>415</v>
      </c>
      <c r="B207" s="89" t="s">
        <v>416</v>
      </c>
      <c r="C207" s="89" t="s">
        <v>117</v>
      </c>
      <c r="D207" s="171" t="s">
        <v>401</v>
      </c>
      <c r="E207" s="108">
        <v>0</v>
      </c>
      <c r="F207" s="118">
        <f>13.5*1.06</f>
        <v>14.31</v>
      </c>
      <c r="G207" s="198"/>
      <c r="H207" s="118"/>
      <c r="I207" s="565"/>
      <c r="J207" s="562"/>
      <c r="K207" s="161"/>
      <c r="L207" s="162"/>
      <c r="M207" s="162"/>
      <c r="N207" s="162"/>
      <c r="O207" s="162"/>
      <c r="P207" s="163"/>
      <c r="Q207" s="151"/>
    </row>
    <row r="208" spans="1:17" ht="30" customHeight="1">
      <c r="A208" s="171" t="s">
        <v>417</v>
      </c>
      <c r="B208" s="89" t="s">
        <v>418</v>
      </c>
      <c r="C208" s="89" t="s">
        <v>117</v>
      </c>
      <c r="D208" s="171" t="s">
        <v>401</v>
      </c>
      <c r="E208" s="108">
        <v>0</v>
      </c>
      <c r="F208" s="118">
        <f>2.5*1.06</f>
        <v>2.6500000000000004</v>
      </c>
      <c r="G208" s="198"/>
      <c r="H208" s="118"/>
      <c r="I208" s="565"/>
      <c r="J208" s="562"/>
      <c r="K208" s="161"/>
      <c r="L208" s="162"/>
      <c r="M208" s="162"/>
      <c r="N208" s="162"/>
      <c r="O208" s="162"/>
      <c r="P208" s="163"/>
      <c r="Q208" s="151"/>
    </row>
    <row r="209" spans="1:17" ht="30" customHeight="1">
      <c r="A209" s="171" t="s">
        <v>419</v>
      </c>
      <c r="B209" s="89" t="s">
        <v>420</v>
      </c>
      <c r="C209" s="89" t="s">
        <v>117</v>
      </c>
      <c r="D209" s="171" t="s">
        <v>304</v>
      </c>
      <c r="E209" s="108">
        <v>0</v>
      </c>
      <c r="F209" s="118">
        <f>14*1.06</f>
        <v>14.84</v>
      </c>
      <c r="G209" s="198"/>
      <c r="H209" s="118"/>
      <c r="I209" s="565"/>
      <c r="J209" s="562"/>
      <c r="K209" s="161"/>
      <c r="L209" s="162"/>
      <c r="M209" s="162"/>
      <c r="N209" s="162"/>
      <c r="O209" s="162"/>
      <c r="P209" s="163"/>
      <c r="Q209" s="151"/>
    </row>
    <row r="210" spans="1:17" ht="30" customHeight="1">
      <c r="A210" s="171" t="s">
        <v>421</v>
      </c>
      <c r="B210" s="89" t="s">
        <v>422</v>
      </c>
      <c r="C210" s="89" t="s">
        <v>117</v>
      </c>
      <c r="D210" s="171" t="s">
        <v>401</v>
      </c>
      <c r="E210" s="108">
        <v>0</v>
      </c>
      <c r="F210" s="118">
        <f>14.3*1.06</f>
        <v>15.158000000000001</v>
      </c>
      <c r="G210" s="198"/>
      <c r="H210" s="118"/>
      <c r="I210" s="565"/>
      <c r="J210" s="562"/>
      <c r="K210" s="161"/>
      <c r="L210" s="162"/>
      <c r="M210" s="162"/>
      <c r="N210" s="162"/>
      <c r="O210" s="162"/>
      <c r="P210" s="163"/>
      <c r="Q210" s="151"/>
    </row>
    <row r="211" spans="1:17" ht="30" customHeight="1">
      <c r="A211" s="171" t="s">
        <v>423</v>
      </c>
      <c r="B211" s="89" t="s">
        <v>424</v>
      </c>
      <c r="C211" s="89" t="s">
        <v>117</v>
      </c>
      <c r="D211" s="171" t="s">
        <v>304</v>
      </c>
      <c r="E211" s="108">
        <v>0</v>
      </c>
      <c r="F211" s="109">
        <f>85*1.06</f>
        <v>90.100000000000009</v>
      </c>
      <c r="G211" s="198"/>
      <c r="H211" s="118"/>
      <c r="I211" s="565"/>
      <c r="J211" s="562"/>
      <c r="K211" s="161"/>
      <c r="L211" s="162"/>
      <c r="M211" s="162"/>
      <c r="N211" s="162"/>
      <c r="O211" s="162"/>
      <c r="P211" s="163"/>
      <c r="Q211" s="151"/>
    </row>
    <row r="212" spans="1:17" ht="30" customHeight="1">
      <c r="A212" s="171" t="s">
        <v>425</v>
      </c>
      <c r="B212" s="89" t="s">
        <v>426</v>
      </c>
      <c r="C212" s="89" t="s">
        <v>117</v>
      </c>
      <c r="D212" s="171" t="s">
        <v>427</v>
      </c>
      <c r="E212" s="108">
        <v>0</v>
      </c>
      <c r="F212" s="118">
        <f>100*1.06</f>
        <v>106</v>
      </c>
      <c r="G212" s="198"/>
      <c r="H212" s="118"/>
      <c r="I212" s="565"/>
      <c r="J212" s="562"/>
      <c r="K212" s="161"/>
      <c r="L212" s="162"/>
      <c r="M212" s="162"/>
      <c r="N212" s="162"/>
      <c r="O212" s="162"/>
      <c r="P212" s="163"/>
      <c r="Q212" s="151"/>
    </row>
    <row r="213" spans="1:17" ht="30" customHeight="1">
      <c r="A213" s="171" t="s">
        <v>428</v>
      </c>
      <c r="B213" s="89" t="s">
        <v>429</v>
      </c>
      <c r="C213" s="89" t="s">
        <v>117</v>
      </c>
      <c r="D213" s="171" t="s">
        <v>304</v>
      </c>
      <c r="E213" s="108">
        <v>0</v>
      </c>
      <c r="F213" s="118">
        <v>0</v>
      </c>
      <c r="G213" s="198"/>
      <c r="H213" s="118"/>
      <c r="I213" s="565"/>
      <c r="J213" s="562"/>
      <c r="K213" s="161"/>
      <c r="L213" s="162"/>
      <c r="M213" s="162"/>
      <c r="N213" s="162"/>
      <c r="O213" s="162"/>
      <c r="P213" s="163"/>
      <c r="Q213" s="151"/>
    </row>
    <row r="214" spans="1:17" ht="30" customHeight="1">
      <c r="A214" s="171" t="s">
        <v>430</v>
      </c>
      <c r="B214" s="89" t="s">
        <v>431</v>
      </c>
      <c r="C214" s="89" t="s">
        <v>117</v>
      </c>
      <c r="D214" s="171" t="s">
        <v>432</v>
      </c>
      <c r="E214" s="108">
        <v>0</v>
      </c>
      <c r="F214" s="118">
        <f>23*1.06</f>
        <v>24.380000000000003</v>
      </c>
      <c r="G214" s="198"/>
      <c r="H214" s="118"/>
      <c r="I214" s="565"/>
      <c r="J214" s="562"/>
      <c r="K214" s="161"/>
      <c r="L214" s="162"/>
      <c r="M214" s="162"/>
      <c r="N214" s="162"/>
      <c r="O214" s="162"/>
      <c r="P214" s="163"/>
      <c r="Q214" s="151"/>
    </row>
    <row r="215" spans="1:17" ht="30" customHeight="1">
      <c r="A215" s="171" t="s">
        <v>433</v>
      </c>
      <c r="B215" s="89" t="s">
        <v>434</v>
      </c>
      <c r="C215" s="89" t="s">
        <v>117</v>
      </c>
      <c r="D215" s="171" t="s">
        <v>435</v>
      </c>
      <c r="E215" s="108">
        <v>0</v>
      </c>
      <c r="F215" s="118">
        <f>115*1.06</f>
        <v>121.9</v>
      </c>
      <c r="G215" s="198"/>
      <c r="H215" s="118"/>
      <c r="I215" s="565"/>
      <c r="J215" s="562"/>
      <c r="K215" s="161"/>
      <c r="L215" s="162"/>
      <c r="M215" s="162"/>
      <c r="N215" s="162"/>
      <c r="O215" s="162"/>
      <c r="P215" s="163"/>
      <c r="Q215" s="151"/>
    </row>
    <row r="216" spans="1:17" ht="30" customHeight="1">
      <c r="A216" s="171" t="s">
        <v>436</v>
      </c>
      <c r="B216" s="76" t="s">
        <v>437</v>
      </c>
      <c r="C216" s="89" t="s">
        <v>117</v>
      </c>
      <c r="D216" s="171" t="s">
        <v>438</v>
      </c>
      <c r="E216" s="108">
        <v>0</v>
      </c>
      <c r="F216" s="118"/>
      <c r="G216" s="198"/>
      <c r="H216" s="118"/>
      <c r="I216" s="565"/>
      <c r="J216" s="562"/>
      <c r="K216" s="161"/>
      <c r="L216" s="162"/>
      <c r="M216" s="162"/>
      <c r="N216" s="162"/>
      <c r="O216" s="162"/>
      <c r="P216" s="163"/>
      <c r="Q216" s="151"/>
    </row>
    <row r="217" spans="1:17" ht="30" customHeight="1">
      <c r="A217" s="171" t="s">
        <v>439</v>
      </c>
      <c r="B217" s="89" t="s">
        <v>440</v>
      </c>
      <c r="C217" s="89" t="s">
        <v>117</v>
      </c>
      <c r="D217" s="171" t="s">
        <v>304</v>
      </c>
      <c r="E217" s="108">
        <v>0</v>
      </c>
      <c r="F217" s="118"/>
      <c r="G217" s="198"/>
      <c r="H217" s="118"/>
      <c r="I217" s="565"/>
      <c r="J217" s="562"/>
      <c r="K217" s="161"/>
      <c r="L217" s="162"/>
      <c r="M217" s="162"/>
      <c r="N217" s="162"/>
      <c r="O217" s="162"/>
      <c r="P217" s="163"/>
      <c r="Q217" s="151"/>
    </row>
    <row r="218" spans="1:17" ht="30" customHeight="1">
      <c r="A218" s="171" t="s">
        <v>441</v>
      </c>
      <c r="B218" s="89" t="s">
        <v>442</v>
      </c>
      <c r="C218" s="89" t="s">
        <v>117</v>
      </c>
      <c r="D218" s="171" t="s">
        <v>304</v>
      </c>
      <c r="E218" s="108">
        <v>0</v>
      </c>
      <c r="F218" s="118">
        <f>3.5*1.06</f>
        <v>3.71</v>
      </c>
      <c r="G218" s="198"/>
      <c r="H218" s="118"/>
      <c r="I218" s="565"/>
      <c r="J218" s="562"/>
      <c r="K218" s="161"/>
      <c r="L218" s="162"/>
      <c r="M218" s="162"/>
      <c r="N218" s="162"/>
      <c r="O218" s="162"/>
      <c r="P218" s="163"/>
      <c r="Q218" s="151"/>
    </row>
    <row r="219" spans="1:17" ht="30" customHeight="1">
      <c r="A219" s="171" t="s">
        <v>443</v>
      </c>
      <c r="B219" s="89" t="s">
        <v>444</v>
      </c>
      <c r="C219" s="89" t="s">
        <v>117</v>
      </c>
      <c r="D219" s="171" t="s">
        <v>304</v>
      </c>
      <c r="E219" s="108">
        <v>0</v>
      </c>
      <c r="F219" s="118">
        <f>20*1.06</f>
        <v>21.200000000000003</v>
      </c>
      <c r="G219" s="198"/>
      <c r="H219" s="118"/>
      <c r="I219" s="565"/>
      <c r="J219" s="562"/>
      <c r="K219" s="161"/>
      <c r="L219" s="162"/>
      <c r="M219" s="162"/>
      <c r="N219" s="162"/>
      <c r="O219" s="162"/>
      <c r="P219" s="163"/>
      <c r="Q219" s="151"/>
    </row>
    <row r="220" spans="1:17" ht="30" customHeight="1">
      <c r="A220" s="171" t="s">
        <v>445</v>
      </c>
      <c r="B220" s="89" t="s">
        <v>446</v>
      </c>
      <c r="C220" s="89" t="s">
        <v>117</v>
      </c>
      <c r="D220" s="171" t="s">
        <v>139</v>
      </c>
      <c r="E220" s="108">
        <v>0</v>
      </c>
      <c r="F220" s="118">
        <f>45*1.06</f>
        <v>47.7</v>
      </c>
      <c r="G220" s="109"/>
      <c r="H220" s="118"/>
      <c r="I220" s="565"/>
      <c r="J220" s="562"/>
      <c r="K220" s="118"/>
      <c r="L220" s="146"/>
      <c r="M220" s="146"/>
      <c r="N220" s="146"/>
      <c r="O220" s="146"/>
      <c r="P220" s="147"/>
      <c r="Q220" s="151"/>
    </row>
    <row r="221" spans="1:17" ht="30" customHeight="1">
      <c r="A221" s="171" t="s">
        <v>447</v>
      </c>
      <c r="B221" s="89" t="s">
        <v>448</v>
      </c>
      <c r="C221" s="89" t="s">
        <v>117</v>
      </c>
      <c r="D221" s="171" t="s">
        <v>304</v>
      </c>
      <c r="E221" s="108">
        <v>0</v>
      </c>
      <c r="F221" s="118">
        <f>45*1.06</f>
        <v>47.7</v>
      </c>
      <c r="G221" s="109"/>
      <c r="H221" s="118"/>
      <c r="I221" s="565"/>
      <c r="J221" s="562"/>
      <c r="K221" s="118"/>
      <c r="L221" s="146"/>
      <c r="M221" s="146"/>
      <c r="N221" s="146"/>
      <c r="O221" s="146"/>
      <c r="P221" s="147"/>
      <c r="Q221" s="151"/>
    </row>
    <row r="222" spans="1:17" ht="30" customHeight="1">
      <c r="A222" s="171" t="s">
        <v>449</v>
      </c>
      <c r="B222" s="89" t="s">
        <v>450</v>
      </c>
      <c r="C222" s="89" t="s">
        <v>117</v>
      </c>
      <c r="D222" s="171" t="s">
        <v>304</v>
      </c>
      <c r="E222" s="108">
        <v>0</v>
      </c>
      <c r="F222" s="118">
        <f>25*1.06</f>
        <v>26.5</v>
      </c>
      <c r="G222" s="109"/>
      <c r="H222" s="118"/>
      <c r="I222" s="565"/>
      <c r="J222" s="562"/>
      <c r="K222" s="118"/>
      <c r="L222" s="146"/>
      <c r="M222" s="146"/>
      <c r="N222" s="146"/>
      <c r="O222" s="146"/>
      <c r="P222" s="147"/>
      <c r="Q222" s="151"/>
    </row>
    <row r="223" spans="1:17" ht="30" customHeight="1">
      <c r="A223" s="218"/>
      <c r="B223" s="151"/>
      <c r="C223" s="151"/>
      <c r="D223" s="213"/>
      <c r="E223" s="179"/>
      <c r="F223" s="214"/>
      <c r="G223" s="180"/>
      <c r="H223" s="237"/>
      <c r="I223" s="565"/>
      <c r="J223" s="562"/>
      <c r="K223" s="161"/>
      <c r="L223" s="162"/>
      <c r="M223" s="162"/>
      <c r="N223" s="162"/>
      <c r="O223" s="162"/>
      <c r="P223" s="163"/>
      <c r="Q223" s="151"/>
    </row>
    <row r="224" spans="1:17" ht="30" customHeight="1">
      <c r="A224" s="141">
        <v>11</v>
      </c>
      <c r="B224" s="65" t="s">
        <v>451</v>
      </c>
      <c r="C224" s="65"/>
      <c r="D224" s="38" t="s">
        <v>12</v>
      </c>
      <c r="E224" s="47" t="s">
        <v>13</v>
      </c>
      <c r="F224" s="53" t="s">
        <v>14</v>
      </c>
      <c r="G224" s="53" t="s">
        <v>15</v>
      </c>
      <c r="H224" s="54" t="s">
        <v>16</v>
      </c>
      <c r="I224" s="563" t="s">
        <v>17</v>
      </c>
      <c r="J224" s="566"/>
      <c r="K224" s="37"/>
      <c r="L224" s="50"/>
      <c r="M224" s="50"/>
      <c r="N224" s="50"/>
      <c r="O224" s="50"/>
      <c r="P224" s="49" t="s">
        <v>18</v>
      </c>
      <c r="Q224" s="151"/>
    </row>
    <row r="225" spans="1:17" ht="30" customHeight="1">
      <c r="A225" s="171" t="s">
        <v>452</v>
      </c>
      <c r="B225" s="116" t="s">
        <v>453</v>
      </c>
      <c r="C225" s="75" t="s">
        <v>33</v>
      </c>
      <c r="D225" s="238" t="s">
        <v>8</v>
      </c>
      <c r="E225" s="239">
        <v>4</v>
      </c>
      <c r="F225" s="198">
        <f>72.5*1.06</f>
        <v>76.850000000000009</v>
      </c>
      <c r="G225" s="198">
        <f>E225*F225</f>
        <v>307.40000000000003</v>
      </c>
      <c r="H225" s="198">
        <f>1*G225</f>
        <v>307.40000000000003</v>
      </c>
      <c r="I225" s="561" t="s">
        <v>454</v>
      </c>
      <c r="J225" s="562"/>
      <c r="K225" s="183"/>
      <c r="L225" s="184"/>
      <c r="M225" s="184"/>
      <c r="N225" s="184"/>
      <c r="O225" s="184"/>
      <c r="P225" s="185"/>
      <c r="Q225" s="151"/>
    </row>
    <row r="226" spans="1:17" ht="30" customHeight="1">
      <c r="A226" s="171" t="s">
        <v>455</v>
      </c>
      <c r="B226" s="116" t="s">
        <v>453</v>
      </c>
      <c r="C226" s="75" t="s">
        <v>33</v>
      </c>
      <c r="D226" s="238" t="s">
        <v>8</v>
      </c>
      <c r="E226" s="239">
        <v>4</v>
      </c>
      <c r="F226" s="198">
        <f>60*1.06</f>
        <v>63.6</v>
      </c>
      <c r="G226" s="198">
        <f t="shared" ref="G226:G233" si="18">E226*F226</f>
        <v>254.4</v>
      </c>
      <c r="H226" s="198">
        <f t="shared" ref="H226:H233" si="19">1*G226</f>
        <v>254.4</v>
      </c>
      <c r="I226" s="561"/>
      <c r="J226" s="562"/>
      <c r="K226" s="183"/>
      <c r="L226" s="184"/>
      <c r="M226" s="184"/>
      <c r="N226" s="184"/>
      <c r="O226" s="184"/>
      <c r="P226" s="185"/>
      <c r="Q226" s="151"/>
    </row>
    <row r="227" spans="1:17" ht="30" customHeight="1">
      <c r="A227" s="171" t="s">
        <v>456</v>
      </c>
      <c r="B227" s="116" t="s">
        <v>453</v>
      </c>
      <c r="C227" s="75" t="s">
        <v>33</v>
      </c>
      <c r="D227" s="238" t="s">
        <v>8</v>
      </c>
      <c r="E227" s="239">
        <v>4</v>
      </c>
      <c r="F227" s="198">
        <f>60*1.06</f>
        <v>63.6</v>
      </c>
      <c r="G227" s="198">
        <f t="shared" si="18"/>
        <v>254.4</v>
      </c>
      <c r="H227" s="198">
        <f t="shared" si="19"/>
        <v>254.4</v>
      </c>
      <c r="I227" s="561"/>
      <c r="J227" s="562"/>
      <c r="K227" s="183"/>
      <c r="L227" s="184"/>
      <c r="M227" s="184"/>
      <c r="N227" s="184"/>
      <c r="O227" s="184"/>
      <c r="P227" s="185"/>
      <c r="Q227" s="151"/>
    </row>
    <row r="228" spans="1:17" ht="30" customHeight="1">
      <c r="A228" s="171" t="s">
        <v>457</v>
      </c>
      <c r="B228" s="116" t="s">
        <v>458</v>
      </c>
      <c r="C228" s="75" t="s">
        <v>33</v>
      </c>
      <c r="D228" s="238" t="s">
        <v>8</v>
      </c>
      <c r="E228" s="239">
        <v>8</v>
      </c>
      <c r="F228" s="198">
        <f>108.5*1.06</f>
        <v>115.01</v>
      </c>
      <c r="G228" s="198">
        <f t="shared" si="18"/>
        <v>920.08</v>
      </c>
      <c r="H228" s="198">
        <f t="shared" si="19"/>
        <v>920.08</v>
      </c>
      <c r="I228" s="561"/>
      <c r="J228" s="562"/>
      <c r="K228" s="183"/>
      <c r="L228" s="184"/>
      <c r="M228" s="184"/>
      <c r="N228" s="184"/>
      <c r="O228" s="184"/>
      <c r="P228" s="185"/>
      <c r="Q228" s="151"/>
    </row>
    <row r="229" spans="1:17" ht="30" customHeight="1">
      <c r="A229" s="171" t="s">
        <v>459</v>
      </c>
      <c r="B229" s="174" t="s">
        <v>460</v>
      </c>
      <c r="C229" s="107" t="s">
        <v>33</v>
      </c>
      <c r="D229" s="107" t="s">
        <v>8</v>
      </c>
      <c r="E229" s="108">
        <v>8</v>
      </c>
      <c r="F229" s="109">
        <f>75*1.06</f>
        <v>79.5</v>
      </c>
      <c r="G229" s="198">
        <f t="shared" si="18"/>
        <v>636</v>
      </c>
      <c r="H229" s="198">
        <f t="shared" si="19"/>
        <v>636</v>
      </c>
      <c r="I229" s="561"/>
      <c r="J229" s="562"/>
      <c r="K229" s="161"/>
      <c r="L229" s="162"/>
      <c r="M229" s="162"/>
      <c r="N229" s="162"/>
      <c r="O229" s="162"/>
      <c r="P229" s="163"/>
      <c r="Q229" s="151"/>
    </row>
    <row r="230" spans="1:17" ht="30" customHeight="1">
      <c r="A230" s="171" t="s">
        <v>461</v>
      </c>
      <c r="B230" s="174" t="s">
        <v>462</v>
      </c>
      <c r="C230" s="107" t="s">
        <v>53</v>
      </c>
      <c r="D230" s="107" t="s">
        <v>463</v>
      </c>
      <c r="E230" s="108">
        <v>1</v>
      </c>
      <c r="F230" s="109">
        <f>500*1.06</f>
        <v>530</v>
      </c>
      <c r="G230" s="198">
        <f t="shared" si="18"/>
        <v>530</v>
      </c>
      <c r="H230" s="198">
        <f t="shared" si="19"/>
        <v>530</v>
      </c>
      <c r="I230" s="561"/>
      <c r="J230" s="562"/>
      <c r="K230" s="118"/>
      <c r="L230" s="146"/>
      <c r="M230" s="146"/>
      <c r="N230" s="146"/>
      <c r="O230" s="146"/>
      <c r="P230" s="147"/>
      <c r="Q230" s="151"/>
    </row>
    <row r="231" spans="1:17" ht="30" customHeight="1">
      <c r="A231" s="171" t="s">
        <v>464</v>
      </c>
      <c r="B231" s="89" t="s">
        <v>465</v>
      </c>
      <c r="C231" s="89" t="s">
        <v>101</v>
      </c>
      <c r="D231" s="171"/>
      <c r="E231" s="108">
        <v>0</v>
      </c>
      <c r="F231" s="118">
        <f>77*1.06</f>
        <v>81.62</v>
      </c>
      <c r="G231" s="118">
        <f t="shared" si="18"/>
        <v>0</v>
      </c>
      <c r="H231" s="197">
        <f t="shared" si="19"/>
        <v>0</v>
      </c>
      <c r="I231" s="561"/>
      <c r="J231" s="562"/>
      <c r="K231" s="183"/>
      <c r="L231" s="184"/>
      <c r="M231" s="184"/>
      <c r="N231" s="184"/>
      <c r="O231" s="184"/>
      <c r="P231" s="185"/>
      <c r="Q231" s="151"/>
    </row>
    <row r="232" spans="1:17" ht="30" customHeight="1">
      <c r="A232" s="171" t="s">
        <v>466</v>
      </c>
      <c r="B232" s="89" t="s">
        <v>467</v>
      </c>
      <c r="C232" s="89" t="s">
        <v>101</v>
      </c>
      <c r="D232" s="171"/>
      <c r="E232" s="108">
        <v>0</v>
      </c>
      <c r="F232" s="118">
        <f>49.04*1.06</f>
        <v>51.982399999999998</v>
      </c>
      <c r="G232" s="118">
        <f t="shared" si="18"/>
        <v>0</v>
      </c>
      <c r="H232" s="197">
        <f t="shared" si="19"/>
        <v>0</v>
      </c>
      <c r="I232" s="561"/>
      <c r="J232" s="562"/>
      <c r="K232" s="183"/>
      <c r="L232" s="184"/>
      <c r="M232" s="184"/>
      <c r="N232" s="184"/>
      <c r="O232" s="184"/>
      <c r="P232" s="185"/>
      <c r="Q232" s="151"/>
    </row>
    <row r="233" spans="1:17" ht="30" customHeight="1">
      <c r="A233" s="171" t="s">
        <v>468</v>
      </c>
      <c r="B233" s="174" t="s">
        <v>469</v>
      </c>
      <c r="C233" s="107" t="s">
        <v>33</v>
      </c>
      <c r="D233" s="107" t="s">
        <v>470</v>
      </c>
      <c r="E233" s="108">
        <v>12</v>
      </c>
      <c r="F233" s="109">
        <f>60*1.06</f>
        <v>63.6</v>
      </c>
      <c r="G233" s="198">
        <f t="shared" si="18"/>
        <v>763.2</v>
      </c>
      <c r="H233" s="198">
        <f t="shared" si="19"/>
        <v>763.2</v>
      </c>
      <c r="I233" s="561" t="s">
        <v>471</v>
      </c>
      <c r="J233" s="562"/>
      <c r="K233" s="161"/>
      <c r="L233" s="162"/>
      <c r="M233" s="162"/>
      <c r="N233" s="162"/>
      <c r="O233" s="162"/>
      <c r="P233" s="163"/>
      <c r="Q233" s="151"/>
    </row>
    <row r="234" spans="1:17" ht="30" customHeight="1">
      <c r="A234" s="171"/>
      <c r="B234" s="89"/>
      <c r="C234" s="89"/>
      <c r="D234" s="171"/>
      <c r="E234" s="108"/>
      <c r="F234" s="109"/>
      <c r="G234" s="109"/>
      <c r="H234" s="167"/>
      <c r="I234" s="231"/>
      <c r="J234" s="232"/>
      <c r="K234" s="240"/>
      <c r="L234" s="241"/>
      <c r="M234" s="241"/>
      <c r="N234" s="241"/>
      <c r="O234" s="241"/>
      <c r="P234" s="147"/>
      <c r="Q234" s="151"/>
    </row>
    <row r="235" spans="1:17" s="5" customFormat="1" ht="65.25" customHeight="1">
      <c r="A235" s="61" t="s">
        <v>10</v>
      </c>
      <c r="B235" s="62" t="s">
        <v>11</v>
      </c>
      <c r="C235" s="63"/>
      <c r="D235" s="35" t="s">
        <v>12</v>
      </c>
      <c r="E235" s="36" t="s">
        <v>13</v>
      </c>
      <c r="F235" s="37" t="s">
        <v>14</v>
      </c>
      <c r="G235" s="37" t="s">
        <v>15</v>
      </c>
      <c r="H235" s="37" t="s">
        <v>16</v>
      </c>
      <c r="I235" s="563" t="s">
        <v>17</v>
      </c>
      <c r="J235" s="564"/>
      <c r="K235" s="564"/>
      <c r="L235" s="564"/>
      <c r="M235" s="564"/>
      <c r="N235" s="564"/>
      <c r="O235" s="564"/>
      <c r="P235" s="38" t="s">
        <v>18</v>
      </c>
      <c r="Q235" s="301"/>
    </row>
    <row r="236" spans="1:17">
      <c r="A236" s="218"/>
      <c r="B236" s="219"/>
      <c r="C236" s="219"/>
      <c r="D236" s="218"/>
      <c r="E236" s="220"/>
      <c r="F236" s="221"/>
      <c r="G236" s="221"/>
      <c r="H236" s="221"/>
      <c r="I236" s="222"/>
      <c r="J236" s="151"/>
      <c r="K236" s="223"/>
      <c r="L236" s="224"/>
      <c r="M236" s="224"/>
      <c r="N236" s="224"/>
      <c r="O236" s="224"/>
      <c r="P236" s="225"/>
      <c r="Q236" s="151"/>
    </row>
    <row r="237" spans="1:17" ht="30" customHeight="1">
      <c r="A237" s="171" t="s">
        <v>472</v>
      </c>
      <c r="B237" s="116" t="s">
        <v>473</v>
      </c>
      <c r="C237" s="75"/>
      <c r="D237" s="107" t="s">
        <v>474</v>
      </c>
      <c r="E237" s="108">
        <v>5</v>
      </c>
      <c r="F237" s="109">
        <f>1000*1.06</f>
        <v>1060</v>
      </c>
      <c r="G237" s="109"/>
      <c r="H237" s="167">
        <f t="shared" ref="H237:H238" si="20">SUM(E237*F237)</f>
        <v>5300</v>
      </c>
      <c r="I237" s="76"/>
      <c r="J237" s="89"/>
      <c r="K237" s="118"/>
      <c r="L237" s="146"/>
      <c r="M237" s="146"/>
      <c r="N237" s="146"/>
      <c r="O237" s="146"/>
      <c r="P237" s="147"/>
      <c r="Q237" s="151"/>
    </row>
    <row r="238" spans="1:17" ht="30" customHeight="1">
      <c r="A238" s="171" t="s">
        <v>475</v>
      </c>
      <c r="B238" s="116" t="s">
        <v>476</v>
      </c>
      <c r="C238" s="75"/>
      <c r="D238" s="171" t="s">
        <v>477</v>
      </c>
      <c r="E238" s="108">
        <v>5</v>
      </c>
      <c r="F238" s="109">
        <f>20000*1.06</f>
        <v>21200</v>
      </c>
      <c r="G238" s="109"/>
      <c r="H238" s="167">
        <f t="shared" si="20"/>
        <v>106000</v>
      </c>
      <c r="I238" s="76"/>
      <c r="J238" s="89"/>
      <c r="K238" s="118"/>
      <c r="L238" s="146"/>
      <c r="M238" s="146"/>
      <c r="N238" s="146"/>
      <c r="O238" s="146"/>
      <c r="P238" s="147"/>
      <c r="Q238" s="151"/>
    </row>
    <row r="239" spans="1:17" ht="30" customHeight="1">
      <c r="A239" s="171" t="s">
        <v>478</v>
      </c>
      <c r="B239" s="116" t="s">
        <v>479</v>
      </c>
      <c r="C239" s="75"/>
      <c r="D239" s="107" t="s">
        <v>477</v>
      </c>
      <c r="E239" s="108">
        <v>5</v>
      </c>
      <c r="F239" s="109">
        <f>20000*1.06</f>
        <v>21200</v>
      </c>
      <c r="G239" s="109"/>
      <c r="H239" s="167">
        <f>E239*F239</f>
        <v>106000</v>
      </c>
      <c r="I239" s="76"/>
      <c r="J239" s="89"/>
      <c r="K239" s="118"/>
      <c r="L239" s="146"/>
      <c r="M239" s="146"/>
      <c r="N239" s="146"/>
      <c r="O239" s="146"/>
      <c r="P239" s="147"/>
      <c r="Q239" s="151"/>
    </row>
    <row r="240" spans="1:17">
      <c r="A240" s="218"/>
      <c r="B240" s="219"/>
      <c r="C240" s="219"/>
      <c r="D240" s="218"/>
      <c r="E240" s="220"/>
      <c r="F240" s="221"/>
      <c r="G240" s="221"/>
      <c r="H240" s="221">
        <v>0</v>
      </c>
      <c r="I240" s="222"/>
      <c r="J240" s="151"/>
      <c r="K240" s="223"/>
      <c r="L240" s="224"/>
      <c r="M240" s="224"/>
      <c r="N240" s="224"/>
      <c r="O240" s="224"/>
      <c r="P240" s="225"/>
      <c r="Q240" s="151"/>
    </row>
    <row r="241" spans="1:17">
      <c r="A241" s="242"/>
      <c r="B241" s="219"/>
      <c r="C241" s="219"/>
      <c r="D241" s="218"/>
      <c r="E241" s="220"/>
      <c r="F241" s="221"/>
      <c r="G241" s="221"/>
      <c r="H241" s="243"/>
      <c r="I241" s="222"/>
      <c r="J241" s="151"/>
      <c r="K241" s="223"/>
      <c r="L241" s="224"/>
      <c r="M241" s="224"/>
      <c r="N241" s="224"/>
      <c r="O241" s="224"/>
      <c r="P241" s="225"/>
      <c r="Q241" s="151"/>
    </row>
    <row r="242" spans="1:17" ht="15" customHeight="1" thickBot="1">
      <c r="A242" s="218"/>
      <c r="B242" s="219"/>
      <c r="C242" s="219"/>
      <c r="D242" s="244"/>
      <c r="E242" s="220"/>
      <c r="F242" s="221"/>
      <c r="G242" s="221" t="s">
        <v>480</v>
      </c>
      <c r="H242" s="243" t="s">
        <v>481</v>
      </c>
      <c r="I242" s="222"/>
      <c r="J242" s="151"/>
      <c r="K242" s="223"/>
      <c r="L242" s="224"/>
      <c r="M242" s="224"/>
      <c r="N242" s="224"/>
      <c r="O242" s="224"/>
      <c r="P242" s="225"/>
      <c r="Q242" s="151"/>
    </row>
    <row r="243" spans="1:17" ht="15" customHeight="1">
      <c r="A243" s="245"/>
      <c r="B243" s="246" t="s">
        <v>482</v>
      </c>
      <c r="C243" s="246"/>
      <c r="D243" s="247"/>
      <c r="E243" s="248"/>
      <c r="F243" s="249"/>
      <c r="G243" s="249">
        <f>H243/5</f>
        <v>489796.04924000008</v>
      </c>
      <c r="H243" s="250">
        <f>SUM(H11:H242)</f>
        <v>2448980.2462000004</v>
      </c>
      <c r="I243" s="222"/>
      <c r="J243" s="151"/>
      <c r="K243" s="223"/>
      <c r="L243" s="224"/>
      <c r="M243" s="224"/>
      <c r="N243" s="224"/>
      <c r="O243" s="224"/>
      <c r="P243" s="225"/>
      <c r="Q243" s="151"/>
    </row>
    <row r="244" spans="1:17" ht="15" customHeight="1">
      <c r="A244" s="251"/>
      <c r="B244" s="219" t="s">
        <v>483</v>
      </c>
      <c r="C244" s="219"/>
      <c r="D244" s="328">
        <v>0.16</v>
      </c>
      <c r="E244" s="220"/>
      <c r="F244" s="221"/>
      <c r="G244" s="221">
        <f>H244/5</f>
        <v>78367.367878400008</v>
      </c>
      <c r="H244" s="252">
        <f>D244*H243</f>
        <v>391836.83939200005</v>
      </c>
      <c r="I244" s="222"/>
      <c r="J244" s="151"/>
      <c r="K244" s="223"/>
      <c r="L244" s="224"/>
      <c r="M244" s="224"/>
      <c r="N244" s="224"/>
      <c r="O244" s="224"/>
      <c r="P244" s="225"/>
      <c r="Q244" s="151"/>
    </row>
    <row r="245" spans="1:17">
      <c r="A245" s="251"/>
      <c r="B245" s="219"/>
      <c r="C245" s="219"/>
      <c r="D245" s="331"/>
      <c r="E245" s="220"/>
      <c r="F245" s="221"/>
      <c r="G245" s="221"/>
      <c r="H245" s="252"/>
      <c r="I245" s="222"/>
      <c r="J245" s="151"/>
      <c r="K245" s="223"/>
      <c r="L245" s="224"/>
      <c r="M245" s="224"/>
      <c r="N245" s="224"/>
      <c r="O245" s="224"/>
      <c r="P245" s="225"/>
      <c r="Q245" s="151"/>
    </row>
    <row r="246" spans="1:17">
      <c r="A246" s="251"/>
      <c r="B246" s="253" t="s">
        <v>484</v>
      </c>
      <c r="C246" s="253"/>
      <c r="D246" s="331"/>
      <c r="E246" s="220"/>
      <c r="F246" s="221"/>
      <c r="G246" s="221">
        <f>H246/5</f>
        <v>568163.4171184001</v>
      </c>
      <c r="H246" s="254">
        <f>SUM(H243:H244)</f>
        <v>2840817.0855920003</v>
      </c>
      <c r="I246" s="222"/>
      <c r="J246" s="151"/>
      <c r="K246" s="223"/>
      <c r="L246" s="224"/>
      <c r="M246" s="224"/>
      <c r="N246" s="224"/>
      <c r="O246" s="224"/>
      <c r="P246" s="225"/>
      <c r="Q246" s="151"/>
    </row>
    <row r="247" spans="1:17">
      <c r="A247" s="251"/>
      <c r="B247" s="255" t="s">
        <v>485</v>
      </c>
      <c r="C247" s="255"/>
      <c r="D247" s="332">
        <v>0.21</v>
      </c>
      <c r="E247" s="256"/>
      <c r="F247" s="257"/>
      <c r="G247" s="257">
        <f>H247/5</f>
        <v>119314.31759486401</v>
      </c>
      <c r="H247" s="258">
        <f>D247*H246</f>
        <v>596571.58797432005</v>
      </c>
      <c r="I247" s="222"/>
      <c r="J247" s="151"/>
      <c r="K247" s="223"/>
      <c r="L247" s="224"/>
      <c r="M247" s="224"/>
      <c r="N247" s="224"/>
      <c r="O247" s="224"/>
      <c r="P247" s="225"/>
      <c r="Q247" s="151"/>
    </row>
    <row r="248" spans="1:17">
      <c r="A248" s="251"/>
      <c r="B248" s="219"/>
      <c r="C248" s="219"/>
      <c r="D248" s="218"/>
      <c r="E248" s="220"/>
      <c r="F248" s="221"/>
      <c r="G248" s="221"/>
      <c r="H248" s="259"/>
      <c r="I248" s="222"/>
      <c r="J248" s="151"/>
      <c r="K248" s="223"/>
      <c r="L248" s="224"/>
      <c r="M248" s="224"/>
      <c r="N248" s="224"/>
      <c r="O248" s="224"/>
      <c r="P248" s="225"/>
      <c r="Q248" s="151"/>
    </row>
    <row r="249" spans="1:17">
      <c r="A249" s="251"/>
      <c r="B249" s="260" t="s">
        <v>486</v>
      </c>
      <c r="C249" s="260"/>
      <c r="D249" s="218"/>
      <c r="E249" s="220"/>
      <c r="F249" s="221"/>
      <c r="G249" s="261">
        <f>H249/5</f>
        <v>687477.73471326404</v>
      </c>
      <c r="H249" s="262">
        <f>SUM(H246:H247)</f>
        <v>3437388.6735663204</v>
      </c>
      <c r="I249" s="222"/>
      <c r="J249" s="151"/>
      <c r="K249" s="223"/>
      <c r="L249" s="224"/>
      <c r="M249" s="224"/>
      <c r="N249" s="224"/>
      <c r="O249" s="224"/>
      <c r="P249" s="225"/>
      <c r="Q249" s="151"/>
    </row>
    <row r="250" spans="1:17" ht="15.75" thickBot="1">
      <c r="A250" s="263"/>
      <c r="B250" s="264"/>
      <c r="C250" s="264"/>
      <c r="D250" s="265"/>
      <c r="E250" s="266"/>
      <c r="F250" s="267"/>
      <c r="G250" s="268"/>
      <c r="H250" s="269"/>
      <c r="I250" s="222"/>
      <c r="J250" s="225"/>
      <c r="K250" s="270"/>
      <c r="L250" s="271"/>
      <c r="M250" s="271"/>
      <c r="N250" s="271"/>
      <c r="O250" s="271"/>
      <c r="P250" s="225"/>
      <c r="Q250" s="151"/>
    </row>
    <row r="251" spans="1:17">
      <c r="A251" s="218"/>
      <c r="B251" s="219"/>
      <c r="C251" s="219"/>
      <c r="D251" s="218"/>
      <c r="E251" s="220"/>
      <c r="F251" s="221"/>
      <c r="G251" s="221"/>
      <c r="H251" s="221"/>
      <c r="I251" s="222"/>
      <c r="J251" s="151"/>
      <c r="K251" s="223"/>
      <c r="L251" s="224"/>
      <c r="M251" s="224"/>
      <c r="N251" s="224"/>
      <c r="O251" s="224"/>
      <c r="P251" s="225"/>
      <c r="Q251" s="151"/>
    </row>
    <row r="252" spans="1:17">
      <c r="A252" s="218"/>
      <c r="B252" s="219" t="s">
        <v>487</v>
      </c>
      <c r="C252" s="219"/>
      <c r="D252" s="218"/>
      <c r="E252" s="220"/>
      <c r="F252" s="221"/>
      <c r="G252" s="221">
        <f>H252/5</f>
        <v>281805.45300599997</v>
      </c>
      <c r="H252" s="221">
        <f>SUM(H11:H14)*(1+$D$244)*(1+$D$247)</f>
        <v>1409027.2650299999</v>
      </c>
      <c r="I252" s="222"/>
      <c r="J252" s="151"/>
      <c r="K252" s="223"/>
      <c r="L252" s="224"/>
      <c r="M252" s="224"/>
      <c r="N252" s="224"/>
      <c r="O252" s="224"/>
      <c r="P252" s="225"/>
      <c r="Q252" s="151"/>
    </row>
    <row r="253" spans="1:17">
      <c r="A253" s="218"/>
      <c r="B253" s="219" t="s">
        <v>488</v>
      </c>
      <c r="C253" s="219"/>
      <c r="D253" s="218"/>
      <c r="E253" s="220"/>
      <c r="F253" s="221"/>
      <c r="G253" s="221">
        <f>H253/5</f>
        <v>405672.2817072639</v>
      </c>
      <c r="H253" s="221">
        <f>SUM(H16:H239)*(1+$D$244)*(1+$D$247)</f>
        <v>2028361.4085363196</v>
      </c>
      <c r="I253" s="222"/>
      <c r="J253" s="151"/>
      <c r="K253" s="223"/>
      <c r="L253" s="224"/>
      <c r="M253" s="224"/>
      <c r="N253" s="224"/>
      <c r="O253" s="224"/>
      <c r="P253" s="225"/>
      <c r="Q253" s="151"/>
    </row>
  </sheetData>
  <mergeCells count="173">
    <mergeCell ref="I193:J193"/>
    <mergeCell ref="I194:J194"/>
    <mergeCell ref="I178:J178"/>
    <mergeCell ref="I188:J188"/>
    <mergeCell ref="I189:J189"/>
    <mergeCell ref="I190:J190"/>
    <mergeCell ref="I191:J191"/>
    <mergeCell ref="I192:J192"/>
    <mergeCell ref="I165:J165"/>
    <mergeCell ref="I176:J176"/>
    <mergeCell ref="I174:J174"/>
    <mergeCell ref="I170:J170"/>
    <mergeCell ref="I177:J177"/>
    <mergeCell ref="I135:J135"/>
    <mergeCell ref="I167:J167"/>
    <mergeCell ref="I168:J168"/>
    <mergeCell ref="I169:J169"/>
    <mergeCell ref="I149:J149"/>
    <mergeCell ref="I138:J138"/>
    <mergeCell ref="I139:J139"/>
    <mergeCell ref="I160:J160"/>
    <mergeCell ref="I144:J144"/>
    <mergeCell ref="I145:J145"/>
    <mergeCell ref="I146:J146"/>
    <mergeCell ref="I147:J147"/>
    <mergeCell ref="I148:J148"/>
    <mergeCell ref="I166:J166"/>
    <mergeCell ref="I153:J153"/>
    <mergeCell ref="I155:J155"/>
    <mergeCell ref="I156:J156"/>
    <mergeCell ref="I159:J159"/>
    <mergeCell ref="I161:J161"/>
    <mergeCell ref="I163:J163"/>
    <mergeCell ref="I164:J164"/>
    <mergeCell ref="I158:J158"/>
    <mergeCell ref="I151:J151"/>
    <mergeCell ref="I221:J221"/>
    <mergeCell ref="I64:J64"/>
    <mergeCell ref="I152:J152"/>
    <mergeCell ref="I47:J47"/>
    <mergeCell ref="I48:J48"/>
    <mergeCell ref="I49:J49"/>
    <mergeCell ref="I121:J121"/>
    <mergeCell ref="I122:J122"/>
    <mergeCell ref="I128:J128"/>
    <mergeCell ref="I129:J129"/>
    <mergeCell ref="I130:J130"/>
    <mergeCell ref="I116:J116"/>
    <mergeCell ref="I117:J117"/>
    <mergeCell ref="I118:J118"/>
    <mergeCell ref="I119:J119"/>
    <mergeCell ref="I120:J120"/>
    <mergeCell ref="I136:J136"/>
    <mergeCell ref="I137:J137"/>
    <mergeCell ref="I141:J141"/>
    <mergeCell ref="I142:J142"/>
    <mergeCell ref="I143:J143"/>
    <mergeCell ref="I131:J131"/>
    <mergeCell ref="I132:J132"/>
    <mergeCell ref="I133:J133"/>
    <mergeCell ref="I201:J201"/>
    <mergeCell ref="I202:J202"/>
    <mergeCell ref="I203:J203"/>
    <mergeCell ref="I63:J63"/>
    <mergeCell ref="I23:J23"/>
    <mergeCell ref="I36:J36"/>
    <mergeCell ref="I37:J37"/>
    <mergeCell ref="I42:J42"/>
    <mergeCell ref="I43:J43"/>
    <mergeCell ref="I33:J33"/>
    <mergeCell ref="I62:J62"/>
    <mergeCell ref="I34:J34"/>
    <mergeCell ref="I38:J38"/>
    <mergeCell ref="I39:J39"/>
    <mergeCell ref="I60:J60"/>
    <mergeCell ref="I40:J40"/>
    <mergeCell ref="I41:J41"/>
    <mergeCell ref="I44:J44"/>
    <mergeCell ref="I45:J45"/>
    <mergeCell ref="I46:J46"/>
    <mergeCell ref="I24:J24"/>
    <mergeCell ref="I56:J56"/>
    <mergeCell ref="I61:J61"/>
    <mergeCell ref="I134:J134"/>
    <mergeCell ref="I51:J51"/>
    <mergeCell ref="I5:O5"/>
    <mergeCell ref="I35:J35"/>
    <mergeCell ref="I227:J227"/>
    <mergeCell ref="I228:J228"/>
    <mergeCell ref="I229:J229"/>
    <mergeCell ref="I171:J171"/>
    <mergeCell ref="I175:J175"/>
    <mergeCell ref="I186:J186"/>
    <mergeCell ref="I179:J179"/>
    <mergeCell ref="I180:J180"/>
    <mergeCell ref="I181:J181"/>
    <mergeCell ref="I182:J182"/>
    <mergeCell ref="I183:J183"/>
    <mergeCell ref="I184:J184"/>
    <mergeCell ref="I185:J185"/>
    <mergeCell ref="I187:J187"/>
    <mergeCell ref="I172:J172"/>
    <mergeCell ref="I212:J212"/>
    <mergeCell ref="I213:J213"/>
    <mergeCell ref="I214:J214"/>
    <mergeCell ref="I198:J198"/>
    <mergeCell ref="I199:J199"/>
    <mergeCell ref="I200:J200"/>
    <mergeCell ref="I125:J125"/>
    <mergeCell ref="I82:J82"/>
    <mergeCell ref="I75:J75"/>
    <mergeCell ref="E3:F3"/>
    <mergeCell ref="E4:F4"/>
    <mergeCell ref="A1:P1"/>
    <mergeCell ref="I225:J225"/>
    <mergeCell ref="I226:J226"/>
    <mergeCell ref="I70:J70"/>
    <mergeCell ref="I92:J92"/>
    <mergeCell ref="I77:J77"/>
    <mergeCell ref="I76:J76"/>
    <mergeCell ref="I93:J93"/>
    <mergeCell ref="I94:J94"/>
    <mergeCell ref="I59:J59"/>
    <mergeCell ref="I52:J52"/>
    <mergeCell ref="I57:J57"/>
    <mergeCell ref="I58:J58"/>
    <mergeCell ref="I162:J162"/>
    <mergeCell ref="I140:J140"/>
    <mergeCell ref="I126:J126"/>
    <mergeCell ref="I127:J127"/>
    <mergeCell ref="I69:J69"/>
    <mergeCell ref="I50:J50"/>
    <mergeCell ref="I65:J65"/>
    <mergeCell ref="I66:J66"/>
    <mergeCell ref="I109:J109"/>
    <mergeCell ref="I111:J111"/>
    <mergeCell ref="I112:J112"/>
    <mergeCell ref="I113:J113"/>
    <mergeCell ref="I114:J114"/>
    <mergeCell ref="I115:J115"/>
    <mergeCell ref="I110:J110"/>
    <mergeCell ref="I71:J71"/>
    <mergeCell ref="I68:J68"/>
    <mergeCell ref="I74:J74"/>
    <mergeCell ref="I81:J81"/>
    <mergeCell ref="I91:J91"/>
    <mergeCell ref="I99:J99"/>
    <mergeCell ref="I104:J104"/>
    <mergeCell ref="I108:J108"/>
    <mergeCell ref="I196:O196"/>
    <mergeCell ref="I197:J197"/>
    <mergeCell ref="I232:J232"/>
    <mergeCell ref="I233:J233"/>
    <mergeCell ref="I235:O235"/>
    <mergeCell ref="I215:J215"/>
    <mergeCell ref="I216:J216"/>
    <mergeCell ref="I217:J217"/>
    <mergeCell ref="I218:J218"/>
    <mergeCell ref="I219:J219"/>
    <mergeCell ref="I220:J220"/>
    <mergeCell ref="I222:J222"/>
    <mergeCell ref="I223:J223"/>
    <mergeCell ref="I224:J224"/>
    <mergeCell ref="I206:J206"/>
    <mergeCell ref="I207:J207"/>
    <mergeCell ref="I208:J208"/>
    <mergeCell ref="I209:J209"/>
    <mergeCell ref="I210:J210"/>
    <mergeCell ref="I211:J211"/>
    <mergeCell ref="I204:J204"/>
    <mergeCell ref="I205:J205"/>
    <mergeCell ref="I230:J230"/>
    <mergeCell ref="I231:J231"/>
  </mergeCells>
  <phoneticPr fontId="0" type="noConversion"/>
  <printOptions horizontalCentered="1"/>
  <pageMargins left="0.39370078740157483" right="0.39370078740157483" top="0.39370078740157483" bottom="0.39370078740157483" header="0.51181102362204722" footer="0.51181102362204722"/>
  <pageSetup paperSize="8" scale="65" fitToHeight="5" orientation="landscape"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ae033921-439f-46ba-b586-0b8c8775f769" ContentTypeId="0x01010038BEFAC7D94B314F8B0C5C561B2BF5080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_dlc_DocId xmlns="1e462711-56d8-46a7-b789-67b340590373">CON00-217366759-331</_dlc_DocId>
    <TaxCatchAll xmlns="cb665cb2-4c1b-4338-95f1-4dd7cd771ce0">
      <Value>2</Value>
      <Value>1</Value>
    </TaxCatchAll>
    <_dlc_DocIdUrl xmlns="1e462711-56d8-46a7-b789-67b340590373">
      <Url>https://connect.sp02.rws.nl/sites/M230717240/_layouts/15/DocIdRedir.aspx?ID=CON00-217366759-331</Url>
      <Description>CON00-217366759-331</Description>
    </_dlc_DocIdUrl>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Connect-Status xmlns="cb665cb2-4c1b-4338-95f1-4dd7cd771ce0">Concept</Connect-Status>
    <j4385b9e35ef42c5bc2f4b49e945d3d0 xmlns="cb665cb2-4c1b-4338-95f1-4dd7cd771ce0">
      <Terms xmlns="http://schemas.microsoft.com/office/infopath/2007/PartnerControls"/>
    </j4385b9e35ef42c5bc2f4b49e945d3d0>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documentManagement>
</p:properties>
</file>

<file path=customXml/item5.xml><?xml version="1.0" encoding="utf-8"?>
<ct:contentTypeSchema xmlns:ct="http://schemas.microsoft.com/office/2006/metadata/contentType" xmlns:ma="http://schemas.microsoft.com/office/2006/metadata/properties/metaAttributes" ct:_="" ma:_="" ma:contentTypeName="Project Excel doc" ma:contentTypeID="0x01010038BEFAC7D94B314F8B0C5C561B2BF5080200560BCF9C7B62314FA31968339539A476" ma:contentTypeVersion="10" ma:contentTypeDescription="Create a new document." ma:contentTypeScope="" ma:versionID="fcbab5f8b7424b3c83ebd889c36dde19">
  <xsd:schema xmlns:xsd="http://www.w3.org/2001/XMLSchema" xmlns:xs="http://www.w3.org/2001/XMLSchema" xmlns:p="http://schemas.microsoft.com/office/2006/metadata/properties" xmlns:ns2="cb665cb2-4c1b-4338-95f1-4dd7cd771ce0" xmlns:ns3="1e462711-56d8-46a7-b789-67b340590373" targetNamespace="http://schemas.microsoft.com/office/2006/metadata/properties" ma:root="true" ma:fieldsID="15eca05ea847edb0f3dd9c2ea4739cac" ns2:_="" ns3:_="">
    <xsd:import namespace="cb665cb2-4c1b-4338-95f1-4dd7cd771ce0"/>
    <xsd:import namespace="1e462711-56d8-46a7-b789-67b340590373"/>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c81b6ae-786b-4466-9bee-0d5fb17fd5ae}" ma:internalName="TaxCatchAll" ma:showField="CatchAllData"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c81b6ae-786b-4466-9bee-0d5fb17fd5ae}" ma:internalName="TaxCatchAllLabel" ma:readOnly="true" ma:showField="CatchAllDataLabel"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462711-56d8-46a7-b789-67b340590373"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FD2F56-60CA-4178-94CD-C09D773CD95E}">
  <ds:schemaRefs>
    <ds:schemaRef ds:uri="Microsoft.SharePoint.Taxonomy.ContentTypeSync"/>
  </ds:schemaRefs>
</ds:datastoreItem>
</file>

<file path=customXml/itemProps2.xml><?xml version="1.0" encoding="utf-8"?>
<ds:datastoreItem xmlns:ds="http://schemas.openxmlformats.org/officeDocument/2006/customXml" ds:itemID="{B8DBB6CA-9866-4A39-A119-24BAA5ECD05A}">
  <ds:schemaRefs>
    <ds:schemaRef ds:uri="http://schemas.microsoft.com/sharepoint/v3/contenttype/forms"/>
  </ds:schemaRefs>
</ds:datastoreItem>
</file>

<file path=customXml/itemProps3.xml><?xml version="1.0" encoding="utf-8"?>
<ds:datastoreItem xmlns:ds="http://schemas.openxmlformats.org/officeDocument/2006/customXml" ds:itemID="{5FB683A2-1795-48A9-9C92-A6FD17B2ACD1}">
  <ds:schemaRefs>
    <ds:schemaRef ds:uri="http://schemas.microsoft.com/sharepoint/events"/>
  </ds:schemaRefs>
</ds:datastoreItem>
</file>

<file path=customXml/itemProps4.xml><?xml version="1.0" encoding="utf-8"?>
<ds:datastoreItem xmlns:ds="http://schemas.openxmlformats.org/officeDocument/2006/customXml" ds:itemID="{4CF30280-82F3-4EBF-A58A-EC2CDDC61E42}">
  <ds:schemaRefs>
    <ds:schemaRef ds:uri="http://schemas.microsoft.com/office/2006/documentManagement/types"/>
    <ds:schemaRef ds:uri="http://schemas.microsoft.com/office/2006/metadata/properties"/>
    <ds:schemaRef ds:uri="http://purl.org/dc/elements/1.1/"/>
    <ds:schemaRef ds:uri="cb665cb2-4c1b-4338-95f1-4dd7cd771ce0"/>
    <ds:schemaRef ds:uri="1e462711-56d8-46a7-b789-67b340590373"/>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E071471A-485D-4268-B456-A7FAD7FF8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1e462711-56d8-46a7-b789-67b340590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4</vt:i4>
      </vt:variant>
    </vt:vector>
  </HeadingPairs>
  <TitlesOfParts>
    <vt:vector size="22" baseType="lpstr">
      <vt:lpstr>B1</vt:lpstr>
      <vt:lpstr>Totaaloverzicht</vt:lpstr>
      <vt:lpstr>B2</vt:lpstr>
      <vt:lpstr>B3</vt:lpstr>
      <vt:lpstr>B4</vt:lpstr>
      <vt:lpstr>B5</vt:lpstr>
      <vt:lpstr>B6</vt:lpstr>
      <vt:lpstr>B7</vt:lpstr>
      <vt:lpstr>Rekenblad</vt:lpstr>
      <vt:lpstr>Blad3</vt:lpstr>
      <vt:lpstr>Rekenblad Cleo</vt:lpstr>
      <vt:lpstr>Inschrijfstaat B1</vt:lpstr>
      <vt:lpstr>Inschrijfstaat B2</vt:lpstr>
      <vt:lpstr>Inschrijfstaat B3</vt:lpstr>
      <vt:lpstr>Inschrijfstaat B4</vt:lpstr>
      <vt:lpstr>Inschrijfstaat B5</vt:lpstr>
      <vt:lpstr>Inschrijfstaat B6</vt:lpstr>
      <vt:lpstr>Inschrijfstaat B7</vt:lpstr>
      <vt:lpstr>Rekenblad!Afdrukbereik</vt:lpstr>
      <vt:lpstr>'Rekenblad Cleo'!Afdrukbereik</vt:lpstr>
      <vt:lpstr>Rekenblad!Afdruktitels</vt:lpstr>
      <vt:lpstr>'Rekenblad Cleo'!Afdruktitels</vt:lpstr>
    </vt:vector>
  </TitlesOfParts>
  <Manager/>
  <Company>Rijkswaterstaat - Directie Zuid-Holland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Wit</dc:creator>
  <cp:keywords/>
  <dc:description/>
  <cp:lastModifiedBy>Rietveld, Melanie (PPO)</cp:lastModifiedBy>
  <cp:revision/>
  <dcterms:created xsi:type="dcterms:W3CDTF">2007-11-01T07:38:11Z</dcterms:created>
  <dcterms:modified xsi:type="dcterms:W3CDTF">2024-03-08T11:41:15Z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0x01010038BEFAC7D94B314F8B0C5C561B2BF5080200560BCF9C7B62314FA31968339539A476</vt:lpwstr>
  </property>
  <property fmtid="{D5CDD505-2E9C-101B-9397-08002B2CF9AE}" pid="3" name="_dlc_DocIdItemGuid">
    <vt:lpwstr>3b84ce46-b4b2-41a0-9cd8-4fa064e196a6</vt:lpwstr>
  </property>
  <property fmtid="{D5CDD505-2E9C-101B-9397-08002B2CF9AE}" pid="4" name="TaxKeyword">
    <vt:lpwstr/>
  </property>
  <property fmtid="{D5CDD505-2E9C-101B-9397-08002B2CF9AE}" pid="5" name="Connect-Bedrijfsvertrouwelijkheid">
    <vt:lpwstr>1;#RWS Bedrijfsvertrouwelijk|d5fcfbac-659d-41b3-b161-4048848dd05a</vt:lpwstr>
  </property>
  <property fmtid="{D5CDD505-2E9C-101B-9397-08002B2CF9AE}" pid="6" name="Connect-Persoonsvertrouwelijkheid">
    <vt:lpwstr>2;#Geen|a0814100-4302-49f4-9f40-b7d42012644c</vt:lpwstr>
  </property>
  <property fmtid="{D5CDD505-2E9C-101B-9397-08002B2CF9AE}" pid="7" name="Connect-Documenttype">
    <vt:lpwstr/>
  </property>
  <property fmtid="{D5CDD505-2E9C-101B-9397-08002B2CF9AE}" pid="8" name="Connect-SEfase">
    <vt:lpwstr/>
  </property>
  <property fmtid="{D5CDD505-2E9C-101B-9397-08002B2CF9AE}" pid="9" name="Connect-Organisatieonderdeel">
    <vt:lpwstr/>
  </property>
  <property fmtid="{D5CDD505-2E9C-101B-9397-08002B2CF9AE}" pid="10" name="Connect-IPMrol">
    <vt:lpwstr/>
  </property>
  <property fmtid="{D5CDD505-2E9C-101B-9397-08002B2CF9AE}" pid="11" name="Connect-Activiteit">
    <vt:lpwstr/>
  </property>
  <property fmtid="{D5CDD505-2E9C-101B-9397-08002B2CF9AE}" pid="12" name="BExAnalyzer_OldName">
    <vt:lpwstr>Bijlage I2 Inschrijfstaat C5 NvI1.xlsx</vt:lpwstr>
  </property>
</Properties>
</file>